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codeName="ThisWorkbook" defaultThemeVersion="124226"/>
  <bookViews>
    <workbookView xWindow="300" yWindow="0" windowWidth="19420" windowHeight="11020" tabRatio="223" activeTab="1"/>
  </bookViews>
  <sheets>
    <sheet name="BDD" sheetId="1" r:id="rId1"/>
    <sheet name="reprise" sheetId="5" r:id="rId2"/>
  </sheets>
  <definedNames>
    <definedName name="_xlnm._FilterDatabase" localSheetId="0" hidden="1">BDD!$A$3:$JO$34</definedName>
    <definedName name="code">OFFSET(BDD!$A$4,,,COUNT(BDD!$A:$A,"&gt;&lt;"))</definedName>
    <definedName name="dept">BDD!$FT$4</definedName>
    <definedName name="_xlnm.Print_Titles" localSheetId="0">BDD!$A:$D,BDD!$1:$3</definedName>
    <definedName name="_xlnm.Print_Titles" localSheetId="1">reprise!$1:$3</definedName>
    <definedName name="primeligne">BDD!$FT$4:$JO$4</definedName>
    <definedName name="_xlnm.Print_Area" localSheetId="0">BDD!$A$1:$CK$25</definedName>
  </definedNames>
  <calcPr calcId="124519"/>
</workbook>
</file>

<file path=xl/calcChain.xml><?xml version="1.0" encoding="utf-8"?>
<calcChain xmlns="http://schemas.openxmlformats.org/spreadsheetml/2006/main">
  <c r="A196" i="5" a="1"/>
  <c r="A196" s="1"/>
  <c r="D196" s="1"/>
  <c r="A197" a="1"/>
  <c r="A197" s="1"/>
  <c r="E197" s="1"/>
  <c r="A198" a="1"/>
  <c r="A198" s="1"/>
  <c r="E198" s="1"/>
  <c r="A199" a="1"/>
  <c r="A199" s="1"/>
  <c r="E199" s="1"/>
  <c r="A200" a="1"/>
  <c r="A200" s="1"/>
  <c r="E200" s="1"/>
  <c r="A201" a="1"/>
  <c r="A201" s="1"/>
  <c r="E201" s="1"/>
  <c r="A202" a="1"/>
  <c r="A202" s="1"/>
  <c r="E202" s="1"/>
  <c r="A203" a="1"/>
  <c r="A203" s="1"/>
  <c r="E203" s="1"/>
  <c r="A204" a="1"/>
  <c r="A204" s="1"/>
  <c r="E204" s="1"/>
  <c r="A205" a="1"/>
  <c r="A205" s="1"/>
  <c r="E205" s="1"/>
  <c r="A206" a="1"/>
  <c r="A206" s="1"/>
  <c r="E206" s="1"/>
  <c r="A207" a="1"/>
  <c r="A207" s="1"/>
  <c r="E207" s="1"/>
  <c r="A208" a="1"/>
  <c r="A208" s="1"/>
  <c r="E208" s="1"/>
  <c r="A209" a="1"/>
  <c r="A209" s="1"/>
  <c r="E209" s="1"/>
  <c r="A210" a="1"/>
  <c r="A210" s="1"/>
  <c r="E210" s="1"/>
  <c r="A211" a="1"/>
  <c r="A211" s="1"/>
  <c r="E211" s="1"/>
  <c r="A212" a="1"/>
  <c r="A212" s="1"/>
  <c r="E212" s="1"/>
  <c r="A213" a="1"/>
  <c r="A213" s="1"/>
  <c r="E213" s="1"/>
  <c r="A214" a="1"/>
  <c r="A214" s="1"/>
  <c r="E214" s="1"/>
  <c r="A215" a="1"/>
  <c r="A215" s="1"/>
  <c r="E215" s="1"/>
  <c r="HK1" i="1"/>
  <c r="HL1"/>
  <c r="HM1" s="1"/>
  <c r="HN1" s="1"/>
  <c r="HO1" s="1"/>
  <c r="HP1" s="1"/>
  <c r="HQ1" s="1"/>
  <c r="HR1" s="1"/>
  <c r="HS1" s="1"/>
  <c r="HT1" s="1"/>
  <c r="HU1" s="1"/>
  <c r="HV1" s="1"/>
  <c r="HW1" s="1"/>
  <c r="HX1" s="1"/>
  <c r="HY1" s="1"/>
  <c r="HZ1" s="1"/>
  <c r="IA1" s="1"/>
  <c r="IB1" s="1"/>
  <c r="IC1" s="1"/>
  <c r="ID1" s="1"/>
  <c r="IE1" s="1"/>
  <c r="IF1" s="1"/>
  <c r="IG1" s="1"/>
  <c r="IH1" s="1"/>
  <c r="II1" s="1"/>
  <c r="IJ1" s="1"/>
  <c r="IK1" s="1"/>
  <c r="IL1" s="1"/>
  <c r="IM1" s="1"/>
  <c r="IN1" s="1"/>
  <c r="IO1" s="1"/>
  <c r="IP1" s="1"/>
  <c r="IQ1" s="1"/>
  <c r="IR1" s="1"/>
  <c r="IS1" s="1"/>
  <c r="IT1" s="1"/>
  <c r="IU1" s="1"/>
  <c r="IV1" s="1"/>
  <c r="IW1" s="1"/>
  <c r="IX1" s="1"/>
  <c r="IY1" s="1"/>
  <c r="IZ1" s="1"/>
  <c r="JA1" s="1"/>
  <c r="JB1" s="1"/>
  <c r="JC1" s="1"/>
  <c r="JD1" s="1"/>
  <c r="JE1" s="1"/>
  <c r="JF1" s="1"/>
  <c r="JG1" s="1"/>
  <c r="JH1" s="1"/>
  <c r="JI1" s="1"/>
  <c r="JJ1" s="1"/>
  <c r="JK1" s="1"/>
  <c r="JL1" s="1"/>
  <c r="JM1" s="1"/>
  <c r="JN1" s="1"/>
  <c r="JO1" s="1"/>
  <c r="GB1"/>
  <c r="GC1"/>
  <c r="GD1" s="1"/>
  <c r="GE1" s="1"/>
  <c r="GF1" s="1"/>
  <c r="GG1" s="1"/>
  <c r="GH1" s="1"/>
  <c r="GI1" s="1"/>
  <c r="GJ1" s="1"/>
  <c r="GK1" s="1"/>
  <c r="GL1" s="1"/>
  <c r="GM1" s="1"/>
  <c r="GN1" s="1"/>
  <c r="GO1" s="1"/>
  <c r="GP1" s="1"/>
  <c r="GQ1" s="1"/>
  <c r="GR1" s="1"/>
  <c r="GS1" s="1"/>
  <c r="GT1" s="1"/>
  <c r="GU1" s="1"/>
  <c r="GV1" s="1"/>
  <c r="GW1" s="1"/>
  <c r="GX1" s="1"/>
  <c r="GY1" s="1"/>
  <c r="GZ1" s="1"/>
  <c r="HA1" s="1"/>
  <c r="HB1" s="1"/>
  <c r="HC1" s="1"/>
  <c r="HD1" s="1"/>
  <c r="HE1" s="1"/>
  <c r="HF1" s="1"/>
  <c r="HG1" s="1"/>
  <c r="HH1" s="1"/>
  <c r="HI1" s="1"/>
  <c r="HJ1" s="1"/>
  <c r="FV1"/>
  <c r="FW1"/>
  <c r="FX1" s="1"/>
  <c r="FY1" s="1"/>
  <c r="FZ1" s="1"/>
  <c r="GA1" s="1"/>
  <c r="FU1"/>
  <c r="D215" i="5" l="1"/>
  <c r="D214"/>
  <c r="D213"/>
  <c r="D212"/>
  <c r="D211"/>
  <c r="D210"/>
  <c r="D209"/>
  <c r="D208"/>
  <c r="D207"/>
  <c r="D206"/>
  <c r="D205"/>
  <c r="D204"/>
  <c r="D203"/>
  <c r="D202"/>
  <c r="D201"/>
  <c r="D200"/>
  <c r="D199"/>
  <c r="D198"/>
  <c r="D197"/>
  <c r="E196"/>
  <c r="K26"/>
  <c r="A180"/>
  <c r="A179"/>
  <c r="A178"/>
  <c r="J165"/>
  <c r="J164"/>
  <c r="D157"/>
  <c r="D160"/>
  <c r="D159"/>
  <c r="D158"/>
  <c r="J155"/>
  <c r="J154"/>
  <c r="J153"/>
  <c r="D155"/>
  <c r="D154"/>
  <c r="D153"/>
  <c r="L135"/>
  <c r="E135"/>
  <c r="A135"/>
  <c r="L134"/>
  <c r="E134"/>
  <c r="A134"/>
  <c r="L133"/>
  <c r="E133"/>
  <c r="A133"/>
  <c r="L132"/>
  <c r="E132"/>
  <c r="A132"/>
  <c r="L131"/>
  <c r="E131"/>
  <c r="A131"/>
  <c r="L130"/>
  <c r="E130"/>
  <c r="A130"/>
  <c r="N123"/>
  <c r="F123"/>
  <c r="D123"/>
  <c r="A123"/>
  <c r="N122"/>
  <c r="F122"/>
  <c r="D122"/>
  <c r="A122"/>
  <c r="N121"/>
  <c r="F121"/>
  <c r="D121"/>
  <c r="A121"/>
  <c r="N120"/>
  <c r="F120"/>
  <c r="D120"/>
  <c r="A120"/>
  <c r="N119"/>
  <c r="F119"/>
  <c r="D119"/>
  <c r="A119"/>
  <c r="N118"/>
  <c r="F118"/>
  <c r="D118"/>
  <c r="A118"/>
  <c r="N117"/>
  <c r="F117"/>
  <c r="D117"/>
  <c r="A117"/>
  <c r="A110"/>
  <c r="A95"/>
  <c r="A91"/>
  <c r="A88"/>
  <c r="A85"/>
  <c r="A74"/>
  <c r="A73"/>
  <c r="A72"/>
  <c r="A71"/>
  <c r="A70"/>
  <c r="J62"/>
  <c r="J61"/>
  <c r="J60"/>
  <c r="J59"/>
  <c r="J58"/>
  <c r="J57"/>
  <c r="J56"/>
  <c r="J55"/>
  <c r="J54" l="1"/>
  <c r="K27"/>
  <c r="D27"/>
  <c r="D22"/>
  <c r="D21"/>
  <c r="D20"/>
  <c r="D12"/>
  <c r="D13"/>
  <c r="G14"/>
  <c r="G13"/>
  <c r="G12"/>
  <c r="D14"/>
  <c r="D10"/>
  <c r="D8"/>
  <c r="F2"/>
  <c r="F1"/>
  <c r="D7"/>
  <c r="D6"/>
  <c r="A2"/>
  <c r="D26" s="1"/>
  <c r="BX34" i="1" l="1"/>
  <c r="BX33"/>
  <c r="BX29"/>
  <c r="BX28"/>
  <c r="BX27"/>
  <c r="BX26"/>
  <c r="BX25"/>
  <c r="BX24"/>
  <c r="BX23"/>
  <c r="BX22"/>
  <c r="BX21"/>
  <c r="BX8" l="1"/>
  <c r="BX9"/>
  <c r="BX10"/>
  <c r="BX11"/>
  <c r="BX12"/>
  <c r="BX13"/>
  <c r="BX14"/>
  <c r="BX15"/>
  <c r="BX16"/>
  <c r="BX17"/>
  <c r="BX18"/>
  <c r="BX19"/>
  <c r="BX20"/>
  <c r="BX6"/>
  <c r="BX5"/>
  <c r="BX4"/>
</calcChain>
</file>

<file path=xl/sharedStrings.xml><?xml version="1.0" encoding="utf-8"?>
<sst xmlns="http://schemas.openxmlformats.org/spreadsheetml/2006/main" count="3112" uniqueCount="475">
  <si>
    <t>Entreprise</t>
  </si>
  <si>
    <t>Contact</t>
  </si>
  <si>
    <t>Adresse</t>
  </si>
  <si>
    <t>Fonction</t>
  </si>
  <si>
    <t>Certifications</t>
  </si>
  <si>
    <t>1. COORDONNÉES DU FOURNISSEUR/FABRICANT</t>
  </si>
  <si>
    <t>2. SPECIFICATIONS DES DONNÉES DE BASE</t>
  </si>
  <si>
    <t>Marque</t>
  </si>
  <si>
    <t>Label</t>
  </si>
  <si>
    <t>Fabrication</t>
  </si>
  <si>
    <t>#Art</t>
  </si>
  <si>
    <t>Désignation</t>
  </si>
  <si>
    <t>Localité/Pays</t>
  </si>
  <si>
    <t>FOURNISSEUR</t>
  </si>
  <si>
    <t>FABRICANT</t>
  </si>
  <si>
    <t># Recette</t>
  </si>
  <si>
    <t>Français</t>
  </si>
  <si>
    <t>6. ANALYSES</t>
  </si>
  <si>
    <t>Exportation</t>
  </si>
  <si>
    <t>Paramètre 1</t>
  </si>
  <si>
    <t>Tolérance 1</t>
  </si>
  <si>
    <t>Fréquence 1</t>
  </si>
  <si>
    <t>Paramètre 2</t>
  </si>
  <si>
    <t>Tolérance 2</t>
  </si>
  <si>
    <t>Fréquence 2</t>
  </si>
  <si>
    <t>Paramètre 3</t>
  </si>
  <si>
    <t>Tolérance 3</t>
  </si>
  <si>
    <t>Fréquence 3</t>
  </si>
  <si>
    <t>Paramètre 4</t>
  </si>
  <si>
    <t>Tolérance 4</t>
  </si>
  <si>
    <t>Fréquence 4</t>
  </si>
  <si>
    <t>Paramètre 5</t>
  </si>
  <si>
    <t>Tolérance 5</t>
  </si>
  <si>
    <t>Fréquence 5</t>
  </si>
  <si>
    <t>Paramètre 6</t>
  </si>
  <si>
    <t>Tolérance 6</t>
  </si>
  <si>
    <t>Fréquence 6</t>
  </si>
  <si>
    <t>Paramètre 7</t>
  </si>
  <si>
    <t>Tolérance 7</t>
  </si>
  <si>
    <t>Fréquence 7</t>
  </si>
  <si>
    <t>3. ALLERGENES &amp; ADDITIFS</t>
  </si>
  <si>
    <t>Céleri</t>
  </si>
  <si>
    <t>Gluten</t>
  </si>
  <si>
    <t>Œufs</t>
  </si>
  <si>
    <t>Lupin</t>
  </si>
  <si>
    <t>Mollusque</t>
  </si>
  <si>
    <t>Moutarde</t>
  </si>
  <si>
    <t>Sésame</t>
  </si>
  <si>
    <t>Soja</t>
  </si>
  <si>
    <t>Sulfites</t>
  </si>
  <si>
    <t>SO2</t>
  </si>
  <si>
    <t>Amandes</t>
  </si>
  <si>
    <t>Noisettes</t>
  </si>
  <si>
    <t>Noix</t>
  </si>
  <si>
    <t>Noix de cajou</t>
  </si>
  <si>
    <t>Pistaches</t>
  </si>
  <si>
    <t>Noix de Macadamia</t>
  </si>
  <si>
    <t>Crustacés</t>
  </si>
  <si>
    <t>Poissons</t>
  </si>
  <si>
    <t>Arachides</t>
  </si>
  <si>
    <t>Noix du Brésil</t>
  </si>
  <si>
    <t>Noix de pécan</t>
  </si>
  <si>
    <t>Peut contenir des traces de</t>
  </si>
  <si>
    <t>ADDITIFS</t>
  </si>
  <si>
    <t>ALLERGENES</t>
  </si>
  <si>
    <t>FRUITS A COQUES</t>
  </si>
  <si>
    <t>4. INFORMATIONS DIVERSES</t>
  </si>
  <si>
    <t>Type de sel</t>
  </si>
  <si>
    <t xml:space="preserve">Ingrédients d'origine animal </t>
  </si>
  <si>
    <t>Régime</t>
  </si>
  <si>
    <t>OGM</t>
  </si>
  <si>
    <t>Irradiation</t>
  </si>
  <si>
    <t>Nanotechnologie</t>
  </si>
  <si>
    <t>Huile de plame/ palmiste</t>
  </si>
  <si>
    <t>5. VALEURS NUTRITIVES</t>
  </si>
  <si>
    <t>Energie kJ</t>
  </si>
  <si>
    <t>Energie kcal</t>
  </si>
  <si>
    <t>Graisses</t>
  </si>
  <si>
    <t>AGS</t>
  </si>
  <si>
    <t>Glucides</t>
  </si>
  <si>
    <t>Sucres</t>
  </si>
  <si>
    <t>Protéines</t>
  </si>
  <si>
    <t>Sel de cuisine</t>
  </si>
  <si>
    <t>Fibres al.</t>
  </si>
  <si>
    <t>Sodium</t>
  </si>
  <si>
    <t>Alcool</t>
  </si>
  <si>
    <t>Base NV</t>
  </si>
  <si>
    <t>Contenu dans     100 gr</t>
  </si>
  <si>
    <t>Flores recherchées 1</t>
  </si>
  <si>
    <t>Flores recherchées 2</t>
  </si>
  <si>
    <t>Flores recherchées 3</t>
  </si>
  <si>
    <t>Flores recherchées 4</t>
  </si>
  <si>
    <t>Flores recherchées 5</t>
  </si>
  <si>
    <t>Flores recherchées 6</t>
  </si>
  <si>
    <t xml:space="preserve"> PARAMETRES PHYSICO-CHIMIQUES</t>
  </si>
  <si>
    <t>PARAMETRES MICROBIOLOGIQUES</t>
  </si>
  <si>
    <t>PARAMETRES ORGANOLEPTIQUES</t>
  </si>
  <si>
    <t>Aspect-Couleur</t>
  </si>
  <si>
    <t>Odeur-goût</t>
  </si>
  <si>
    <t>Texture</t>
  </si>
  <si>
    <t>7. FABRICATION</t>
  </si>
  <si>
    <t>Etape clé de fabrication</t>
  </si>
  <si>
    <t>Concept HACCP</t>
  </si>
  <si>
    <t>CCP définis</t>
  </si>
  <si>
    <t>8. EMBALLAGES</t>
  </si>
  <si>
    <t>Emballage primaire</t>
  </si>
  <si>
    <t>Matériel</t>
  </si>
  <si>
    <t>Poids brut</t>
  </si>
  <si>
    <t>Format / volume</t>
  </si>
  <si>
    <t>Emballage second.</t>
  </si>
  <si>
    <t>Poids net</t>
  </si>
  <si>
    <t>Poids net égoutté</t>
  </si>
  <si>
    <t>9. PALETTISATION</t>
  </si>
  <si>
    <t>Pces/ couches</t>
  </si>
  <si>
    <t>Pces/ palette</t>
  </si>
  <si>
    <t xml:space="preserve">10. TRACABILITE </t>
  </si>
  <si>
    <t>DLC/DLUO</t>
  </si>
  <si>
    <t>Heure de product.</t>
  </si>
  <si>
    <t>Numéro de lot</t>
  </si>
  <si>
    <t xml:space="preserve">11. CONSERVATION / ENTREPOSAGE </t>
  </si>
  <si>
    <t>Utilisation</t>
  </si>
  <si>
    <t>Date de modification</t>
  </si>
  <si>
    <t>Dénomination spécifique</t>
  </si>
  <si>
    <t>Déclarartion ingrédients</t>
  </si>
  <si>
    <t>Lait/ lactose</t>
  </si>
  <si>
    <t>Code EAN (primaire)</t>
  </si>
  <si>
    <t>Code EAN (second.)</t>
  </si>
  <si>
    <t>Pces unité de vente</t>
  </si>
  <si>
    <t>pces/emb. second.</t>
  </si>
  <si>
    <t>Durée de vie totale (jours)</t>
  </si>
  <si>
    <t>Durée de vie dès livraison (jours)</t>
  </si>
  <si>
    <t>Version</t>
  </si>
  <si>
    <t>Date de product.</t>
  </si>
  <si>
    <t>New 1</t>
  </si>
  <si>
    <t>New 2</t>
  </si>
  <si>
    <t>New 3</t>
  </si>
  <si>
    <t>Sujet 1</t>
  </si>
  <si>
    <t>Détail 1</t>
  </si>
  <si>
    <t>Sujet 2</t>
  </si>
  <si>
    <t>Détail 2</t>
  </si>
  <si>
    <t>Sujet 3</t>
  </si>
  <si>
    <t>Détail 3</t>
  </si>
  <si>
    <t>Critère habituel</t>
  </si>
  <si>
    <t>Provenance</t>
  </si>
  <si>
    <t>%</t>
  </si>
  <si>
    <t>%visbile?</t>
  </si>
  <si>
    <t>Ingrédient 1</t>
  </si>
  <si>
    <t>Ingrédient 2</t>
  </si>
  <si>
    <t>Ingrédient</t>
  </si>
  <si>
    <t>Ingrédient 3</t>
  </si>
  <si>
    <t>Ingrédient 4</t>
  </si>
  <si>
    <t>Ingrédient 5</t>
  </si>
  <si>
    <t>Ingrédient 6</t>
  </si>
  <si>
    <t>Ingrédient 7</t>
  </si>
  <si>
    <t>Ingrédient 8</t>
  </si>
  <si>
    <t>Ingrédient 9</t>
  </si>
  <si>
    <t>Ingrédient 10</t>
  </si>
  <si>
    <t>Ingrédient 11</t>
  </si>
  <si>
    <t>Ingrédient 12</t>
  </si>
  <si>
    <t>Ingrédient 13</t>
  </si>
  <si>
    <t>Ingrédient 14</t>
  </si>
  <si>
    <t>Ingrédient 15</t>
  </si>
  <si>
    <t>Ingrédient 16</t>
  </si>
  <si>
    <t>Ingrédient 17</t>
  </si>
  <si>
    <t>Ingrédient 18</t>
  </si>
  <si>
    <t>Ingrédient 19</t>
  </si>
  <si>
    <t>Ingrédient 20</t>
  </si>
  <si>
    <t>Cible 1</t>
  </si>
  <si>
    <t>Méthode1</t>
  </si>
  <si>
    <t>Cible 2</t>
  </si>
  <si>
    <t>Méthode 2</t>
  </si>
  <si>
    <t>Cible 3</t>
  </si>
  <si>
    <t>Méthode 3</t>
  </si>
  <si>
    <t>Cible 4</t>
  </si>
  <si>
    <t>Méthode 4</t>
  </si>
  <si>
    <t>Cible 5</t>
  </si>
  <si>
    <t>Méthode 5</t>
  </si>
  <si>
    <t>Cible 6</t>
  </si>
  <si>
    <t>Méthode 6</t>
  </si>
  <si>
    <t>Cible 7</t>
  </si>
  <si>
    <t>Méthode 7</t>
  </si>
  <si>
    <t>Max légal  1</t>
  </si>
  <si>
    <t>Méthode 1</t>
  </si>
  <si>
    <t>Max légal  2</t>
  </si>
  <si>
    <t>Max légal  3</t>
  </si>
  <si>
    <t>Max légal  4</t>
  </si>
  <si>
    <t>Max légal  5</t>
  </si>
  <si>
    <t>Max légal  6</t>
  </si>
  <si>
    <t>Numéro de lot 1</t>
  </si>
  <si>
    <t>Numéro de lot celule2</t>
  </si>
  <si>
    <t>Numéro de lot celule3</t>
  </si>
  <si>
    <t>Critère(s) d'entreposage</t>
  </si>
  <si>
    <t xml:space="preserve"> - </t>
  </si>
  <si>
    <t>Concombres au vinaigre</t>
  </si>
  <si>
    <t>Fabriqué en Suisse par Reitzel (Suisse) SA, CH, 1860 Aigle, Suisse</t>
  </si>
  <si>
    <t>Représenté dans l'UE par Reitzel France, F-75009 Paris</t>
  </si>
  <si>
    <t>E202 Sorbate de potasium</t>
  </si>
  <si>
    <t>Avec iode, sans fluor</t>
  </si>
  <si>
    <t>Non</t>
  </si>
  <si>
    <t>Non contenu</t>
  </si>
  <si>
    <t>Vérétarien</t>
  </si>
  <si>
    <t>&lt;0.5</t>
  </si>
  <si>
    <t xml:space="preserve"> -</t>
  </si>
  <si>
    <t>Les valeurs nutritives ont été calculées</t>
  </si>
  <si>
    <t>Potentiomètre</t>
  </si>
  <si>
    <t>1x/lot</t>
  </si>
  <si>
    <t>Titrimétrie</t>
  </si>
  <si>
    <t>Acidité (g/dl)</t>
  </si>
  <si>
    <t>pH</t>
  </si>
  <si>
    <t>Sel (%)</t>
  </si>
  <si>
    <t>Oui</t>
  </si>
  <si>
    <t>Mélange de variétés limité, fruits sains / Vert clair à vert foncé</t>
  </si>
  <si>
    <t>Croquante</t>
  </si>
  <si>
    <t>Typique concombres pasteurisés / aromatisés</t>
  </si>
  <si>
    <t>Diagramme de flux sur demande</t>
  </si>
  <si>
    <t>Fer blanc vernis</t>
  </si>
  <si>
    <t>Boîte + couvercle</t>
  </si>
  <si>
    <t>XXXY</t>
  </si>
  <si>
    <t xml:space="preserve">XXX = jour julien (050 = 19 Février) </t>
  </si>
  <si>
    <t>Y = année (5 = 2015</t>
  </si>
  <si>
    <t>A consommer de préférence avant fin : MM/AA</t>
  </si>
  <si>
    <t>Entreposer à température ambiante (max. 25°C)</t>
  </si>
  <si>
    <t>Une fois ouvert, conserver au réfrigérateur.</t>
  </si>
  <si>
    <t>Produit prêt à la consommation</t>
  </si>
  <si>
    <t>Pasteurisation</t>
  </si>
  <si>
    <t>Concombres</t>
  </si>
  <si>
    <t>Europe</t>
  </si>
  <si>
    <t>Vinaigre d'alcool et de vin blanc</t>
  </si>
  <si>
    <t>Eau</t>
  </si>
  <si>
    <t>Label
(BIO - BIO Bourgeon)</t>
  </si>
  <si>
    <t>Concombres gros HR Boîte 5/1</t>
  </si>
  <si>
    <t xml:space="preserve"> ±0.30</t>
  </si>
  <si>
    <r>
      <t xml:space="preserve">Critère(s) </t>
    </r>
    <r>
      <rPr>
        <b/>
        <u/>
        <sz val="9"/>
        <color theme="1"/>
        <rFont val="Century Gothic"/>
        <family val="2"/>
      </rPr>
      <t>après</t>
    </r>
    <r>
      <rPr>
        <b/>
        <sz val="9"/>
        <color theme="1"/>
        <rFont val="Century Gothic"/>
        <family val="2"/>
      </rPr>
      <t xml:space="preserve"> ouverture</t>
    </r>
  </si>
  <si>
    <r>
      <t xml:space="preserve">Stérilité commerciale 
</t>
    </r>
    <r>
      <rPr>
        <sz val="9"/>
        <color theme="1"/>
        <rFont val="Century Gothic"/>
        <family val="2"/>
      </rPr>
      <t>(Oui=pas remplir le reste)</t>
    </r>
  </si>
  <si>
    <t>% visbile</t>
  </si>
  <si>
    <t>Prov 
visible</t>
  </si>
  <si>
    <t>Concombres (Europe), vinaigres d'alcool et de vin blanc, eau, sucre, sel de cuisine, extraits d'épices, conservateur (E202). Pasteurisé.</t>
  </si>
  <si>
    <t>Concombres (Europe), vinaigres d'alcool et de vin blanc, eau, sucre, sel de cuisine iodé, extraits d'épices, conservateur (E202). Pasteurisé.</t>
  </si>
  <si>
    <t>Concombres moyens Gastro  Bocal 2/1</t>
  </si>
  <si>
    <t>Calibre</t>
  </si>
  <si>
    <t>&lt;20 fruits/kg</t>
  </si>
  <si>
    <t>20-35 fruits/kg</t>
  </si>
  <si>
    <t>GMP</t>
  </si>
  <si>
    <t>A réception</t>
  </si>
  <si>
    <t>Bocal + couvercle TO</t>
  </si>
  <si>
    <t xml:space="preserve">Verre / fer étamé </t>
  </si>
  <si>
    <t>Cornichons au vinaigre</t>
  </si>
  <si>
    <t>Cornichons au vinaigre. Ingrédients : Cornichons (IN), vinaigres d'alcool et de vin blanc, eau, sucre, sel de cuisine iodé, extraits d'épices, conservateur (E202), antioxydant (E224:sulfite). Pasteurisé.</t>
  </si>
  <si>
    <t>E224 métabisulfite de potassium</t>
  </si>
  <si>
    <t>60-80 fruits/kg</t>
  </si>
  <si>
    <t>Cornichons</t>
  </si>
  <si>
    <t>Inde</t>
  </si>
  <si>
    <t>120-150 fruits/kg</t>
  </si>
  <si>
    <t>80-120 fruits/kg</t>
  </si>
  <si>
    <t xml:space="preserve">Cornichons mi-fins Gastro Boîte 3/1 </t>
  </si>
  <si>
    <t>Typique cornichons pasteurisés / aromatisés</t>
  </si>
  <si>
    <t xml:space="preserve"> ±0.20</t>
  </si>
  <si>
    <t xml:space="preserve"> ±0.10</t>
  </si>
  <si>
    <t>150-300 fruits/kg</t>
  </si>
  <si>
    <t>&lt;0.1</t>
  </si>
  <si>
    <t>Brix °B</t>
  </si>
  <si>
    <t xml:space="preserve"> ±1.00</t>
  </si>
  <si>
    <t>Réfracométrie</t>
  </si>
  <si>
    <r>
      <t xml:space="preserve">Cornichons   </t>
    </r>
    <r>
      <rPr>
        <sz val="9"/>
        <color rgb="FFFF0000"/>
        <rFont val="Century Gothic"/>
        <family val="2"/>
      </rPr>
      <t>(UE OU IN)</t>
    </r>
    <r>
      <rPr>
        <sz val="9"/>
        <rFont val="Century Gothic"/>
        <family val="2"/>
      </rPr>
      <t>, vinaigres d'alcool et de vin blanc, eau, sucre, sel de cuisine iodé, épices  (avec graines de moutarde), arôme naturels,  extrait d'épices, antioxydant (E224: sulfite). Pasteurisé</t>
    </r>
  </si>
  <si>
    <t>Cornichons au vinaigre arômatisé à l'ail</t>
  </si>
  <si>
    <t>?</t>
  </si>
  <si>
    <t>Ail</t>
  </si>
  <si>
    <t>Cornichons (IN), vinaigres d'alcool et de vin blanc, sucre, sel de cuisine iodé, ail, épices et  extraits d'épices, (avec graines de moutarde),  antioxydant (E224: sulfite). Pasteurisé</t>
  </si>
  <si>
    <t>Cornichons aux épices</t>
  </si>
  <si>
    <t>Cornichons (IN), vinaigres d'alcool et de vin blanc, sel de cuisine iodé, sucre,  épices et herbe aromatique, (avec graines de moutarde), extraits d'épices, antioxydant (E224: sulfite). Pasteurisé</t>
  </si>
  <si>
    <t>Cornichons très fins  Bocal 1/4  228 ml</t>
  </si>
  <si>
    <t>Cornichons très fins  Bocal 1/2  425ml</t>
  </si>
  <si>
    <t>Cornichons et oignons au vinaigre</t>
  </si>
  <si>
    <t>Cornichons (IN), petits oignons blancs (UE) , vinaigres d'alcool et de vin blanc,  sel de cuisine iodé, sucre,  graines de moutarde,  antioxydant (E224: sulfite). Pasteurisé</t>
  </si>
  <si>
    <t>Calibre cornichons</t>
  </si>
  <si>
    <t>Calibre oignons</t>
  </si>
  <si>
    <t>Oignons</t>
  </si>
  <si>
    <t>Cornichons-Oignons  Bocal 1/1 850 ml</t>
  </si>
  <si>
    <t>Cornichons : Mélange de variétés limité, fruits sains / Vert clair à vert foncé Oignons : Fruits sains entiers, sans queue ni racine / Blanc</t>
  </si>
  <si>
    <t>Petits oignons au vinaigre</t>
  </si>
  <si>
    <t>Petits oignons blancs (UE) , vinaigres d'alcool et de vin blanc,  sel de cuisine iodé, sucre,  acidifiant (acide citrique),  antioxydant (E224: sulfite). Pasteurisé</t>
  </si>
  <si>
    <t>E330  acide citrique</t>
  </si>
  <si>
    <t>18/21 mm/diam.</t>
  </si>
  <si>
    <t>UE</t>
  </si>
  <si>
    <t>Fruits sains entiers, sans queue ni racine / Blanc</t>
  </si>
  <si>
    <t>Typique oigons au vinaigre</t>
  </si>
  <si>
    <t>Vinaigre d'alcool</t>
  </si>
  <si>
    <t>Huile de tournesol</t>
  </si>
  <si>
    <t xml:space="preserve">Typique cornichons pasteurisés / aromatisés </t>
  </si>
  <si>
    <t>Typique cornichons aromatisés et petits oignons  au vinaigre  pasteurisés / aromatisés</t>
  </si>
  <si>
    <t>EU</t>
  </si>
  <si>
    <t>CH</t>
  </si>
  <si>
    <t>Mayonnaise Ecopac 5 lt</t>
  </si>
  <si>
    <t xml:space="preserve">Mayonnaise </t>
  </si>
  <si>
    <t>Ovo-Lacto-Vérétarien</t>
  </si>
  <si>
    <t>Viscosité (cP)</t>
  </si>
  <si>
    <t xml:space="preserve"> ±30'000</t>
  </si>
  <si>
    <t>Masse lisse homogène sans grumeau / blanc-jaune</t>
  </si>
  <si>
    <t>Typique de mayonnaise</t>
  </si>
  <si>
    <t>Visqueuse / crémeuse</t>
  </si>
  <si>
    <t>Pasteurisation de la phase acqueuse</t>
  </si>
  <si>
    <t>Ecopac – outre + carton</t>
  </si>
  <si>
    <t>EVOH / PE + Carton</t>
  </si>
  <si>
    <t>A consommer de préférence avant le  JJ/MM/AA</t>
  </si>
  <si>
    <t>Jaunes d'œufs</t>
  </si>
  <si>
    <t xml:space="preserve">Vinaigre d'alcool </t>
  </si>
  <si>
    <t>PP/EVOH/PP + PP</t>
  </si>
  <si>
    <t>Squeeze + bouchon</t>
  </si>
  <si>
    <t>Mayonnaise Squeeze 960 ml</t>
  </si>
  <si>
    <t>Seaux + film + couvercle</t>
  </si>
  <si>
    <t>PP + PET/CPP + PP</t>
  </si>
  <si>
    <t>Mayonnaise Seau 5/1 HR</t>
  </si>
  <si>
    <t>Huile de tournesol (UE, CH), eau, jaune d'œufs (œufs d'élevage au sol), vinaigre de vin blanc, moutarde (avec sulfites), sel de cuisine iodé, sucre, condiment en poudre (avec exhausteur de saveur : glutamate monosodique),Jus de carottes à base de concentré, épaississant (gomme xanthane) épice et extrait d'épices, acidifiant (E330)</t>
  </si>
  <si>
    <t>Mini tube + bouchon</t>
  </si>
  <si>
    <t>Aluminium + PE</t>
  </si>
  <si>
    <t>A consommer de préférence avant fin MM/AA</t>
  </si>
  <si>
    <t>Huile de tournesol (UE - CH),  eau, vinaigre d'alcool, jaune d'œufs (œufs d'élevage au sol), sirop de glucose, sel de cuisine iodé,  moutarde, (avec sulfites) surcre, épice et extrait d'épices, acidifiant (E330)</t>
  </si>
  <si>
    <t>Huile de tournesol (UE - CH), vinaigre de vin blanc , jaune d'œufs (œufs d'élevage au sol), sirop de glucose, sel de cuisine iodé, surcre,condiment en poudre (avec exhausteur de goût : glutamate monosodique), eau, jus de carottes à base de concentré, acidifiant (E330), extrait d'épices.</t>
  </si>
  <si>
    <t>Vinaigre de vin blanc</t>
  </si>
  <si>
    <t>Condiment</t>
  </si>
  <si>
    <t>IN</t>
  </si>
  <si>
    <t>Mayonnaise Seau 11/1 HR</t>
  </si>
  <si>
    <t>E202 Sorbate de potassium</t>
  </si>
  <si>
    <t xml:space="preserve"> ±5'000</t>
  </si>
  <si>
    <t>Purée de tomates</t>
  </si>
  <si>
    <t>Brookfield</t>
  </si>
  <si>
    <t xml:space="preserve">Visqueuse </t>
  </si>
  <si>
    <t>Sirop de glucose-fructose</t>
  </si>
  <si>
    <t>Germes totaux</t>
  </si>
  <si>
    <t>MSDA</t>
  </si>
  <si>
    <t>3x/an</t>
  </si>
  <si>
    <t>E-coli</t>
  </si>
  <si>
    <t>Levures</t>
  </si>
  <si>
    <t>Moisissures</t>
  </si>
  <si>
    <t>Lactobacilles</t>
  </si>
  <si>
    <t>Salmonelles</t>
  </si>
  <si>
    <t>n.d. / 25 g</t>
  </si>
  <si>
    <t>1x/an</t>
  </si>
  <si>
    <t>E334 Acide tartique</t>
  </si>
  <si>
    <t>Jaune d'œufs (œufs élevé au sol)</t>
  </si>
  <si>
    <t>Sauce Tartare Seau 5/1 HR</t>
  </si>
  <si>
    <t>Sauce Tartare</t>
  </si>
  <si>
    <t>Huile de tournesol, eau, cornichons au vinaigre 10% (avec sulfites), jaune d'œufs (œufs d'élevage au sol), moutarde (vinaigre d'alcool, graines de moutarde, eau, sel, acidifiants (E330), E334), antioxydant (E224 :sulfites)), sucre, sel de cuisine iodé, câpres, herbes aromatiques, acidifiant (acide lactique), épaississant (gomme xanthane), conservateur (E202).</t>
  </si>
  <si>
    <t>min. 80000</t>
  </si>
  <si>
    <t>max. 500  ufc/g</t>
  </si>
  <si>
    <t xml:space="preserve"> max. 50  ufc/g</t>
  </si>
  <si>
    <t>max. 100  ufc/g</t>
  </si>
  <si>
    <t>max. 100 ufc/g</t>
  </si>
  <si>
    <t>Sauce mayonnaise avec des morceaux de cornichons / Blanc-vert</t>
  </si>
  <si>
    <t>Typique sauce "Tartare"</t>
  </si>
  <si>
    <t>Sauce Tartare Squeeze 960 ml HR</t>
  </si>
  <si>
    <t>Ketchup</t>
  </si>
  <si>
    <t>Purée de tomates 64% (UE), sirop de glucose et fructose, vinaigre d'alcool, sel de cuisine iodé, sucre, amidon modifié de maïs, arôme naturel.</t>
  </si>
  <si>
    <t>Masse lisse homogène / Rouge</t>
  </si>
  <si>
    <t>De tomates aromatisées</t>
  </si>
  <si>
    <t xml:space="preserve"> Légèrement visqueuse </t>
  </si>
  <si>
    <t>Ketchup Mini-Squeeze 300 ml HR</t>
  </si>
  <si>
    <t>Ketchup Squeeze 520 ml HR</t>
  </si>
  <si>
    <t>HDPE + LDPE</t>
  </si>
  <si>
    <t>&gt;10mg/kg</t>
  </si>
  <si>
    <t>E220 dioxyde se souffre</t>
  </si>
  <si>
    <t xml:space="preserve"> ±0.40</t>
  </si>
  <si>
    <t>Brix %</t>
  </si>
  <si>
    <t>Réfractométrie</t>
  </si>
  <si>
    <t>Liquide</t>
  </si>
  <si>
    <t>Bouteille 1 lt + bouchon blanc</t>
  </si>
  <si>
    <t>PET + HDPE</t>
  </si>
  <si>
    <t>Antioxydant (E220)</t>
  </si>
  <si>
    <t>Filtration</t>
  </si>
  <si>
    <t>Liquide clair /  jaune à jaune-brunâtre</t>
  </si>
  <si>
    <t>Vinaigre de vin rouge Bouteille 1 lt AE</t>
  </si>
  <si>
    <t>Vinaigre de vin rouge</t>
  </si>
  <si>
    <t>Vinaigre de vin rouge 4.5°, antioxydant (E220)</t>
  </si>
  <si>
    <t>Liquide clair / rouge</t>
  </si>
  <si>
    <t>Typique  vinaigre de vin rouge</t>
  </si>
  <si>
    <t>Vinaigre Winta blanc  Ecopac 15 lt HR</t>
  </si>
  <si>
    <t>Vinaigre Winta blanc</t>
  </si>
  <si>
    <t>Vinaigre de vin blanc (55 %), vinaigre d'alcool (45 %), antioxydant (E220)</t>
  </si>
  <si>
    <t>Typique  vinaigre de vin blanc et d'alcool</t>
  </si>
  <si>
    <t>Vinaigre Winta rouge  Ecopac 15 lt HR</t>
  </si>
  <si>
    <t>Vinaigre Winta rouge</t>
  </si>
  <si>
    <t>Vinaigre de vin rouge (55%), vinaigre d'alcool (45%), antioxydant (E220)</t>
  </si>
  <si>
    <t>French Dressing Bouteille 3 lt HR</t>
  </si>
  <si>
    <t xml:space="preserve">Sauce à salade </t>
  </si>
  <si>
    <t>Eau, huile de tournesol, vinaigre de vin blanc, moutarde, préparation d'épices (dont oignon, ail) jaune d'œuf (œufs d'élevage au sol), sel de cuisine iodé, sucre, exhausteur de goût (glutamate monosodique), amidon modifié de maïs, acidifiant (acide lactique), épaississant (gomme xanthane), conservateur (E202).</t>
  </si>
  <si>
    <t>E202 sobate de potassium</t>
  </si>
  <si>
    <t>Viscosité</t>
  </si>
  <si>
    <t>Sauce crémeuse / blanche</t>
  </si>
  <si>
    <t>Crémeuse</t>
  </si>
  <si>
    <t xml:space="preserve">Bouteille 3 lt + bouchon </t>
  </si>
  <si>
    <t>French Dressing Ecopac 10 lt HR</t>
  </si>
  <si>
    <t>Cornichons Tante Anita  Bocal 1/2 425 ml  HR</t>
  </si>
  <si>
    <t>Cornichons extra-fins à l'ail  Bocal 1/2 425 ml HR</t>
  </si>
  <si>
    <t>Cornichons extra-fins à l'ail  Bocal 2/1 1700 ml HR</t>
  </si>
  <si>
    <t>Cornichons fins  Bocal 2/1 1700 ml HR</t>
  </si>
  <si>
    <t>Cornichons  fins  Bocal 1/1  850ml  HR</t>
  </si>
  <si>
    <t>Cornichons-Oignons  Bocal 2/1 1700 ml HR</t>
  </si>
  <si>
    <t>Cornichons-Oignons  Bocal 1/1 850 ml  HR</t>
  </si>
  <si>
    <t>Cornichons-Oignons  Bocal 1/2  425 ml  HR</t>
  </si>
  <si>
    <t>Petits Oignons  blanc  Bocal 1/2   425ml HR</t>
  </si>
  <si>
    <t>Petits Oignons  blanc  Bocal 2/1   1700ml  HR</t>
  </si>
  <si>
    <t>Petits Oignons  blanc  Bocal 1 /4  228ml HR</t>
  </si>
  <si>
    <t>Mayonnaise Mini tube 350 X 9 gr  HR</t>
  </si>
  <si>
    <t xml:space="preserve"> ± 300</t>
  </si>
  <si>
    <t>:</t>
  </si>
  <si>
    <t>Localité</t>
  </si>
  <si>
    <t>E-mail</t>
  </si>
  <si>
    <t>COORDONNÉS DU FABRICANT</t>
  </si>
  <si>
    <t>Déclaration des ingrédients</t>
  </si>
  <si>
    <t>Lait /lactose</t>
  </si>
  <si>
    <t>Lupins</t>
  </si>
  <si>
    <t>Mollusques</t>
  </si>
  <si>
    <t>Poisson</t>
  </si>
  <si>
    <t>Soja/Lécithine de soja</t>
  </si>
  <si>
    <t>SO²</t>
  </si>
  <si>
    <t>Additif(s) contenu(s) </t>
  </si>
  <si>
    <t>Huile de palme/palmiste</t>
  </si>
  <si>
    <t>Ingrédient d’origine animale</t>
  </si>
  <si>
    <t xml:space="preserve">Energie </t>
  </si>
  <si>
    <t xml:space="preserve"> </t>
  </si>
  <si>
    <t xml:space="preserve">Graisses </t>
  </si>
  <si>
    <t xml:space="preserve">Dont acides gras saturés </t>
  </si>
  <si>
    <t xml:space="preserve">Glucides </t>
  </si>
  <si>
    <t xml:space="preserve">Dont sucres </t>
  </si>
  <si>
    <t xml:space="preserve">Protéines </t>
  </si>
  <si>
    <t xml:space="preserve">Fibres alimentaire </t>
  </si>
  <si>
    <t xml:space="preserve">Sodium </t>
  </si>
  <si>
    <t xml:space="preserve">Alcool </t>
  </si>
  <si>
    <t>PARAMTÈTRES PHYSICO-CHIMIQUES</t>
  </si>
  <si>
    <t>Paramètres</t>
  </si>
  <si>
    <t>Cible</t>
  </si>
  <si>
    <t>Méthode</t>
  </si>
  <si>
    <t>Fréquence</t>
  </si>
  <si>
    <t>PARAMTÈTRES MICROBIOLOGIQUES</t>
  </si>
  <si>
    <t>Stérilité commerciale </t>
  </si>
  <si>
    <t>Flores recherchées</t>
  </si>
  <si>
    <t>Max légal</t>
  </si>
  <si>
    <t>PARAMTÈTRES ORGANOLEPTIQUES</t>
  </si>
  <si>
    <t>Aspect-couleur</t>
  </si>
  <si>
    <t>Etapes clé de fabrication</t>
  </si>
  <si>
    <t>Code EAN</t>
  </si>
  <si>
    <t>Unité de vente</t>
  </si>
  <si>
    <t>Nombre de pièces par UV</t>
  </si>
  <si>
    <t>10. TRACABILITE</t>
  </si>
  <si>
    <t>Date de production</t>
  </si>
  <si>
    <t>Heure de production</t>
  </si>
  <si>
    <t>Critère(s) d’entreposage</t>
  </si>
  <si>
    <t>Critère(s) après ouverture</t>
  </si>
  <si>
    <t>Durée de vie totale</t>
  </si>
  <si>
    <t>Durée de vie dès livraison</t>
  </si>
  <si>
    <t>Ingrédients</t>
  </si>
  <si>
    <r>
      <t>Produit fabriqué à partir d’</t>
    </r>
    <r>
      <rPr>
        <b/>
        <u/>
        <sz val="9"/>
        <color theme="1"/>
        <rFont val="Century Gothic"/>
        <family val="2"/>
      </rPr>
      <t>organismes génétiquement modifiés</t>
    </r>
    <r>
      <rPr>
        <b/>
        <sz val="9"/>
        <color theme="1"/>
        <rFont val="Century Gothic"/>
        <family val="2"/>
      </rPr>
      <t xml:space="preserve"> ? </t>
    </r>
  </si>
  <si>
    <r>
      <t xml:space="preserve">Traitement du produit ou de ses composants par </t>
    </r>
    <r>
      <rPr>
        <b/>
        <u/>
        <sz val="9"/>
        <color theme="1"/>
        <rFont val="Century Gothic"/>
        <family val="2"/>
      </rPr>
      <t>irradiation</t>
    </r>
    <r>
      <rPr>
        <b/>
        <sz val="9"/>
        <color theme="1"/>
        <rFont val="Century Gothic"/>
        <family val="2"/>
      </rPr>
      <t xml:space="preserve"> ? </t>
    </r>
  </si>
  <si>
    <r>
      <t xml:space="preserve">Le produit et/ou emballage contient-il des composants </t>
    </r>
    <r>
      <rPr>
        <b/>
        <u/>
        <sz val="9"/>
        <color theme="1"/>
        <rFont val="Century Gothic"/>
        <family val="2"/>
      </rPr>
      <t>nanotechnologiques</t>
    </r>
    <r>
      <rPr>
        <b/>
        <sz val="9"/>
        <color theme="1"/>
        <rFont val="Century Gothic"/>
        <family val="2"/>
      </rPr>
      <t xml:space="preserve"> ? </t>
    </r>
  </si>
  <si>
    <t>La traçabilité du produit est garantie grâce à </t>
  </si>
  <si>
    <t xml:space="preserve">Date de modification </t>
  </si>
  <si>
    <t xml:space="preserve">Date d’impression </t>
  </si>
  <si>
    <t>Si le fabricant est différent du fournisseur</t>
  </si>
  <si>
    <t>Contact
Vente</t>
  </si>
  <si>
    <t>Fonction
Vente</t>
  </si>
  <si>
    <t>Mail
Vente</t>
  </si>
  <si>
    <t>Contact
Qualité</t>
  </si>
  <si>
    <t>Fonction
Qualité</t>
  </si>
  <si>
    <t>Mail
qualité</t>
  </si>
  <si>
    <t>Sel</t>
  </si>
  <si>
    <t>Format/Volume</t>
  </si>
  <si>
    <t>Article</t>
  </si>
  <si>
    <t>11. CONSOMMATION / CONSERVATION / ENTREPOSAGE</t>
  </si>
  <si>
    <t># Article</t>
  </si>
  <si>
    <t>oui</t>
  </si>
  <si>
    <t>non</t>
  </si>
  <si>
    <t>Valeurs qui devrait (ou pas) s'afficher</t>
  </si>
  <si>
    <t>etc</t>
  </si>
  <si>
    <t>Dès que le numéro d'article est saisi, les autres cellules se base sur celui-ci pour remplir toutes les infos souhaitées à l'aide de la formule RECHERCHEV</t>
  </si>
  <si>
    <t>provenance</t>
  </si>
</sst>
</file>

<file path=xl/styles.xml><?xml version="1.0" encoding="utf-8"?>
<styleSheet xmlns="http://schemas.openxmlformats.org/spreadsheetml/2006/main">
  <numFmts count="1">
    <numFmt numFmtId="164" formatCode="0.0"/>
  </numFmts>
  <fonts count="21">
    <font>
      <sz val="10"/>
      <color theme="1"/>
      <name val="Century Gothic"/>
      <family val="2"/>
    </font>
    <font>
      <sz val="9"/>
      <color theme="1"/>
      <name val="Century Gothic"/>
      <family val="2"/>
    </font>
    <font>
      <b/>
      <sz val="9"/>
      <color rgb="FF000000"/>
      <name val="Century Gothic"/>
      <family val="2"/>
    </font>
    <font>
      <b/>
      <sz val="9"/>
      <color theme="1"/>
      <name val="Century Gothic"/>
      <family val="2"/>
    </font>
    <font>
      <u/>
      <sz val="10"/>
      <color theme="10"/>
      <name val="Century Gothic"/>
      <family val="2"/>
    </font>
    <font>
      <sz val="9"/>
      <name val="Century Gothic"/>
      <family val="2"/>
    </font>
    <font>
      <u/>
      <sz val="9"/>
      <name val="Century Gothic"/>
      <family val="2"/>
    </font>
    <font>
      <b/>
      <u/>
      <sz val="9"/>
      <color theme="1"/>
      <name val="Century Gothic"/>
      <family val="2"/>
    </font>
    <font>
      <sz val="10"/>
      <name val="Century Gothic"/>
      <family val="2"/>
    </font>
    <font>
      <sz val="9"/>
      <color rgb="FFFF0000"/>
      <name val="Century Gothic"/>
      <family val="2"/>
    </font>
    <font>
      <b/>
      <i/>
      <sz val="9"/>
      <color rgb="FF000000"/>
      <name val="Century Gothic"/>
      <family val="2"/>
    </font>
    <font>
      <b/>
      <u/>
      <sz val="9"/>
      <color rgb="FF000000"/>
      <name val="Century Gothic"/>
      <family val="2"/>
    </font>
    <font>
      <u/>
      <sz val="9"/>
      <color rgb="FF000000"/>
      <name val="Century Gothic"/>
      <family val="2"/>
    </font>
    <font>
      <i/>
      <sz val="9"/>
      <color rgb="FF000000"/>
      <name val="Century Gothic"/>
      <family val="2"/>
    </font>
    <font>
      <i/>
      <sz val="9"/>
      <color theme="1"/>
      <name val="Century Gothic"/>
      <family val="2"/>
    </font>
    <font>
      <b/>
      <i/>
      <sz val="9"/>
      <color theme="1"/>
      <name val="Century Gothic"/>
      <family val="2"/>
    </font>
    <font>
      <sz val="9"/>
      <color theme="1"/>
      <name val="Calibri"/>
      <family val="2"/>
    </font>
    <font>
      <sz val="9"/>
      <color rgb="FF000000"/>
      <name val="Century Gothic"/>
      <family val="2"/>
    </font>
    <font>
      <i/>
      <sz val="9"/>
      <color rgb="FFFF0000"/>
      <name val="Century Gothic"/>
      <family val="2"/>
    </font>
    <font>
      <i/>
      <sz val="9"/>
      <color rgb="FFCC9900"/>
      <name val="Century Gothic"/>
      <family val="2"/>
    </font>
    <font>
      <b/>
      <sz val="8"/>
      <color rgb="FF000000"/>
      <name val="Century Gothic"/>
      <family val="2"/>
    </font>
  </fonts>
  <fills count="9">
    <fill>
      <patternFill patternType="none"/>
    </fill>
    <fill>
      <patternFill patternType="gray125"/>
    </fill>
    <fill>
      <patternFill patternType="solid">
        <fgColor theme="2"/>
        <bgColor indexed="64"/>
      </patternFill>
    </fill>
    <fill>
      <patternFill patternType="solid">
        <fgColor rgb="FFFFFF00"/>
        <bgColor indexed="64"/>
      </patternFill>
    </fill>
    <fill>
      <patternFill patternType="solid">
        <fgColor theme="0"/>
        <bgColor indexed="64"/>
      </patternFill>
    </fill>
    <fill>
      <patternFill patternType="solid">
        <fgColor theme="5" tint="0.59999389629810485"/>
        <bgColor indexed="64"/>
      </patternFill>
    </fill>
    <fill>
      <patternFill patternType="solid">
        <fgColor rgb="FF92D050"/>
        <bgColor indexed="64"/>
      </patternFill>
    </fill>
    <fill>
      <patternFill patternType="solid">
        <fgColor rgb="FFD9D9D9"/>
        <bgColor indexed="64"/>
      </patternFill>
    </fill>
    <fill>
      <patternFill patternType="solid">
        <fgColor rgb="FFFF0000"/>
        <bgColor indexed="64"/>
      </patternFill>
    </fill>
  </fills>
  <borders count="61">
    <border>
      <left/>
      <right/>
      <top/>
      <bottom/>
      <diagonal/>
    </border>
    <border>
      <left style="hair">
        <color indexed="64"/>
      </left>
      <right style="hair">
        <color indexed="64"/>
      </right>
      <top style="thin">
        <color indexed="64"/>
      </top>
      <bottom style="thin">
        <color indexed="64"/>
      </bottom>
      <diagonal/>
    </border>
    <border>
      <left/>
      <right style="hair">
        <color indexed="64"/>
      </right>
      <top style="thin">
        <color indexed="64"/>
      </top>
      <bottom style="thin">
        <color indexed="64"/>
      </bottom>
      <diagonal/>
    </border>
    <border>
      <left style="hair">
        <color indexed="64"/>
      </left>
      <right style="hair">
        <color indexed="64"/>
      </right>
      <top/>
      <bottom style="thin">
        <color indexed="64"/>
      </bottom>
      <diagonal/>
    </border>
    <border>
      <left style="mediumDashed">
        <color indexed="64"/>
      </left>
      <right style="hair">
        <color indexed="64"/>
      </right>
      <top style="thin">
        <color indexed="64"/>
      </top>
      <bottom style="thin">
        <color indexed="64"/>
      </bottom>
      <diagonal/>
    </border>
    <border>
      <left style="mediumDashed">
        <color indexed="64"/>
      </left>
      <right style="medium">
        <color indexed="64"/>
      </right>
      <top style="thin">
        <color indexed="64"/>
      </top>
      <bottom style="medium">
        <color indexed="64"/>
      </bottom>
      <diagonal/>
    </border>
    <border>
      <left style="hair">
        <color indexed="64"/>
      </left>
      <right style="medium">
        <color indexed="64"/>
      </right>
      <top style="thin">
        <color indexed="64"/>
      </top>
      <bottom style="thin">
        <color indexed="64"/>
      </bottom>
      <diagonal/>
    </border>
    <border>
      <left style="medium">
        <color indexed="64"/>
      </left>
      <right style="mediumDashed">
        <color indexed="64"/>
      </right>
      <top style="thin">
        <color indexed="64"/>
      </top>
      <bottom style="medium">
        <color indexed="64"/>
      </bottom>
      <diagonal/>
    </border>
    <border>
      <left style="medium">
        <color indexed="64"/>
      </left>
      <right style="hair">
        <color indexed="64"/>
      </right>
      <top style="thin">
        <color indexed="64"/>
      </top>
      <bottom style="thin">
        <color indexed="64"/>
      </bottom>
      <diagonal/>
    </border>
    <border>
      <left style="hair">
        <color indexed="64"/>
      </left>
      <right style="mediumDashed">
        <color indexed="64"/>
      </right>
      <top style="thin">
        <color indexed="64"/>
      </top>
      <bottom style="thin">
        <color indexed="64"/>
      </bottom>
      <diagonal/>
    </border>
    <border>
      <left style="medium">
        <color indexed="64"/>
      </left>
      <right style="hair">
        <color indexed="64"/>
      </right>
      <top style="medium">
        <color indexed="64"/>
      </top>
      <bottom style="thin">
        <color indexed="64"/>
      </bottom>
      <diagonal/>
    </border>
    <border>
      <left style="hair">
        <color indexed="64"/>
      </left>
      <right style="hair">
        <color indexed="64"/>
      </right>
      <top style="medium">
        <color indexed="64"/>
      </top>
      <bottom style="thin">
        <color indexed="64"/>
      </bottom>
      <diagonal/>
    </border>
    <border>
      <left style="hair">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hair">
        <color indexed="64"/>
      </right>
      <top/>
      <bottom style="thin">
        <color indexed="64"/>
      </bottom>
      <diagonal/>
    </border>
    <border>
      <left style="hair">
        <color indexed="64"/>
      </left>
      <right style="mediumDashed">
        <color indexed="64"/>
      </right>
      <top/>
      <bottom style="thin">
        <color indexed="64"/>
      </bottom>
      <diagonal/>
    </border>
    <border>
      <left style="mediumDashed">
        <color indexed="64"/>
      </left>
      <right style="hair">
        <color indexed="64"/>
      </right>
      <top/>
      <bottom style="thin">
        <color indexed="64"/>
      </bottom>
      <diagonal/>
    </border>
    <border>
      <left style="hair">
        <color indexed="64"/>
      </left>
      <right style="medium">
        <color indexed="64"/>
      </right>
      <top/>
      <bottom style="thin">
        <color indexed="64"/>
      </bottom>
      <diagonal/>
    </border>
    <border>
      <left style="medium">
        <color indexed="64"/>
      </left>
      <right/>
      <top style="thin">
        <color indexed="64"/>
      </top>
      <bottom style="medium">
        <color indexed="64"/>
      </bottom>
      <diagonal/>
    </border>
    <border>
      <left/>
      <right style="medium">
        <color indexed="64"/>
      </right>
      <top style="thin">
        <color indexed="64"/>
      </top>
      <bottom style="medium">
        <color indexed="64"/>
      </bottom>
      <diagonal/>
    </border>
    <border>
      <left/>
      <right style="hair">
        <color indexed="64"/>
      </right>
      <top style="medium">
        <color indexed="64"/>
      </top>
      <bottom style="thin">
        <color indexed="64"/>
      </bottom>
      <diagonal/>
    </border>
    <border>
      <left style="hair">
        <color indexed="64"/>
      </left>
      <right style="mediumDashed">
        <color indexed="64"/>
      </right>
      <top style="medium">
        <color indexed="64"/>
      </top>
      <bottom style="thin">
        <color indexed="64"/>
      </bottom>
      <diagonal/>
    </border>
    <border>
      <left/>
      <right/>
      <top style="thin">
        <color indexed="64"/>
      </top>
      <bottom style="medium">
        <color indexed="64"/>
      </bottom>
      <diagonal/>
    </border>
    <border>
      <left style="hair">
        <color indexed="64"/>
      </left>
      <right style="thin">
        <color indexed="64"/>
      </right>
      <top style="medium">
        <color indexed="64"/>
      </top>
      <bottom style="thin">
        <color indexed="64"/>
      </bottom>
      <diagonal/>
    </border>
    <border>
      <left style="hair">
        <color indexed="64"/>
      </left>
      <right style="thin">
        <color indexed="64"/>
      </right>
      <top style="thin">
        <color indexed="64"/>
      </top>
      <bottom style="thin">
        <color indexed="64"/>
      </bottom>
      <diagonal/>
    </border>
    <border>
      <left style="hair">
        <color indexed="64"/>
      </left>
      <right/>
      <top style="medium">
        <color indexed="64"/>
      </top>
      <bottom style="thin">
        <color indexed="64"/>
      </bottom>
      <diagonal/>
    </border>
    <border>
      <left style="hair">
        <color indexed="64"/>
      </left>
      <right/>
      <top style="thin">
        <color indexed="64"/>
      </top>
      <bottom style="thin">
        <color indexed="64"/>
      </bottom>
      <diagonal/>
    </border>
    <border>
      <left/>
      <right/>
      <top/>
      <bottom style="thin">
        <color indexed="64"/>
      </bottom>
      <diagonal/>
    </border>
    <border>
      <left/>
      <right/>
      <top style="thin">
        <color indexed="64"/>
      </top>
      <bottom style="thin">
        <color indexed="64"/>
      </bottom>
      <diagonal/>
    </border>
    <border>
      <left style="mediumDashed">
        <color indexed="64"/>
      </left>
      <right/>
      <top style="thin">
        <color indexed="64"/>
      </top>
      <bottom style="medium">
        <color indexed="64"/>
      </bottom>
      <diagonal/>
    </border>
    <border>
      <left style="mediumDashDot">
        <color indexed="64"/>
      </left>
      <right/>
      <top style="medium">
        <color indexed="64"/>
      </top>
      <bottom style="thin">
        <color indexed="64"/>
      </bottom>
      <diagonal/>
    </border>
    <border>
      <left style="mediumDashDot">
        <color indexed="64"/>
      </left>
      <right/>
      <top style="thin">
        <color indexed="64"/>
      </top>
      <bottom style="thin">
        <color indexed="64"/>
      </bottom>
      <diagonal/>
    </border>
    <border>
      <left style="thin">
        <color indexed="64"/>
      </left>
      <right style="hair">
        <color indexed="64"/>
      </right>
      <top style="medium">
        <color indexed="64"/>
      </top>
      <bottom style="thin">
        <color indexed="64"/>
      </bottom>
      <diagonal/>
    </border>
    <border>
      <left style="thin">
        <color indexed="64"/>
      </left>
      <right style="hair">
        <color indexed="64"/>
      </right>
      <top style="thin">
        <color indexed="64"/>
      </top>
      <bottom style="thin">
        <color indexed="64"/>
      </bottom>
      <diagonal/>
    </border>
    <border>
      <left style="hair">
        <color indexed="64"/>
      </left>
      <right style="thin">
        <color indexed="64"/>
      </right>
      <top/>
      <bottom style="thin">
        <color indexed="64"/>
      </bottom>
      <diagonal/>
    </border>
    <border>
      <left/>
      <right style="thin">
        <color indexed="64"/>
      </right>
      <top style="thin">
        <color indexed="64"/>
      </top>
      <bottom style="thin">
        <color indexed="64"/>
      </bottom>
      <diagonal/>
    </border>
    <border>
      <left/>
      <right style="hair">
        <color indexed="64"/>
      </right>
      <top/>
      <bottom style="thin">
        <color indexed="64"/>
      </bottom>
      <diagonal/>
    </border>
    <border>
      <left/>
      <right style="medium">
        <color indexed="64"/>
      </right>
      <top style="thin">
        <color indexed="64"/>
      </top>
      <bottom style="thin">
        <color indexed="64"/>
      </bottom>
      <diagonal/>
    </border>
    <border>
      <left style="hair">
        <color indexed="64"/>
      </left>
      <right style="hair">
        <color indexed="64"/>
      </right>
      <top style="medium">
        <color indexed="64"/>
      </top>
      <bottom/>
      <diagonal/>
    </border>
    <border>
      <left style="medium">
        <color indexed="64"/>
      </left>
      <right/>
      <top style="thin">
        <color indexed="64"/>
      </top>
      <bottom style="thin">
        <color indexed="64"/>
      </bottom>
      <diagonal/>
    </border>
    <border>
      <left style="medium">
        <color indexed="64"/>
      </left>
      <right/>
      <top/>
      <bottom style="thin">
        <color indexed="64"/>
      </bottom>
      <diagonal/>
    </border>
    <border>
      <left/>
      <right style="mediumDashed">
        <color indexed="64"/>
      </right>
      <top style="thin">
        <color indexed="64"/>
      </top>
      <bottom style="thin">
        <color indexed="64"/>
      </bottom>
      <diagonal/>
    </border>
    <border>
      <left style="mediumDashed">
        <color indexed="64"/>
      </left>
      <right/>
      <top style="thin">
        <color indexed="64"/>
      </top>
      <bottom style="thin">
        <color indexed="64"/>
      </bottom>
      <diagonal/>
    </border>
    <border>
      <left style="medium">
        <color indexed="64"/>
      </left>
      <right style="hair">
        <color indexed="64"/>
      </right>
      <top style="thin">
        <color indexed="64"/>
      </top>
      <bottom style="hair">
        <color indexed="64"/>
      </bottom>
      <diagonal/>
    </border>
    <border>
      <left style="hair">
        <color indexed="64"/>
      </left>
      <right style="hair">
        <color indexed="64"/>
      </right>
      <top style="thin">
        <color indexed="64"/>
      </top>
      <bottom style="hair">
        <color indexed="64"/>
      </bottom>
      <diagonal/>
    </border>
    <border>
      <left/>
      <right style="mediumDashed">
        <color indexed="64"/>
      </right>
      <top/>
      <bottom style="thin">
        <color indexed="64"/>
      </bottom>
      <diagonal/>
    </border>
    <border>
      <left style="hair">
        <color indexed="64"/>
      </left>
      <right style="mediumDashDot">
        <color indexed="64"/>
      </right>
      <top style="medium">
        <color indexed="64"/>
      </top>
      <bottom style="thin">
        <color indexed="64"/>
      </bottom>
      <diagonal/>
    </border>
    <border>
      <left style="hair">
        <color indexed="64"/>
      </left>
      <right style="mediumDashDot">
        <color indexed="64"/>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style="hair">
        <color indexed="64"/>
      </left>
      <right/>
      <top/>
      <bottom/>
      <diagonal/>
    </border>
    <border>
      <left/>
      <right style="hair">
        <color indexed="64"/>
      </right>
      <top/>
      <bottom/>
      <diagonal/>
    </border>
    <border>
      <left style="thin">
        <color indexed="64"/>
      </left>
      <right/>
      <top style="thin">
        <color indexed="64"/>
      </top>
      <bottom style="thin">
        <color indexed="64"/>
      </bottom>
      <diagonal/>
    </border>
    <border>
      <left/>
      <right/>
      <top style="hair">
        <color auto="1"/>
      </top>
      <bottom style="hair">
        <color auto="1"/>
      </bottom>
      <diagonal/>
    </border>
    <border>
      <left/>
      <right/>
      <top style="hair">
        <color auto="1"/>
      </top>
      <bottom/>
      <diagonal/>
    </border>
    <border>
      <left/>
      <right/>
      <top/>
      <bottom style="hair">
        <color auto="1"/>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4" fillId="0" borderId="0" applyNumberFormat="0" applyFill="0" applyBorder="0" applyAlignment="0" applyProtection="0">
      <alignment vertical="top"/>
      <protection locked="0"/>
    </xf>
  </cellStyleXfs>
  <cellXfs count="308">
    <xf numFmtId="0" fontId="0" fillId="0" borderId="0" xfId="0"/>
    <xf numFmtId="0" fontId="3" fillId="0" borderId="0" xfId="0" applyFont="1" applyFill="1" applyBorder="1" applyAlignment="1">
      <alignment vertical="center"/>
    </xf>
    <xf numFmtId="0" fontId="1" fillId="0" borderId="0" xfId="0" applyFont="1" applyFill="1" applyBorder="1" applyAlignment="1">
      <alignment vertical="center"/>
    </xf>
    <xf numFmtId="0" fontId="1" fillId="0" borderId="0" xfId="0" applyFont="1" applyFill="1" applyBorder="1" applyAlignment="1">
      <alignment horizontal="center" vertical="center"/>
    </xf>
    <xf numFmtId="0" fontId="1" fillId="0" borderId="1" xfId="0" applyFont="1" applyFill="1" applyBorder="1" applyAlignment="1">
      <alignment horizontal="center" vertical="center"/>
    </xf>
    <xf numFmtId="0" fontId="1" fillId="0" borderId="1" xfId="0" applyFont="1" applyFill="1" applyBorder="1" applyAlignment="1">
      <alignment vertical="center"/>
    </xf>
    <xf numFmtId="0" fontId="1" fillId="0" borderId="2" xfId="0" applyFont="1" applyFill="1" applyBorder="1" applyAlignment="1">
      <alignment vertical="center"/>
    </xf>
    <xf numFmtId="0" fontId="1" fillId="0" borderId="4" xfId="0" applyFont="1" applyFill="1" applyBorder="1" applyAlignment="1">
      <alignment vertical="center"/>
    </xf>
    <xf numFmtId="0" fontId="1" fillId="0" borderId="6" xfId="0" applyFont="1" applyFill="1" applyBorder="1" applyAlignment="1">
      <alignment vertical="center"/>
    </xf>
    <xf numFmtId="0" fontId="1" fillId="0" borderId="8" xfId="0" applyFont="1" applyFill="1" applyBorder="1" applyAlignment="1">
      <alignment vertical="center"/>
    </xf>
    <xf numFmtId="0" fontId="1" fillId="0" borderId="9" xfId="0" applyFont="1" applyFill="1" applyBorder="1" applyAlignment="1">
      <alignment vertical="center"/>
    </xf>
    <xf numFmtId="0" fontId="1" fillId="0" borderId="2" xfId="0" applyFont="1" applyFill="1" applyBorder="1" applyAlignment="1">
      <alignment horizontal="center" vertical="center"/>
    </xf>
    <xf numFmtId="0" fontId="1" fillId="0" borderId="8" xfId="0" applyFont="1" applyFill="1" applyBorder="1" applyAlignment="1">
      <alignment horizontal="center" vertical="center"/>
    </xf>
    <xf numFmtId="0" fontId="1" fillId="0" borderId="25" xfId="0" applyFont="1" applyFill="1" applyBorder="1" applyAlignment="1">
      <alignment vertical="center"/>
    </xf>
    <xf numFmtId="0" fontId="1" fillId="0" borderId="1" xfId="0" applyFont="1" applyFill="1" applyBorder="1" applyAlignment="1">
      <alignment horizontal="left" vertical="center"/>
    </xf>
    <xf numFmtId="164" fontId="1" fillId="0" borderId="0" xfId="0" applyNumberFormat="1" applyFont="1" applyFill="1" applyBorder="1" applyAlignment="1">
      <alignment vertical="center"/>
    </xf>
    <xf numFmtId="2" fontId="1" fillId="0" borderId="0" xfId="0" applyNumberFormat="1" applyFont="1" applyFill="1" applyBorder="1" applyAlignment="1">
      <alignment horizontal="center" vertical="center"/>
    </xf>
    <xf numFmtId="0" fontId="1" fillId="0" borderId="27" xfId="0" applyFont="1" applyFill="1" applyBorder="1" applyAlignment="1">
      <alignment vertical="center"/>
    </xf>
    <xf numFmtId="0" fontId="1" fillId="0" borderId="34" xfId="0" applyFont="1" applyFill="1" applyBorder="1" applyAlignment="1">
      <alignment vertical="center"/>
    </xf>
    <xf numFmtId="0" fontId="5" fillId="0" borderId="2" xfId="0" applyFont="1" applyFill="1" applyBorder="1" applyAlignment="1">
      <alignment horizontal="center" vertical="center"/>
    </xf>
    <xf numFmtId="0" fontId="3" fillId="0" borderId="10" xfId="0" applyFont="1" applyFill="1" applyBorder="1" applyAlignment="1">
      <alignment horizontal="center" vertical="center" wrapText="1"/>
    </xf>
    <xf numFmtId="0" fontId="3" fillId="0" borderId="11" xfId="0" applyFont="1" applyFill="1" applyBorder="1" applyAlignment="1">
      <alignment horizontal="center" vertical="center" wrapText="1"/>
    </xf>
    <xf numFmtId="0" fontId="3" fillId="0" borderId="12" xfId="0" applyFont="1" applyFill="1" applyBorder="1" applyAlignment="1">
      <alignment horizontal="center" vertical="center" wrapText="1"/>
    </xf>
    <xf numFmtId="0" fontId="3" fillId="0" borderId="15" xfId="0" applyFont="1" applyFill="1" applyBorder="1" applyAlignment="1">
      <alignment horizontal="center" vertical="center" wrapText="1"/>
    </xf>
    <xf numFmtId="0" fontId="3" fillId="0" borderId="3" xfId="0" applyFont="1" applyFill="1" applyBorder="1" applyAlignment="1">
      <alignment horizontal="center" vertical="center" wrapText="1"/>
    </xf>
    <xf numFmtId="0" fontId="3" fillId="0" borderId="3" xfId="0" applyFont="1" applyFill="1" applyBorder="1" applyAlignment="1">
      <alignment horizontal="center" vertical="center"/>
    </xf>
    <xf numFmtId="0" fontId="3" fillId="0" borderId="16" xfId="0" applyFont="1" applyFill="1" applyBorder="1" applyAlignment="1">
      <alignment horizontal="center" vertical="center" wrapText="1"/>
    </xf>
    <xf numFmtId="0" fontId="3" fillId="5" borderId="17" xfId="0" applyFont="1" applyFill="1" applyBorder="1" applyAlignment="1">
      <alignment horizontal="center" vertical="center" wrapText="1"/>
    </xf>
    <xf numFmtId="0" fontId="3" fillId="5" borderId="3" xfId="0" applyFont="1" applyFill="1" applyBorder="1" applyAlignment="1">
      <alignment horizontal="center" vertical="center" wrapText="1"/>
    </xf>
    <xf numFmtId="0" fontId="3" fillId="5" borderId="18" xfId="0" applyFont="1" applyFill="1" applyBorder="1" applyAlignment="1">
      <alignment horizontal="center" vertical="center" wrapText="1"/>
    </xf>
    <xf numFmtId="0" fontId="3" fillId="5" borderId="15" xfId="0" applyFont="1" applyFill="1" applyBorder="1" applyAlignment="1">
      <alignment horizontal="center" vertical="center" wrapText="1"/>
    </xf>
    <xf numFmtId="0" fontId="3" fillId="0" borderId="18" xfId="0" applyFont="1" applyFill="1" applyBorder="1" applyAlignment="1">
      <alignment horizontal="center" vertical="center" wrapText="1"/>
    </xf>
    <xf numFmtId="0" fontId="3" fillId="5" borderId="22" xfId="0" applyFont="1" applyFill="1" applyBorder="1" applyAlignment="1">
      <alignment horizontal="center" vertical="center" wrapText="1"/>
    </xf>
    <xf numFmtId="0" fontId="3" fillId="0" borderId="21" xfId="0" applyFont="1" applyFill="1" applyBorder="1" applyAlignment="1">
      <alignment horizontal="center" vertical="center" wrapText="1"/>
    </xf>
    <xf numFmtId="0" fontId="3" fillId="5" borderId="12" xfId="0" applyFont="1" applyFill="1" applyBorder="1" applyAlignment="1">
      <alignment horizontal="center" vertical="center" wrapText="1"/>
    </xf>
    <xf numFmtId="0" fontId="3" fillId="0" borderId="21" xfId="0" applyFont="1" applyFill="1" applyBorder="1" applyAlignment="1">
      <alignment horizontal="center" vertical="center"/>
    </xf>
    <xf numFmtId="0" fontId="3" fillId="0" borderId="11" xfId="0" applyFont="1" applyFill="1" applyBorder="1" applyAlignment="1">
      <alignment horizontal="center" vertical="center"/>
    </xf>
    <xf numFmtId="0" fontId="3" fillId="0" borderId="12" xfId="0" applyFont="1" applyFill="1" applyBorder="1" applyAlignment="1">
      <alignment horizontal="center" vertical="center"/>
    </xf>
    <xf numFmtId="0" fontId="3" fillId="5" borderId="21" xfId="0" applyFont="1" applyFill="1" applyBorder="1" applyAlignment="1">
      <alignment horizontal="center" vertical="center" wrapText="1"/>
    </xf>
    <xf numFmtId="164" fontId="3" fillId="0" borderId="11" xfId="0" applyNumberFormat="1" applyFont="1" applyFill="1" applyBorder="1" applyAlignment="1">
      <alignment horizontal="center" vertical="center" wrapText="1"/>
    </xf>
    <xf numFmtId="0" fontId="3" fillId="0" borderId="10" xfId="0" applyFont="1" applyFill="1" applyBorder="1" applyAlignment="1">
      <alignment horizontal="center" vertical="center"/>
    </xf>
    <xf numFmtId="2" fontId="3" fillId="0" borderId="11" xfId="0" applyNumberFormat="1" applyFont="1" applyFill="1" applyBorder="1" applyAlignment="1">
      <alignment horizontal="center" vertical="center"/>
    </xf>
    <xf numFmtId="0" fontId="3" fillId="0" borderId="24" xfId="0" applyFont="1" applyFill="1" applyBorder="1" applyAlignment="1">
      <alignment horizontal="center" vertical="center"/>
    </xf>
    <xf numFmtId="0" fontId="3" fillId="0" borderId="26" xfId="0" applyFont="1" applyFill="1" applyBorder="1" applyAlignment="1">
      <alignment horizontal="center" vertical="center"/>
    </xf>
    <xf numFmtId="0" fontId="3" fillId="0" borderId="33" xfId="0" applyFont="1" applyFill="1" applyBorder="1" applyAlignment="1">
      <alignment horizontal="center" vertical="center"/>
    </xf>
    <xf numFmtId="0" fontId="3" fillId="0" borderId="27" xfId="0" applyFont="1" applyFill="1" applyBorder="1" applyAlignment="1">
      <alignment vertical="center"/>
    </xf>
    <xf numFmtId="0" fontId="3" fillId="0" borderId="22" xfId="0" applyFont="1" applyFill="1" applyBorder="1" applyAlignment="1">
      <alignment horizontal="center" vertical="center"/>
    </xf>
    <xf numFmtId="0" fontId="3" fillId="5" borderId="11" xfId="0" applyFont="1" applyFill="1" applyBorder="1" applyAlignment="1">
      <alignment horizontal="center" vertical="center" wrapText="1"/>
    </xf>
    <xf numFmtId="0" fontId="3" fillId="0" borderId="16" xfId="0" applyFont="1" applyFill="1" applyBorder="1" applyAlignment="1">
      <alignment horizontal="center" vertical="center"/>
    </xf>
    <xf numFmtId="0" fontId="3" fillId="5" borderId="16" xfId="0" applyFont="1" applyFill="1" applyBorder="1" applyAlignment="1">
      <alignment horizontal="center" vertical="center"/>
    </xf>
    <xf numFmtId="0" fontId="3" fillId="0" borderId="0" xfId="0" applyFont="1" applyFill="1" applyBorder="1" applyAlignment="1">
      <alignment horizontal="center" vertical="center"/>
    </xf>
    <xf numFmtId="0" fontId="3" fillId="0" borderId="31" xfId="0" applyFont="1" applyFill="1" applyBorder="1" applyAlignment="1">
      <alignment horizontal="center" vertical="center" wrapText="1"/>
    </xf>
    <xf numFmtId="0" fontId="5" fillId="0" borderId="8" xfId="0" applyFont="1" applyFill="1" applyBorder="1" applyAlignment="1">
      <alignment horizontal="center"/>
    </xf>
    <xf numFmtId="0" fontId="5" fillId="0" borderId="2" xfId="0" applyFont="1" applyFill="1" applyBorder="1" applyAlignment="1">
      <alignment horizontal="center"/>
    </xf>
    <xf numFmtId="0" fontId="5" fillId="0" borderId="8" xfId="0" applyFont="1" applyFill="1" applyBorder="1" applyAlignment="1">
      <alignment horizontal="left" vertical="center"/>
    </xf>
    <xf numFmtId="0" fontId="5" fillId="0" borderId="1" xfId="0" applyFont="1" applyFill="1" applyBorder="1" applyAlignment="1">
      <alignment horizontal="left" vertical="center"/>
    </xf>
    <xf numFmtId="0" fontId="5" fillId="0" borderId="6" xfId="0" applyFont="1" applyFill="1" applyBorder="1" applyAlignment="1">
      <alignment horizontal="left" vertical="center"/>
    </xf>
    <xf numFmtId="0" fontId="6" fillId="0" borderId="1" xfId="1" applyFont="1" applyFill="1" applyBorder="1" applyAlignment="1" applyProtection="1">
      <alignment horizontal="left" vertical="center"/>
    </xf>
    <xf numFmtId="0" fontId="5" fillId="0" borderId="9" xfId="0" applyFont="1" applyFill="1" applyBorder="1" applyAlignment="1">
      <alignment horizontal="left" vertical="center"/>
    </xf>
    <xf numFmtId="0" fontId="5" fillId="0" borderId="2" xfId="0" applyFont="1" applyFill="1" applyBorder="1" applyAlignment="1">
      <alignment horizontal="left" vertical="center"/>
    </xf>
    <xf numFmtId="164" fontId="5" fillId="0" borderId="1" xfId="0" applyNumberFormat="1" applyFont="1" applyFill="1" applyBorder="1" applyAlignment="1">
      <alignment horizontal="left" vertical="center"/>
    </xf>
    <xf numFmtId="2" fontId="5" fillId="0" borderId="1" xfId="0" applyNumberFormat="1" applyFont="1" applyFill="1" applyBorder="1" applyAlignment="1">
      <alignment horizontal="left" vertical="center"/>
    </xf>
    <xf numFmtId="0" fontId="5" fillId="0" borderId="0" xfId="0" applyFont="1" applyAlignment="1">
      <alignment horizontal="left" vertical="center"/>
    </xf>
    <xf numFmtId="0" fontId="1" fillId="0" borderId="25" xfId="0" applyFont="1" applyFill="1" applyBorder="1" applyAlignment="1">
      <alignment horizontal="left" vertical="center"/>
    </xf>
    <xf numFmtId="0" fontId="5" fillId="0" borderId="34" xfId="0" applyFont="1" applyFill="1" applyBorder="1" applyAlignment="1">
      <alignment horizontal="left" vertical="center"/>
    </xf>
    <xf numFmtId="0" fontId="5" fillId="4" borderId="6" xfId="0" applyFont="1" applyFill="1" applyBorder="1" applyAlignment="1">
      <alignment horizontal="left" vertical="center"/>
    </xf>
    <xf numFmtId="0" fontId="1" fillId="0" borderId="8" xfId="0" applyFont="1" applyFill="1" applyBorder="1" applyAlignment="1">
      <alignment horizontal="left" vertical="center"/>
    </xf>
    <xf numFmtId="0" fontId="1" fillId="0" borderId="6" xfId="0" applyFont="1" applyFill="1" applyBorder="1" applyAlignment="1">
      <alignment horizontal="left" vertical="center"/>
    </xf>
    <xf numFmtId="0" fontId="1" fillId="0" borderId="9" xfId="0" applyFont="1" applyFill="1" applyBorder="1" applyAlignment="1">
      <alignment horizontal="left" vertical="center"/>
    </xf>
    <xf numFmtId="0" fontId="1" fillId="0" borderId="4" xfId="0" applyFont="1" applyFill="1" applyBorder="1" applyAlignment="1">
      <alignment horizontal="left" vertical="center"/>
    </xf>
    <xf numFmtId="0" fontId="1" fillId="0" borderId="2" xfId="0" applyFont="1" applyFill="1" applyBorder="1" applyAlignment="1">
      <alignment horizontal="left" vertical="center"/>
    </xf>
    <xf numFmtId="164" fontId="1" fillId="0" borderId="1" xfId="0" applyNumberFormat="1" applyFont="1" applyFill="1" applyBorder="1" applyAlignment="1">
      <alignment horizontal="left" vertical="center"/>
    </xf>
    <xf numFmtId="2" fontId="1" fillId="0" borderId="1" xfId="0" applyNumberFormat="1" applyFont="1" applyFill="1" applyBorder="1" applyAlignment="1">
      <alignment horizontal="left" vertical="center"/>
    </xf>
    <xf numFmtId="0" fontId="1" fillId="0" borderId="27" xfId="0" applyFont="1" applyFill="1" applyBorder="1" applyAlignment="1">
      <alignment horizontal="left" vertical="center"/>
    </xf>
    <xf numFmtId="0" fontId="1" fillId="0" borderId="32" xfId="0" applyFont="1" applyFill="1" applyBorder="1" applyAlignment="1">
      <alignment horizontal="left" vertical="center"/>
    </xf>
    <xf numFmtId="0" fontId="1" fillId="0" borderId="34" xfId="0" applyFont="1" applyFill="1" applyBorder="1" applyAlignment="1">
      <alignment horizontal="left" vertical="center"/>
    </xf>
    <xf numFmtId="0" fontId="1" fillId="0" borderId="0" xfId="0" applyFont="1" applyFill="1" applyBorder="1" applyAlignment="1">
      <alignment horizontal="left" vertical="center"/>
    </xf>
    <xf numFmtId="2" fontId="1" fillId="0" borderId="1" xfId="0" applyNumberFormat="1" applyFont="1" applyFill="1" applyBorder="1" applyAlignment="1">
      <alignment vertical="center"/>
    </xf>
    <xf numFmtId="0" fontId="5" fillId="0" borderId="8" xfId="0" applyFont="1" applyFill="1" applyBorder="1" applyAlignment="1">
      <alignment horizontal="left"/>
    </xf>
    <xf numFmtId="0" fontId="5" fillId="0" borderId="1" xfId="0" applyFont="1" applyFill="1" applyBorder="1" applyAlignment="1">
      <alignment horizontal="left"/>
    </xf>
    <xf numFmtId="0" fontId="5" fillId="0" borderId="6" xfId="0" applyFont="1" applyFill="1" applyBorder="1" applyAlignment="1">
      <alignment horizontal="left"/>
    </xf>
    <xf numFmtId="0" fontId="6" fillId="0" borderId="1" xfId="1" applyFont="1" applyFill="1" applyBorder="1" applyAlignment="1" applyProtection="1">
      <alignment horizontal="left"/>
    </xf>
    <xf numFmtId="0" fontId="5" fillId="0" borderId="9" xfId="0" applyFont="1" applyFill="1" applyBorder="1" applyAlignment="1">
      <alignment horizontal="left"/>
    </xf>
    <xf numFmtId="0" fontId="5" fillId="0" borderId="4" xfId="0" applyFont="1" applyFill="1" applyBorder="1" applyAlignment="1">
      <alignment horizontal="left"/>
    </xf>
    <xf numFmtId="0" fontId="5" fillId="0" borderId="2" xfId="0" applyFont="1" applyFill="1" applyBorder="1" applyAlignment="1">
      <alignment horizontal="left"/>
    </xf>
    <xf numFmtId="164" fontId="5" fillId="0" borderId="1" xfId="0" applyNumberFormat="1" applyFont="1" applyFill="1" applyBorder="1" applyAlignment="1">
      <alignment horizontal="left"/>
    </xf>
    <xf numFmtId="2" fontId="5" fillId="0" borderId="1" xfId="0" applyNumberFormat="1" applyFont="1" applyFill="1" applyBorder="1" applyAlignment="1">
      <alignment horizontal="left"/>
    </xf>
    <xf numFmtId="0" fontId="1" fillId="0" borderId="25" xfId="0" applyFont="1" applyFill="1" applyBorder="1" applyAlignment="1">
      <alignment horizontal="left"/>
    </xf>
    <xf numFmtId="0" fontId="5" fillId="0" borderId="25" xfId="0" applyFont="1" applyFill="1" applyBorder="1" applyAlignment="1">
      <alignment horizontal="left"/>
    </xf>
    <xf numFmtId="0" fontId="5" fillId="0" borderId="27" xfId="0" applyFont="1" applyFill="1" applyBorder="1" applyAlignment="1">
      <alignment horizontal="left"/>
    </xf>
    <xf numFmtId="0" fontId="5" fillId="0" borderId="32" xfId="0" applyFont="1" applyFill="1" applyBorder="1" applyAlignment="1">
      <alignment horizontal="left"/>
    </xf>
    <xf numFmtId="0" fontId="5" fillId="0" borderId="34" xfId="0" applyFont="1" applyFill="1" applyBorder="1" applyAlignment="1">
      <alignment horizontal="left"/>
    </xf>
    <xf numFmtId="0" fontId="5" fillId="4" borderId="6" xfId="0" applyFont="1" applyFill="1" applyBorder="1" applyAlignment="1">
      <alignment horizontal="left"/>
    </xf>
    <xf numFmtId="0" fontId="5" fillId="0" borderId="0" xfId="0" applyFont="1" applyFill="1" applyBorder="1" applyAlignment="1">
      <alignment horizontal="left"/>
    </xf>
    <xf numFmtId="0" fontId="5" fillId="0" borderId="1" xfId="0" applyFont="1" applyBorder="1" applyAlignment="1">
      <alignment horizontal="left"/>
    </xf>
    <xf numFmtId="0" fontId="5" fillId="0" borderId="34" xfId="0" applyFont="1" applyBorder="1" applyAlignment="1">
      <alignment horizontal="left"/>
    </xf>
    <xf numFmtId="0" fontId="5" fillId="0" borderId="27" xfId="0" applyFont="1" applyBorder="1" applyAlignment="1">
      <alignment horizontal="left"/>
    </xf>
    <xf numFmtId="0" fontId="1" fillId="0" borderId="35" xfId="0" applyFont="1" applyFill="1" applyBorder="1" applyAlignment="1">
      <alignment horizontal="left"/>
    </xf>
    <xf numFmtId="0" fontId="5" fillId="0" borderId="3" xfId="0" applyFont="1" applyFill="1" applyBorder="1" applyAlignment="1">
      <alignment horizontal="left"/>
    </xf>
    <xf numFmtId="0" fontId="5" fillId="0" borderId="36" xfId="0" applyFont="1" applyBorder="1" applyAlignment="1">
      <alignment horizontal="left"/>
    </xf>
    <xf numFmtId="0" fontId="5" fillId="0" borderId="2" xfId="0" applyFont="1" applyBorder="1" applyAlignment="1">
      <alignment horizontal="left"/>
    </xf>
    <xf numFmtId="0" fontId="5" fillId="0" borderId="38" xfId="0" applyFont="1" applyBorder="1" applyAlignment="1">
      <alignment horizontal="left"/>
    </xf>
    <xf numFmtId="0" fontId="5" fillId="0" borderId="40" xfId="0" applyFont="1" applyBorder="1" applyAlignment="1">
      <alignment horizontal="left"/>
    </xf>
    <xf numFmtId="0" fontId="3" fillId="0" borderId="39" xfId="0" applyFont="1" applyFill="1" applyBorder="1" applyAlignment="1">
      <alignment horizontal="center" vertical="center" wrapText="1"/>
    </xf>
    <xf numFmtId="0" fontId="5" fillId="0" borderId="18" xfId="0" applyFont="1" applyFill="1" applyBorder="1" applyAlignment="1">
      <alignment horizontal="left"/>
    </xf>
    <xf numFmtId="0" fontId="5" fillId="0" borderId="37" xfId="0" applyFont="1" applyFill="1" applyBorder="1" applyAlignment="1">
      <alignment horizontal="left"/>
    </xf>
    <xf numFmtId="0" fontId="5" fillId="0" borderId="29" xfId="0" applyFont="1" applyBorder="1" applyAlignment="1">
      <alignment horizontal="left" wrapText="1"/>
    </xf>
    <xf numFmtId="0" fontId="8" fillId="0" borderId="27" xfId="0" applyFont="1" applyFill="1" applyBorder="1" applyAlignment="1">
      <alignment horizontal="left" vertical="center"/>
    </xf>
    <xf numFmtId="0" fontId="0" fillId="0" borderId="29" xfId="0" applyBorder="1" applyAlignment="1">
      <alignment horizontal="left" vertical="center"/>
    </xf>
    <xf numFmtId="0" fontId="0" fillId="0" borderId="2" xfId="0" applyBorder="1" applyAlignment="1">
      <alignment horizontal="left" vertical="center"/>
    </xf>
    <xf numFmtId="0" fontId="5" fillId="0" borderId="1" xfId="0" applyFont="1" applyBorder="1" applyAlignment="1">
      <alignment horizontal="left" vertical="center"/>
    </xf>
    <xf numFmtId="0" fontId="5" fillId="0" borderId="34" xfId="0" applyFont="1" applyBorder="1" applyAlignment="1">
      <alignment horizontal="left" vertical="center"/>
    </xf>
    <xf numFmtId="0" fontId="1" fillId="0" borderId="35" xfId="0" applyFont="1" applyFill="1" applyBorder="1" applyAlignment="1">
      <alignment horizontal="left" vertical="center"/>
    </xf>
    <xf numFmtId="2" fontId="5" fillId="0" borderId="3" xfId="0" applyNumberFormat="1" applyFont="1" applyFill="1" applyBorder="1" applyAlignment="1">
      <alignment horizontal="left" vertical="center"/>
    </xf>
    <xf numFmtId="0" fontId="5" fillId="0" borderId="3" xfId="0" applyFont="1" applyFill="1" applyBorder="1" applyAlignment="1">
      <alignment horizontal="left" vertical="center"/>
    </xf>
    <xf numFmtId="0" fontId="5" fillId="0" borderId="27" xfId="0" applyFont="1" applyBorder="1" applyAlignment="1">
      <alignment horizontal="left" vertical="center"/>
    </xf>
    <xf numFmtId="0" fontId="5" fillId="0" borderId="38" xfId="0" applyFont="1" applyBorder="1" applyAlignment="1">
      <alignment horizontal="left" vertical="center"/>
    </xf>
    <xf numFmtId="0" fontId="5" fillId="0" borderId="40" xfId="0" applyFont="1" applyBorder="1" applyAlignment="1">
      <alignment horizontal="left" vertical="center"/>
    </xf>
    <xf numFmtId="0" fontId="5" fillId="0" borderId="29" xfId="0" applyFont="1" applyBorder="1" applyAlignment="1">
      <alignment horizontal="left" vertical="center"/>
    </xf>
    <xf numFmtId="0" fontId="5" fillId="0" borderId="37" xfId="0" applyFont="1" applyFill="1" applyBorder="1" applyAlignment="1">
      <alignment horizontal="left" vertical="center"/>
    </xf>
    <xf numFmtId="0" fontId="5" fillId="0" borderId="29" xfId="0" applyFont="1" applyBorder="1" applyAlignment="1">
      <alignment horizontal="left" vertical="center" wrapText="1"/>
    </xf>
    <xf numFmtId="0" fontId="5" fillId="0" borderId="36" xfId="0" applyFont="1" applyBorder="1" applyAlignment="1">
      <alignment horizontal="left" vertical="center"/>
    </xf>
    <xf numFmtId="0" fontId="5" fillId="0" borderId="42" xfId="0" applyFont="1" applyBorder="1" applyAlignment="1">
      <alignment horizontal="left"/>
    </xf>
    <xf numFmtId="0" fontId="5" fillId="0" borderId="42" xfId="0" applyFont="1" applyBorder="1" applyAlignment="1">
      <alignment horizontal="left" vertical="center"/>
    </xf>
    <xf numFmtId="0" fontId="5" fillId="0" borderId="3" xfId="0" applyFont="1" applyBorder="1" applyAlignment="1">
      <alignment horizontal="left" vertical="center"/>
    </xf>
    <xf numFmtId="0" fontId="5" fillId="0" borderId="8" xfId="0" applyFont="1" applyBorder="1" applyAlignment="1">
      <alignment horizontal="left"/>
    </xf>
    <xf numFmtId="0" fontId="5" fillId="0" borderId="8" xfId="0" applyFont="1" applyBorder="1" applyAlignment="1">
      <alignment horizontal="left" vertical="center"/>
    </xf>
    <xf numFmtId="0" fontId="0" fillId="0" borderId="8" xfId="0" applyBorder="1" applyAlignment="1">
      <alignment horizontal="left" vertical="center"/>
    </xf>
    <xf numFmtId="0" fontId="3" fillId="3" borderId="0" xfId="0" applyFont="1" applyFill="1" applyBorder="1" applyAlignment="1">
      <alignment horizontal="center" vertical="center"/>
    </xf>
    <xf numFmtId="0" fontId="5" fillId="0" borderId="6" xfId="0" applyFont="1" applyFill="1" applyBorder="1" applyAlignment="1">
      <alignment horizontal="center"/>
    </xf>
    <xf numFmtId="0" fontId="1" fillId="0" borderId="6" xfId="0" applyFont="1" applyFill="1" applyBorder="1" applyAlignment="1">
      <alignment horizontal="center" vertical="center"/>
    </xf>
    <xf numFmtId="0" fontId="0" fillId="0" borderId="8" xfId="0" applyBorder="1"/>
    <xf numFmtId="0" fontId="0" fillId="0" borderId="1" xfId="0" applyBorder="1"/>
    <xf numFmtId="0" fontId="5" fillId="3" borderId="1" xfId="0" applyFont="1" applyFill="1" applyBorder="1" applyAlignment="1">
      <alignment horizontal="left"/>
    </xf>
    <xf numFmtId="164" fontId="5" fillId="3" borderId="1" xfId="0" applyNumberFormat="1" applyFont="1" applyFill="1" applyBorder="1" applyAlignment="1">
      <alignment horizontal="left"/>
    </xf>
    <xf numFmtId="0" fontId="1" fillId="0" borderId="43" xfId="0" applyFont="1" applyFill="1" applyBorder="1" applyAlignment="1">
      <alignment vertical="center"/>
    </xf>
    <xf numFmtId="0" fontId="5" fillId="0" borderId="1" xfId="0" applyFont="1" applyFill="1" applyBorder="1" applyAlignment="1">
      <alignment horizontal="center"/>
    </xf>
    <xf numFmtId="0" fontId="5" fillId="0" borderId="1" xfId="0" applyFont="1" applyFill="1" applyBorder="1" applyAlignment="1">
      <alignment horizontal="center" vertical="center"/>
    </xf>
    <xf numFmtId="0" fontId="1" fillId="0" borderId="3" xfId="0" applyFont="1" applyFill="1" applyBorder="1" applyAlignment="1">
      <alignment vertical="center"/>
    </xf>
    <xf numFmtId="0" fontId="1" fillId="0" borderId="35" xfId="0" applyFont="1" applyFill="1" applyBorder="1" applyAlignment="1">
      <alignment vertical="center"/>
    </xf>
    <xf numFmtId="164" fontId="1" fillId="0" borderId="1" xfId="0" applyNumberFormat="1" applyFont="1" applyFill="1" applyBorder="1" applyAlignment="1">
      <alignment horizontal="center" vertical="center"/>
    </xf>
    <xf numFmtId="164" fontId="1" fillId="0" borderId="0" xfId="0" applyNumberFormat="1" applyFont="1" applyFill="1" applyBorder="1" applyAlignment="1">
      <alignment horizontal="center" vertical="center"/>
    </xf>
    <xf numFmtId="14" fontId="1" fillId="0" borderId="1" xfId="0" applyNumberFormat="1" applyFont="1" applyFill="1" applyBorder="1" applyAlignment="1">
      <alignment horizontal="center" vertical="center"/>
    </xf>
    <xf numFmtId="0" fontId="1" fillId="3" borderId="32" xfId="0" applyFont="1" applyFill="1" applyBorder="1" applyAlignment="1">
      <alignment vertical="center"/>
    </xf>
    <xf numFmtId="0" fontId="5" fillId="0" borderId="2" xfId="0" applyFont="1" applyBorder="1" applyAlignment="1">
      <alignment horizontal="left" vertical="center"/>
    </xf>
    <xf numFmtId="0" fontId="0" fillId="0" borderId="44" xfId="0" applyBorder="1" applyAlignment="1">
      <alignment vertical="center"/>
    </xf>
    <xf numFmtId="0" fontId="0" fillId="0" borderId="45" xfId="0" applyBorder="1" applyAlignment="1">
      <alignment vertical="center"/>
    </xf>
    <xf numFmtId="2" fontId="1" fillId="0" borderId="1" xfId="0" applyNumberFormat="1" applyFont="1" applyFill="1" applyBorder="1" applyAlignment="1">
      <alignment horizontal="center" vertical="center"/>
    </xf>
    <xf numFmtId="0" fontId="5" fillId="0" borderId="1" xfId="0" applyFont="1" applyFill="1" applyBorder="1" applyAlignment="1">
      <alignment vertical="center"/>
    </xf>
    <xf numFmtId="0" fontId="6" fillId="0" borderId="1" xfId="1" applyFont="1" applyFill="1" applyBorder="1" applyAlignment="1" applyProtection="1">
      <alignment vertical="center"/>
    </xf>
    <xf numFmtId="0" fontId="5" fillId="0" borderId="9" xfId="0" applyFont="1" applyFill="1" applyBorder="1" applyAlignment="1">
      <alignment vertical="center"/>
    </xf>
    <xf numFmtId="0" fontId="5" fillId="0" borderId="6" xfId="0" applyFont="1" applyFill="1" applyBorder="1" applyAlignment="1">
      <alignment vertical="center"/>
    </xf>
    <xf numFmtId="0" fontId="5" fillId="0" borderId="8" xfId="0" applyFont="1" applyFill="1" applyBorder="1" applyAlignment="1">
      <alignment vertical="center"/>
    </xf>
    <xf numFmtId="0" fontId="5" fillId="0" borderId="2" xfId="0" applyFont="1" applyFill="1" applyBorder="1" applyAlignment="1">
      <alignment vertical="center"/>
    </xf>
    <xf numFmtId="164" fontId="5" fillId="0" borderId="1" xfId="0" applyNumberFormat="1" applyFont="1" applyFill="1" applyBorder="1" applyAlignment="1">
      <alignment vertical="center"/>
    </xf>
    <xf numFmtId="0" fontId="5" fillId="0" borderId="1" xfId="0" applyFont="1" applyBorder="1" applyAlignment="1">
      <alignment vertical="center"/>
    </xf>
    <xf numFmtId="0" fontId="5" fillId="0" borderId="34" xfId="0" applyFont="1" applyBorder="1" applyAlignment="1">
      <alignment vertical="center"/>
    </xf>
    <xf numFmtId="0" fontId="5" fillId="0" borderId="27" xfId="0" applyFont="1" applyBorder="1" applyAlignment="1">
      <alignment vertical="center"/>
    </xf>
    <xf numFmtId="0" fontId="5" fillId="0" borderId="36" xfId="0" applyFont="1" applyBorder="1" applyAlignment="1">
      <alignment vertical="center"/>
    </xf>
    <xf numFmtId="0" fontId="5" fillId="0" borderId="34" xfId="0" applyFont="1" applyFill="1" applyBorder="1" applyAlignment="1">
      <alignment vertical="center"/>
    </xf>
    <xf numFmtId="0" fontId="5" fillId="0" borderId="40" xfId="0" applyFont="1" applyBorder="1" applyAlignment="1">
      <alignment vertical="center"/>
    </xf>
    <xf numFmtId="0" fontId="5" fillId="0" borderId="2" xfId="0" applyFont="1" applyBorder="1" applyAlignment="1">
      <alignment vertical="center"/>
    </xf>
    <xf numFmtId="0" fontId="5" fillId="0" borderId="37" xfId="0" applyFont="1" applyFill="1" applyBorder="1" applyAlignment="1">
      <alignment vertical="center"/>
    </xf>
    <xf numFmtId="0" fontId="5" fillId="0" borderId="42" xfId="0" applyFont="1" applyBorder="1" applyAlignment="1">
      <alignment vertical="center"/>
    </xf>
    <xf numFmtId="0" fontId="5" fillId="0" borderId="8" xfId="0" applyFont="1" applyBorder="1" applyAlignment="1">
      <alignment vertical="center"/>
    </xf>
    <xf numFmtId="0" fontId="5" fillId="0" borderId="29" xfId="0" applyFont="1" applyBorder="1" applyAlignment="1">
      <alignment vertical="center" wrapText="1"/>
    </xf>
    <xf numFmtId="0" fontId="0" fillId="0" borderId="0" xfId="0" applyAlignment="1">
      <alignment vertical="center"/>
    </xf>
    <xf numFmtId="1" fontId="1" fillId="0" borderId="1" xfId="0" applyNumberFormat="1" applyFont="1" applyFill="1" applyBorder="1" applyAlignment="1">
      <alignment horizontal="left" vertical="center"/>
    </xf>
    <xf numFmtId="2" fontId="5" fillId="0" borderId="1" xfId="0" applyNumberFormat="1" applyFont="1" applyFill="1" applyBorder="1" applyAlignment="1">
      <alignment horizontal="center"/>
    </xf>
    <xf numFmtId="0" fontId="1" fillId="0" borderId="29" xfId="0" applyFont="1" applyFill="1" applyBorder="1" applyAlignment="1">
      <alignment vertical="center"/>
    </xf>
    <xf numFmtId="0" fontId="1" fillId="0" borderId="42" xfId="0" applyFont="1" applyFill="1" applyBorder="1" applyAlignment="1">
      <alignment vertical="center"/>
    </xf>
    <xf numFmtId="0" fontId="1" fillId="6" borderId="32" xfId="0" applyFont="1" applyFill="1" applyBorder="1" applyAlignment="1">
      <alignment vertical="center"/>
    </xf>
    <xf numFmtId="0" fontId="1" fillId="0" borderId="32" xfId="0" applyFont="1" applyFill="1" applyBorder="1" applyAlignment="1">
      <alignment vertical="center"/>
    </xf>
    <xf numFmtId="0" fontId="1" fillId="3" borderId="1" xfId="0" applyFont="1" applyFill="1" applyBorder="1" applyAlignment="1">
      <alignment vertical="center"/>
    </xf>
    <xf numFmtId="0" fontId="0" fillId="0" borderId="1" xfId="0" applyBorder="1" applyAlignment="1">
      <alignment vertical="center"/>
    </xf>
    <xf numFmtId="164" fontId="1" fillId="3" borderId="1" xfId="0" applyNumberFormat="1" applyFont="1" applyFill="1" applyBorder="1" applyAlignment="1">
      <alignment horizontal="center" vertical="center"/>
    </xf>
    <xf numFmtId="0" fontId="5" fillId="3" borderId="2" xfId="0" applyFont="1" applyFill="1" applyBorder="1" applyAlignment="1">
      <alignment horizontal="center" vertical="center"/>
    </xf>
    <xf numFmtId="0" fontId="1" fillId="3" borderId="1" xfId="0" applyFont="1" applyFill="1" applyBorder="1" applyAlignment="1">
      <alignment horizontal="left" vertical="center"/>
    </xf>
    <xf numFmtId="164" fontId="1" fillId="3" borderId="1" xfId="0" applyNumberFormat="1" applyFont="1" applyFill="1" applyBorder="1" applyAlignment="1">
      <alignment horizontal="left" vertical="center"/>
    </xf>
    <xf numFmtId="2" fontId="1" fillId="3" borderId="1" xfId="0" applyNumberFormat="1" applyFont="1" applyFill="1" applyBorder="1" applyAlignment="1">
      <alignment horizontal="center" vertical="center"/>
    </xf>
    <xf numFmtId="0" fontId="0" fillId="0" borderId="8" xfId="0" applyBorder="1" applyAlignment="1">
      <alignment vertical="center"/>
    </xf>
    <xf numFmtId="0" fontId="0" fillId="0" borderId="40" xfId="0" applyBorder="1" applyAlignment="1">
      <alignment vertical="center"/>
    </xf>
    <xf numFmtId="0" fontId="0" fillId="0" borderId="2" xfId="0" applyBorder="1" applyAlignment="1">
      <alignment vertical="center"/>
    </xf>
    <xf numFmtId="2" fontId="5" fillId="0" borderId="1" xfId="0" applyNumberFormat="1" applyFont="1" applyFill="1" applyBorder="1" applyAlignment="1">
      <alignment horizontal="center" vertical="center"/>
    </xf>
    <xf numFmtId="2" fontId="1" fillId="0" borderId="29" xfId="0" applyNumberFormat="1" applyFont="1" applyFill="1" applyBorder="1" applyAlignment="1">
      <alignment horizontal="center" vertical="center"/>
    </xf>
    <xf numFmtId="2" fontId="5" fillId="0" borderId="3" xfId="0" applyNumberFormat="1" applyFont="1" applyFill="1" applyBorder="1" applyAlignment="1">
      <alignment horizontal="center"/>
    </xf>
    <xf numFmtId="2" fontId="5" fillId="0" borderId="3" xfId="0" applyNumberFormat="1" applyFont="1" applyFill="1" applyBorder="1" applyAlignment="1">
      <alignment horizontal="center" vertical="center"/>
    </xf>
    <xf numFmtId="0" fontId="5" fillId="0" borderId="3" xfId="0" applyFont="1" applyFill="1" applyBorder="1" applyAlignment="1">
      <alignment horizontal="center"/>
    </xf>
    <xf numFmtId="0" fontId="5" fillId="0" borderId="3" xfId="0" applyFont="1" applyFill="1" applyBorder="1" applyAlignment="1">
      <alignment horizontal="center" vertical="center"/>
    </xf>
    <xf numFmtId="0" fontId="3" fillId="0" borderId="12" xfId="0" applyFont="1" applyFill="1" applyBorder="1" applyAlignment="1">
      <alignment horizontal="left" vertical="center"/>
    </xf>
    <xf numFmtId="0" fontId="3" fillId="0" borderId="11" xfId="0" applyFont="1" applyFill="1" applyBorder="1" applyAlignment="1">
      <alignment horizontal="left" vertical="center"/>
    </xf>
    <xf numFmtId="0" fontId="3" fillId="0" borderId="46" xfId="0" applyFont="1" applyFill="1" applyBorder="1" applyAlignment="1">
      <alignment horizontal="center" vertical="center"/>
    </xf>
    <xf numFmtId="0" fontId="5" fillId="0" borderId="42" xfId="0" applyFont="1" applyFill="1" applyBorder="1" applyAlignment="1">
      <alignment horizontal="left"/>
    </xf>
    <xf numFmtId="0" fontId="3" fillId="0" borderId="47" xfId="0" applyFont="1" applyFill="1" applyBorder="1" applyAlignment="1">
      <alignment horizontal="center" vertical="center" wrapText="1"/>
    </xf>
    <xf numFmtId="0" fontId="5" fillId="0" borderId="48" xfId="0" applyFont="1" applyFill="1" applyBorder="1" applyAlignment="1">
      <alignment horizontal="left"/>
    </xf>
    <xf numFmtId="0" fontId="5" fillId="0" borderId="48" xfId="0" applyFont="1" applyFill="1" applyBorder="1" applyAlignment="1">
      <alignment horizontal="left" vertical="center"/>
    </xf>
    <xf numFmtId="0" fontId="1" fillId="0" borderId="48" xfId="0" applyFont="1" applyFill="1" applyBorder="1" applyAlignment="1">
      <alignment vertical="center"/>
    </xf>
    <xf numFmtId="0" fontId="1" fillId="0" borderId="0" xfId="0" applyFont="1" applyBorder="1" applyAlignment="1">
      <alignment horizontal="left" vertical="center" wrapText="1"/>
    </xf>
    <xf numFmtId="0" fontId="3" fillId="0" borderId="0" xfId="0" applyFont="1" applyBorder="1" applyAlignment="1">
      <alignment vertical="center"/>
    </xf>
    <xf numFmtId="0" fontId="10" fillId="0" borderId="0" xfId="0" applyFont="1" applyBorder="1" applyAlignment="1">
      <alignment vertical="center"/>
    </xf>
    <xf numFmtId="0" fontId="2" fillId="0" borderId="0" xfId="0" applyFont="1" applyBorder="1" applyAlignment="1">
      <alignment vertical="center"/>
    </xf>
    <xf numFmtId="0" fontId="12" fillId="0" borderId="0" xfId="0" applyFont="1" applyBorder="1" applyAlignment="1">
      <alignment vertical="center"/>
    </xf>
    <xf numFmtId="0" fontId="13" fillId="0" borderId="0" xfId="0" applyFont="1" applyBorder="1" applyAlignment="1">
      <alignment vertical="center"/>
    </xf>
    <xf numFmtId="0" fontId="11" fillId="0" borderId="0" xfId="0" applyFont="1" applyBorder="1" applyAlignment="1">
      <alignment vertical="center"/>
    </xf>
    <xf numFmtId="0" fontId="15" fillId="0" borderId="0" xfId="0" applyFont="1" applyBorder="1" applyAlignment="1">
      <alignment vertical="center"/>
    </xf>
    <xf numFmtId="0" fontId="3" fillId="0" borderId="0" xfId="0" applyFont="1" applyBorder="1" applyAlignment="1">
      <alignment horizontal="left" vertical="center"/>
    </xf>
    <xf numFmtId="0" fontId="14" fillId="0" borderId="0" xfId="0" applyFont="1" applyBorder="1" applyAlignment="1">
      <alignment horizontal="left" vertical="center"/>
    </xf>
    <xf numFmtId="0" fontId="7" fillId="0" borderId="0" xfId="0" applyFont="1" applyBorder="1" applyAlignment="1">
      <alignment horizontal="left" vertical="center"/>
    </xf>
    <xf numFmtId="0" fontId="3" fillId="0" borderId="50" xfId="0" applyFont="1" applyBorder="1" applyAlignment="1">
      <alignment vertical="center"/>
    </xf>
    <xf numFmtId="0" fontId="3" fillId="0" borderId="28" xfId="0" applyFont="1" applyBorder="1" applyAlignment="1">
      <alignment vertical="center"/>
    </xf>
    <xf numFmtId="0" fontId="2" fillId="0" borderId="0" xfId="0" applyFont="1" applyFill="1" applyBorder="1" applyAlignment="1">
      <alignment horizontal="center" vertical="center"/>
    </xf>
    <xf numFmtId="0" fontId="2" fillId="0" borderId="0" xfId="0" applyFont="1" applyFill="1" applyBorder="1" applyAlignment="1">
      <alignment horizontal="left" vertical="center"/>
    </xf>
    <xf numFmtId="0" fontId="2" fillId="0" borderId="0" xfId="0" applyFont="1" applyBorder="1" applyAlignment="1">
      <alignment horizontal="left" vertical="center"/>
    </xf>
    <xf numFmtId="0" fontId="1" fillId="0" borderId="51" xfId="0" applyFont="1" applyBorder="1" applyAlignment="1">
      <alignment horizontal="left" vertical="center"/>
    </xf>
    <xf numFmtId="0" fontId="1" fillId="0" borderId="0" xfId="0" applyFont="1" applyAlignment="1">
      <alignment horizontal="left" vertical="center"/>
    </xf>
    <xf numFmtId="0" fontId="1" fillId="0" borderId="0" xfId="0" applyFont="1" applyAlignment="1">
      <alignment horizontal="center" vertical="center"/>
    </xf>
    <xf numFmtId="0" fontId="1" fillId="0" borderId="0" xfId="0" applyFont="1" applyFill="1" applyBorder="1" applyAlignment="1">
      <alignment vertical="center"/>
    </xf>
    <xf numFmtId="0" fontId="1" fillId="0" borderId="0" xfId="0" applyFont="1" applyAlignment="1">
      <alignment vertical="center"/>
    </xf>
    <xf numFmtId="0" fontId="16" fillId="0" borderId="0" xfId="0" applyFont="1" applyBorder="1" applyAlignment="1">
      <alignment horizontal="left" vertical="center"/>
    </xf>
    <xf numFmtId="14" fontId="1" fillId="0" borderId="53" xfId="0" applyNumberFormat="1" applyFont="1" applyBorder="1" applyAlignment="1">
      <alignment horizontal="left" vertical="center"/>
    </xf>
    <xf numFmtId="0" fontId="3" fillId="0" borderId="0" xfId="0" applyFont="1" applyAlignment="1">
      <alignment horizontal="left" vertical="center"/>
    </xf>
    <xf numFmtId="0" fontId="7" fillId="0" borderId="0" xfId="0" applyFont="1" applyFill="1" applyBorder="1" applyAlignment="1">
      <alignment horizontal="left" vertical="center"/>
    </xf>
    <xf numFmtId="0" fontId="3" fillId="2" borderId="41" xfId="0" applyFont="1" applyFill="1" applyBorder="1" applyAlignment="1">
      <alignment horizontal="center" vertical="center"/>
    </xf>
    <xf numFmtId="0" fontId="3" fillId="2" borderId="28" xfId="0" applyFont="1" applyFill="1" applyBorder="1" applyAlignment="1">
      <alignment horizontal="center" vertical="center"/>
    </xf>
    <xf numFmtId="0" fontId="1" fillId="0" borderId="0" xfId="0" applyFont="1" applyAlignment="1">
      <alignment horizontal="left" vertical="center"/>
    </xf>
    <xf numFmtId="0" fontId="1" fillId="0" borderId="0" xfId="0" applyFont="1" applyBorder="1" applyAlignment="1">
      <alignment horizontal="left" vertical="center"/>
    </xf>
    <xf numFmtId="0" fontId="3" fillId="0" borderId="54" xfId="0" applyFont="1" applyBorder="1" applyAlignment="1">
      <alignment horizontal="center" vertical="center"/>
    </xf>
    <xf numFmtId="0" fontId="3" fillId="0" borderId="0" xfId="0" applyFont="1" applyBorder="1" applyAlignment="1">
      <alignment horizontal="center" vertical="center"/>
    </xf>
    <xf numFmtId="0" fontId="3" fillId="0" borderId="55" xfId="0" applyFont="1" applyBorder="1" applyAlignment="1">
      <alignment horizontal="center" vertical="center"/>
    </xf>
    <xf numFmtId="0" fontId="1" fillId="0" borderId="54" xfId="0" applyFont="1" applyBorder="1" applyAlignment="1">
      <alignment horizontal="center" vertical="center"/>
    </xf>
    <xf numFmtId="0" fontId="1" fillId="0" borderId="0" xfId="0" applyFont="1" applyBorder="1" applyAlignment="1">
      <alignment horizontal="center" vertical="center"/>
    </xf>
    <xf numFmtId="0" fontId="1" fillId="0" borderId="55" xfId="0" applyFont="1" applyBorder="1" applyAlignment="1">
      <alignment horizontal="center" vertical="center"/>
    </xf>
    <xf numFmtId="0" fontId="1" fillId="0" borderId="58" xfId="0" applyFont="1" applyBorder="1" applyAlignment="1">
      <alignment horizontal="left" vertical="top" wrapText="1"/>
    </xf>
    <xf numFmtId="0" fontId="1" fillId="0" borderId="0" xfId="0" applyFont="1" applyBorder="1" applyAlignment="1">
      <alignment horizontal="left" vertical="top" wrapText="1"/>
    </xf>
    <xf numFmtId="0" fontId="1" fillId="0" borderId="59" xfId="0" applyFont="1" applyBorder="1" applyAlignment="1">
      <alignment horizontal="left" vertical="top" wrapText="1"/>
    </xf>
    <xf numFmtId="2" fontId="1" fillId="0" borderId="54" xfId="0" applyNumberFormat="1" applyFont="1" applyBorder="1" applyAlignment="1">
      <alignment horizontal="center" vertical="center"/>
    </xf>
    <xf numFmtId="2" fontId="1" fillId="0" borderId="0" xfId="0" applyNumberFormat="1" applyFont="1" applyBorder="1" applyAlignment="1">
      <alignment horizontal="center" vertical="center"/>
    </xf>
    <xf numFmtId="0" fontId="14" fillId="0" borderId="0" xfId="0" applyFont="1" applyBorder="1" applyAlignment="1">
      <alignment horizontal="right" vertical="center"/>
    </xf>
    <xf numFmtId="0" fontId="2" fillId="0" borderId="0" xfId="0" applyFont="1" applyFill="1" applyBorder="1" applyAlignment="1">
      <alignment horizontal="left" vertical="center"/>
    </xf>
    <xf numFmtId="0" fontId="17" fillId="0" borderId="57" xfId="0" applyFont="1" applyFill="1" applyBorder="1" applyAlignment="1">
      <alignment horizontal="left" vertical="center" wrapText="1"/>
    </xf>
    <xf numFmtId="0" fontId="2" fillId="7" borderId="56" xfId="0" applyFont="1" applyFill="1" applyBorder="1" applyAlignment="1">
      <alignment horizontal="center" vertical="center"/>
    </xf>
    <xf numFmtId="0" fontId="2" fillId="7" borderId="29" xfId="0" applyFont="1" applyFill="1" applyBorder="1" applyAlignment="1">
      <alignment horizontal="center" vertical="center"/>
    </xf>
    <xf numFmtId="0" fontId="10" fillId="0" borderId="52" xfId="0" applyFont="1" applyFill="1" applyBorder="1" applyAlignment="1">
      <alignment horizontal="left" vertical="center"/>
    </xf>
    <xf numFmtId="0" fontId="10" fillId="0" borderId="28" xfId="0" applyFont="1" applyFill="1" applyBorder="1" applyAlignment="1">
      <alignment horizontal="left" vertical="center"/>
    </xf>
    <xf numFmtId="0" fontId="1" fillId="0" borderId="0" xfId="0" applyFont="1" applyBorder="1" applyAlignment="1">
      <alignment vertical="center"/>
    </xf>
    <xf numFmtId="0" fontId="5" fillId="0" borderId="1" xfId="0" applyFont="1" applyFill="1" applyBorder="1" applyAlignment="1">
      <alignment wrapText="1"/>
    </xf>
    <xf numFmtId="0" fontId="5" fillId="0" borderId="1" xfId="0" applyFont="1" applyFill="1" applyBorder="1" applyAlignment="1"/>
    <xf numFmtId="0" fontId="5" fillId="3" borderId="42" xfId="0" applyFont="1" applyFill="1" applyBorder="1" applyAlignment="1">
      <alignment horizontal="left"/>
    </xf>
    <xf numFmtId="0" fontId="5" fillId="3" borderId="48" xfId="0" applyFont="1" applyFill="1" applyBorder="1" applyAlignment="1">
      <alignment horizontal="left"/>
    </xf>
    <xf numFmtId="0" fontId="10" fillId="8" borderId="49" xfId="0" applyFont="1" applyFill="1" applyBorder="1" applyAlignment="1">
      <alignment horizontal="left" vertical="center"/>
    </xf>
    <xf numFmtId="0" fontId="10" fillId="8" borderId="50" xfId="0" applyFont="1" applyFill="1" applyBorder="1" applyAlignment="1">
      <alignment horizontal="left" vertical="center"/>
    </xf>
    <xf numFmtId="0" fontId="19" fillId="0" borderId="0" xfId="0" applyFont="1" applyAlignment="1">
      <alignment horizontal="left" vertical="center"/>
    </xf>
    <xf numFmtId="0" fontId="3" fillId="2" borderId="19" xfId="0" applyFont="1" applyFill="1" applyBorder="1" applyAlignment="1">
      <alignment horizontal="center" vertical="center"/>
    </xf>
    <xf numFmtId="0" fontId="3" fillId="2" borderId="23" xfId="0" applyFont="1" applyFill="1" applyBorder="1" applyAlignment="1">
      <alignment horizontal="center" vertical="center"/>
    </xf>
    <xf numFmtId="0" fontId="3" fillId="2" borderId="20" xfId="0" applyFont="1" applyFill="1" applyBorder="1" applyAlignment="1">
      <alignment horizontal="center" vertical="center"/>
    </xf>
    <xf numFmtId="0" fontId="3" fillId="2" borderId="14" xfId="0" applyFont="1" applyFill="1" applyBorder="1" applyAlignment="1">
      <alignment horizontal="center" vertical="center"/>
    </xf>
    <xf numFmtId="0" fontId="3" fillId="0" borderId="13" xfId="0" applyFont="1" applyFill="1" applyBorder="1" applyAlignment="1">
      <alignment horizontal="center" vertical="center"/>
    </xf>
    <xf numFmtId="0" fontId="3" fillId="0" borderId="14" xfId="0" applyFont="1" applyFill="1" applyBorder="1" applyAlignment="1">
      <alignment horizontal="center" vertical="center"/>
    </xf>
    <xf numFmtId="0" fontId="2" fillId="2" borderId="20" xfId="0" applyFont="1" applyFill="1" applyBorder="1" applyAlignment="1">
      <alignment horizontal="center" vertical="center" wrapText="1"/>
    </xf>
    <xf numFmtId="0" fontId="2" fillId="2" borderId="14" xfId="0" applyFont="1" applyFill="1" applyBorder="1" applyAlignment="1">
      <alignment horizontal="center" vertical="center" wrapText="1"/>
    </xf>
    <xf numFmtId="0" fontId="2" fillId="2" borderId="13" xfId="0" applyFont="1" applyFill="1" applyBorder="1" applyAlignment="1">
      <alignment horizontal="center" vertical="center" wrapText="1"/>
    </xf>
    <xf numFmtId="0" fontId="2" fillId="0" borderId="13" xfId="0" applyFont="1" applyFill="1" applyBorder="1" applyAlignment="1">
      <alignment horizontal="center" vertical="center" wrapText="1"/>
    </xf>
    <xf numFmtId="0" fontId="2" fillId="0" borderId="14" xfId="0" applyFont="1" applyFill="1" applyBorder="1" applyAlignment="1">
      <alignment horizontal="center" vertical="center" wrapText="1"/>
    </xf>
    <xf numFmtId="0" fontId="3" fillId="2" borderId="5" xfId="0" applyFont="1" applyFill="1" applyBorder="1" applyAlignment="1">
      <alignment horizontal="center" vertical="center"/>
    </xf>
    <xf numFmtId="0" fontId="3" fillId="2" borderId="13" xfId="0" applyFont="1" applyFill="1" applyBorder="1" applyAlignment="1">
      <alignment horizontal="center" vertical="center"/>
    </xf>
    <xf numFmtId="0" fontId="0" fillId="0" borderId="20" xfId="0" applyBorder="1"/>
    <xf numFmtId="0" fontId="2" fillId="2" borderId="7" xfId="0" applyFont="1" applyFill="1" applyBorder="1" applyAlignment="1">
      <alignment horizontal="center" vertical="center" wrapText="1"/>
    </xf>
    <xf numFmtId="2" fontId="3" fillId="2" borderId="14" xfId="0" applyNumberFormat="1" applyFont="1" applyFill="1" applyBorder="1" applyAlignment="1">
      <alignment horizontal="center" vertical="center"/>
    </xf>
    <xf numFmtId="0" fontId="3" fillId="2" borderId="7" xfId="0" applyFont="1" applyFill="1" applyBorder="1" applyAlignment="1">
      <alignment horizontal="center" vertical="center"/>
    </xf>
    <xf numFmtId="2" fontId="3" fillId="2" borderId="13" xfId="0" applyNumberFormat="1" applyFont="1" applyFill="1" applyBorder="1" applyAlignment="1">
      <alignment horizontal="center" vertical="center"/>
    </xf>
    <xf numFmtId="0" fontId="3" fillId="2" borderId="30" xfId="0" applyFont="1" applyFill="1" applyBorder="1" applyAlignment="1">
      <alignment horizontal="center" vertical="center"/>
    </xf>
    <xf numFmtId="0" fontId="18" fillId="0" borderId="0" xfId="0" applyFont="1" applyBorder="1" applyAlignment="1">
      <alignment horizontal="left" vertical="center" wrapText="1"/>
    </xf>
    <xf numFmtId="0" fontId="2" fillId="0" borderId="0" xfId="0" applyFont="1" applyFill="1" applyBorder="1" applyAlignment="1">
      <alignment horizontal="center" vertical="center"/>
    </xf>
    <xf numFmtId="0" fontId="2" fillId="0" borderId="0" xfId="0" applyFont="1" applyFill="1" applyBorder="1" applyAlignment="1">
      <alignment horizontal="left" vertical="center"/>
    </xf>
    <xf numFmtId="0" fontId="5" fillId="8" borderId="8" xfId="0" applyFont="1" applyFill="1" applyBorder="1" applyAlignment="1">
      <alignment horizontal="center"/>
    </xf>
    <xf numFmtId="0" fontId="5" fillId="8" borderId="1" xfId="0" applyFont="1" applyFill="1" applyBorder="1" applyAlignment="1">
      <alignment horizontal="left"/>
    </xf>
    <xf numFmtId="0" fontId="5" fillId="8" borderId="1" xfId="0" applyFont="1" applyFill="1" applyBorder="1" applyAlignment="1">
      <alignment horizontal="center"/>
    </xf>
    <xf numFmtId="0" fontId="5" fillId="8" borderId="6" xfId="0" applyFont="1" applyFill="1" applyBorder="1" applyAlignment="1">
      <alignment horizontal="center"/>
    </xf>
    <xf numFmtId="0" fontId="5" fillId="8" borderId="8" xfId="0" applyFont="1" applyFill="1" applyBorder="1" applyAlignment="1">
      <alignment horizontal="left"/>
    </xf>
    <xf numFmtId="0" fontId="5" fillId="8" borderId="9" xfId="0" applyFont="1" applyFill="1" applyBorder="1" applyAlignment="1">
      <alignment horizontal="left"/>
    </xf>
    <xf numFmtId="0" fontId="6" fillId="8" borderId="1" xfId="1" applyFont="1" applyFill="1" applyBorder="1" applyAlignment="1" applyProtection="1">
      <alignment horizontal="left"/>
    </xf>
    <xf numFmtId="0" fontId="5" fillId="8" borderId="4" xfId="0" applyFont="1" applyFill="1" applyBorder="1" applyAlignment="1">
      <alignment horizontal="left"/>
    </xf>
    <xf numFmtId="0" fontId="5" fillId="8" borderId="6" xfId="0" applyFont="1" applyFill="1" applyBorder="1" applyAlignment="1">
      <alignment horizontal="left"/>
    </xf>
    <xf numFmtId="0" fontId="5" fillId="8" borderId="1" xfId="0" applyFont="1" applyFill="1" applyBorder="1" applyAlignment="1">
      <alignment wrapText="1"/>
    </xf>
    <xf numFmtId="0" fontId="5" fillId="8" borderId="2" xfId="0" applyFont="1" applyFill="1" applyBorder="1" applyAlignment="1">
      <alignment horizontal="left"/>
    </xf>
    <xf numFmtId="164" fontId="5" fillId="8" borderId="1" xfId="0" applyNumberFormat="1" applyFont="1" applyFill="1" applyBorder="1" applyAlignment="1">
      <alignment horizontal="left"/>
    </xf>
    <xf numFmtId="2" fontId="5" fillId="8" borderId="1" xfId="0" applyNumberFormat="1" applyFont="1" applyFill="1" applyBorder="1" applyAlignment="1">
      <alignment horizontal="center"/>
    </xf>
    <xf numFmtId="2" fontId="5" fillId="8" borderId="1" xfId="0" applyNumberFormat="1" applyFont="1" applyFill="1" applyBorder="1" applyAlignment="1">
      <alignment horizontal="left"/>
    </xf>
    <xf numFmtId="0" fontId="1" fillId="8" borderId="25" xfId="0" applyFont="1" applyFill="1" applyBorder="1" applyAlignment="1">
      <alignment horizontal="left"/>
    </xf>
    <xf numFmtId="0" fontId="5" fillId="8" borderId="34" xfId="0" applyFont="1" applyFill="1" applyBorder="1" applyAlignment="1">
      <alignment horizontal="left"/>
    </xf>
    <xf numFmtId="0" fontId="5" fillId="8" borderId="27" xfId="0" applyFont="1" applyFill="1" applyBorder="1" applyAlignment="1">
      <alignment horizontal="left"/>
    </xf>
    <xf numFmtId="0" fontId="5" fillId="8" borderId="29" xfId="0" applyFont="1" applyFill="1" applyBorder="1" applyAlignment="1">
      <alignment horizontal="left"/>
    </xf>
    <xf numFmtId="0" fontId="5" fillId="8" borderId="25" xfId="0" applyFont="1" applyFill="1" applyBorder="1" applyAlignment="1">
      <alignment horizontal="left"/>
    </xf>
    <xf numFmtId="0" fontId="5" fillId="8" borderId="32" xfId="0" applyFont="1" applyFill="1" applyBorder="1" applyAlignment="1">
      <alignment horizontal="left"/>
    </xf>
    <xf numFmtId="0" fontId="5" fillId="8" borderId="38" xfId="0" applyFont="1" applyFill="1" applyBorder="1" applyAlignment="1">
      <alignment horizontal="left"/>
    </xf>
    <xf numFmtId="0" fontId="5" fillId="8" borderId="40" xfId="0" applyFont="1" applyFill="1" applyBorder="1" applyAlignment="1">
      <alignment horizontal="left"/>
    </xf>
    <xf numFmtId="0" fontId="5" fillId="8" borderId="2" xfId="0" applyFont="1" applyFill="1" applyBorder="1" applyAlignment="1">
      <alignment horizontal="center"/>
    </xf>
    <xf numFmtId="0" fontId="5" fillId="8" borderId="29" xfId="0" applyFont="1" applyFill="1" applyBorder="1" applyAlignment="1">
      <alignment horizontal="center"/>
    </xf>
    <xf numFmtId="0" fontId="5" fillId="8" borderId="42" xfId="0" applyFont="1" applyFill="1" applyBorder="1" applyAlignment="1">
      <alignment horizontal="left"/>
    </xf>
    <xf numFmtId="0" fontId="5" fillId="8" borderId="28" xfId="0" applyFont="1" applyFill="1" applyBorder="1" applyAlignment="1">
      <alignment horizontal="left" wrapText="1"/>
    </xf>
    <xf numFmtId="0" fontId="5" fillId="8" borderId="48" xfId="0" applyFont="1" applyFill="1" applyBorder="1" applyAlignment="1">
      <alignment horizontal="left"/>
    </xf>
    <xf numFmtId="0" fontId="5" fillId="8" borderId="0" xfId="0" applyFont="1" applyFill="1" applyBorder="1" applyAlignment="1">
      <alignment horizontal="left"/>
    </xf>
    <xf numFmtId="0" fontId="20" fillId="0" borderId="0" xfId="0" applyFont="1" applyFill="1" applyBorder="1" applyAlignment="1">
      <alignment horizontal="left" vertical="center"/>
    </xf>
    <xf numFmtId="0" fontId="1" fillId="0" borderId="0" xfId="0" applyFont="1" applyFill="1" applyAlignment="1">
      <alignment vertical="center"/>
    </xf>
    <xf numFmtId="0" fontId="2" fillId="0" borderId="56" xfId="0" applyFont="1" applyFill="1" applyBorder="1" applyAlignment="1">
      <alignment horizontal="center" vertical="center"/>
    </xf>
    <xf numFmtId="0" fontId="2" fillId="0" borderId="29" xfId="0" applyFont="1" applyFill="1" applyBorder="1" applyAlignment="1">
      <alignment horizontal="center" vertical="center"/>
    </xf>
    <xf numFmtId="0" fontId="1" fillId="0" borderId="0" xfId="0" applyFont="1" applyFill="1" applyAlignment="1">
      <alignment horizontal="left" vertical="center"/>
    </xf>
    <xf numFmtId="0" fontId="2" fillId="0" borderId="60" xfId="0" applyFont="1" applyFill="1" applyBorder="1" applyAlignment="1">
      <alignment horizontal="center" vertical="center" wrapText="1"/>
    </xf>
  </cellXfs>
  <cellStyles count="2">
    <cellStyle name="Lien hypertexte" xfId="1" builtinId="8"/>
    <cellStyle name="Normal" xfId="0" builtinId="0"/>
  </cellStyles>
  <dxfs count="0"/>
  <tableStyles count="0" defaultTableStyle="TableStyleMedium9" defaultPivotStyle="PivotStyleLight16"/>
  <colors>
    <mruColors>
      <color rgb="FFCC9900"/>
    </mruColors>
  </colors>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1">
    <pageSetUpPr fitToPage="1"/>
  </sheetPr>
  <dimension ref="A1:JO34"/>
  <sheetViews>
    <sheetView zoomScale="85" zoomScaleNormal="85" workbookViewId="0">
      <pane xSplit="5" ySplit="3" topLeftCell="FW7" activePane="bottomRight" state="frozenSplit"/>
      <selection pane="topRight" activeCell="F1" sqref="F1"/>
      <selection pane="bottomLeft" activeCell="A4" sqref="A4"/>
      <selection pane="bottomRight" activeCell="GF14" sqref="GF14"/>
    </sheetView>
  </sheetViews>
  <sheetFormatPr baseColWidth="10" defaultColWidth="11.453125" defaultRowHeight="11.5"/>
  <cols>
    <col min="1" max="1" width="11.453125" style="3"/>
    <col min="2" max="2" width="52.7265625" style="2" customWidth="1"/>
    <col min="3" max="3" width="14.7265625" style="3" hidden="1" customWidth="1"/>
    <col min="4" max="5" width="11.54296875" style="3" hidden="1" customWidth="1"/>
    <col min="6" max="15" width="12.81640625" style="2" hidden="1" customWidth="1"/>
    <col min="16" max="18" width="4" style="2" hidden="1" customWidth="1"/>
    <col min="19" max="19" width="13.453125" style="2" hidden="1" customWidth="1"/>
    <col min="20" max="20" width="11.54296875" style="2" hidden="1" customWidth="1"/>
    <col min="21" max="21" width="25.1796875" style="2" hidden="1" customWidth="1"/>
    <col min="22" max="22" width="23.7265625" style="2" hidden="1" customWidth="1"/>
    <col min="23" max="24" width="13.1796875" style="2" hidden="1" customWidth="1"/>
    <col min="25" max="35" width="9.54296875" style="2" hidden="1" customWidth="1"/>
    <col min="36" max="37" width="9.453125" style="2" hidden="1" customWidth="1"/>
    <col min="38" max="38" width="11.7265625" style="2" hidden="1" customWidth="1"/>
    <col min="39" max="39" width="9.453125" style="2" hidden="1" customWidth="1"/>
    <col min="40" max="40" width="9.453125" style="216" hidden="1" customWidth="1"/>
    <col min="41" max="44" width="9.453125" style="2" hidden="1" customWidth="1"/>
    <col min="45" max="46" width="11.7265625" style="2" hidden="1" customWidth="1"/>
    <col min="47" max="47" width="9.453125" style="2" hidden="1" customWidth="1"/>
    <col min="48" max="48" width="6.54296875" style="2" hidden="1" customWidth="1"/>
    <col min="49" max="49" width="18.81640625" style="2" hidden="1" customWidth="1"/>
    <col min="50" max="50" width="16.26953125" style="2" hidden="1" customWidth="1"/>
    <col min="51" max="52" width="8.7265625" style="2" hidden="1" customWidth="1"/>
    <col min="53" max="53" width="9.26953125" style="2" hidden="1" customWidth="1"/>
    <col min="54" max="58" width="8.7265625" style="2" hidden="1" customWidth="1"/>
    <col min="59" max="64" width="11.81640625" style="2" hidden="1" customWidth="1"/>
    <col min="65" max="65" width="10.81640625" style="2" hidden="1" customWidth="1"/>
    <col min="66" max="66" width="9.26953125" style="2" hidden="1" customWidth="1"/>
    <col min="67" max="68" width="8.7265625" style="2" hidden="1" customWidth="1"/>
    <col min="69" max="69" width="8.7265625" style="15" hidden="1" customWidth="1"/>
    <col min="70" max="70" width="9.26953125" style="15" hidden="1" customWidth="1"/>
    <col min="71" max="72" width="8.7265625" style="15" hidden="1" customWidth="1"/>
    <col min="73" max="73" width="9.26953125" style="15" hidden="1" customWidth="1"/>
    <col min="74" max="75" width="8.7265625" style="15" hidden="1" customWidth="1"/>
    <col min="76" max="76" width="9.26953125" style="141" hidden="1" customWidth="1"/>
    <col min="77" max="77" width="8.7265625" style="15" hidden="1" customWidth="1"/>
    <col min="78" max="78" width="8.7265625" style="2" hidden="1" customWidth="1"/>
    <col min="79" max="79" width="6.453125" style="3" hidden="1" customWidth="1"/>
    <col min="80" max="80" width="5.7265625" style="16" hidden="1" customWidth="1"/>
    <col min="81" max="81" width="6.453125" style="3" hidden="1" customWidth="1"/>
    <col min="82" max="82" width="16.26953125" style="3" hidden="1" customWidth="1"/>
    <col min="83" max="83" width="7.1796875" style="3" hidden="1" customWidth="1"/>
    <col min="84" max="84" width="14" style="3" hidden="1" customWidth="1"/>
    <col min="85" max="85" width="6.54296875" style="16" hidden="1" customWidth="1"/>
    <col min="86" max="86" width="7" style="3" hidden="1" customWidth="1"/>
    <col min="87" max="87" width="11.54296875" style="3" hidden="1" customWidth="1"/>
    <col min="88" max="88" width="7.54296875" style="3" hidden="1" customWidth="1"/>
    <col min="89" max="89" width="11.453125" style="3" hidden="1" customWidth="1"/>
    <col min="90" max="90" width="7" style="16" hidden="1" customWidth="1"/>
    <col min="91" max="91" width="7.7265625" style="3" hidden="1" customWidth="1"/>
    <col min="92" max="92" width="14.1796875" style="3" hidden="1" customWidth="1"/>
    <col min="93" max="93" width="6.81640625" style="3" hidden="1" customWidth="1"/>
    <col min="94" max="94" width="11.453125" style="3" hidden="1" customWidth="1"/>
    <col min="95" max="95" width="9.26953125" style="16" hidden="1" customWidth="1"/>
    <col min="96" max="96" width="10.81640625" style="3" hidden="1" customWidth="1"/>
    <col min="97" max="98" width="11.54296875" style="3" hidden="1" customWidth="1"/>
    <col min="99" max="99" width="11.453125" style="3" hidden="1" customWidth="1"/>
    <col min="100" max="100" width="9.81640625" style="16" hidden="1" customWidth="1"/>
    <col min="101" max="101" width="10.81640625" style="3" hidden="1" customWidth="1"/>
    <col min="102" max="103" width="11.54296875" style="3" hidden="1" customWidth="1"/>
    <col min="104" max="104" width="11.453125" style="3" hidden="1" customWidth="1"/>
    <col min="105" max="105" width="9.81640625" style="16" hidden="1" customWidth="1"/>
    <col min="106" max="106" width="10.81640625" style="3" hidden="1" customWidth="1"/>
    <col min="107" max="108" width="11.54296875" style="3" hidden="1" customWidth="1"/>
    <col min="109" max="109" width="11.453125" style="3" hidden="1" customWidth="1"/>
    <col min="110" max="110" width="10.7265625" style="16" hidden="1" customWidth="1"/>
    <col min="111" max="111" width="10.81640625" style="3" hidden="1" customWidth="1"/>
    <col min="112" max="113" width="11.54296875" style="3" hidden="1" customWidth="1"/>
    <col min="114" max="114" width="20" style="2" hidden="1" customWidth="1"/>
    <col min="115" max="115" width="18.54296875" style="2" hidden="1" customWidth="1"/>
    <col min="116" max="117" width="12.81640625" style="2" hidden="1" customWidth="1"/>
    <col min="118" max="118" width="13.26953125" style="2" hidden="1" customWidth="1"/>
    <col min="119" max="120" width="12.81640625" style="2" hidden="1" customWidth="1"/>
    <col min="121" max="121" width="13.26953125" style="2" hidden="1" customWidth="1"/>
    <col min="122" max="122" width="18.54296875" style="2" hidden="1" customWidth="1"/>
    <col min="123" max="138" width="7.7265625" style="2" hidden="1" customWidth="1"/>
    <col min="139" max="139" width="32.453125" style="2" hidden="1" customWidth="1"/>
    <col min="140" max="140" width="22.81640625" style="76" hidden="1" customWidth="1"/>
    <col min="141" max="141" width="16.7265625" style="76" hidden="1" customWidth="1"/>
    <col min="142" max="142" width="32.453125" style="2" hidden="1" customWidth="1"/>
    <col min="143" max="143" width="8.453125" style="2" hidden="1" customWidth="1"/>
    <col min="144" max="144" width="38.1796875" style="2" hidden="1" customWidth="1"/>
    <col min="145" max="145" width="33.1796875" style="2" hidden="1" customWidth="1"/>
    <col min="146" max="146" width="5.7265625" style="2" hidden="1" customWidth="1"/>
    <col min="147" max="147" width="29" style="2" hidden="1" customWidth="1"/>
    <col min="148" max="154" width="4.7265625" style="2" hidden="1" customWidth="1"/>
    <col min="155" max="158" width="5" style="2" hidden="1" customWidth="1"/>
    <col min="159" max="159" width="19.54296875" style="2" hidden="1" customWidth="1"/>
    <col min="160" max="161" width="0" style="3" hidden="1" customWidth="1"/>
    <col min="162" max="162" width="13.1796875" style="2" hidden="1" customWidth="1"/>
    <col min="163" max="163" width="30.81640625" style="2" hidden="1" customWidth="1"/>
    <col min="164" max="164" width="21.54296875" style="2" hidden="1" customWidth="1"/>
    <col min="165" max="170" width="3.26953125" style="2" hidden="1" customWidth="1"/>
    <col min="171" max="171" width="47" style="2" hidden="1" customWidth="1"/>
    <col min="172" max="172" width="13.1796875" style="2" hidden="1" customWidth="1"/>
    <col min="173" max="173" width="0" style="2" hidden="1" customWidth="1"/>
    <col min="174" max="175" width="4.81640625" style="2" hidden="1" customWidth="1"/>
    <col min="176" max="176" width="21" style="2" customWidth="1"/>
    <col min="177" max="177" width="9.453125" style="3" customWidth="1"/>
    <col min="178" max="178" width="9.81640625" style="2" customWidth="1"/>
    <col min="179" max="179" width="11.453125" style="2" bestFit="1" customWidth="1"/>
    <col min="180" max="180" width="10.36328125" style="2" customWidth="1"/>
    <col min="181" max="181" width="25.54296875" style="2" customWidth="1"/>
    <col min="182" max="182" width="8.54296875" style="3" customWidth="1"/>
    <col min="183" max="183" width="4.7265625" style="2" customWidth="1"/>
    <col min="184" max="184" width="8.54296875" style="2" customWidth="1"/>
    <col min="185" max="185" width="5.26953125" style="2" customWidth="1"/>
    <col min="186" max="186" width="20.7265625" style="2" customWidth="1"/>
    <col min="187" max="187" width="8.54296875" style="3" customWidth="1"/>
    <col min="188" max="189" width="8.54296875" style="2" customWidth="1"/>
    <col min="190" max="190" width="5.26953125" style="2" customWidth="1"/>
    <col min="191" max="191" width="19.1796875" style="2" customWidth="1"/>
    <col min="192" max="192" width="8.54296875" style="3" customWidth="1"/>
    <col min="193" max="194" width="8.54296875" style="2" customWidth="1"/>
    <col min="195" max="195" width="5.26953125" style="2" customWidth="1"/>
    <col min="196" max="196" width="23.81640625" style="2" customWidth="1"/>
    <col min="197" max="197" width="8.54296875" style="3" customWidth="1"/>
    <col min="198" max="199" width="8.54296875" style="2" customWidth="1"/>
    <col min="200" max="200" width="5.26953125" style="2" customWidth="1"/>
    <col min="201" max="201" width="21.81640625" style="2" customWidth="1"/>
    <col min="202" max="202" width="11.453125" style="3"/>
    <col min="203" max="204" width="11.453125" style="2"/>
    <col min="205" max="205" width="5.26953125" style="2" customWidth="1"/>
    <col min="206" max="206" width="18.81640625" style="2" customWidth="1"/>
    <col min="207" max="207" width="11.453125" style="3"/>
    <col min="208" max="208" width="6.81640625" style="2" customWidth="1"/>
    <col min="209" max="209" width="11.453125" style="2"/>
    <col min="210" max="210" width="5.26953125" style="2" customWidth="1"/>
    <col min="211" max="211" width="22" style="2" customWidth="1"/>
    <col min="212" max="213" width="11.453125" style="3"/>
    <col min="214" max="214" width="11.453125" style="2"/>
    <col min="215" max="215" width="5.26953125" style="2" customWidth="1"/>
    <col min="216" max="216" width="16.1796875" style="2" customWidth="1"/>
    <col min="217" max="217" width="11.453125" style="3"/>
    <col min="218" max="219" width="11.453125" style="2"/>
    <col min="220" max="220" width="5.26953125" style="2" customWidth="1"/>
    <col min="221" max="221" width="24.26953125" style="2" customWidth="1"/>
    <col min="222" max="222" width="11.453125" style="3"/>
    <col min="223" max="224" width="11.453125" style="2"/>
    <col min="225" max="225" width="5.26953125" style="2" customWidth="1"/>
    <col min="226" max="226" width="22.7265625" style="2" customWidth="1"/>
    <col min="227" max="227" width="11.453125" style="3"/>
    <col min="228" max="229" width="11.453125" style="2"/>
    <col min="230" max="230" width="5.26953125" style="2" customWidth="1"/>
    <col min="231" max="231" width="18.453125" style="2" customWidth="1"/>
    <col min="232" max="232" width="11.453125" style="3"/>
    <col min="233" max="234" width="11.453125" style="2"/>
    <col min="235" max="235" width="5.26953125" style="2" customWidth="1"/>
    <col min="236" max="236" width="18.1796875" style="2" customWidth="1"/>
    <col min="237" max="239" width="11.453125" style="2"/>
    <col min="240" max="240" width="5.26953125" style="2" customWidth="1"/>
    <col min="241" max="241" width="13.7265625" style="2" customWidth="1"/>
    <col min="242" max="244" width="11.453125" style="2"/>
    <col min="245" max="245" width="5.26953125" style="2" customWidth="1"/>
    <col min="246" max="246" width="18.26953125" style="2" customWidth="1"/>
    <col min="247" max="249" width="11.453125" style="2"/>
    <col min="250" max="250" width="5.26953125" style="2" customWidth="1"/>
    <col min="251" max="254" width="11.453125" style="2"/>
    <col min="255" max="255" width="5.26953125" style="2" customWidth="1"/>
    <col min="256" max="259" width="11.453125" style="2"/>
    <col min="260" max="260" width="5.26953125" style="2" customWidth="1"/>
    <col min="261" max="264" width="11.453125" style="2"/>
    <col min="265" max="265" width="5.26953125" style="2" customWidth="1"/>
    <col min="266" max="269" width="11.453125" style="2"/>
    <col min="270" max="270" width="5.26953125" style="2" customWidth="1"/>
    <col min="271" max="274" width="11.453125" style="2"/>
    <col min="275" max="275" width="5.26953125" style="2" customWidth="1"/>
    <col min="276" max="16384" width="11.453125" style="2"/>
  </cols>
  <sheetData>
    <row r="1" spans="1:275" ht="13.5" customHeight="1">
      <c r="A1" s="128" t="s">
        <v>16</v>
      </c>
      <c r="B1" s="1"/>
      <c r="C1" s="50"/>
      <c r="D1" s="50"/>
      <c r="E1" s="50"/>
      <c r="F1" s="264" t="s">
        <v>5</v>
      </c>
      <c r="G1" s="264"/>
      <c r="H1" s="264"/>
      <c r="I1" s="264"/>
      <c r="J1" s="264"/>
      <c r="K1" s="264"/>
      <c r="L1" s="264"/>
      <c r="M1" s="264"/>
      <c r="N1" s="264"/>
      <c r="O1" s="264"/>
      <c r="P1" s="264"/>
      <c r="Q1" s="264"/>
      <c r="R1" s="264"/>
      <c r="S1" s="261" t="s">
        <v>6</v>
      </c>
      <c r="T1" s="261"/>
      <c r="U1" s="261"/>
      <c r="V1" s="261"/>
      <c r="W1" s="261"/>
      <c r="X1" s="261"/>
      <c r="Y1" s="260" t="s">
        <v>40</v>
      </c>
      <c r="Z1" s="260"/>
      <c r="AA1" s="260"/>
      <c r="AB1" s="260"/>
      <c r="AC1" s="260"/>
      <c r="AD1" s="260"/>
      <c r="AE1" s="260"/>
      <c r="AF1" s="260"/>
      <c r="AG1" s="260"/>
      <c r="AH1" s="260"/>
      <c r="AI1" s="260"/>
      <c r="AJ1" s="260"/>
      <c r="AK1" s="260"/>
      <c r="AL1" s="260"/>
      <c r="AM1" s="260"/>
      <c r="AN1" s="260"/>
      <c r="AO1" s="260"/>
      <c r="AP1" s="260"/>
      <c r="AQ1" s="260"/>
      <c r="AR1" s="260"/>
      <c r="AS1" s="260"/>
      <c r="AT1" s="260"/>
      <c r="AU1" s="260"/>
      <c r="AV1" s="260"/>
      <c r="AW1" s="261" t="s">
        <v>63</v>
      </c>
      <c r="AX1" s="261"/>
      <c r="AY1" s="261"/>
      <c r="AZ1" s="261"/>
      <c r="BA1" s="261"/>
      <c r="BB1" s="261"/>
      <c r="BC1" s="261"/>
      <c r="BD1" s="261"/>
      <c r="BE1" s="261"/>
      <c r="BF1" s="261"/>
      <c r="BG1" s="260" t="s">
        <v>66</v>
      </c>
      <c r="BH1" s="260"/>
      <c r="BI1" s="260"/>
      <c r="BJ1" s="260"/>
      <c r="BK1" s="260"/>
      <c r="BL1" s="260"/>
      <c r="BM1" s="260"/>
      <c r="BN1" s="261" t="s">
        <v>74</v>
      </c>
      <c r="BO1" s="261"/>
      <c r="BP1" s="261"/>
      <c r="BQ1" s="261"/>
      <c r="BR1" s="261"/>
      <c r="BS1" s="261"/>
      <c r="BT1" s="261"/>
      <c r="BU1" s="261"/>
      <c r="BV1" s="261"/>
      <c r="BW1" s="261"/>
      <c r="BX1" s="261"/>
      <c r="BY1" s="261"/>
      <c r="BZ1" s="261"/>
      <c r="CA1" s="269" t="s">
        <v>17</v>
      </c>
      <c r="CB1" s="269"/>
      <c r="CC1" s="269"/>
      <c r="CD1" s="269"/>
      <c r="CE1" s="269"/>
      <c r="CF1" s="269"/>
      <c r="CG1" s="269"/>
      <c r="CH1" s="269"/>
      <c r="CI1" s="269"/>
      <c r="CJ1" s="269"/>
      <c r="CK1" s="269"/>
      <c r="CL1" s="269"/>
      <c r="CM1" s="269"/>
      <c r="CN1" s="269"/>
      <c r="CO1" s="269"/>
      <c r="CP1" s="269"/>
      <c r="CQ1" s="269"/>
      <c r="CR1" s="269"/>
      <c r="CS1" s="269"/>
      <c r="CT1" s="269"/>
      <c r="CU1" s="269"/>
      <c r="CV1" s="269"/>
      <c r="CW1" s="269"/>
      <c r="CX1" s="269"/>
      <c r="CY1" s="269"/>
      <c r="CZ1" s="269"/>
      <c r="DA1" s="269"/>
      <c r="DB1" s="269"/>
      <c r="DC1" s="269"/>
      <c r="DD1" s="269"/>
      <c r="DE1" s="269"/>
      <c r="DF1" s="269"/>
      <c r="DG1" s="269"/>
      <c r="DH1" s="269"/>
      <c r="DI1" s="269"/>
      <c r="DJ1" s="269"/>
      <c r="DK1" s="269"/>
      <c r="DL1" s="269"/>
      <c r="DM1" s="269"/>
      <c r="DN1" s="269"/>
      <c r="DO1" s="269"/>
      <c r="DP1" s="269"/>
      <c r="DQ1" s="269"/>
      <c r="DR1" s="269"/>
      <c r="DS1" s="269"/>
      <c r="DT1" s="269"/>
      <c r="DU1" s="269"/>
      <c r="DV1" s="269"/>
      <c r="DW1" s="269"/>
      <c r="DX1" s="269"/>
      <c r="DY1" s="269"/>
      <c r="DZ1" s="269"/>
      <c r="EA1" s="269"/>
      <c r="EB1" s="269"/>
      <c r="EC1" s="269"/>
      <c r="ED1" s="269"/>
      <c r="EE1" s="269"/>
      <c r="EF1" s="269"/>
      <c r="EG1" s="269"/>
      <c r="EH1" s="269"/>
      <c r="EI1" s="269"/>
      <c r="EJ1" s="269"/>
      <c r="EK1" s="269"/>
      <c r="EL1" s="256" t="s">
        <v>100</v>
      </c>
      <c r="EM1" s="256"/>
      <c r="EN1" s="256"/>
      <c r="EO1" s="264" t="s">
        <v>104</v>
      </c>
      <c r="EP1" s="264"/>
      <c r="EQ1" s="264"/>
      <c r="ER1" s="264"/>
      <c r="ES1" s="264"/>
      <c r="ET1" s="264"/>
      <c r="EU1" s="264"/>
      <c r="EV1" s="264"/>
      <c r="EW1" s="264"/>
      <c r="EX1" s="264"/>
      <c r="EY1" s="256" t="s">
        <v>112</v>
      </c>
      <c r="EZ1" s="256"/>
      <c r="FA1" s="256"/>
      <c r="FB1" s="256"/>
      <c r="FC1" s="264" t="s">
        <v>115</v>
      </c>
      <c r="FD1" s="264"/>
      <c r="FE1" s="264"/>
      <c r="FF1" s="264"/>
      <c r="FG1" s="264"/>
      <c r="FH1" s="264"/>
      <c r="FI1" s="264"/>
      <c r="FJ1" s="264"/>
      <c r="FK1" s="264"/>
      <c r="FL1" s="264"/>
      <c r="FM1" s="264"/>
      <c r="FN1" s="264"/>
      <c r="FO1" s="256" t="s">
        <v>119</v>
      </c>
      <c r="FP1" s="256"/>
      <c r="FQ1" s="256"/>
      <c r="FR1" s="256"/>
      <c r="FS1" s="256"/>
      <c r="FT1" s="222">
        <v>176</v>
      </c>
      <c r="FU1" s="223">
        <f>FT1+1</f>
        <v>177</v>
      </c>
      <c r="FV1" s="223">
        <f t="shared" ref="FV1:IG1" si="0">FU1+1</f>
        <v>178</v>
      </c>
      <c r="FW1" s="223">
        <f t="shared" si="0"/>
        <v>179</v>
      </c>
      <c r="FX1" s="223">
        <f t="shared" si="0"/>
        <v>180</v>
      </c>
      <c r="FY1" s="223">
        <f t="shared" si="0"/>
        <v>181</v>
      </c>
      <c r="FZ1" s="223">
        <f t="shared" si="0"/>
        <v>182</v>
      </c>
      <c r="GA1" s="223">
        <f t="shared" si="0"/>
        <v>183</v>
      </c>
      <c r="GB1" s="223">
        <f t="shared" si="0"/>
        <v>184</v>
      </c>
      <c r="GC1" s="223">
        <f t="shared" si="0"/>
        <v>185</v>
      </c>
      <c r="GD1" s="223">
        <f t="shared" si="0"/>
        <v>186</v>
      </c>
      <c r="GE1" s="223">
        <f t="shared" si="0"/>
        <v>187</v>
      </c>
      <c r="GF1" s="223">
        <f t="shared" si="0"/>
        <v>188</v>
      </c>
      <c r="GG1" s="223">
        <f t="shared" si="0"/>
        <v>189</v>
      </c>
      <c r="GH1" s="223">
        <f t="shared" si="0"/>
        <v>190</v>
      </c>
      <c r="GI1" s="223">
        <f t="shared" si="0"/>
        <v>191</v>
      </c>
      <c r="GJ1" s="223">
        <f t="shared" si="0"/>
        <v>192</v>
      </c>
      <c r="GK1" s="223">
        <f t="shared" si="0"/>
        <v>193</v>
      </c>
      <c r="GL1" s="223">
        <f t="shared" si="0"/>
        <v>194</v>
      </c>
      <c r="GM1" s="223">
        <f t="shared" si="0"/>
        <v>195</v>
      </c>
      <c r="GN1" s="223">
        <f t="shared" si="0"/>
        <v>196</v>
      </c>
      <c r="GO1" s="223">
        <f t="shared" si="0"/>
        <v>197</v>
      </c>
      <c r="GP1" s="223">
        <f t="shared" si="0"/>
        <v>198</v>
      </c>
      <c r="GQ1" s="223">
        <f t="shared" si="0"/>
        <v>199</v>
      </c>
      <c r="GR1" s="223">
        <f t="shared" si="0"/>
        <v>200</v>
      </c>
      <c r="GS1" s="223">
        <f t="shared" si="0"/>
        <v>201</v>
      </c>
      <c r="GT1" s="223">
        <f t="shared" si="0"/>
        <v>202</v>
      </c>
      <c r="GU1" s="223">
        <f t="shared" si="0"/>
        <v>203</v>
      </c>
      <c r="GV1" s="223">
        <f t="shared" si="0"/>
        <v>204</v>
      </c>
      <c r="GW1" s="223">
        <f t="shared" si="0"/>
        <v>205</v>
      </c>
      <c r="GX1" s="223">
        <f t="shared" si="0"/>
        <v>206</v>
      </c>
      <c r="GY1" s="223">
        <f t="shared" si="0"/>
        <v>207</v>
      </c>
      <c r="GZ1" s="223">
        <f t="shared" si="0"/>
        <v>208</v>
      </c>
      <c r="HA1" s="223">
        <f t="shared" si="0"/>
        <v>209</v>
      </c>
      <c r="HB1" s="223">
        <f t="shared" si="0"/>
        <v>210</v>
      </c>
      <c r="HC1" s="223">
        <f t="shared" si="0"/>
        <v>211</v>
      </c>
      <c r="HD1" s="223">
        <f t="shared" si="0"/>
        <v>212</v>
      </c>
      <c r="HE1" s="223">
        <f t="shared" si="0"/>
        <v>213</v>
      </c>
      <c r="HF1" s="223">
        <f t="shared" si="0"/>
        <v>214</v>
      </c>
      <c r="HG1" s="223">
        <f t="shared" si="0"/>
        <v>215</v>
      </c>
      <c r="HH1" s="223">
        <f t="shared" si="0"/>
        <v>216</v>
      </c>
      <c r="HI1" s="223">
        <f t="shared" si="0"/>
        <v>217</v>
      </c>
      <c r="HJ1" s="223">
        <f t="shared" si="0"/>
        <v>218</v>
      </c>
      <c r="HK1" s="223">
        <f t="shared" si="0"/>
        <v>219</v>
      </c>
      <c r="HL1" s="223">
        <f t="shared" si="0"/>
        <v>220</v>
      </c>
      <c r="HM1" s="223">
        <f t="shared" si="0"/>
        <v>221</v>
      </c>
      <c r="HN1" s="223">
        <f t="shared" si="0"/>
        <v>222</v>
      </c>
      <c r="HO1" s="223">
        <f t="shared" si="0"/>
        <v>223</v>
      </c>
      <c r="HP1" s="223">
        <f t="shared" si="0"/>
        <v>224</v>
      </c>
      <c r="HQ1" s="223">
        <f t="shared" si="0"/>
        <v>225</v>
      </c>
      <c r="HR1" s="223">
        <f t="shared" si="0"/>
        <v>226</v>
      </c>
      <c r="HS1" s="223">
        <f t="shared" si="0"/>
        <v>227</v>
      </c>
      <c r="HT1" s="223">
        <f t="shared" si="0"/>
        <v>228</v>
      </c>
      <c r="HU1" s="223">
        <f t="shared" si="0"/>
        <v>229</v>
      </c>
      <c r="HV1" s="223">
        <f t="shared" si="0"/>
        <v>230</v>
      </c>
      <c r="HW1" s="223">
        <f t="shared" si="0"/>
        <v>231</v>
      </c>
      <c r="HX1" s="223">
        <f t="shared" si="0"/>
        <v>232</v>
      </c>
      <c r="HY1" s="223">
        <f t="shared" si="0"/>
        <v>233</v>
      </c>
      <c r="HZ1" s="223">
        <f t="shared" si="0"/>
        <v>234</v>
      </c>
      <c r="IA1" s="223">
        <f t="shared" si="0"/>
        <v>235</v>
      </c>
      <c r="IB1" s="223">
        <f t="shared" si="0"/>
        <v>236</v>
      </c>
      <c r="IC1" s="223">
        <f t="shared" si="0"/>
        <v>237</v>
      </c>
      <c r="ID1" s="223">
        <f t="shared" si="0"/>
        <v>238</v>
      </c>
      <c r="IE1" s="223">
        <f t="shared" si="0"/>
        <v>239</v>
      </c>
      <c r="IF1" s="223">
        <f t="shared" si="0"/>
        <v>240</v>
      </c>
      <c r="IG1" s="223">
        <f t="shared" si="0"/>
        <v>241</v>
      </c>
      <c r="IH1" s="223">
        <f t="shared" ref="IH1:JO1" si="1">IG1+1</f>
        <v>242</v>
      </c>
      <c r="II1" s="223">
        <f t="shared" si="1"/>
        <v>243</v>
      </c>
      <c r="IJ1" s="223">
        <f t="shared" si="1"/>
        <v>244</v>
      </c>
      <c r="IK1" s="223">
        <f t="shared" si="1"/>
        <v>245</v>
      </c>
      <c r="IL1" s="223">
        <f t="shared" si="1"/>
        <v>246</v>
      </c>
      <c r="IM1" s="223">
        <f t="shared" si="1"/>
        <v>247</v>
      </c>
      <c r="IN1" s="223">
        <f t="shared" si="1"/>
        <v>248</v>
      </c>
      <c r="IO1" s="223">
        <f t="shared" si="1"/>
        <v>249</v>
      </c>
      <c r="IP1" s="223">
        <f t="shared" si="1"/>
        <v>250</v>
      </c>
      <c r="IQ1" s="223">
        <f t="shared" si="1"/>
        <v>251</v>
      </c>
      <c r="IR1" s="223">
        <f t="shared" si="1"/>
        <v>252</v>
      </c>
      <c r="IS1" s="223">
        <f t="shared" si="1"/>
        <v>253</v>
      </c>
      <c r="IT1" s="223">
        <f t="shared" si="1"/>
        <v>254</v>
      </c>
      <c r="IU1" s="223">
        <f t="shared" si="1"/>
        <v>255</v>
      </c>
      <c r="IV1" s="223">
        <f t="shared" si="1"/>
        <v>256</v>
      </c>
      <c r="IW1" s="223">
        <f t="shared" si="1"/>
        <v>257</v>
      </c>
      <c r="IX1" s="223">
        <f t="shared" si="1"/>
        <v>258</v>
      </c>
      <c r="IY1" s="223">
        <f t="shared" si="1"/>
        <v>259</v>
      </c>
      <c r="IZ1" s="223">
        <f t="shared" si="1"/>
        <v>260</v>
      </c>
      <c r="JA1" s="223">
        <f t="shared" si="1"/>
        <v>261</v>
      </c>
      <c r="JB1" s="223">
        <f t="shared" si="1"/>
        <v>262</v>
      </c>
      <c r="JC1" s="223">
        <f t="shared" si="1"/>
        <v>263</v>
      </c>
      <c r="JD1" s="223">
        <f t="shared" si="1"/>
        <v>264</v>
      </c>
      <c r="JE1" s="223">
        <f t="shared" si="1"/>
        <v>265</v>
      </c>
      <c r="JF1" s="223">
        <f t="shared" si="1"/>
        <v>266</v>
      </c>
      <c r="JG1" s="223">
        <f t="shared" si="1"/>
        <v>267</v>
      </c>
      <c r="JH1" s="223">
        <f t="shared" si="1"/>
        <v>268</v>
      </c>
      <c r="JI1" s="223">
        <f t="shared" si="1"/>
        <v>269</v>
      </c>
      <c r="JJ1" s="223">
        <f t="shared" si="1"/>
        <v>270</v>
      </c>
      <c r="JK1" s="223">
        <f t="shared" si="1"/>
        <v>271</v>
      </c>
      <c r="JL1" s="223">
        <f t="shared" si="1"/>
        <v>272</v>
      </c>
      <c r="JM1" s="223">
        <f t="shared" si="1"/>
        <v>273</v>
      </c>
      <c r="JN1" s="223">
        <f t="shared" si="1"/>
        <v>274</v>
      </c>
      <c r="JO1" s="223">
        <f t="shared" si="1"/>
        <v>275</v>
      </c>
    </row>
    <row r="2" spans="1:275" ht="14.25" customHeight="1" thickBot="1">
      <c r="A2" s="50"/>
      <c r="B2" s="1"/>
      <c r="C2" s="50"/>
      <c r="D2" s="50"/>
      <c r="E2" s="50"/>
      <c r="F2" s="255" t="s">
        <v>13</v>
      </c>
      <c r="G2" s="255"/>
      <c r="H2" s="255"/>
      <c r="I2" s="255"/>
      <c r="J2" s="255"/>
      <c r="K2" s="255"/>
      <c r="L2" s="255"/>
      <c r="M2" s="255"/>
      <c r="N2" s="255"/>
      <c r="O2" s="255"/>
      <c r="P2" s="263" t="s">
        <v>14</v>
      </c>
      <c r="Q2" s="255"/>
      <c r="R2" s="255"/>
      <c r="S2" s="262"/>
      <c r="T2" s="262"/>
      <c r="U2" s="262"/>
      <c r="V2" s="262"/>
      <c r="W2" s="262"/>
      <c r="X2" s="262"/>
      <c r="Y2" s="259" t="s">
        <v>64</v>
      </c>
      <c r="Z2" s="259"/>
      <c r="AA2" s="259"/>
      <c r="AB2" s="259"/>
      <c r="AC2" s="259"/>
      <c r="AD2" s="259"/>
      <c r="AE2" s="259"/>
      <c r="AF2" s="259"/>
      <c r="AG2" s="259"/>
      <c r="AH2" s="259"/>
      <c r="AI2" s="259"/>
      <c r="AJ2" s="259"/>
      <c r="AK2" s="259"/>
      <c r="AL2" s="266"/>
      <c r="AM2" s="258" t="s">
        <v>65</v>
      </c>
      <c r="AN2" s="258"/>
      <c r="AO2" s="259"/>
      <c r="AP2" s="259"/>
      <c r="AQ2" s="259"/>
      <c r="AR2" s="259"/>
      <c r="AS2" s="259"/>
      <c r="AT2" s="259"/>
      <c r="AU2" s="259"/>
      <c r="AV2" s="259"/>
      <c r="AW2" s="262"/>
      <c r="AX2" s="262"/>
      <c r="AY2" s="262"/>
      <c r="AZ2" s="262"/>
      <c r="BA2" s="262"/>
      <c r="BB2" s="262"/>
      <c r="BC2" s="262"/>
      <c r="BD2" s="262"/>
      <c r="BE2" s="262"/>
      <c r="BF2" s="262"/>
      <c r="BG2" s="259"/>
      <c r="BH2" s="259"/>
      <c r="BI2" s="259"/>
      <c r="BJ2" s="259"/>
      <c r="BK2" s="259"/>
      <c r="BL2" s="259"/>
      <c r="BM2" s="259"/>
      <c r="BN2" s="262"/>
      <c r="BO2" s="262"/>
      <c r="BP2" s="262"/>
      <c r="BQ2" s="262"/>
      <c r="BR2" s="262"/>
      <c r="BS2" s="262"/>
      <c r="BT2" s="262"/>
      <c r="BU2" s="262"/>
      <c r="BV2" s="262"/>
      <c r="BW2" s="262"/>
      <c r="BX2" s="262"/>
      <c r="BY2" s="262"/>
      <c r="BZ2" s="262"/>
      <c r="CA2" s="255" t="s">
        <v>94</v>
      </c>
      <c r="CB2" s="255"/>
      <c r="CC2" s="255"/>
      <c r="CD2" s="255"/>
      <c r="CE2" s="255"/>
      <c r="CF2" s="255"/>
      <c r="CG2" s="255"/>
      <c r="CH2" s="255"/>
      <c r="CI2" s="255"/>
      <c r="CJ2" s="255"/>
      <c r="CK2" s="255"/>
      <c r="CL2" s="255"/>
      <c r="CM2" s="255"/>
      <c r="CN2" s="255"/>
      <c r="CO2" s="255"/>
      <c r="CP2" s="255"/>
      <c r="CQ2" s="255"/>
      <c r="CR2" s="255"/>
      <c r="CS2" s="255"/>
      <c r="CT2" s="255"/>
      <c r="CU2" s="255"/>
      <c r="CV2" s="267"/>
      <c r="CW2" s="255"/>
      <c r="CX2" s="255"/>
      <c r="CY2" s="255"/>
      <c r="CZ2" s="255"/>
      <c r="DA2" s="267"/>
      <c r="DB2" s="255"/>
      <c r="DC2" s="255"/>
      <c r="DD2" s="255"/>
      <c r="DE2" s="255"/>
      <c r="DF2" s="267"/>
      <c r="DG2" s="255"/>
      <c r="DH2" s="255"/>
      <c r="DI2" s="268"/>
      <c r="DJ2" s="270" t="s">
        <v>95</v>
      </c>
      <c r="DK2" s="253"/>
      <c r="DL2" s="253"/>
      <c r="DM2" s="253"/>
      <c r="DN2" s="253"/>
      <c r="DO2" s="253"/>
      <c r="DP2" s="253"/>
      <c r="DQ2" s="253"/>
      <c r="DR2" s="253"/>
      <c r="DS2" s="253"/>
      <c r="DT2" s="253"/>
      <c r="DU2" s="253"/>
      <c r="DV2" s="253"/>
      <c r="DW2" s="253"/>
      <c r="DX2" s="253"/>
      <c r="DY2" s="253"/>
      <c r="DZ2" s="253"/>
      <c r="EA2" s="253"/>
      <c r="EB2" s="253"/>
      <c r="EC2" s="253"/>
      <c r="ED2" s="253"/>
      <c r="EE2" s="253"/>
      <c r="EF2" s="253"/>
      <c r="EG2" s="253"/>
      <c r="EH2" s="254"/>
      <c r="EI2" s="255" t="s">
        <v>96</v>
      </c>
      <c r="EJ2" s="255"/>
      <c r="EK2" s="255"/>
      <c r="EL2" s="257"/>
      <c r="EM2" s="257"/>
      <c r="EN2" s="257"/>
      <c r="EO2" s="255"/>
      <c r="EP2" s="255"/>
      <c r="EQ2" s="255"/>
      <c r="ER2" s="255"/>
      <c r="ES2" s="255"/>
      <c r="ET2" s="255"/>
      <c r="EU2" s="255"/>
      <c r="EV2" s="255"/>
      <c r="EW2" s="255"/>
      <c r="EX2" s="255"/>
      <c r="EY2" s="257"/>
      <c r="EZ2" s="257"/>
      <c r="FA2" s="257"/>
      <c r="FB2" s="257"/>
      <c r="FC2" s="252" t="s">
        <v>142</v>
      </c>
      <c r="FD2" s="253"/>
      <c r="FE2" s="253"/>
      <c r="FF2" s="253"/>
      <c r="FG2" s="253"/>
      <c r="FH2" s="254"/>
      <c r="FI2" s="252" t="s">
        <v>133</v>
      </c>
      <c r="FJ2" s="265"/>
      <c r="FK2" s="254" t="s">
        <v>134</v>
      </c>
      <c r="FL2" s="255"/>
      <c r="FM2" s="254" t="s">
        <v>135</v>
      </c>
      <c r="FN2" s="255"/>
      <c r="FO2" s="257"/>
      <c r="FP2" s="257"/>
      <c r="FQ2" s="257"/>
      <c r="FR2" s="257"/>
      <c r="FS2" s="257"/>
      <c r="FT2" s="252" t="s">
        <v>146</v>
      </c>
      <c r="FU2" s="253"/>
      <c r="FV2" s="253"/>
      <c r="FW2" s="253"/>
      <c r="FX2" s="254"/>
      <c r="FY2" s="252" t="s">
        <v>147</v>
      </c>
      <c r="FZ2" s="253"/>
      <c r="GA2" s="253"/>
      <c r="GB2" s="253"/>
      <c r="GC2" s="254"/>
      <c r="GD2" s="252" t="s">
        <v>149</v>
      </c>
      <c r="GE2" s="253"/>
      <c r="GF2" s="253"/>
      <c r="GG2" s="253"/>
      <c r="GH2" s="254"/>
      <c r="GI2" s="252" t="s">
        <v>150</v>
      </c>
      <c r="GJ2" s="253"/>
      <c r="GK2" s="253"/>
      <c r="GL2" s="253"/>
      <c r="GM2" s="254"/>
      <c r="GN2" s="252" t="s">
        <v>151</v>
      </c>
      <c r="GO2" s="253"/>
      <c r="GP2" s="253"/>
      <c r="GQ2" s="253"/>
      <c r="GR2" s="254"/>
      <c r="GS2" s="252" t="s">
        <v>152</v>
      </c>
      <c r="GT2" s="253"/>
      <c r="GU2" s="253"/>
      <c r="GV2" s="253"/>
      <c r="GW2" s="254"/>
      <c r="GX2" s="252" t="s">
        <v>153</v>
      </c>
      <c r="GY2" s="253"/>
      <c r="GZ2" s="253"/>
      <c r="HA2" s="253"/>
      <c r="HB2" s="254"/>
      <c r="HC2" s="252" t="s">
        <v>154</v>
      </c>
      <c r="HD2" s="253"/>
      <c r="HE2" s="253"/>
      <c r="HF2" s="253"/>
      <c r="HG2" s="254"/>
      <c r="HH2" s="252" t="s">
        <v>155</v>
      </c>
      <c r="HI2" s="253"/>
      <c r="HJ2" s="253"/>
      <c r="HK2" s="253"/>
      <c r="HL2" s="254"/>
      <c r="HM2" s="252" t="s">
        <v>156</v>
      </c>
      <c r="HN2" s="253"/>
      <c r="HO2" s="253"/>
      <c r="HP2" s="253"/>
      <c r="HQ2" s="254"/>
      <c r="HR2" s="252" t="s">
        <v>157</v>
      </c>
      <c r="HS2" s="253"/>
      <c r="HT2" s="253"/>
      <c r="HU2" s="253"/>
      <c r="HV2" s="254"/>
      <c r="HW2" s="252" t="s">
        <v>158</v>
      </c>
      <c r="HX2" s="253"/>
      <c r="HY2" s="253"/>
      <c r="HZ2" s="253"/>
      <c r="IA2" s="254"/>
      <c r="IB2" s="252" t="s">
        <v>159</v>
      </c>
      <c r="IC2" s="253"/>
      <c r="ID2" s="253"/>
      <c r="IE2" s="253"/>
      <c r="IF2" s="254"/>
      <c r="IG2" s="252" t="s">
        <v>160</v>
      </c>
      <c r="IH2" s="253"/>
      <c r="II2" s="253"/>
      <c r="IJ2" s="253"/>
      <c r="IK2" s="254"/>
      <c r="IL2" s="252" t="s">
        <v>161</v>
      </c>
      <c r="IM2" s="253"/>
      <c r="IN2" s="253"/>
      <c r="IO2" s="253"/>
      <c r="IP2" s="254"/>
      <c r="IQ2" s="252" t="s">
        <v>162</v>
      </c>
      <c r="IR2" s="253"/>
      <c r="IS2" s="253"/>
      <c r="IT2" s="253"/>
      <c r="IU2" s="254"/>
      <c r="IV2" s="252" t="s">
        <v>163</v>
      </c>
      <c r="IW2" s="253"/>
      <c r="IX2" s="253"/>
      <c r="IY2" s="253"/>
      <c r="IZ2" s="254"/>
      <c r="JA2" s="252" t="s">
        <v>164</v>
      </c>
      <c r="JB2" s="253"/>
      <c r="JC2" s="253"/>
      <c r="JD2" s="253"/>
      <c r="JE2" s="254"/>
      <c r="JF2" s="252" t="s">
        <v>165</v>
      </c>
      <c r="JG2" s="253"/>
      <c r="JH2" s="253"/>
      <c r="JI2" s="253"/>
      <c r="JJ2" s="254"/>
      <c r="JK2" s="252" t="s">
        <v>166</v>
      </c>
      <c r="JL2" s="253"/>
      <c r="JM2" s="253"/>
      <c r="JN2" s="253"/>
      <c r="JO2" s="254"/>
    </row>
    <row r="3" spans="1:275" s="50" customFormat="1" ht="92">
      <c r="A3" s="20" t="s">
        <v>10</v>
      </c>
      <c r="B3" s="21" t="s">
        <v>11</v>
      </c>
      <c r="C3" s="21" t="s">
        <v>15</v>
      </c>
      <c r="D3" s="21" t="s">
        <v>121</v>
      </c>
      <c r="E3" s="22" t="s">
        <v>131</v>
      </c>
      <c r="F3" s="23" t="s">
        <v>0</v>
      </c>
      <c r="G3" s="24" t="s">
        <v>2</v>
      </c>
      <c r="H3" s="25" t="s">
        <v>12</v>
      </c>
      <c r="I3" s="26" t="s">
        <v>4</v>
      </c>
      <c r="J3" s="24" t="s">
        <v>458</v>
      </c>
      <c r="K3" s="24" t="s">
        <v>459</v>
      </c>
      <c r="L3" s="24" t="s">
        <v>460</v>
      </c>
      <c r="M3" s="24" t="s">
        <v>461</v>
      </c>
      <c r="N3" s="24" t="s">
        <v>462</v>
      </c>
      <c r="O3" s="26" t="s">
        <v>463</v>
      </c>
      <c r="P3" s="27" t="s">
        <v>0</v>
      </c>
      <c r="Q3" s="28" t="s">
        <v>2</v>
      </c>
      <c r="R3" s="29" t="s">
        <v>12</v>
      </c>
      <c r="S3" s="30" t="s">
        <v>7</v>
      </c>
      <c r="T3" s="24" t="s">
        <v>229</v>
      </c>
      <c r="U3" s="24" t="s">
        <v>122</v>
      </c>
      <c r="V3" s="24" t="s">
        <v>123</v>
      </c>
      <c r="W3" s="24" t="s">
        <v>9</v>
      </c>
      <c r="X3" s="31" t="s">
        <v>18</v>
      </c>
      <c r="Y3" s="20" t="s">
        <v>59</v>
      </c>
      <c r="Z3" s="21" t="s">
        <v>41</v>
      </c>
      <c r="AA3" s="21" t="s">
        <v>57</v>
      </c>
      <c r="AB3" s="21" t="s">
        <v>42</v>
      </c>
      <c r="AC3" s="21" t="s">
        <v>124</v>
      </c>
      <c r="AD3" s="21" t="s">
        <v>44</v>
      </c>
      <c r="AE3" s="21" t="s">
        <v>45</v>
      </c>
      <c r="AF3" s="21" t="s">
        <v>46</v>
      </c>
      <c r="AG3" s="21" t="s">
        <v>43</v>
      </c>
      <c r="AH3" s="21" t="s">
        <v>58</v>
      </c>
      <c r="AI3" s="21" t="s">
        <v>47</v>
      </c>
      <c r="AJ3" s="21" t="s">
        <v>48</v>
      </c>
      <c r="AK3" s="21" t="s">
        <v>49</v>
      </c>
      <c r="AL3" s="32" t="s">
        <v>50</v>
      </c>
      <c r="AM3" s="33" t="s">
        <v>51</v>
      </c>
      <c r="AN3" s="21" t="s">
        <v>59</v>
      </c>
      <c r="AO3" s="21" t="s">
        <v>52</v>
      </c>
      <c r="AP3" s="21" t="s">
        <v>53</v>
      </c>
      <c r="AQ3" s="21" t="s">
        <v>60</v>
      </c>
      <c r="AR3" s="21" t="s">
        <v>54</v>
      </c>
      <c r="AS3" s="21" t="s">
        <v>56</v>
      </c>
      <c r="AT3" s="21" t="s">
        <v>61</v>
      </c>
      <c r="AU3" s="21" t="s">
        <v>55</v>
      </c>
      <c r="AV3" s="34" t="s">
        <v>62</v>
      </c>
      <c r="AW3" s="35">
        <v>1</v>
      </c>
      <c r="AX3" s="36">
        <v>2</v>
      </c>
      <c r="AY3" s="36">
        <v>3</v>
      </c>
      <c r="AZ3" s="36">
        <v>4</v>
      </c>
      <c r="BA3" s="36">
        <v>5</v>
      </c>
      <c r="BB3" s="36">
        <v>6</v>
      </c>
      <c r="BC3" s="36">
        <v>7</v>
      </c>
      <c r="BD3" s="36">
        <v>8</v>
      </c>
      <c r="BE3" s="36">
        <v>9</v>
      </c>
      <c r="BF3" s="37">
        <v>10</v>
      </c>
      <c r="BG3" s="33" t="s">
        <v>67</v>
      </c>
      <c r="BH3" s="21" t="s">
        <v>73</v>
      </c>
      <c r="BI3" s="21" t="s">
        <v>68</v>
      </c>
      <c r="BJ3" s="21" t="s">
        <v>69</v>
      </c>
      <c r="BK3" s="21" t="s">
        <v>70</v>
      </c>
      <c r="BL3" s="21" t="s">
        <v>71</v>
      </c>
      <c r="BM3" s="22" t="s">
        <v>72</v>
      </c>
      <c r="BN3" s="38" t="s">
        <v>87</v>
      </c>
      <c r="BO3" s="21" t="s">
        <v>75</v>
      </c>
      <c r="BP3" s="21" t="s">
        <v>76</v>
      </c>
      <c r="BQ3" s="39" t="s">
        <v>77</v>
      </c>
      <c r="BR3" s="39" t="s">
        <v>78</v>
      </c>
      <c r="BS3" s="39" t="s">
        <v>79</v>
      </c>
      <c r="BT3" s="39" t="s">
        <v>80</v>
      </c>
      <c r="BU3" s="39" t="s">
        <v>81</v>
      </c>
      <c r="BV3" s="39" t="s">
        <v>82</v>
      </c>
      <c r="BW3" s="39" t="s">
        <v>83</v>
      </c>
      <c r="BX3" s="39" t="s">
        <v>84</v>
      </c>
      <c r="BY3" s="39" t="s">
        <v>85</v>
      </c>
      <c r="BZ3" s="22" t="s">
        <v>86</v>
      </c>
      <c r="CA3" s="40" t="s">
        <v>19</v>
      </c>
      <c r="CB3" s="41" t="s">
        <v>167</v>
      </c>
      <c r="CC3" s="36" t="s">
        <v>20</v>
      </c>
      <c r="CD3" s="36" t="s">
        <v>168</v>
      </c>
      <c r="CE3" s="42" t="s">
        <v>21</v>
      </c>
      <c r="CF3" s="35" t="s">
        <v>22</v>
      </c>
      <c r="CG3" s="41" t="s">
        <v>169</v>
      </c>
      <c r="CH3" s="36" t="s">
        <v>23</v>
      </c>
      <c r="CI3" s="36" t="s">
        <v>170</v>
      </c>
      <c r="CJ3" s="42" t="s">
        <v>24</v>
      </c>
      <c r="CK3" s="35" t="s">
        <v>25</v>
      </c>
      <c r="CL3" s="41" t="s">
        <v>171</v>
      </c>
      <c r="CM3" s="36" t="s">
        <v>26</v>
      </c>
      <c r="CN3" s="36" t="s">
        <v>172</v>
      </c>
      <c r="CO3" s="42" t="s">
        <v>27</v>
      </c>
      <c r="CP3" s="35" t="s">
        <v>28</v>
      </c>
      <c r="CQ3" s="41" t="s">
        <v>173</v>
      </c>
      <c r="CR3" s="36" t="s">
        <v>29</v>
      </c>
      <c r="CS3" s="36" t="s">
        <v>174</v>
      </c>
      <c r="CT3" s="42" t="s">
        <v>30</v>
      </c>
      <c r="CU3" s="35" t="s">
        <v>31</v>
      </c>
      <c r="CV3" s="41" t="s">
        <v>175</v>
      </c>
      <c r="CW3" s="36" t="s">
        <v>32</v>
      </c>
      <c r="CX3" s="36" t="s">
        <v>176</v>
      </c>
      <c r="CY3" s="42" t="s">
        <v>33</v>
      </c>
      <c r="CZ3" s="35" t="s">
        <v>34</v>
      </c>
      <c r="DA3" s="41" t="s">
        <v>177</v>
      </c>
      <c r="DB3" s="36" t="s">
        <v>35</v>
      </c>
      <c r="DC3" s="36" t="s">
        <v>178</v>
      </c>
      <c r="DD3" s="42" t="s">
        <v>36</v>
      </c>
      <c r="DE3" s="35" t="s">
        <v>37</v>
      </c>
      <c r="DF3" s="41" t="s">
        <v>179</v>
      </c>
      <c r="DG3" s="36" t="s">
        <v>38</v>
      </c>
      <c r="DH3" s="36" t="s">
        <v>180</v>
      </c>
      <c r="DI3" s="43" t="s">
        <v>39</v>
      </c>
      <c r="DJ3" s="51" t="s">
        <v>233</v>
      </c>
      <c r="DK3" s="44" t="s">
        <v>88</v>
      </c>
      <c r="DL3" s="25" t="s">
        <v>181</v>
      </c>
      <c r="DM3" s="25" t="s">
        <v>182</v>
      </c>
      <c r="DN3" s="42" t="s">
        <v>21</v>
      </c>
      <c r="DO3" s="25" t="s">
        <v>89</v>
      </c>
      <c r="DP3" s="25" t="s">
        <v>183</v>
      </c>
      <c r="DQ3" s="25" t="s">
        <v>170</v>
      </c>
      <c r="DR3" s="42" t="s">
        <v>24</v>
      </c>
      <c r="DS3" s="25" t="s">
        <v>90</v>
      </c>
      <c r="DT3" s="25" t="s">
        <v>184</v>
      </c>
      <c r="DU3" s="25" t="s">
        <v>172</v>
      </c>
      <c r="DV3" s="42" t="s">
        <v>27</v>
      </c>
      <c r="DW3" s="25" t="s">
        <v>91</v>
      </c>
      <c r="DX3" s="25" t="s">
        <v>185</v>
      </c>
      <c r="DY3" s="25" t="s">
        <v>174</v>
      </c>
      <c r="DZ3" s="42" t="s">
        <v>30</v>
      </c>
      <c r="EA3" s="25" t="s">
        <v>92</v>
      </c>
      <c r="EB3" s="25" t="s">
        <v>186</v>
      </c>
      <c r="EC3" s="25" t="s">
        <v>176</v>
      </c>
      <c r="ED3" s="42" t="s">
        <v>33</v>
      </c>
      <c r="EE3" s="25" t="s">
        <v>93</v>
      </c>
      <c r="EF3" s="25" t="s">
        <v>187</v>
      </c>
      <c r="EG3" s="45" t="s">
        <v>178</v>
      </c>
      <c r="EH3" s="46" t="s">
        <v>36</v>
      </c>
      <c r="EI3" s="35" t="s">
        <v>97</v>
      </c>
      <c r="EJ3" s="190" t="s">
        <v>98</v>
      </c>
      <c r="EK3" s="189" t="s">
        <v>99</v>
      </c>
      <c r="EL3" s="20" t="s">
        <v>101</v>
      </c>
      <c r="EM3" s="21" t="s">
        <v>102</v>
      </c>
      <c r="EN3" s="22" t="s">
        <v>103</v>
      </c>
      <c r="EO3" s="33" t="s">
        <v>105</v>
      </c>
      <c r="EP3" s="47" t="s">
        <v>125</v>
      </c>
      <c r="EQ3" s="103" t="s">
        <v>106</v>
      </c>
      <c r="ER3" s="47" t="s">
        <v>107</v>
      </c>
      <c r="ES3" s="47" t="s">
        <v>108</v>
      </c>
      <c r="ET3" s="47" t="s">
        <v>109</v>
      </c>
      <c r="EU3" s="47" t="s">
        <v>126</v>
      </c>
      <c r="EV3" s="47" t="s">
        <v>106</v>
      </c>
      <c r="EW3" s="47" t="s">
        <v>110</v>
      </c>
      <c r="EX3" s="34" t="s">
        <v>111</v>
      </c>
      <c r="EY3" s="38" t="s">
        <v>127</v>
      </c>
      <c r="EZ3" s="47" t="s">
        <v>128</v>
      </c>
      <c r="FA3" s="47" t="s">
        <v>113</v>
      </c>
      <c r="FB3" s="34" t="s">
        <v>114</v>
      </c>
      <c r="FC3" s="33" t="s">
        <v>116</v>
      </c>
      <c r="FD3" s="33" t="s">
        <v>132</v>
      </c>
      <c r="FE3" s="33" t="s">
        <v>117</v>
      </c>
      <c r="FF3" s="33" t="s">
        <v>188</v>
      </c>
      <c r="FG3" s="33" t="s">
        <v>189</v>
      </c>
      <c r="FH3" s="48" t="s">
        <v>190</v>
      </c>
      <c r="FI3" s="38" t="s">
        <v>136</v>
      </c>
      <c r="FJ3" s="49" t="s">
        <v>137</v>
      </c>
      <c r="FK3" s="38" t="s">
        <v>138</v>
      </c>
      <c r="FL3" s="49" t="s">
        <v>139</v>
      </c>
      <c r="FM3" s="38" t="s">
        <v>140</v>
      </c>
      <c r="FN3" s="49" t="s">
        <v>141</v>
      </c>
      <c r="FO3" s="33" t="s">
        <v>191</v>
      </c>
      <c r="FP3" s="103" t="s">
        <v>232</v>
      </c>
      <c r="FQ3" s="21" t="s">
        <v>120</v>
      </c>
      <c r="FR3" s="47" t="s">
        <v>129</v>
      </c>
      <c r="FS3" s="34" t="s">
        <v>130</v>
      </c>
      <c r="FT3" s="20" t="s">
        <v>148</v>
      </c>
      <c r="FU3" s="36" t="s">
        <v>144</v>
      </c>
      <c r="FV3" s="36" t="s">
        <v>234</v>
      </c>
      <c r="FW3" s="36" t="s">
        <v>143</v>
      </c>
      <c r="FX3" s="48" t="s">
        <v>235</v>
      </c>
      <c r="FY3" s="33" t="s">
        <v>148</v>
      </c>
      <c r="FZ3" s="36" t="s">
        <v>144</v>
      </c>
      <c r="GA3" s="36" t="s">
        <v>145</v>
      </c>
      <c r="GB3" s="36" t="s">
        <v>143</v>
      </c>
      <c r="GC3" s="191" t="s">
        <v>235</v>
      </c>
      <c r="GD3" s="33" t="s">
        <v>148</v>
      </c>
      <c r="GE3" s="36" t="s">
        <v>144</v>
      </c>
      <c r="GF3" s="36" t="s">
        <v>145</v>
      </c>
      <c r="GG3" s="36" t="s">
        <v>143</v>
      </c>
      <c r="GH3" s="191" t="s">
        <v>235</v>
      </c>
      <c r="GI3" s="33" t="s">
        <v>148</v>
      </c>
      <c r="GJ3" s="36" t="s">
        <v>144</v>
      </c>
      <c r="GK3" s="36" t="s">
        <v>145</v>
      </c>
      <c r="GL3" s="36" t="s">
        <v>143</v>
      </c>
      <c r="GM3" s="191" t="s">
        <v>235</v>
      </c>
      <c r="GN3" s="33" t="s">
        <v>148</v>
      </c>
      <c r="GO3" s="36" t="s">
        <v>144</v>
      </c>
      <c r="GP3" s="36" t="s">
        <v>145</v>
      </c>
      <c r="GQ3" s="36" t="s">
        <v>143</v>
      </c>
      <c r="GR3" s="191" t="s">
        <v>235</v>
      </c>
      <c r="GS3" s="33" t="s">
        <v>148</v>
      </c>
      <c r="GT3" s="36" t="s">
        <v>144</v>
      </c>
      <c r="GU3" s="36" t="s">
        <v>145</v>
      </c>
      <c r="GV3" s="36" t="s">
        <v>143</v>
      </c>
      <c r="GW3" s="191" t="s">
        <v>235</v>
      </c>
      <c r="GX3" s="33" t="s">
        <v>148</v>
      </c>
      <c r="GY3" s="36" t="s">
        <v>144</v>
      </c>
      <c r="GZ3" s="36" t="s">
        <v>145</v>
      </c>
      <c r="HA3" s="36" t="s">
        <v>143</v>
      </c>
      <c r="HB3" s="191" t="s">
        <v>235</v>
      </c>
      <c r="HC3" s="33" t="s">
        <v>148</v>
      </c>
      <c r="HD3" s="36" t="s">
        <v>144</v>
      </c>
      <c r="HE3" s="36" t="s">
        <v>145</v>
      </c>
      <c r="HF3" s="36" t="s">
        <v>143</v>
      </c>
      <c r="HG3" s="193" t="s">
        <v>235</v>
      </c>
      <c r="HH3" s="33" t="s">
        <v>148</v>
      </c>
      <c r="HI3" s="36" t="s">
        <v>144</v>
      </c>
      <c r="HJ3" s="36" t="s">
        <v>145</v>
      </c>
      <c r="HK3" s="36" t="s">
        <v>143</v>
      </c>
      <c r="HL3" s="193" t="s">
        <v>235</v>
      </c>
      <c r="HM3" s="33" t="s">
        <v>148</v>
      </c>
      <c r="HN3" s="36" t="s">
        <v>144</v>
      </c>
      <c r="HO3" s="36" t="s">
        <v>145</v>
      </c>
      <c r="HP3" s="36" t="s">
        <v>143</v>
      </c>
      <c r="HQ3" s="193" t="s">
        <v>235</v>
      </c>
      <c r="HR3" s="33" t="s">
        <v>148</v>
      </c>
      <c r="HS3" s="36" t="s">
        <v>144</v>
      </c>
      <c r="HT3" s="36" t="s">
        <v>145</v>
      </c>
      <c r="HU3" s="36" t="s">
        <v>143</v>
      </c>
      <c r="HV3" s="193" t="s">
        <v>235</v>
      </c>
      <c r="HW3" s="33" t="s">
        <v>148</v>
      </c>
      <c r="HX3" s="36" t="s">
        <v>144</v>
      </c>
      <c r="HY3" s="36" t="s">
        <v>145</v>
      </c>
      <c r="HZ3" s="36" t="s">
        <v>143</v>
      </c>
      <c r="IA3" s="193" t="s">
        <v>235</v>
      </c>
      <c r="IB3" s="33" t="s">
        <v>148</v>
      </c>
      <c r="IC3" s="36" t="s">
        <v>144</v>
      </c>
      <c r="ID3" s="36" t="s">
        <v>145</v>
      </c>
      <c r="IE3" s="36" t="s">
        <v>143</v>
      </c>
      <c r="IF3" s="193" t="s">
        <v>235</v>
      </c>
      <c r="IG3" s="33" t="s">
        <v>148</v>
      </c>
      <c r="IH3" s="36" t="s">
        <v>144</v>
      </c>
      <c r="II3" s="36" t="s">
        <v>145</v>
      </c>
      <c r="IJ3" s="36" t="s">
        <v>143</v>
      </c>
      <c r="IK3" s="193" t="s">
        <v>235</v>
      </c>
      <c r="IL3" s="33" t="s">
        <v>148</v>
      </c>
      <c r="IM3" s="36" t="s">
        <v>144</v>
      </c>
      <c r="IN3" s="36" t="s">
        <v>145</v>
      </c>
      <c r="IO3" s="36" t="s">
        <v>143</v>
      </c>
      <c r="IP3" s="193" t="s">
        <v>235</v>
      </c>
      <c r="IQ3" s="33" t="s">
        <v>148</v>
      </c>
      <c r="IR3" s="36" t="s">
        <v>144</v>
      </c>
      <c r="IS3" s="36" t="s">
        <v>145</v>
      </c>
      <c r="IT3" s="36" t="s">
        <v>143</v>
      </c>
      <c r="IU3" s="193" t="s">
        <v>235</v>
      </c>
      <c r="IV3" s="33" t="s">
        <v>148</v>
      </c>
      <c r="IW3" s="36" t="s">
        <v>144</v>
      </c>
      <c r="IX3" s="36" t="s">
        <v>145</v>
      </c>
      <c r="IY3" s="36" t="s">
        <v>143</v>
      </c>
      <c r="IZ3" s="193" t="s">
        <v>235</v>
      </c>
      <c r="JA3" s="33" t="s">
        <v>148</v>
      </c>
      <c r="JB3" s="36" t="s">
        <v>144</v>
      </c>
      <c r="JC3" s="36" t="s">
        <v>145</v>
      </c>
      <c r="JD3" s="36" t="s">
        <v>143</v>
      </c>
      <c r="JE3" s="193" t="s">
        <v>235</v>
      </c>
      <c r="JF3" s="33" t="s">
        <v>148</v>
      </c>
      <c r="JG3" s="36" t="s">
        <v>144</v>
      </c>
      <c r="JH3" s="36" t="s">
        <v>145</v>
      </c>
      <c r="JI3" s="36" t="s">
        <v>143</v>
      </c>
      <c r="JJ3" s="193" t="s">
        <v>235</v>
      </c>
      <c r="JK3" s="33" t="s">
        <v>148</v>
      </c>
      <c r="JL3" s="36" t="s">
        <v>144</v>
      </c>
      <c r="JM3" s="36" t="s">
        <v>145</v>
      </c>
      <c r="JN3" s="36" t="s">
        <v>143</v>
      </c>
      <c r="JO3" s="193" t="s">
        <v>235</v>
      </c>
    </row>
    <row r="4" spans="1:275" s="301" customFormat="1" ht="15.75" customHeight="1">
      <c r="A4" s="274">
        <v>12128</v>
      </c>
      <c r="B4" s="275" t="s">
        <v>230</v>
      </c>
      <c r="C4" s="276"/>
      <c r="D4" s="276"/>
      <c r="E4" s="277"/>
      <c r="F4" s="278"/>
      <c r="G4" s="275"/>
      <c r="H4" s="275"/>
      <c r="I4" s="279"/>
      <c r="J4" s="275"/>
      <c r="K4" s="275"/>
      <c r="L4" s="280"/>
      <c r="M4" s="275"/>
      <c r="N4" s="275"/>
      <c r="O4" s="279"/>
      <c r="P4" s="281"/>
      <c r="Q4" s="275"/>
      <c r="R4" s="282"/>
      <c r="S4" s="278"/>
      <c r="T4" s="275" t="s">
        <v>192</v>
      </c>
      <c r="U4" s="283" t="s">
        <v>193</v>
      </c>
      <c r="V4" s="275" t="s">
        <v>236</v>
      </c>
      <c r="W4" s="275" t="s">
        <v>194</v>
      </c>
      <c r="X4" s="282" t="s">
        <v>195</v>
      </c>
      <c r="Y4" s="278" t="s">
        <v>198</v>
      </c>
      <c r="Z4" s="275" t="s">
        <v>198</v>
      </c>
      <c r="AA4" s="275" t="s">
        <v>198</v>
      </c>
      <c r="AB4" s="275" t="s">
        <v>198</v>
      </c>
      <c r="AC4" s="275" t="s">
        <v>198</v>
      </c>
      <c r="AD4" s="275" t="s">
        <v>198</v>
      </c>
      <c r="AE4" s="275" t="s">
        <v>198</v>
      </c>
      <c r="AF4" s="275" t="s">
        <v>198</v>
      </c>
      <c r="AG4" s="275" t="s">
        <v>198</v>
      </c>
      <c r="AH4" s="275" t="s">
        <v>198</v>
      </c>
      <c r="AI4" s="275" t="s">
        <v>198</v>
      </c>
      <c r="AJ4" s="275" t="s">
        <v>198</v>
      </c>
      <c r="AK4" s="275" t="s">
        <v>198</v>
      </c>
      <c r="AL4" s="279"/>
      <c r="AM4" s="284" t="s">
        <v>198</v>
      </c>
      <c r="AN4" s="275" t="s">
        <v>198</v>
      </c>
      <c r="AO4" s="275" t="s">
        <v>198</v>
      </c>
      <c r="AP4" s="275" t="s">
        <v>198</v>
      </c>
      <c r="AQ4" s="275" t="s">
        <v>198</v>
      </c>
      <c r="AR4" s="275" t="s">
        <v>198</v>
      </c>
      <c r="AS4" s="275" t="s">
        <v>198</v>
      </c>
      <c r="AT4" s="275" t="s">
        <v>198</v>
      </c>
      <c r="AU4" s="275" t="s">
        <v>198</v>
      </c>
      <c r="AV4" s="282"/>
      <c r="AW4" s="284" t="s">
        <v>196</v>
      </c>
      <c r="AX4" s="275"/>
      <c r="AY4" s="275"/>
      <c r="AZ4" s="275"/>
      <c r="BA4" s="275"/>
      <c r="BB4" s="275"/>
      <c r="BC4" s="275"/>
      <c r="BD4" s="275"/>
      <c r="BE4" s="275"/>
      <c r="BF4" s="282"/>
      <c r="BG4" s="284" t="s">
        <v>197</v>
      </c>
      <c r="BH4" s="275" t="s">
        <v>199</v>
      </c>
      <c r="BI4" s="275" t="s">
        <v>199</v>
      </c>
      <c r="BJ4" s="275" t="s">
        <v>200</v>
      </c>
      <c r="BK4" s="275" t="s">
        <v>198</v>
      </c>
      <c r="BL4" s="275" t="s">
        <v>198</v>
      </c>
      <c r="BM4" s="282" t="s">
        <v>198</v>
      </c>
      <c r="BN4" s="284"/>
      <c r="BO4" s="275">
        <v>130</v>
      </c>
      <c r="BP4" s="275">
        <v>31</v>
      </c>
      <c r="BQ4" s="285" t="s">
        <v>201</v>
      </c>
      <c r="BR4" s="285">
        <v>0</v>
      </c>
      <c r="BS4" s="285">
        <v>6</v>
      </c>
      <c r="BT4" s="285">
        <v>5</v>
      </c>
      <c r="BU4" s="285">
        <v>0.6</v>
      </c>
      <c r="BV4" s="285">
        <v>1.8</v>
      </c>
      <c r="BW4" s="285">
        <v>1</v>
      </c>
      <c r="BX4" s="286">
        <f t="shared" ref="BX4:BX5" si="2">BV4/2.5</f>
        <v>0.72</v>
      </c>
      <c r="BY4" s="285" t="s">
        <v>202</v>
      </c>
      <c r="BZ4" s="282" t="s">
        <v>203</v>
      </c>
      <c r="CA4" s="278" t="s">
        <v>208</v>
      </c>
      <c r="CB4" s="287">
        <v>3.6</v>
      </c>
      <c r="CC4" s="275" t="s">
        <v>231</v>
      </c>
      <c r="CD4" s="275" t="s">
        <v>204</v>
      </c>
      <c r="CE4" s="288" t="s">
        <v>205</v>
      </c>
      <c r="CF4" s="289" t="s">
        <v>207</v>
      </c>
      <c r="CG4" s="286">
        <v>1.1000000000000001</v>
      </c>
      <c r="CH4" s="275" t="s">
        <v>231</v>
      </c>
      <c r="CI4" s="275" t="s">
        <v>206</v>
      </c>
      <c r="CJ4" s="288" t="s">
        <v>205</v>
      </c>
      <c r="CK4" s="289" t="s">
        <v>209</v>
      </c>
      <c r="CL4" s="286">
        <v>1.8</v>
      </c>
      <c r="CM4" s="276" t="s">
        <v>231</v>
      </c>
      <c r="CN4" s="290" t="s">
        <v>206</v>
      </c>
      <c r="CO4" s="291" t="s">
        <v>205</v>
      </c>
      <c r="CP4" s="289" t="s">
        <v>239</v>
      </c>
      <c r="CQ4" s="287" t="s">
        <v>240</v>
      </c>
      <c r="CR4" s="275"/>
      <c r="CS4" s="275" t="s">
        <v>242</v>
      </c>
      <c r="CT4" s="292" t="s">
        <v>243</v>
      </c>
      <c r="CU4" s="284"/>
      <c r="CV4" s="287"/>
      <c r="CW4" s="275"/>
      <c r="CX4" s="275"/>
      <c r="CY4" s="292"/>
      <c r="CZ4" s="284"/>
      <c r="DA4" s="287"/>
      <c r="DB4" s="275"/>
      <c r="DC4" s="275"/>
      <c r="DD4" s="292"/>
      <c r="DE4" s="284"/>
      <c r="DF4" s="287"/>
      <c r="DG4" s="275"/>
      <c r="DH4" s="275"/>
      <c r="DI4" s="290"/>
      <c r="DJ4" s="293" t="s">
        <v>210</v>
      </c>
      <c r="DK4" s="289"/>
      <c r="DL4" s="275"/>
      <c r="DM4" s="275"/>
      <c r="DN4" s="292"/>
      <c r="DO4" s="275"/>
      <c r="DP4" s="275"/>
      <c r="DQ4" s="275"/>
      <c r="DR4" s="292"/>
      <c r="DS4" s="275"/>
      <c r="DT4" s="275"/>
      <c r="DU4" s="275"/>
      <c r="DV4" s="292"/>
      <c r="DW4" s="275"/>
      <c r="DX4" s="275"/>
      <c r="DY4" s="275"/>
      <c r="DZ4" s="292"/>
      <c r="EA4" s="275"/>
      <c r="EB4" s="275"/>
      <c r="EC4" s="275"/>
      <c r="ED4" s="292"/>
      <c r="EE4" s="275"/>
      <c r="EF4" s="275"/>
      <c r="EG4" s="290"/>
      <c r="EH4" s="279"/>
      <c r="EI4" s="284" t="s">
        <v>211</v>
      </c>
      <c r="EJ4" s="290" t="s">
        <v>213</v>
      </c>
      <c r="EK4" s="294" t="s">
        <v>212</v>
      </c>
      <c r="EL4" s="295" t="s">
        <v>214</v>
      </c>
      <c r="EM4" s="284" t="s">
        <v>210</v>
      </c>
      <c r="EN4" s="282" t="s">
        <v>224</v>
      </c>
      <c r="EO4" s="284" t="s">
        <v>216</v>
      </c>
      <c r="EP4" s="290"/>
      <c r="EQ4" s="275" t="s">
        <v>215</v>
      </c>
      <c r="ER4" s="275"/>
      <c r="ES4" s="275"/>
      <c r="ET4" s="275"/>
      <c r="EU4" s="275"/>
      <c r="EV4" s="275"/>
      <c r="EW4" s="275"/>
      <c r="EX4" s="282"/>
      <c r="EY4" s="284"/>
      <c r="EZ4" s="275"/>
      <c r="FA4" s="275"/>
      <c r="FB4" s="282"/>
      <c r="FC4" s="291" t="s">
        <v>220</v>
      </c>
      <c r="FD4" s="296" t="s">
        <v>198</v>
      </c>
      <c r="FE4" s="297" t="s">
        <v>210</v>
      </c>
      <c r="FF4" s="289" t="s">
        <v>217</v>
      </c>
      <c r="FG4" s="275" t="s">
        <v>218</v>
      </c>
      <c r="FH4" s="298" t="s">
        <v>219</v>
      </c>
      <c r="FI4" s="284"/>
      <c r="FJ4" s="279"/>
      <c r="FK4" s="284"/>
      <c r="FL4" s="279"/>
      <c r="FM4" s="284"/>
      <c r="FN4" s="282"/>
      <c r="FO4" s="278" t="s">
        <v>221</v>
      </c>
      <c r="FP4" s="299" t="s">
        <v>222</v>
      </c>
      <c r="FQ4" s="284" t="s">
        <v>223</v>
      </c>
      <c r="FR4" s="275"/>
      <c r="FS4" s="282"/>
      <c r="FT4" s="278" t="s">
        <v>225</v>
      </c>
      <c r="FU4" s="286">
        <v>90</v>
      </c>
      <c r="FV4" s="275" t="s">
        <v>469</v>
      </c>
      <c r="FW4" s="275" t="s">
        <v>226</v>
      </c>
      <c r="FX4" s="300" t="s">
        <v>469</v>
      </c>
      <c r="FY4" s="284" t="s">
        <v>227</v>
      </c>
      <c r="FZ4" s="286">
        <v>80</v>
      </c>
      <c r="GA4" s="275" t="s">
        <v>470</v>
      </c>
      <c r="GB4" s="275" t="s">
        <v>291</v>
      </c>
      <c r="GC4" s="298" t="s">
        <v>469</v>
      </c>
      <c r="GD4" s="284" t="s">
        <v>228</v>
      </c>
      <c r="GE4" s="286">
        <v>70</v>
      </c>
      <c r="GF4" s="275" t="s">
        <v>469</v>
      </c>
      <c r="GG4" s="275" t="s">
        <v>291</v>
      </c>
      <c r="GH4" s="298" t="s">
        <v>470</v>
      </c>
      <c r="GI4" s="284"/>
      <c r="GJ4" s="286"/>
      <c r="GK4" s="275"/>
      <c r="GL4" s="275"/>
      <c r="GM4" s="298"/>
      <c r="GN4" s="284"/>
      <c r="GO4" s="286"/>
      <c r="GP4" s="275"/>
      <c r="GQ4" s="275"/>
      <c r="GR4" s="298"/>
      <c r="GS4" s="284"/>
      <c r="GT4" s="286"/>
      <c r="GU4" s="275"/>
      <c r="GV4" s="275"/>
      <c r="GW4" s="298"/>
      <c r="GX4" s="284"/>
      <c r="GY4" s="286"/>
      <c r="GZ4" s="275"/>
      <c r="HA4" s="275"/>
      <c r="HB4" s="298"/>
      <c r="HC4" s="284"/>
      <c r="HD4" s="276"/>
      <c r="HE4" s="275"/>
      <c r="HF4" s="275"/>
      <c r="HG4" s="300"/>
      <c r="HH4" s="284"/>
      <c r="HI4" s="276"/>
      <c r="HJ4" s="275"/>
      <c r="HK4" s="275"/>
      <c r="HL4" s="300"/>
      <c r="HM4" s="284"/>
      <c r="HN4" s="276"/>
      <c r="HO4" s="275"/>
      <c r="HP4" s="275"/>
      <c r="HQ4" s="300"/>
      <c r="HR4" s="284"/>
      <c r="HS4" s="276"/>
      <c r="HT4" s="275"/>
      <c r="HU4" s="275"/>
      <c r="HV4" s="300"/>
      <c r="HW4" s="284"/>
      <c r="HX4" s="276"/>
      <c r="HY4" s="275"/>
      <c r="HZ4" s="275"/>
      <c r="IA4" s="300"/>
      <c r="IB4" s="284"/>
      <c r="IC4" s="275"/>
      <c r="ID4" s="275"/>
      <c r="IE4" s="275"/>
      <c r="IF4" s="300"/>
      <c r="IG4" s="284"/>
      <c r="IH4" s="275"/>
      <c r="II4" s="275"/>
      <c r="IJ4" s="275"/>
      <c r="IK4" s="300"/>
      <c r="IL4" s="284"/>
      <c r="IM4" s="275"/>
      <c r="IN4" s="275"/>
      <c r="IO4" s="275"/>
      <c r="IP4" s="300"/>
      <c r="IQ4" s="284"/>
      <c r="IR4" s="275"/>
      <c r="IS4" s="275"/>
      <c r="IT4" s="275"/>
      <c r="IU4" s="300"/>
      <c r="IV4" s="284"/>
      <c r="IW4" s="275"/>
      <c r="IX4" s="275"/>
      <c r="IY4" s="275"/>
      <c r="IZ4" s="300"/>
      <c r="JA4" s="284"/>
      <c r="JB4" s="275"/>
      <c r="JC4" s="275"/>
      <c r="JD4" s="275"/>
      <c r="JE4" s="300"/>
      <c r="JF4" s="284"/>
      <c r="JG4" s="275"/>
      <c r="JH4" s="275"/>
      <c r="JI4" s="275"/>
      <c r="JJ4" s="300"/>
      <c r="JK4" s="284"/>
      <c r="JL4" s="275"/>
      <c r="JM4" s="275"/>
      <c r="JN4" s="275"/>
      <c r="JO4" s="300"/>
    </row>
    <row r="5" spans="1:275" s="93" customFormat="1" ht="15.75" customHeight="1">
      <c r="A5" s="52">
        <v>44127</v>
      </c>
      <c r="B5" s="79" t="s">
        <v>238</v>
      </c>
      <c r="C5" s="136"/>
      <c r="D5" s="136"/>
      <c r="E5" s="129"/>
      <c r="F5" s="78"/>
      <c r="G5" s="79"/>
      <c r="H5" s="79"/>
      <c r="I5" s="82"/>
      <c r="J5" s="79"/>
      <c r="K5" s="79"/>
      <c r="L5" s="81"/>
      <c r="M5" s="79"/>
      <c r="N5" s="79"/>
      <c r="O5" s="82"/>
      <c r="P5" s="83"/>
      <c r="Q5" s="79"/>
      <c r="R5" s="80"/>
      <c r="S5" s="78"/>
      <c r="T5" s="79" t="s">
        <v>192</v>
      </c>
      <c r="U5" s="245" t="s">
        <v>193</v>
      </c>
      <c r="V5" s="79" t="s">
        <v>237</v>
      </c>
      <c r="W5" s="79" t="s">
        <v>194</v>
      </c>
      <c r="X5" s="80" t="s">
        <v>195</v>
      </c>
      <c r="Y5" s="78" t="s">
        <v>198</v>
      </c>
      <c r="Z5" s="79" t="s">
        <v>198</v>
      </c>
      <c r="AA5" s="79" t="s">
        <v>198</v>
      </c>
      <c r="AB5" s="79" t="s">
        <v>198</v>
      </c>
      <c r="AC5" s="79" t="s">
        <v>198</v>
      </c>
      <c r="AD5" s="79" t="s">
        <v>198</v>
      </c>
      <c r="AE5" s="79" t="s">
        <v>198</v>
      </c>
      <c r="AF5" s="79" t="s">
        <v>198</v>
      </c>
      <c r="AG5" s="79" t="s">
        <v>198</v>
      </c>
      <c r="AH5" s="79" t="s">
        <v>198</v>
      </c>
      <c r="AI5" s="79" t="s">
        <v>198</v>
      </c>
      <c r="AJ5" s="79" t="s">
        <v>198</v>
      </c>
      <c r="AK5" s="79" t="s">
        <v>198</v>
      </c>
      <c r="AL5" s="82"/>
      <c r="AM5" s="84" t="s">
        <v>198</v>
      </c>
      <c r="AN5" s="79" t="s">
        <v>198</v>
      </c>
      <c r="AO5" s="79" t="s">
        <v>198</v>
      </c>
      <c r="AP5" s="79" t="s">
        <v>198</v>
      </c>
      <c r="AQ5" s="79" t="s">
        <v>198</v>
      </c>
      <c r="AR5" s="79" t="s">
        <v>198</v>
      </c>
      <c r="AS5" s="79" t="s">
        <v>198</v>
      </c>
      <c r="AT5" s="79" t="s">
        <v>198</v>
      </c>
      <c r="AU5" s="79" t="s">
        <v>198</v>
      </c>
      <c r="AV5" s="80"/>
      <c r="AW5" s="84" t="s">
        <v>196</v>
      </c>
      <c r="AX5" s="79"/>
      <c r="AY5" s="79"/>
      <c r="AZ5" s="79"/>
      <c r="BA5" s="79"/>
      <c r="BB5" s="79"/>
      <c r="BC5" s="79"/>
      <c r="BD5" s="79"/>
      <c r="BE5" s="79"/>
      <c r="BF5" s="80"/>
      <c r="BG5" s="84" t="s">
        <v>197</v>
      </c>
      <c r="BH5" s="79" t="s">
        <v>199</v>
      </c>
      <c r="BI5" s="79" t="s">
        <v>199</v>
      </c>
      <c r="BJ5" s="79" t="s">
        <v>200</v>
      </c>
      <c r="BK5" s="79" t="s">
        <v>198</v>
      </c>
      <c r="BL5" s="79" t="s">
        <v>198</v>
      </c>
      <c r="BM5" s="80" t="s">
        <v>198</v>
      </c>
      <c r="BN5" s="84"/>
      <c r="BO5" s="79">
        <v>100</v>
      </c>
      <c r="BP5" s="79">
        <v>25</v>
      </c>
      <c r="BQ5" s="85" t="s">
        <v>201</v>
      </c>
      <c r="BR5" s="85">
        <v>0</v>
      </c>
      <c r="BS5" s="85">
        <v>4.5</v>
      </c>
      <c r="BT5" s="85">
        <v>3.8</v>
      </c>
      <c r="BU5" s="85" t="s">
        <v>201</v>
      </c>
      <c r="BV5" s="85">
        <v>1.8</v>
      </c>
      <c r="BW5" s="85">
        <v>1</v>
      </c>
      <c r="BX5" s="168">
        <f t="shared" si="2"/>
        <v>0.72</v>
      </c>
      <c r="BY5" s="85" t="s">
        <v>202</v>
      </c>
      <c r="BZ5" s="80" t="s">
        <v>203</v>
      </c>
      <c r="CA5" s="78" t="s">
        <v>208</v>
      </c>
      <c r="CB5" s="86">
        <v>3.6</v>
      </c>
      <c r="CC5" s="79" t="s">
        <v>231</v>
      </c>
      <c r="CD5" s="94" t="s">
        <v>204</v>
      </c>
      <c r="CE5" s="87" t="s">
        <v>205</v>
      </c>
      <c r="CF5" s="95" t="s">
        <v>207</v>
      </c>
      <c r="CG5" s="168">
        <v>1.1000000000000001</v>
      </c>
      <c r="CH5" s="79" t="s">
        <v>231</v>
      </c>
      <c r="CI5" s="94" t="s">
        <v>206</v>
      </c>
      <c r="CJ5" s="97" t="s">
        <v>205</v>
      </c>
      <c r="CK5" s="95" t="s">
        <v>209</v>
      </c>
      <c r="CL5" s="185">
        <v>1.8</v>
      </c>
      <c r="CM5" s="187" t="s">
        <v>231</v>
      </c>
      <c r="CN5" s="96" t="s">
        <v>206</v>
      </c>
      <c r="CO5" s="99" t="s">
        <v>205</v>
      </c>
      <c r="CP5" s="91" t="s">
        <v>239</v>
      </c>
      <c r="CQ5" s="86" t="s">
        <v>241</v>
      </c>
      <c r="CR5" s="79"/>
      <c r="CS5" s="79" t="s">
        <v>242</v>
      </c>
      <c r="CT5" s="88" t="s">
        <v>243</v>
      </c>
      <c r="CU5" s="84"/>
      <c r="CV5" s="86"/>
      <c r="CW5" s="79"/>
      <c r="CX5" s="79"/>
      <c r="CY5" s="88"/>
      <c r="CZ5" s="84"/>
      <c r="DA5" s="86"/>
      <c r="DB5" s="79"/>
      <c r="DC5" s="79"/>
      <c r="DD5" s="88"/>
      <c r="DE5" s="84"/>
      <c r="DF5" s="86"/>
      <c r="DG5" s="79"/>
      <c r="DH5" s="79"/>
      <c r="DI5" s="89"/>
      <c r="DJ5" s="90" t="s">
        <v>210</v>
      </c>
      <c r="DK5" s="91"/>
      <c r="DL5" s="79"/>
      <c r="DM5" s="79"/>
      <c r="DN5" s="88"/>
      <c r="DO5" s="79"/>
      <c r="DP5" s="79"/>
      <c r="DQ5" s="79"/>
      <c r="DR5" s="88"/>
      <c r="DS5" s="79"/>
      <c r="DT5" s="79"/>
      <c r="DU5" s="79"/>
      <c r="DV5" s="88"/>
      <c r="DW5" s="79"/>
      <c r="DX5" s="79"/>
      <c r="DY5" s="79"/>
      <c r="DZ5" s="88"/>
      <c r="EA5" s="79"/>
      <c r="EB5" s="79"/>
      <c r="EC5" s="79"/>
      <c r="ED5" s="88"/>
      <c r="EE5" s="79"/>
      <c r="EF5" s="79"/>
      <c r="EG5" s="89"/>
      <c r="EH5" s="82"/>
      <c r="EI5" s="84" t="s">
        <v>211</v>
      </c>
      <c r="EJ5" s="96" t="s">
        <v>213</v>
      </c>
      <c r="EK5" s="101" t="s">
        <v>212</v>
      </c>
      <c r="EL5" s="102" t="s">
        <v>214</v>
      </c>
      <c r="EM5" s="100" t="s">
        <v>210</v>
      </c>
      <c r="EN5" s="92" t="s">
        <v>224</v>
      </c>
      <c r="EO5" t="s">
        <v>244</v>
      </c>
      <c r="EP5" s="79"/>
      <c r="EQ5" t="s">
        <v>245</v>
      </c>
      <c r="ER5" s="79"/>
      <c r="ES5" s="79"/>
      <c r="ET5" s="79"/>
      <c r="EU5" s="79"/>
      <c r="EV5" s="79"/>
      <c r="EW5" s="79"/>
      <c r="EX5" s="80"/>
      <c r="EY5" s="84"/>
      <c r="EZ5" s="98"/>
      <c r="FA5" s="98"/>
      <c r="FB5" s="104"/>
      <c r="FC5" s="102" t="s">
        <v>220</v>
      </c>
      <c r="FD5" s="53" t="s">
        <v>198</v>
      </c>
      <c r="FE5" s="53" t="s">
        <v>210</v>
      </c>
      <c r="FF5" s="105" t="s">
        <v>217</v>
      </c>
      <c r="FG5" s="94" t="s">
        <v>218</v>
      </c>
      <c r="FH5" s="122" t="s">
        <v>219</v>
      </c>
      <c r="FI5" s="84"/>
      <c r="FJ5" s="82"/>
      <c r="FK5" s="84"/>
      <c r="FL5" s="82"/>
      <c r="FM5" s="84"/>
      <c r="FN5" s="80"/>
      <c r="FO5" s="125" t="s">
        <v>221</v>
      </c>
      <c r="FP5" s="106" t="s">
        <v>222</v>
      </c>
      <c r="FQ5" s="84" t="s">
        <v>223</v>
      </c>
      <c r="FR5" s="79"/>
      <c r="FS5" s="80"/>
      <c r="FT5" s="78" t="s">
        <v>225</v>
      </c>
      <c r="FU5" s="168">
        <v>90</v>
      </c>
      <c r="FV5" s="79" t="s">
        <v>469</v>
      </c>
      <c r="FW5" s="79" t="s">
        <v>226</v>
      </c>
      <c r="FX5" s="194" t="s">
        <v>469</v>
      </c>
      <c r="FY5" s="84" t="s">
        <v>227</v>
      </c>
      <c r="FZ5" s="168">
        <v>80</v>
      </c>
      <c r="GA5" s="79" t="s">
        <v>470</v>
      </c>
      <c r="GB5" s="79" t="s">
        <v>291</v>
      </c>
      <c r="GC5" s="192" t="s">
        <v>470</v>
      </c>
      <c r="GD5" s="84" t="s">
        <v>228</v>
      </c>
      <c r="GE5" s="168">
        <v>70</v>
      </c>
      <c r="GF5" s="79" t="s">
        <v>470</v>
      </c>
      <c r="GG5" s="79" t="s">
        <v>291</v>
      </c>
      <c r="GH5" s="192" t="s">
        <v>470</v>
      </c>
      <c r="GI5" s="84"/>
      <c r="GJ5" s="168"/>
      <c r="GK5" s="79"/>
      <c r="GL5" s="79"/>
      <c r="GM5" s="192"/>
      <c r="GN5" s="84"/>
      <c r="GO5" s="168"/>
      <c r="GP5" s="79"/>
      <c r="GQ5" s="79"/>
      <c r="GR5" s="192"/>
      <c r="GS5" s="84"/>
      <c r="GT5" s="168"/>
      <c r="GU5" s="79"/>
      <c r="GV5" s="79"/>
      <c r="GW5" s="192"/>
      <c r="GX5" s="84"/>
      <c r="GY5" s="168"/>
      <c r="GZ5" s="79"/>
      <c r="HA5" s="79"/>
      <c r="HB5" s="192"/>
      <c r="HC5" s="84"/>
      <c r="HD5" s="168"/>
      <c r="HE5" s="79"/>
      <c r="HF5" s="79"/>
      <c r="HG5" s="194"/>
      <c r="HH5" s="84"/>
      <c r="HI5" s="136"/>
      <c r="HJ5" s="79"/>
      <c r="HK5" s="79"/>
      <c r="HL5" s="194"/>
      <c r="HM5" s="84"/>
      <c r="HN5" s="136"/>
      <c r="HO5" s="79"/>
      <c r="HP5" s="79"/>
      <c r="HQ5" s="194"/>
      <c r="HR5" s="84"/>
      <c r="HS5" s="136"/>
      <c r="HT5" s="79"/>
      <c r="HU5" s="79"/>
      <c r="HV5" s="194"/>
      <c r="HW5" s="84"/>
      <c r="HX5" s="136"/>
      <c r="HY5" s="79"/>
      <c r="HZ5" s="79"/>
      <c r="IA5" s="194"/>
      <c r="IB5" s="84"/>
      <c r="IC5" s="79"/>
      <c r="ID5" s="79"/>
      <c r="IE5" s="79"/>
      <c r="IF5" s="194"/>
      <c r="IG5" s="84"/>
      <c r="IH5" s="79"/>
      <c r="II5" s="79"/>
      <c r="IJ5" s="79"/>
      <c r="IK5" s="194"/>
      <c r="IL5" s="84"/>
      <c r="IM5" s="79"/>
      <c r="IN5" s="79"/>
      <c r="IO5" s="79"/>
      <c r="IP5" s="194"/>
      <c r="IQ5" s="84"/>
      <c r="IR5" s="79"/>
      <c r="IS5" s="79"/>
      <c r="IT5" s="79"/>
      <c r="IU5" s="194"/>
      <c r="IV5" s="84"/>
      <c r="IW5" s="79"/>
      <c r="IX5" s="79"/>
      <c r="IY5" s="79"/>
      <c r="IZ5" s="194"/>
      <c r="JA5" s="84"/>
      <c r="JB5" s="79"/>
      <c r="JC5" s="79"/>
      <c r="JD5" s="79"/>
      <c r="JE5" s="194"/>
      <c r="JF5" s="84"/>
      <c r="JG5" s="79"/>
      <c r="JH5" s="79"/>
      <c r="JI5" s="79"/>
      <c r="JJ5" s="194"/>
      <c r="JK5" s="84"/>
      <c r="JL5" s="79"/>
      <c r="JM5" s="79"/>
      <c r="JN5" s="79"/>
      <c r="JO5" s="194"/>
    </row>
    <row r="6" spans="1:275" s="76" customFormat="1" ht="15.75" customHeight="1">
      <c r="A6" s="12">
        <v>44109</v>
      </c>
      <c r="B6" s="14" t="s">
        <v>254</v>
      </c>
      <c r="C6" s="137"/>
      <c r="D6" s="137"/>
      <c r="E6" s="130"/>
      <c r="F6" s="54"/>
      <c r="G6" s="55"/>
      <c r="H6" s="55"/>
      <c r="I6" s="58"/>
      <c r="J6" s="55"/>
      <c r="K6" s="55"/>
      <c r="L6" s="57"/>
      <c r="M6" s="55"/>
      <c r="N6" s="55"/>
      <c r="O6" s="58"/>
      <c r="P6" s="69"/>
      <c r="Q6" s="14"/>
      <c r="R6" s="67"/>
      <c r="S6" s="66"/>
      <c r="T6" s="14" t="s">
        <v>202</v>
      </c>
      <c r="U6" s="5" t="s">
        <v>246</v>
      </c>
      <c r="V6" s="107" t="s">
        <v>247</v>
      </c>
      <c r="W6" s="55" t="s">
        <v>194</v>
      </c>
      <c r="X6" s="56" t="s">
        <v>195</v>
      </c>
      <c r="Y6" s="108" t="s">
        <v>198</v>
      </c>
      <c r="Z6" s="108" t="s">
        <v>198</v>
      </c>
      <c r="AA6" s="108" t="s">
        <v>198</v>
      </c>
      <c r="AB6" s="109" t="s">
        <v>198</v>
      </c>
      <c r="AC6" s="14" t="s">
        <v>198</v>
      </c>
      <c r="AD6" s="14" t="s">
        <v>198</v>
      </c>
      <c r="AE6" s="14" t="s">
        <v>198</v>
      </c>
      <c r="AF6" s="14" t="s">
        <v>198</v>
      </c>
      <c r="AG6" s="14" t="s">
        <v>198</v>
      </c>
      <c r="AH6" s="14" t="s">
        <v>198</v>
      </c>
      <c r="AI6" s="14" t="s">
        <v>198</v>
      </c>
      <c r="AJ6" s="14" t="s">
        <v>198</v>
      </c>
      <c r="AK6" s="14" t="s">
        <v>210</v>
      </c>
      <c r="AL6" s="68"/>
      <c r="AM6" s="70" t="s">
        <v>198</v>
      </c>
      <c r="AN6" s="55" t="s">
        <v>198</v>
      </c>
      <c r="AO6" s="55" t="s">
        <v>198</v>
      </c>
      <c r="AP6" s="55" t="s">
        <v>198</v>
      </c>
      <c r="AQ6" s="55" t="s">
        <v>198</v>
      </c>
      <c r="AR6" s="55" t="s">
        <v>198</v>
      </c>
      <c r="AS6" s="55" t="s">
        <v>198</v>
      </c>
      <c r="AT6" s="55" t="s">
        <v>198</v>
      </c>
      <c r="AU6" s="55" t="s">
        <v>198</v>
      </c>
      <c r="AV6" s="67"/>
      <c r="AW6" s="59" t="s">
        <v>196</v>
      </c>
      <c r="AX6" s="14" t="s">
        <v>248</v>
      </c>
      <c r="AY6" s="14"/>
      <c r="AZ6" s="14"/>
      <c r="BA6" s="14"/>
      <c r="BB6" s="14"/>
      <c r="BC6" s="14"/>
      <c r="BD6" s="14"/>
      <c r="BE6" s="14"/>
      <c r="BF6" s="67"/>
      <c r="BG6" s="70" t="s">
        <v>197</v>
      </c>
      <c r="BH6" s="14" t="s">
        <v>199</v>
      </c>
      <c r="BI6" s="14" t="s">
        <v>199</v>
      </c>
      <c r="BJ6" s="14" t="s">
        <v>200</v>
      </c>
      <c r="BK6" s="14" t="s">
        <v>198</v>
      </c>
      <c r="BL6" s="14" t="s">
        <v>198</v>
      </c>
      <c r="BM6" s="67" t="s">
        <v>198</v>
      </c>
      <c r="BN6" s="70"/>
      <c r="BO6" s="14">
        <v>111</v>
      </c>
      <c r="BP6" s="14">
        <v>26</v>
      </c>
      <c r="BQ6" s="71" t="s">
        <v>201</v>
      </c>
      <c r="BR6" s="71">
        <v>0</v>
      </c>
      <c r="BS6" s="71">
        <v>4.5</v>
      </c>
      <c r="BT6" s="71">
        <v>3.9</v>
      </c>
      <c r="BU6" s="71">
        <v>0.6</v>
      </c>
      <c r="BV6" s="71">
        <v>1.6</v>
      </c>
      <c r="BW6" s="71">
        <v>0.7</v>
      </c>
      <c r="BX6" s="147">
        <f t="shared" ref="BX6" si="3">BV6/2.5</f>
        <v>0.64</v>
      </c>
      <c r="BY6" s="71" t="s">
        <v>202</v>
      </c>
      <c r="BZ6" s="67" t="s">
        <v>203</v>
      </c>
      <c r="CA6" s="54" t="s">
        <v>208</v>
      </c>
      <c r="CB6" s="61">
        <v>3.6</v>
      </c>
      <c r="CC6" s="55" t="s">
        <v>231</v>
      </c>
      <c r="CD6" s="110" t="s">
        <v>204</v>
      </c>
      <c r="CE6" s="63" t="s">
        <v>205</v>
      </c>
      <c r="CF6" s="111" t="s">
        <v>207</v>
      </c>
      <c r="CG6" s="183">
        <v>1.5</v>
      </c>
      <c r="CH6" s="55" t="s">
        <v>231</v>
      </c>
      <c r="CI6" s="110" t="s">
        <v>206</v>
      </c>
      <c r="CJ6" s="112" t="s">
        <v>205</v>
      </c>
      <c r="CK6" s="111" t="s">
        <v>209</v>
      </c>
      <c r="CL6" s="186">
        <v>1.6</v>
      </c>
      <c r="CM6" s="188" t="s">
        <v>231</v>
      </c>
      <c r="CN6" s="62" t="s">
        <v>206</v>
      </c>
      <c r="CO6" s="121" t="s">
        <v>205</v>
      </c>
      <c r="CP6" s="64" t="s">
        <v>239</v>
      </c>
      <c r="CQ6" s="61" t="s">
        <v>249</v>
      </c>
      <c r="CR6" s="14"/>
      <c r="CS6" s="14" t="s">
        <v>242</v>
      </c>
      <c r="CT6" s="63" t="s">
        <v>243</v>
      </c>
      <c r="CU6" s="70"/>
      <c r="CV6" s="72"/>
      <c r="CW6" s="14"/>
      <c r="CX6" s="14"/>
      <c r="CY6" s="63"/>
      <c r="CZ6" s="70"/>
      <c r="DA6" s="72"/>
      <c r="DB6" s="14"/>
      <c r="DC6" s="14"/>
      <c r="DD6" s="63"/>
      <c r="DE6" s="70"/>
      <c r="DF6" s="72"/>
      <c r="DG6" s="14"/>
      <c r="DH6" s="14"/>
      <c r="DI6" s="73"/>
      <c r="DJ6" s="74" t="s">
        <v>210</v>
      </c>
      <c r="DK6" s="75"/>
      <c r="DL6" s="14"/>
      <c r="DM6" s="14"/>
      <c r="DN6" s="63"/>
      <c r="DO6" s="14"/>
      <c r="DP6" s="14"/>
      <c r="DQ6" s="14"/>
      <c r="DR6" s="63"/>
      <c r="DS6" s="14"/>
      <c r="DT6" s="14"/>
      <c r="DU6" s="14"/>
      <c r="DV6" s="63"/>
      <c r="DW6" s="14"/>
      <c r="DX6" s="14"/>
      <c r="DY6" s="14"/>
      <c r="DZ6" s="63"/>
      <c r="EA6" s="14"/>
      <c r="EB6" s="14"/>
      <c r="EC6" s="14"/>
      <c r="ED6" s="63"/>
      <c r="EE6" s="14"/>
      <c r="EF6" s="14"/>
      <c r="EG6" s="73"/>
      <c r="EH6" s="68"/>
      <c r="EI6" s="59" t="s">
        <v>211</v>
      </c>
      <c r="EJ6" s="115" t="s">
        <v>255</v>
      </c>
      <c r="EK6" s="116" t="s">
        <v>212</v>
      </c>
      <c r="EL6" s="117" t="s">
        <v>214</v>
      </c>
      <c r="EM6" s="118" t="s">
        <v>210</v>
      </c>
      <c r="EN6" s="65" t="s">
        <v>224</v>
      </c>
      <c r="EO6" s="127" t="s">
        <v>216</v>
      </c>
      <c r="EP6" s="14"/>
      <c r="EQ6" s="79" t="s">
        <v>215</v>
      </c>
      <c r="ER6" s="14"/>
      <c r="ES6" s="14"/>
      <c r="ET6" s="14"/>
      <c r="EU6" s="14"/>
      <c r="EV6" s="14"/>
      <c r="EW6" s="14"/>
      <c r="EX6" s="67"/>
      <c r="EY6" s="70"/>
      <c r="EZ6" s="14"/>
      <c r="FA6" s="14"/>
      <c r="FB6" s="67"/>
      <c r="FC6" s="117" t="s">
        <v>220</v>
      </c>
      <c r="FD6" s="19" t="s">
        <v>198</v>
      </c>
      <c r="FE6" s="19" t="s">
        <v>210</v>
      </c>
      <c r="FF6" s="119" t="s">
        <v>217</v>
      </c>
      <c r="FG6" s="124" t="s">
        <v>218</v>
      </c>
      <c r="FH6" s="123" t="s">
        <v>219</v>
      </c>
      <c r="FI6" s="70"/>
      <c r="FJ6" s="68"/>
      <c r="FK6" s="70"/>
      <c r="FL6" s="68"/>
      <c r="FM6" s="70"/>
      <c r="FN6" s="67"/>
      <c r="FO6" s="126" t="s">
        <v>221</v>
      </c>
      <c r="FP6" s="120" t="s">
        <v>222</v>
      </c>
      <c r="FQ6" s="59" t="s">
        <v>223</v>
      </c>
      <c r="FR6" s="55"/>
      <c r="FS6" s="56"/>
      <c r="FT6" s="66" t="s">
        <v>250</v>
      </c>
      <c r="FU6" s="168">
        <v>90</v>
      </c>
      <c r="FV6" s="14"/>
      <c r="FW6" s="14" t="s">
        <v>251</v>
      </c>
      <c r="FX6" s="195"/>
      <c r="FY6" s="59" t="s">
        <v>227</v>
      </c>
      <c r="FZ6" s="168">
        <v>80</v>
      </c>
      <c r="GA6" s="55" t="s">
        <v>470</v>
      </c>
      <c r="GB6" s="79" t="s">
        <v>291</v>
      </c>
      <c r="GC6" s="192" t="s">
        <v>470</v>
      </c>
      <c r="GD6" s="59" t="s">
        <v>228</v>
      </c>
      <c r="GE6" s="168">
        <v>70</v>
      </c>
      <c r="GF6" s="55" t="s">
        <v>470</v>
      </c>
      <c r="GG6" s="79" t="s">
        <v>291</v>
      </c>
      <c r="GH6" s="192" t="s">
        <v>470</v>
      </c>
      <c r="GI6" s="59"/>
      <c r="GJ6" s="168"/>
      <c r="GK6" s="55"/>
      <c r="GL6" s="79"/>
      <c r="GM6" s="192"/>
      <c r="GN6" s="59"/>
      <c r="GO6" s="168"/>
      <c r="GP6" s="55"/>
      <c r="GQ6" s="79"/>
      <c r="GR6" s="192"/>
      <c r="GS6" s="59"/>
      <c r="GT6" s="168"/>
      <c r="GU6" s="55"/>
      <c r="GV6" s="79"/>
      <c r="GW6" s="192"/>
      <c r="GX6" s="59"/>
      <c r="GY6" s="168"/>
      <c r="GZ6" s="55"/>
      <c r="HA6" s="79"/>
      <c r="HB6" s="192"/>
      <c r="HC6" s="59"/>
      <c r="HD6" s="183"/>
      <c r="HE6" s="14"/>
      <c r="HF6" s="14"/>
      <c r="HG6" s="195"/>
      <c r="HH6" s="70"/>
      <c r="HI6" s="4"/>
      <c r="HJ6" s="14"/>
      <c r="HK6" s="14"/>
      <c r="HL6" s="195"/>
      <c r="HM6" s="70"/>
      <c r="HN6" s="4"/>
      <c r="HO6" s="14"/>
      <c r="HP6" s="14"/>
      <c r="HQ6" s="195"/>
      <c r="HR6" s="70"/>
      <c r="HS6" s="4"/>
      <c r="HT6" s="14"/>
      <c r="HU6" s="14"/>
      <c r="HV6" s="195"/>
      <c r="HW6" s="70"/>
      <c r="HX6" s="4"/>
      <c r="HY6" s="14"/>
      <c r="HZ6" s="14"/>
      <c r="IA6" s="195"/>
      <c r="IB6" s="70"/>
      <c r="IC6" s="14"/>
      <c r="ID6" s="14"/>
      <c r="IE6" s="14"/>
      <c r="IF6" s="195"/>
      <c r="IG6" s="70"/>
      <c r="IH6" s="14"/>
      <c r="II6" s="14"/>
      <c r="IJ6" s="14"/>
      <c r="IK6" s="195"/>
      <c r="IL6" s="70"/>
      <c r="IM6" s="14"/>
      <c r="IN6" s="14"/>
      <c r="IO6" s="14"/>
      <c r="IP6" s="195"/>
      <c r="IQ6" s="70"/>
      <c r="IR6" s="14"/>
      <c r="IS6" s="14"/>
      <c r="IT6" s="14"/>
      <c r="IU6" s="195"/>
      <c r="IV6" s="70"/>
      <c r="IW6" s="14"/>
      <c r="IX6" s="14"/>
      <c r="IY6" s="14"/>
      <c r="IZ6" s="195"/>
      <c r="JA6" s="70"/>
      <c r="JB6" s="14"/>
      <c r="JC6" s="14"/>
      <c r="JD6" s="14"/>
      <c r="JE6" s="195"/>
      <c r="JF6" s="70"/>
      <c r="JG6" s="14"/>
      <c r="JH6" s="14"/>
      <c r="JI6" s="14"/>
      <c r="JJ6" s="195"/>
      <c r="JK6" s="70"/>
      <c r="JL6" s="14"/>
      <c r="JM6" s="14"/>
      <c r="JN6" s="14"/>
      <c r="JO6" s="195"/>
    </row>
    <row r="7" spans="1:275" ht="15.75" customHeight="1">
      <c r="A7" s="12">
        <v>12117</v>
      </c>
      <c r="B7" s="5" t="s">
        <v>391</v>
      </c>
      <c r="C7" s="137"/>
      <c r="D7" s="4"/>
      <c r="E7" s="130"/>
      <c r="F7" s="78"/>
      <c r="G7" s="79"/>
      <c r="H7" s="79"/>
      <c r="I7" s="82"/>
      <c r="J7" s="79"/>
      <c r="K7" s="79"/>
      <c r="L7" s="81"/>
      <c r="M7" s="79"/>
      <c r="N7" s="79"/>
      <c r="O7" s="82"/>
      <c r="P7" s="83"/>
      <c r="Q7" s="79"/>
      <c r="R7" s="80"/>
      <c r="S7" s="78"/>
      <c r="T7" s="79" t="s">
        <v>192</v>
      </c>
      <c r="U7" s="245" t="s">
        <v>246</v>
      </c>
      <c r="V7" s="133" t="s">
        <v>263</v>
      </c>
      <c r="W7" s="79" t="s">
        <v>194</v>
      </c>
      <c r="X7" s="80" t="s">
        <v>195</v>
      </c>
      <c r="Y7" s="78" t="s">
        <v>198</v>
      </c>
      <c r="Z7" s="79" t="s">
        <v>198</v>
      </c>
      <c r="AA7" s="79" t="s">
        <v>198</v>
      </c>
      <c r="AB7" s="79" t="s">
        <v>198</v>
      </c>
      <c r="AC7" s="79" t="s">
        <v>198</v>
      </c>
      <c r="AD7" s="79" t="s">
        <v>198</v>
      </c>
      <c r="AE7" s="79" t="s">
        <v>198</v>
      </c>
      <c r="AF7" s="79" t="s">
        <v>210</v>
      </c>
      <c r="AG7" s="79" t="s">
        <v>198</v>
      </c>
      <c r="AH7" s="79" t="s">
        <v>198</v>
      </c>
      <c r="AI7" s="79" t="s">
        <v>198</v>
      </c>
      <c r="AJ7" s="79" t="s">
        <v>198</v>
      </c>
      <c r="AK7" s="79" t="s">
        <v>210</v>
      </c>
      <c r="AL7" s="82"/>
      <c r="AM7" s="84" t="s">
        <v>198</v>
      </c>
      <c r="AN7" s="79" t="s">
        <v>198</v>
      </c>
      <c r="AO7" s="79" t="s">
        <v>198</v>
      </c>
      <c r="AP7" s="79" t="s">
        <v>198</v>
      </c>
      <c r="AQ7" s="79" t="s">
        <v>198</v>
      </c>
      <c r="AR7" s="79" t="s">
        <v>198</v>
      </c>
      <c r="AS7" s="79" t="s">
        <v>198</v>
      </c>
      <c r="AT7" s="79" t="s">
        <v>198</v>
      </c>
      <c r="AU7" s="79" t="s">
        <v>198</v>
      </c>
      <c r="AV7" s="80"/>
      <c r="AW7" s="14" t="s">
        <v>248</v>
      </c>
      <c r="AX7" s="79"/>
      <c r="AY7" s="79"/>
      <c r="AZ7" s="79"/>
      <c r="BA7" s="79"/>
      <c r="BB7" s="79"/>
      <c r="BC7" s="79"/>
      <c r="BD7" s="79"/>
      <c r="BE7" s="79"/>
      <c r="BF7" s="80"/>
      <c r="BG7" s="84" t="s">
        <v>197</v>
      </c>
      <c r="BH7" s="79" t="s">
        <v>199</v>
      </c>
      <c r="BI7" s="79" t="s">
        <v>199</v>
      </c>
      <c r="BJ7" s="79" t="s">
        <v>200</v>
      </c>
      <c r="BK7" s="79" t="s">
        <v>198</v>
      </c>
      <c r="BL7" s="79" t="s">
        <v>198</v>
      </c>
      <c r="BM7" s="80" t="s">
        <v>198</v>
      </c>
      <c r="BN7" s="84"/>
      <c r="BO7" s="79">
        <v>173</v>
      </c>
      <c r="BP7" s="79">
        <v>52</v>
      </c>
      <c r="BQ7" s="85" t="s">
        <v>201</v>
      </c>
      <c r="BR7" s="85" t="s">
        <v>259</v>
      </c>
      <c r="BS7" s="85">
        <v>2.8</v>
      </c>
      <c r="BT7" s="85">
        <v>2</v>
      </c>
      <c r="BU7" s="85">
        <v>0.3</v>
      </c>
      <c r="BV7" s="85">
        <v>0.56999999999999995</v>
      </c>
      <c r="BW7" s="85">
        <v>0.3</v>
      </c>
      <c r="BX7" s="168">
        <v>0.23</v>
      </c>
      <c r="BY7" s="85" t="s">
        <v>202</v>
      </c>
      <c r="BZ7" s="67" t="s">
        <v>203</v>
      </c>
      <c r="CA7" s="78" t="s">
        <v>208</v>
      </c>
      <c r="CB7" s="86">
        <v>3.6</v>
      </c>
      <c r="CC7" s="79" t="s">
        <v>231</v>
      </c>
      <c r="CD7" s="94" t="s">
        <v>204</v>
      </c>
      <c r="CE7" s="87" t="s">
        <v>205</v>
      </c>
      <c r="CF7" s="95" t="s">
        <v>207</v>
      </c>
      <c r="CG7" s="168">
        <v>1.3</v>
      </c>
      <c r="CH7" s="79" t="s">
        <v>231</v>
      </c>
      <c r="CI7" s="94" t="s">
        <v>206</v>
      </c>
      <c r="CJ7" s="97" t="s">
        <v>205</v>
      </c>
      <c r="CK7" s="95" t="s">
        <v>209</v>
      </c>
      <c r="CL7" s="185">
        <v>1.9</v>
      </c>
      <c r="CM7" s="187" t="s">
        <v>231</v>
      </c>
      <c r="CN7" s="96" t="s">
        <v>206</v>
      </c>
      <c r="CO7" s="99" t="s">
        <v>205</v>
      </c>
      <c r="CP7" s="91" t="s">
        <v>239</v>
      </c>
      <c r="CQ7" s="61" t="s">
        <v>258</v>
      </c>
      <c r="CR7" s="79"/>
      <c r="CS7" s="79" t="s">
        <v>242</v>
      </c>
      <c r="CT7" s="88" t="s">
        <v>243</v>
      </c>
      <c r="CU7" s="84" t="s">
        <v>260</v>
      </c>
      <c r="CV7" s="86">
        <v>9</v>
      </c>
      <c r="CW7" s="98" t="s">
        <v>261</v>
      </c>
      <c r="CX7" s="79" t="s">
        <v>262</v>
      </c>
      <c r="CY7" s="88"/>
      <c r="CZ7" s="84"/>
      <c r="DA7" s="86"/>
      <c r="DB7" s="79"/>
      <c r="DC7" s="79"/>
      <c r="DD7" s="88"/>
      <c r="DE7" s="84"/>
      <c r="DF7" s="86"/>
      <c r="DG7" s="79"/>
      <c r="DH7" s="79"/>
      <c r="DI7" s="89"/>
      <c r="DJ7" s="90" t="s">
        <v>210</v>
      </c>
      <c r="DK7" s="91"/>
      <c r="DL7" s="79"/>
      <c r="DM7" s="79"/>
      <c r="DN7" s="88"/>
      <c r="DO7" s="79"/>
      <c r="DP7" s="79"/>
      <c r="DQ7" s="79"/>
      <c r="DR7" s="88"/>
      <c r="DS7" s="79"/>
      <c r="DT7" s="79"/>
      <c r="DU7" s="79"/>
      <c r="DV7" s="88"/>
      <c r="DW7" s="79"/>
      <c r="DX7" s="79"/>
      <c r="DY7" s="79"/>
      <c r="DZ7" s="88"/>
      <c r="EA7" s="79"/>
      <c r="EB7" s="79"/>
      <c r="EC7" s="79"/>
      <c r="ED7" s="88"/>
      <c r="EE7" s="79"/>
      <c r="EF7" s="79"/>
      <c r="EG7" s="89"/>
      <c r="EH7" s="82"/>
      <c r="EI7" s="84" t="s">
        <v>211</v>
      </c>
      <c r="EJ7" s="115" t="s">
        <v>255</v>
      </c>
      <c r="EK7" s="101" t="s">
        <v>212</v>
      </c>
      <c r="EL7" s="102" t="s">
        <v>214</v>
      </c>
      <c r="EM7" s="100" t="s">
        <v>210</v>
      </c>
      <c r="EN7" s="92" t="s">
        <v>224</v>
      </c>
      <c r="EO7" s="131" t="s">
        <v>244</v>
      </c>
      <c r="EP7" s="79"/>
      <c r="EQ7" s="132" t="s">
        <v>245</v>
      </c>
      <c r="ER7" s="79"/>
      <c r="ES7" s="79"/>
      <c r="ET7" s="79"/>
      <c r="EU7" s="79"/>
      <c r="EV7" s="79"/>
      <c r="EW7" s="79"/>
      <c r="EX7" s="80"/>
      <c r="EY7" s="84"/>
      <c r="EZ7" s="98"/>
      <c r="FA7" s="98"/>
      <c r="FB7" s="104"/>
      <c r="FC7" s="102" t="s">
        <v>220</v>
      </c>
      <c r="FD7" s="53" t="s">
        <v>198</v>
      </c>
      <c r="FE7" s="53" t="s">
        <v>210</v>
      </c>
      <c r="FF7" s="105" t="s">
        <v>217</v>
      </c>
      <c r="FG7" s="94" t="s">
        <v>218</v>
      </c>
      <c r="FH7" s="122" t="s">
        <v>219</v>
      </c>
      <c r="FI7" s="84"/>
      <c r="FJ7" s="82"/>
      <c r="FK7" s="84"/>
      <c r="FL7" s="82"/>
      <c r="FM7" s="84"/>
      <c r="FN7" s="80"/>
      <c r="FO7" s="125" t="s">
        <v>221</v>
      </c>
      <c r="FP7" s="106" t="s">
        <v>222</v>
      </c>
      <c r="FQ7" s="84" t="s">
        <v>223</v>
      </c>
      <c r="FR7" s="79"/>
      <c r="FS7" s="80"/>
      <c r="FT7" s="78" t="s">
        <v>250</v>
      </c>
      <c r="FU7" s="168">
        <v>90</v>
      </c>
      <c r="FV7" s="133" t="s">
        <v>469</v>
      </c>
      <c r="FW7" s="79" t="s">
        <v>320</v>
      </c>
      <c r="FX7" s="248" t="s">
        <v>469</v>
      </c>
      <c r="FY7" s="84" t="s">
        <v>227</v>
      </c>
      <c r="FZ7" s="168">
        <v>80</v>
      </c>
      <c r="GA7" s="79" t="s">
        <v>470</v>
      </c>
      <c r="GB7" s="79" t="s">
        <v>291</v>
      </c>
      <c r="GC7" s="192" t="s">
        <v>470</v>
      </c>
      <c r="GD7" s="84" t="s">
        <v>228</v>
      </c>
      <c r="GE7" s="168">
        <v>70</v>
      </c>
      <c r="GF7" s="79" t="s">
        <v>470</v>
      </c>
      <c r="GG7" s="79" t="s">
        <v>291</v>
      </c>
      <c r="GH7" s="192" t="s">
        <v>470</v>
      </c>
      <c r="GI7" s="84"/>
      <c r="GJ7" s="168"/>
      <c r="GK7" s="79"/>
      <c r="GL7" s="79"/>
      <c r="GM7" s="192"/>
      <c r="GN7" s="84"/>
      <c r="GO7" s="168"/>
      <c r="GP7" s="79"/>
      <c r="GQ7" s="79"/>
      <c r="GR7" s="192"/>
      <c r="GS7" s="84"/>
      <c r="GT7" s="168"/>
      <c r="GU7" s="79"/>
      <c r="GV7" s="79"/>
      <c r="GW7" s="192"/>
      <c r="GX7" s="84"/>
      <c r="GY7" s="168"/>
      <c r="GZ7" s="79"/>
      <c r="HA7" s="79"/>
      <c r="HB7" s="192"/>
      <c r="HC7" s="59"/>
      <c r="HD7" s="183"/>
      <c r="HE7" s="79"/>
      <c r="HF7" s="79"/>
      <c r="HG7" s="194"/>
      <c r="HH7" s="84"/>
      <c r="HI7" s="136"/>
      <c r="HJ7" s="79"/>
      <c r="HK7" s="79"/>
      <c r="HL7" s="194"/>
      <c r="HM7" s="84"/>
      <c r="HN7" s="136"/>
      <c r="HO7" s="79"/>
      <c r="HP7" s="79"/>
      <c r="HQ7" s="194"/>
      <c r="HR7" s="6"/>
      <c r="HS7" s="4"/>
      <c r="HT7" s="5"/>
      <c r="HU7" s="5"/>
      <c r="HV7" s="194"/>
      <c r="HW7" s="6"/>
      <c r="HX7" s="4"/>
      <c r="HY7" s="5"/>
      <c r="HZ7" s="5"/>
      <c r="IA7" s="194"/>
      <c r="IB7" s="6"/>
      <c r="IC7" s="5"/>
      <c r="ID7" s="5"/>
      <c r="IE7" s="5"/>
      <c r="IF7" s="194"/>
      <c r="IG7" s="6"/>
      <c r="IH7" s="5"/>
      <c r="II7" s="5"/>
      <c r="IJ7" s="5"/>
      <c r="IK7" s="194"/>
      <c r="IL7" s="6"/>
      <c r="IM7" s="5"/>
      <c r="IN7" s="5"/>
      <c r="IO7" s="5"/>
      <c r="IP7" s="194"/>
      <c r="IQ7" s="6"/>
      <c r="IR7" s="5"/>
      <c r="IS7" s="5"/>
      <c r="IT7" s="5"/>
      <c r="IU7" s="194"/>
      <c r="IV7" s="6"/>
      <c r="IW7" s="5"/>
      <c r="IX7" s="5"/>
      <c r="IY7" s="5"/>
      <c r="IZ7" s="194"/>
      <c r="JA7" s="6"/>
      <c r="JB7" s="5"/>
      <c r="JC7" s="5"/>
      <c r="JD7" s="5"/>
      <c r="JE7" s="194"/>
      <c r="JF7" s="6"/>
      <c r="JG7" s="5"/>
      <c r="JH7" s="5"/>
      <c r="JI7" s="5"/>
      <c r="JJ7" s="194"/>
      <c r="JK7" s="6"/>
      <c r="JL7" s="5"/>
      <c r="JM7" s="5"/>
      <c r="JN7" s="5"/>
      <c r="JO7" s="194"/>
    </row>
    <row r="8" spans="1:275" ht="15.75" customHeight="1">
      <c r="A8" s="12">
        <v>12102</v>
      </c>
      <c r="B8" s="5" t="s">
        <v>392</v>
      </c>
      <c r="C8" s="137"/>
      <c r="D8" s="4"/>
      <c r="E8" s="130"/>
      <c r="F8" s="78"/>
      <c r="G8" s="79"/>
      <c r="H8" s="79"/>
      <c r="I8" s="82"/>
      <c r="J8" s="79"/>
      <c r="K8" s="79"/>
      <c r="L8" s="81"/>
      <c r="M8" s="79"/>
      <c r="N8" s="79"/>
      <c r="O8" s="82"/>
      <c r="P8" s="83"/>
      <c r="Q8" s="79"/>
      <c r="R8" s="80"/>
      <c r="S8" s="78"/>
      <c r="T8" s="79" t="s">
        <v>192</v>
      </c>
      <c r="U8" s="245" t="s">
        <v>264</v>
      </c>
      <c r="V8" s="79" t="s">
        <v>267</v>
      </c>
      <c r="W8" s="79" t="s">
        <v>194</v>
      </c>
      <c r="X8" s="80" t="s">
        <v>195</v>
      </c>
      <c r="Y8" s="78" t="s">
        <v>198</v>
      </c>
      <c r="Z8" s="79" t="s">
        <v>198</v>
      </c>
      <c r="AA8" s="79" t="s">
        <v>198</v>
      </c>
      <c r="AB8" s="79" t="s">
        <v>198</v>
      </c>
      <c r="AC8" s="79" t="s">
        <v>198</v>
      </c>
      <c r="AD8" s="79" t="s">
        <v>198</v>
      </c>
      <c r="AE8" s="79" t="s">
        <v>198</v>
      </c>
      <c r="AF8" s="79" t="s">
        <v>210</v>
      </c>
      <c r="AG8" s="79" t="s">
        <v>198</v>
      </c>
      <c r="AH8" s="79" t="s">
        <v>198</v>
      </c>
      <c r="AI8" s="79" t="s">
        <v>198</v>
      </c>
      <c r="AJ8" s="79" t="s">
        <v>198</v>
      </c>
      <c r="AK8" s="79" t="s">
        <v>210</v>
      </c>
      <c r="AL8" s="82"/>
      <c r="AM8" s="84" t="s">
        <v>198</v>
      </c>
      <c r="AN8" s="79" t="s">
        <v>198</v>
      </c>
      <c r="AO8" s="79" t="s">
        <v>198</v>
      </c>
      <c r="AP8" s="79" t="s">
        <v>198</v>
      </c>
      <c r="AQ8" s="79" t="s">
        <v>198</v>
      </c>
      <c r="AR8" s="79" t="s">
        <v>198</v>
      </c>
      <c r="AS8" s="79" t="s">
        <v>198</v>
      </c>
      <c r="AT8" s="79" t="s">
        <v>198</v>
      </c>
      <c r="AU8" s="79" t="s">
        <v>198</v>
      </c>
      <c r="AV8" s="80"/>
      <c r="AW8" s="14" t="s">
        <v>248</v>
      </c>
      <c r="AX8" s="79"/>
      <c r="AY8" s="79"/>
      <c r="AZ8" s="79"/>
      <c r="BA8" s="79"/>
      <c r="BB8" s="79"/>
      <c r="BC8" s="79"/>
      <c r="BD8" s="79"/>
      <c r="BE8" s="79"/>
      <c r="BF8" s="80"/>
      <c r="BG8" s="84" t="s">
        <v>197</v>
      </c>
      <c r="BH8" s="79" t="s">
        <v>199</v>
      </c>
      <c r="BI8" s="79" t="s">
        <v>199</v>
      </c>
      <c r="BJ8" s="79" t="s">
        <v>200</v>
      </c>
      <c r="BK8" s="79" t="s">
        <v>198</v>
      </c>
      <c r="BL8" s="79" t="s">
        <v>198</v>
      </c>
      <c r="BM8" s="80" t="s">
        <v>198</v>
      </c>
      <c r="BN8" s="84"/>
      <c r="BO8" s="79">
        <v>120</v>
      </c>
      <c r="BP8" s="79">
        <v>28</v>
      </c>
      <c r="BQ8" s="85" t="s">
        <v>201</v>
      </c>
      <c r="BR8" s="85">
        <v>0</v>
      </c>
      <c r="BS8" s="85">
        <v>4.5</v>
      </c>
      <c r="BT8" s="85">
        <v>4</v>
      </c>
      <c r="BU8" s="85">
        <v>0.5</v>
      </c>
      <c r="BV8" s="85">
        <v>2</v>
      </c>
      <c r="BW8" s="134" t="s">
        <v>265</v>
      </c>
      <c r="BX8" s="147">
        <f t="shared" ref="BX8:BX20" si="4">BV8/2.5</f>
        <v>0.8</v>
      </c>
      <c r="BY8" s="85" t="s">
        <v>202</v>
      </c>
      <c r="BZ8" s="67" t="s">
        <v>203</v>
      </c>
      <c r="CA8" s="78" t="s">
        <v>208</v>
      </c>
      <c r="CB8" s="86">
        <v>3.3</v>
      </c>
      <c r="CC8" s="79" t="s">
        <v>231</v>
      </c>
      <c r="CD8" s="94" t="s">
        <v>204</v>
      </c>
      <c r="CE8" s="87" t="s">
        <v>205</v>
      </c>
      <c r="CF8" s="95" t="s">
        <v>207</v>
      </c>
      <c r="CG8" s="168">
        <v>1.8</v>
      </c>
      <c r="CH8" s="79" t="s">
        <v>231</v>
      </c>
      <c r="CI8" s="94" t="s">
        <v>206</v>
      </c>
      <c r="CJ8" s="97" t="s">
        <v>205</v>
      </c>
      <c r="CK8" s="95" t="s">
        <v>209</v>
      </c>
      <c r="CL8" s="185">
        <v>2</v>
      </c>
      <c r="CM8" s="187" t="s">
        <v>231</v>
      </c>
      <c r="CN8" s="96" t="s">
        <v>206</v>
      </c>
      <c r="CO8" s="99" t="s">
        <v>205</v>
      </c>
      <c r="CP8" s="91" t="s">
        <v>239</v>
      </c>
      <c r="CQ8" s="61" t="s">
        <v>258</v>
      </c>
      <c r="CR8" s="79"/>
      <c r="CS8" s="79" t="s">
        <v>242</v>
      </c>
      <c r="CT8" s="88" t="s">
        <v>243</v>
      </c>
      <c r="CU8" s="84"/>
      <c r="CV8" s="86"/>
      <c r="CW8" s="98"/>
      <c r="CX8" s="79"/>
      <c r="CY8" s="88"/>
      <c r="CZ8" s="84"/>
      <c r="DA8" s="86"/>
      <c r="DB8" s="79"/>
      <c r="DC8" s="79"/>
      <c r="DD8" s="88"/>
      <c r="DE8" s="84"/>
      <c r="DF8" s="86"/>
      <c r="DG8" s="79"/>
      <c r="DH8" s="79"/>
      <c r="DI8" s="89"/>
      <c r="DJ8" s="90" t="s">
        <v>210</v>
      </c>
      <c r="DK8" s="91"/>
      <c r="DL8" s="79"/>
      <c r="DM8" s="79"/>
      <c r="DN8" s="88"/>
      <c r="DO8" s="79"/>
      <c r="DP8" s="79"/>
      <c r="DQ8" s="79"/>
      <c r="DR8" s="88"/>
      <c r="DS8" s="79"/>
      <c r="DT8" s="79"/>
      <c r="DU8" s="79"/>
      <c r="DV8" s="88"/>
      <c r="DW8" s="79"/>
      <c r="DX8" s="79"/>
      <c r="DY8" s="79"/>
      <c r="DZ8" s="88"/>
      <c r="EA8" s="79"/>
      <c r="EB8" s="79"/>
      <c r="EC8" s="79"/>
      <c r="ED8" s="88"/>
      <c r="EE8" s="79"/>
      <c r="EF8" s="79"/>
      <c r="EG8" s="89"/>
      <c r="EH8" s="82"/>
      <c r="EI8" s="84" t="s">
        <v>211</v>
      </c>
      <c r="EJ8" s="96" t="s">
        <v>255</v>
      </c>
      <c r="EK8" s="101" t="s">
        <v>212</v>
      </c>
      <c r="EL8" s="102" t="s">
        <v>214</v>
      </c>
      <c r="EM8" s="100" t="s">
        <v>210</v>
      </c>
      <c r="EN8" s="92" t="s">
        <v>224</v>
      </c>
      <c r="EO8" s="131" t="s">
        <v>244</v>
      </c>
      <c r="EP8" s="79"/>
      <c r="EQ8" s="132" t="s">
        <v>245</v>
      </c>
      <c r="ER8" s="79"/>
      <c r="ES8" s="79"/>
      <c r="ET8" s="79"/>
      <c r="EU8" s="79"/>
      <c r="EV8" s="79"/>
      <c r="EW8" s="79"/>
      <c r="EX8" s="80"/>
      <c r="EY8" s="84"/>
      <c r="EZ8" s="98"/>
      <c r="FA8" s="98"/>
      <c r="FB8" s="104"/>
      <c r="FC8" s="102" t="s">
        <v>220</v>
      </c>
      <c r="FD8" s="53" t="s">
        <v>198</v>
      </c>
      <c r="FE8" s="53" t="s">
        <v>210</v>
      </c>
      <c r="FF8" s="105" t="s">
        <v>217</v>
      </c>
      <c r="FG8" s="94" t="s">
        <v>218</v>
      </c>
      <c r="FH8" s="122" t="s">
        <v>219</v>
      </c>
      <c r="FI8" s="84"/>
      <c r="FJ8" s="82"/>
      <c r="FK8" s="84"/>
      <c r="FL8" s="82"/>
      <c r="FM8" s="84"/>
      <c r="FN8" s="80"/>
      <c r="FO8" s="125" t="s">
        <v>221</v>
      </c>
      <c r="FP8" s="106" t="s">
        <v>222</v>
      </c>
      <c r="FQ8" s="84" t="s">
        <v>223</v>
      </c>
      <c r="FR8" s="79"/>
      <c r="FS8" s="80"/>
      <c r="FT8" s="78" t="s">
        <v>250</v>
      </c>
      <c r="FU8" s="168">
        <v>90</v>
      </c>
      <c r="FV8" s="133" t="s">
        <v>469</v>
      </c>
      <c r="FW8" s="79" t="s">
        <v>320</v>
      </c>
      <c r="FX8" s="248" t="s">
        <v>469</v>
      </c>
      <c r="FY8" s="84" t="s">
        <v>227</v>
      </c>
      <c r="FZ8" s="168">
        <v>80</v>
      </c>
      <c r="GA8" s="79" t="s">
        <v>470</v>
      </c>
      <c r="GB8" s="79" t="s">
        <v>291</v>
      </c>
      <c r="GC8" s="192" t="s">
        <v>470</v>
      </c>
      <c r="GD8" s="84" t="s">
        <v>266</v>
      </c>
      <c r="GE8" s="168">
        <v>70</v>
      </c>
      <c r="GF8" s="79" t="s">
        <v>469</v>
      </c>
      <c r="GG8" s="79" t="s">
        <v>291</v>
      </c>
      <c r="GH8" s="192" t="s">
        <v>469</v>
      </c>
      <c r="GI8" s="84"/>
      <c r="GJ8" s="168"/>
      <c r="GK8" s="79"/>
      <c r="GL8" s="79"/>
      <c r="GM8" s="192"/>
      <c r="GN8" s="84"/>
      <c r="GO8" s="168"/>
      <c r="GP8" s="79"/>
      <c r="GQ8" s="79"/>
      <c r="GR8" s="192"/>
      <c r="GS8" s="84"/>
      <c r="GT8" s="168"/>
      <c r="GU8" s="79"/>
      <c r="GV8" s="79"/>
      <c r="GW8" s="192"/>
      <c r="GX8" s="84"/>
      <c r="GY8" s="168"/>
      <c r="GZ8" s="79"/>
      <c r="HA8" s="79"/>
      <c r="HB8" s="192"/>
      <c r="HC8" s="59"/>
      <c r="HD8" s="183"/>
      <c r="HE8" s="79"/>
      <c r="HF8" s="79"/>
      <c r="HG8" s="194"/>
      <c r="HH8" s="84"/>
      <c r="HI8" s="136"/>
      <c r="HJ8" s="79"/>
      <c r="HK8" s="79"/>
      <c r="HL8" s="194"/>
      <c r="HM8" s="84"/>
      <c r="HN8" s="136"/>
      <c r="HO8" s="79"/>
      <c r="HP8" s="79"/>
      <c r="HQ8" s="194"/>
      <c r="HR8" s="6"/>
      <c r="HS8" s="4"/>
      <c r="HT8" s="5"/>
      <c r="HU8" s="5"/>
      <c r="HV8" s="194"/>
      <c r="HW8" s="6"/>
      <c r="HX8" s="4"/>
      <c r="HY8" s="5"/>
      <c r="HZ8" s="5"/>
      <c r="IA8" s="194"/>
      <c r="IB8" s="6"/>
      <c r="IC8" s="5"/>
      <c r="ID8" s="5"/>
      <c r="IE8" s="5"/>
      <c r="IF8" s="194"/>
      <c r="IG8" s="6"/>
      <c r="IH8" s="5"/>
      <c r="II8" s="5"/>
      <c r="IJ8" s="5"/>
      <c r="IK8" s="194"/>
      <c r="IL8" s="6"/>
      <c r="IM8" s="5"/>
      <c r="IN8" s="5"/>
      <c r="IO8" s="5"/>
      <c r="IP8" s="194"/>
      <c r="IQ8" s="6"/>
      <c r="IR8" s="5"/>
      <c r="IS8" s="5"/>
      <c r="IT8" s="5"/>
      <c r="IU8" s="194"/>
      <c r="IV8" s="6"/>
      <c r="IW8" s="5"/>
      <c r="IX8" s="5"/>
      <c r="IY8" s="5"/>
      <c r="IZ8" s="194"/>
      <c r="JA8" s="6"/>
      <c r="JB8" s="5"/>
      <c r="JC8" s="5"/>
      <c r="JD8" s="5"/>
      <c r="JE8" s="194"/>
      <c r="JF8" s="6"/>
      <c r="JG8" s="5"/>
      <c r="JH8" s="5"/>
      <c r="JI8" s="5"/>
      <c r="JJ8" s="194"/>
      <c r="JK8" s="6"/>
      <c r="JL8" s="5"/>
      <c r="JM8" s="5"/>
      <c r="JN8" s="5"/>
      <c r="JO8" s="194"/>
    </row>
    <row r="9" spans="1:275" ht="15.75" customHeight="1">
      <c r="A9" s="12">
        <v>12095</v>
      </c>
      <c r="B9" s="5" t="s">
        <v>393</v>
      </c>
      <c r="C9" s="137"/>
      <c r="D9" s="4"/>
      <c r="E9" s="130"/>
      <c r="F9" s="78"/>
      <c r="G9" s="79"/>
      <c r="H9" s="79"/>
      <c r="I9" s="82"/>
      <c r="J9" s="79"/>
      <c r="K9" s="79"/>
      <c r="L9" s="81"/>
      <c r="M9" s="79"/>
      <c r="N9" s="79"/>
      <c r="O9" s="82"/>
      <c r="P9" s="83"/>
      <c r="Q9" s="79"/>
      <c r="R9" s="80"/>
      <c r="S9" s="78"/>
      <c r="T9" s="79" t="s">
        <v>192</v>
      </c>
      <c r="U9" s="245" t="s">
        <v>264</v>
      </c>
      <c r="V9" s="79" t="s">
        <v>267</v>
      </c>
      <c r="W9" s="79" t="s">
        <v>194</v>
      </c>
      <c r="X9" s="80" t="s">
        <v>195</v>
      </c>
      <c r="Y9" s="78" t="s">
        <v>198</v>
      </c>
      <c r="Z9" s="79" t="s">
        <v>198</v>
      </c>
      <c r="AA9" s="79" t="s">
        <v>198</v>
      </c>
      <c r="AB9" s="79" t="s">
        <v>198</v>
      </c>
      <c r="AC9" s="79" t="s">
        <v>198</v>
      </c>
      <c r="AD9" s="79" t="s">
        <v>198</v>
      </c>
      <c r="AE9" s="79" t="s">
        <v>198</v>
      </c>
      <c r="AF9" s="79" t="s">
        <v>210</v>
      </c>
      <c r="AG9" s="79" t="s">
        <v>198</v>
      </c>
      <c r="AH9" s="79" t="s">
        <v>198</v>
      </c>
      <c r="AI9" s="79" t="s">
        <v>198</v>
      </c>
      <c r="AJ9" s="79" t="s">
        <v>198</v>
      </c>
      <c r="AK9" s="79" t="s">
        <v>210</v>
      </c>
      <c r="AL9" s="82"/>
      <c r="AM9" s="84" t="s">
        <v>198</v>
      </c>
      <c r="AN9" s="79" t="s">
        <v>198</v>
      </c>
      <c r="AO9" s="79" t="s">
        <v>198</v>
      </c>
      <c r="AP9" s="79" t="s">
        <v>198</v>
      </c>
      <c r="AQ9" s="79" t="s">
        <v>198</v>
      </c>
      <c r="AR9" s="79" t="s">
        <v>198</v>
      </c>
      <c r="AS9" s="79" t="s">
        <v>198</v>
      </c>
      <c r="AT9" s="79" t="s">
        <v>198</v>
      </c>
      <c r="AU9" s="79" t="s">
        <v>198</v>
      </c>
      <c r="AV9" s="80"/>
      <c r="AW9" s="14" t="s">
        <v>248</v>
      </c>
      <c r="AX9" s="79"/>
      <c r="AY9" s="79"/>
      <c r="AZ9" s="79"/>
      <c r="BA9" s="79"/>
      <c r="BB9" s="79"/>
      <c r="BC9" s="79"/>
      <c r="BD9" s="79"/>
      <c r="BE9" s="79"/>
      <c r="BF9" s="80"/>
      <c r="BG9" s="84" t="s">
        <v>197</v>
      </c>
      <c r="BH9" s="79" t="s">
        <v>199</v>
      </c>
      <c r="BI9" s="79" t="s">
        <v>199</v>
      </c>
      <c r="BJ9" s="79" t="s">
        <v>200</v>
      </c>
      <c r="BK9" s="79" t="s">
        <v>198</v>
      </c>
      <c r="BL9" s="79" t="s">
        <v>198</v>
      </c>
      <c r="BM9" s="80" t="s">
        <v>198</v>
      </c>
      <c r="BN9" s="84"/>
      <c r="BO9" s="79">
        <v>120</v>
      </c>
      <c r="BP9" s="79">
        <v>28</v>
      </c>
      <c r="BQ9" s="85" t="s">
        <v>201</v>
      </c>
      <c r="BR9" s="85">
        <v>0</v>
      </c>
      <c r="BS9" s="85">
        <v>4.5</v>
      </c>
      <c r="BT9" s="85">
        <v>4</v>
      </c>
      <c r="BU9" s="85">
        <v>0.5</v>
      </c>
      <c r="BV9" s="85">
        <v>2</v>
      </c>
      <c r="BW9" s="134" t="s">
        <v>265</v>
      </c>
      <c r="BX9" s="147">
        <f t="shared" si="4"/>
        <v>0.8</v>
      </c>
      <c r="BY9" s="85" t="s">
        <v>202</v>
      </c>
      <c r="BZ9" s="67" t="s">
        <v>203</v>
      </c>
      <c r="CA9" s="78" t="s">
        <v>208</v>
      </c>
      <c r="CB9" s="86">
        <v>3.3</v>
      </c>
      <c r="CC9" s="79" t="s">
        <v>231</v>
      </c>
      <c r="CD9" s="94" t="s">
        <v>204</v>
      </c>
      <c r="CE9" s="87" t="s">
        <v>205</v>
      </c>
      <c r="CF9" s="95" t="s">
        <v>207</v>
      </c>
      <c r="CG9" s="168">
        <v>1.8</v>
      </c>
      <c r="CH9" s="79" t="s">
        <v>231</v>
      </c>
      <c r="CI9" s="94" t="s">
        <v>206</v>
      </c>
      <c r="CJ9" s="97" t="s">
        <v>205</v>
      </c>
      <c r="CK9" s="95" t="s">
        <v>209</v>
      </c>
      <c r="CL9" s="185">
        <v>2</v>
      </c>
      <c r="CM9" s="187" t="s">
        <v>231</v>
      </c>
      <c r="CN9" s="96" t="s">
        <v>206</v>
      </c>
      <c r="CO9" s="99" t="s">
        <v>205</v>
      </c>
      <c r="CP9" s="91" t="s">
        <v>239</v>
      </c>
      <c r="CQ9" s="61" t="s">
        <v>258</v>
      </c>
      <c r="CR9" s="79"/>
      <c r="CS9" s="79" t="s">
        <v>242</v>
      </c>
      <c r="CT9" s="88" t="s">
        <v>243</v>
      </c>
      <c r="CU9" s="84"/>
      <c r="CV9" s="86"/>
      <c r="CW9" s="98"/>
      <c r="CX9" s="79"/>
      <c r="CY9" s="88"/>
      <c r="CZ9" s="84"/>
      <c r="DA9" s="86"/>
      <c r="DB9" s="79"/>
      <c r="DC9" s="79"/>
      <c r="DD9" s="88"/>
      <c r="DE9" s="84"/>
      <c r="DF9" s="86"/>
      <c r="DG9" s="79"/>
      <c r="DH9" s="79"/>
      <c r="DI9" s="89"/>
      <c r="DJ9" s="90" t="s">
        <v>210</v>
      </c>
      <c r="DK9" s="91"/>
      <c r="DL9" s="79"/>
      <c r="DM9" s="79"/>
      <c r="DN9" s="88"/>
      <c r="DO9" s="79"/>
      <c r="DP9" s="79"/>
      <c r="DQ9" s="79"/>
      <c r="DR9" s="88"/>
      <c r="DS9" s="79"/>
      <c r="DT9" s="79"/>
      <c r="DU9" s="79"/>
      <c r="DV9" s="88"/>
      <c r="DW9" s="79"/>
      <c r="DX9" s="79"/>
      <c r="DY9" s="79"/>
      <c r="DZ9" s="88"/>
      <c r="EA9" s="79"/>
      <c r="EB9" s="79"/>
      <c r="EC9" s="79"/>
      <c r="ED9" s="88"/>
      <c r="EE9" s="79"/>
      <c r="EF9" s="79"/>
      <c r="EG9" s="89"/>
      <c r="EH9" s="82"/>
      <c r="EI9" s="84" t="s">
        <v>211</v>
      </c>
      <c r="EJ9" s="96" t="s">
        <v>255</v>
      </c>
      <c r="EK9" s="101" t="s">
        <v>212</v>
      </c>
      <c r="EL9" s="102" t="s">
        <v>214</v>
      </c>
      <c r="EM9" s="100" t="s">
        <v>210</v>
      </c>
      <c r="EN9" s="92" t="s">
        <v>224</v>
      </c>
      <c r="EO9" s="131" t="s">
        <v>244</v>
      </c>
      <c r="EP9" s="79"/>
      <c r="EQ9" s="132" t="s">
        <v>245</v>
      </c>
      <c r="ER9" s="79"/>
      <c r="ES9" s="79"/>
      <c r="ET9" s="79"/>
      <c r="EU9" s="79"/>
      <c r="EV9" s="79"/>
      <c r="EW9" s="79"/>
      <c r="EX9" s="80"/>
      <c r="EY9" s="84"/>
      <c r="EZ9" s="98"/>
      <c r="FA9" s="98"/>
      <c r="FB9" s="104"/>
      <c r="FC9" s="102" t="s">
        <v>220</v>
      </c>
      <c r="FD9" s="53" t="s">
        <v>198</v>
      </c>
      <c r="FE9" s="53" t="s">
        <v>210</v>
      </c>
      <c r="FF9" s="105" t="s">
        <v>217</v>
      </c>
      <c r="FG9" s="94" t="s">
        <v>218</v>
      </c>
      <c r="FH9" s="122" t="s">
        <v>219</v>
      </c>
      <c r="FI9" s="84"/>
      <c r="FJ9" s="82"/>
      <c r="FK9" s="84"/>
      <c r="FL9" s="82"/>
      <c r="FM9" s="84"/>
      <c r="FN9" s="80"/>
      <c r="FO9" s="125" t="s">
        <v>221</v>
      </c>
      <c r="FP9" s="106" t="s">
        <v>222</v>
      </c>
      <c r="FQ9" s="84" t="s">
        <v>223</v>
      </c>
      <c r="FR9" s="79"/>
      <c r="FS9" s="80"/>
      <c r="FT9" s="78" t="s">
        <v>250</v>
      </c>
      <c r="FU9" s="168">
        <v>90</v>
      </c>
      <c r="FV9" s="133" t="s">
        <v>469</v>
      </c>
      <c r="FW9" s="79" t="s">
        <v>320</v>
      </c>
      <c r="FX9" s="248" t="s">
        <v>469</v>
      </c>
      <c r="FY9" s="84" t="s">
        <v>227</v>
      </c>
      <c r="FZ9" s="168">
        <v>80</v>
      </c>
      <c r="GA9" s="79" t="s">
        <v>470</v>
      </c>
      <c r="GB9" s="79" t="s">
        <v>291</v>
      </c>
      <c r="GC9" s="192" t="s">
        <v>470</v>
      </c>
      <c r="GD9" s="84" t="s">
        <v>266</v>
      </c>
      <c r="GE9" s="168">
        <v>70</v>
      </c>
      <c r="GF9" s="79" t="s">
        <v>469</v>
      </c>
      <c r="GG9" s="79" t="s">
        <v>291</v>
      </c>
      <c r="GH9" s="192" t="s">
        <v>469</v>
      </c>
      <c r="GI9" s="84"/>
      <c r="GJ9" s="168"/>
      <c r="GK9" s="79"/>
      <c r="GL9" s="79"/>
      <c r="GM9" s="192"/>
      <c r="GN9" s="84"/>
      <c r="GO9" s="168"/>
      <c r="GP9" s="79"/>
      <c r="GQ9" s="79"/>
      <c r="GR9" s="192"/>
      <c r="GS9" s="84"/>
      <c r="GT9" s="168"/>
      <c r="GU9" s="79"/>
      <c r="GV9" s="79"/>
      <c r="GW9" s="192"/>
      <c r="GX9" s="84"/>
      <c r="GY9" s="168"/>
      <c r="GZ9" s="79"/>
      <c r="HA9" s="79"/>
      <c r="HB9" s="192"/>
      <c r="HC9" s="59"/>
      <c r="HD9" s="183"/>
      <c r="HE9" s="79"/>
      <c r="HF9" s="79"/>
      <c r="HG9" s="194"/>
      <c r="HH9" s="84"/>
      <c r="HI9" s="136"/>
      <c r="HJ9" s="79"/>
      <c r="HK9" s="79"/>
      <c r="HL9" s="194"/>
      <c r="HM9" s="84"/>
      <c r="HN9" s="136"/>
      <c r="HO9" s="79"/>
      <c r="HP9" s="79"/>
      <c r="HQ9" s="194"/>
      <c r="HR9" s="6"/>
      <c r="HS9" s="4"/>
      <c r="HT9" s="5"/>
      <c r="HU9" s="5"/>
      <c r="HV9" s="194"/>
      <c r="HW9" s="6"/>
      <c r="HX9" s="4"/>
      <c r="HY9" s="5"/>
      <c r="HZ9" s="5"/>
      <c r="IA9" s="194"/>
      <c r="IB9" s="6"/>
      <c r="IC9" s="5"/>
      <c r="ID9" s="5"/>
      <c r="IE9" s="5"/>
      <c r="IF9" s="194"/>
      <c r="IG9" s="6"/>
      <c r="IH9" s="5"/>
      <c r="II9" s="5"/>
      <c r="IJ9" s="5"/>
      <c r="IK9" s="194"/>
      <c r="IL9" s="6"/>
      <c r="IM9" s="5"/>
      <c r="IN9" s="5"/>
      <c r="IO9" s="5"/>
      <c r="IP9" s="194"/>
      <c r="IQ9" s="6"/>
      <c r="IR9" s="5"/>
      <c r="IS9" s="5"/>
      <c r="IT9" s="5"/>
      <c r="IU9" s="194"/>
      <c r="IV9" s="6"/>
      <c r="IW9" s="5"/>
      <c r="IX9" s="5"/>
      <c r="IY9" s="5"/>
      <c r="IZ9" s="194"/>
      <c r="JA9" s="6"/>
      <c r="JB9" s="5"/>
      <c r="JC9" s="5"/>
      <c r="JD9" s="5"/>
      <c r="JE9" s="194"/>
      <c r="JF9" s="6"/>
      <c r="JG9" s="5"/>
      <c r="JH9" s="5"/>
      <c r="JI9" s="5"/>
      <c r="JJ9" s="194"/>
      <c r="JK9" s="6"/>
      <c r="JL9" s="5"/>
      <c r="JM9" s="5"/>
      <c r="JN9" s="5"/>
      <c r="JO9" s="194"/>
    </row>
    <row r="10" spans="1:275" ht="15.75" customHeight="1">
      <c r="A10" s="12">
        <v>12104</v>
      </c>
      <c r="B10" s="5" t="s">
        <v>394</v>
      </c>
      <c r="C10" s="137"/>
      <c r="D10" s="4"/>
      <c r="E10" s="130"/>
      <c r="F10" s="78"/>
      <c r="G10" s="79"/>
      <c r="H10" s="79"/>
      <c r="I10" s="82"/>
      <c r="J10" s="79"/>
      <c r="K10" s="79"/>
      <c r="L10" s="81"/>
      <c r="M10" s="79"/>
      <c r="N10" s="79"/>
      <c r="O10" s="82"/>
      <c r="P10" s="83"/>
      <c r="Q10" s="79"/>
      <c r="R10" s="80"/>
      <c r="S10" s="78"/>
      <c r="T10" s="79" t="s">
        <v>192</v>
      </c>
      <c r="U10" s="245" t="s">
        <v>268</v>
      </c>
      <c r="V10" s="79" t="s">
        <v>269</v>
      </c>
      <c r="W10" s="79"/>
      <c r="X10" s="80"/>
      <c r="Y10" s="78" t="s">
        <v>198</v>
      </c>
      <c r="Z10" s="79" t="s">
        <v>198</v>
      </c>
      <c r="AA10" s="79" t="s">
        <v>198</v>
      </c>
      <c r="AB10" s="79" t="s">
        <v>198</v>
      </c>
      <c r="AC10" s="79" t="s">
        <v>198</v>
      </c>
      <c r="AD10" s="79" t="s">
        <v>198</v>
      </c>
      <c r="AE10" s="79" t="s">
        <v>198</v>
      </c>
      <c r="AF10" s="79" t="s">
        <v>210</v>
      </c>
      <c r="AG10" s="79" t="s">
        <v>198</v>
      </c>
      <c r="AH10" s="79" t="s">
        <v>198</v>
      </c>
      <c r="AI10" s="79" t="s">
        <v>198</v>
      </c>
      <c r="AJ10" s="79" t="s">
        <v>198</v>
      </c>
      <c r="AK10" s="79" t="s">
        <v>210</v>
      </c>
      <c r="AL10" s="82"/>
      <c r="AM10" s="84" t="s">
        <v>198</v>
      </c>
      <c r="AN10" s="79" t="s">
        <v>198</v>
      </c>
      <c r="AO10" s="79" t="s">
        <v>198</v>
      </c>
      <c r="AP10" s="79" t="s">
        <v>198</v>
      </c>
      <c r="AQ10" s="79" t="s">
        <v>198</v>
      </c>
      <c r="AR10" s="79" t="s">
        <v>198</v>
      </c>
      <c r="AS10" s="79" t="s">
        <v>198</v>
      </c>
      <c r="AT10" s="79" t="s">
        <v>198</v>
      </c>
      <c r="AU10" s="79" t="s">
        <v>198</v>
      </c>
      <c r="AV10" s="80"/>
      <c r="AW10" s="14" t="s">
        <v>248</v>
      </c>
      <c r="AX10" s="79"/>
      <c r="AY10" s="79"/>
      <c r="AZ10" s="79"/>
      <c r="BA10" s="79"/>
      <c r="BB10" s="79"/>
      <c r="BC10" s="79"/>
      <c r="BD10" s="79"/>
      <c r="BE10" s="79"/>
      <c r="BF10" s="80"/>
      <c r="BG10" s="84" t="s">
        <v>197</v>
      </c>
      <c r="BH10" s="79" t="s">
        <v>199</v>
      </c>
      <c r="BI10" s="79" t="s">
        <v>199</v>
      </c>
      <c r="BJ10" s="79" t="s">
        <v>200</v>
      </c>
      <c r="BK10" s="79" t="s">
        <v>198</v>
      </c>
      <c r="BL10" s="79" t="s">
        <v>198</v>
      </c>
      <c r="BM10" s="80" t="s">
        <v>198</v>
      </c>
      <c r="BN10" s="84"/>
      <c r="BO10" s="79">
        <v>116</v>
      </c>
      <c r="BP10" s="79">
        <v>27</v>
      </c>
      <c r="BQ10" s="85" t="s">
        <v>201</v>
      </c>
      <c r="BR10" s="85">
        <v>0</v>
      </c>
      <c r="BS10" s="85">
        <v>4.5</v>
      </c>
      <c r="BT10" s="85">
        <v>3.5</v>
      </c>
      <c r="BU10" s="85" t="s">
        <v>201</v>
      </c>
      <c r="BV10" s="85">
        <v>2</v>
      </c>
      <c r="BW10" s="134" t="s">
        <v>265</v>
      </c>
      <c r="BX10" s="147">
        <f t="shared" si="4"/>
        <v>0.8</v>
      </c>
      <c r="BY10" s="85" t="s">
        <v>202</v>
      </c>
      <c r="BZ10" s="67" t="s">
        <v>203</v>
      </c>
      <c r="CA10" s="78" t="s">
        <v>208</v>
      </c>
      <c r="CB10" s="86">
        <v>3.6</v>
      </c>
      <c r="CC10" s="79" t="s">
        <v>231</v>
      </c>
      <c r="CD10" s="94" t="s">
        <v>204</v>
      </c>
      <c r="CE10" s="87" t="s">
        <v>205</v>
      </c>
      <c r="CF10" s="95" t="s">
        <v>207</v>
      </c>
      <c r="CG10" s="168">
        <v>1.8</v>
      </c>
      <c r="CH10" s="79" t="s">
        <v>231</v>
      </c>
      <c r="CI10" s="94" t="s">
        <v>206</v>
      </c>
      <c r="CJ10" s="97" t="s">
        <v>205</v>
      </c>
      <c r="CK10" s="95" t="s">
        <v>209</v>
      </c>
      <c r="CL10" s="185">
        <v>2</v>
      </c>
      <c r="CM10" s="187" t="s">
        <v>231</v>
      </c>
      <c r="CN10" s="96" t="s">
        <v>206</v>
      </c>
      <c r="CO10" s="99" t="s">
        <v>205</v>
      </c>
      <c r="CP10" s="91" t="s">
        <v>239</v>
      </c>
      <c r="CQ10" s="61" t="s">
        <v>253</v>
      </c>
      <c r="CR10" s="79"/>
      <c r="CS10" s="79" t="s">
        <v>242</v>
      </c>
      <c r="CT10" s="88" t="s">
        <v>243</v>
      </c>
      <c r="CU10" s="84"/>
      <c r="CV10" s="86"/>
      <c r="CW10" s="98"/>
      <c r="CX10" s="79"/>
      <c r="CY10" s="88"/>
      <c r="CZ10" s="84"/>
      <c r="DA10" s="86"/>
      <c r="DB10" s="79"/>
      <c r="DC10" s="79"/>
      <c r="DD10" s="88"/>
      <c r="DE10" s="84"/>
      <c r="DF10" s="86"/>
      <c r="DG10" s="79"/>
      <c r="DH10" s="79"/>
      <c r="DI10" s="89"/>
      <c r="DJ10" s="90" t="s">
        <v>210</v>
      </c>
      <c r="DK10" s="91"/>
      <c r="DL10" s="79"/>
      <c r="DM10" s="79"/>
      <c r="DN10" s="88"/>
      <c r="DO10" s="79"/>
      <c r="DP10" s="79"/>
      <c r="DQ10" s="79"/>
      <c r="DR10" s="88"/>
      <c r="DS10" s="79"/>
      <c r="DT10" s="79"/>
      <c r="DU10" s="79"/>
      <c r="DV10" s="88"/>
      <c r="DW10" s="79"/>
      <c r="DX10" s="79"/>
      <c r="DY10" s="79"/>
      <c r="DZ10" s="88"/>
      <c r="EA10" s="79"/>
      <c r="EB10" s="79"/>
      <c r="EC10" s="79"/>
      <c r="ED10" s="88"/>
      <c r="EE10" s="79"/>
      <c r="EF10" s="79"/>
      <c r="EG10" s="89"/>
      <c r="EH10" s="82"/>
      <c r="EI10" s="84" t="s">
        <v>211</v>
      </c>
      <c r="EJ10" s="96" t="s">
        <v>255</v>
      </c>
      <c r="EK10" s="101" t="s">
        <v>212</v>
      </c>
      <c r="EL10" s="102" t="s">
        <v>214</v>
      </c>
      <c r="EM10" s="100" t="s">
        <v>210</v>
      </c>
      <c r="EN10" s="92" t="s">
        <v>224</v>
      </c>
      <c r="EO10" s="131" t="s">
        <v>244</v>
      </c>
      <c r="EP10" s="79"/>
      <c r="EQ10" s="132" t="s">
        <v>245</v>
      </c>
      <c r="ER10" s="79"/>
      <c r="ES10" s="79"/>
      <c r="ET10" s="79"/>
      <c r="EU10" s="79"/>
      <c r="EV10" s="79"/>
      <c r="EW10" s="79"/>
      <c r="EX10" s="80"/>
      <c r="EY10" s="84"/>
      <c r="EZ10" s="98"/>
      <c r="FA10" s="98"/>
      <c r="FB10" s="104"/>
      <c r="FC10" s="102" t="s">
        <v>220</v>
      </c>
      <c r="FD10" s="53" t="s">
        <v>198</v>
      </c>
      <c r="FE10" s="53" t="s">
        <v>210</v>
      </c>
      <c r="FF10" s="105" t="s">
        <v>217</v>
      </c>
      <c r="FG10" s="94" t="s">
        <v>218</v>
      </c>
      <c r="FH10" s="122" t="s">
        <v>219</v>
      </c>
      <c r="FI10" s="84"/>
      <c r="FJ10" s="82"/>
      <c r="FK10" s="84"/>
      <c r="FL10" s="82"/>
      <c r="FM10" s="84"/>
      <c r="FN10" s="80"/>
      <c r="FO10" s="125" t="s">
        <v>221</v>
      </c>
      <c r="FP10" s="106" t="s">
        <v>222</v>
      </c>
      <c r="FQ10" s="84" t="s">
        <v>223</v>
      </c>
      <c r="FR10" s="79"/>
      <c r="FS10" s="80"/>
      <c r="FT10" s="78" t="s">
        <v>250</v>
      </c>
      <c r="FU10" s="168">
        <v>90</v>
      </c>
      <c r="FV10" s="133" t="s">
        <v>469</v>
      </c>
      <c r="FW10" s="79" t="s">
        <v>320</v>
      </c>
      <c r="FX10" s="248" t="s">
        <v>469</v>
      </c>
      <c r="FY10" s="84" t="s">
        <v>227</v>
      </c>
      <c r="FZ10" s="168">
        <v>80</v>
      </c>
      <c r="GA10" s="79" t="s">
        <v>470</v>
      </c>
      <c r="GB10" s="79" t="s">
        <v>291</v>
      </c>
      <c r="GC10" s="192" t="s">
        <v>470</v>
      </c>
      <c r="GD10" s="84"/>
      <c r="GE10" s="168"/>
      <c r="GF10" s="79"/>
      <c r="GG10" s="79"/>
      <c r="GH10" s="192"/>
      <c r="GI10" s="84"/>
      <c r="GJ10" s="168"/>
      <c r="GK10" s="79"/>
      <c r="GL10" s="79"/>
      <c r="GM10" s="192"/>
      <c r="GN10" s="84"/>
      <c r="GO10" s="168"/>
      <c r="GP10" s="79"/>
      <c r="GQ10" s="79"/>
      <c r="GR10" s="192"/>
      <c r="GS10" s="84"/>
      <c r="GT10" s="168"/>
      <c r="GU10" s="79"/>
      <c r="GV10" s="79"/>
      <c r="GW10" s="192"/>
      <c r="GX10" s="84"/>
      <c r="GY10" s="168"/>
      <c r="GZ10" s="79"/>
      <c r="HA10" s="79"/>
      <c r="HB10" s="192"/>
      <c r="HC10" s="59"/>
      <c r="HD10" s="183"/>
      <c r="HE10" s="79"/>
      <c r="HF10" s="79"/>
      <c r="HG10" s="194"/>
      <c r="HH10" s="84"/>
      <c r="HI10" s="136"/>
      <c r="HJ10" s="79"/>
      <c r="HK10" s="79"/>
      <c r="HL10" s="194"/>
      <c r="HM10" s="84"/>
      <c r="HN10" s="136"/>
      <c r="HO10" s="79"/>
      <c r="HP10" s="79"/>
      <c r="HQ10" s="194"/>
      <c r="HR10" s="6"/>
      <c r="HS10" s="4"/>
      <c r="HT10" s="5"/>
      <c r="HU10" s="5"/>
      <c r="HV10" s="194"/>
      <c r="HW10" s="6"/>
      <c r="HX10" s="4"/>
      <c r="HY10" s="5"/>
      <c r="HZ10" s="5"/>
      <c r="IA10" s="194"/>
      <c r="IB10" s="6"/>
      <c r="IC10" s="5"/>
      <c r="ID10" s="5"/>
      <c r="IE10" s="5"/>
      <c r="IF10" s="194"/>
      <c r="IG10" s="6"/>
      <c r="IH10" s="5"/>
      <c r="II10" s="5"/>
      <c r="IJ10" s="5"/>
      <c r="IK10" s="194"/>
      <c r="IL10" s="6"/>
      <c r="IM10" s="5"/>
      <c r="IN10" s="5"/>
      <c r="IO10" s="5"/>
      <c r="IP10" s="194"/>
      <c r="IQ10" s="6"/>
      <c r="IR10" s="5"/>
      <c r="IS10" s="5"/>
      <c r="IT10" s="5"/>
      <c r="IU10" s="194"/>
      <c r="IV10" s="6"/>
      <c r="IW10" s="5"/>
      <c r="IX10" s="5"/>
      <c r="IY10" s="5"/>
      <c r="IZ10" s="194"/>
      <c r="JA10" s="6"/>
      <c r="JB10" s="5"/>
      <c r="JC10" s="5"/>
      <c r="JD10" s="5"/>
      <c r="JE10" s="194"/>
      <c r="JF10" s="6"/>
      <c r="JG10" s="5"/>
      <c r="JH10" s="5"/>
      <c r="JI10" s="5"/>
      <c r="JJ10" s="194"/>
      <c r="JK10" s="6"/>
      <c r="JL10" s="5"/>
      <c r="JM10" s="5"/>
      <c r="JN10" s="5"/>
      <c r="JO10" s="194"/>
    </row>
    <row r="11" spans="1:275" ht="15.75" customHeight="1">
      <c r="A11" s="12">
        <v>12103</v>
      </c>
      <c r="B11" s="5" t="s">
        <v>395</v>
      </c>
      <c r="C11" s="137"/>
      <c r="D11" s="4"/>
      <c r="E11" s="130"/>
      <c r="F11" s="78"/>
      <c r="G11" s="79"/>
      <c r="H11" s="79"/>
      <c r="I11" s="82"/>
      <c r="J11" s="79"/>
      <c r="K11" s="79"/>
      <c r="L11" s="81"/>
      <c r="M11" s="79"/>
      <c r="N11" s="79"/>
      <c r="O11" s="82"/>
      <c r="P11" s="83"/>
      <c r="Q11" s="79"/>
      <c r="R11" s="80"/>
      <c r="S11" s="78"/>
      <c r="T11" s="79" t="s">
        <v>192</v>
      </c>
      <c r="U11" s="245" t="s">
        <v>268</v>
      </c>
      <c r="V11" s="79" t="s">
        <v>269</v>
      </c>
      <c r="W11" s="79"/>
      <c r="X11" s="80"/>
      <c r="Y11" s="78" t="s">
        <v>198</v>
      </c>
      <c r="Z11" s="79" t="s">
        <v>198</v>
      </c>
      <c r="AA11" s="79" t="s">
        <v>198</v>
      </c>
      <c r="AB11" s="79" t="s">
        <v>198</v>
      </c>
      <c r="AC11" s="79" t="s">
        <v>198</v>
      </c>
      <c r="AD11" s="79" t="s">
        <v>198</v>
      </c>
      <c r="AE11" s="79" t="s">
        <v>198</v>
      </c>
      <c r="AF11" s="79" t="s">
        <v>210</v>
      </c>
      <c r="AG11" s="79" t="s">
        <v>198</v>
      </c>
      <c r="AH11" s="79" t="s">
        <v>198</v>
      </c>
      <c r="AI11" s="79" t="s">
        <v>198</v>
      </c>
      <c r="AJ11" s="79" t="s">
        <v>198</v>
      </c>
      <c r="AK11" s="79" t="s">
        <v>210</v>
      </c>
      <c r="AL11" s="82"/>
      <c r="AM11" s="84" t="s">
        <v>198</v>
      </c>
      <c r="AN11" s="79" t="s">
        <v>198</v>
      </c>
      <c r="AO11" s="79" t="s">
        <v>198</v>
      </c>
      <c r="AP11" s="79" t="s">
        <v>198</v>
      </c>
      <c r="AQ11" s="79" t="s">
        <v>198</v>
      </c>
      <c r="AR11" s="79" t="s">
        <v>198</v>
      </c>
      <c r="AS11" s="79" t="s">
        <v>198</v>
      </c>
      <c r="AT11" s="79" t="s">
        <v>198</v>
      </c>
      <c r="AU11" s="79" t="s">
        <v>198</v>
      </c>
      <c r="AV11" s="80"/>
      <c r="AW11" s="14" t="s">
        <v>248</v>
      </c>
      <c r="AX11" s="79"/>
      <c r="AY11" s="79"/>
      <c r="AZ11" s="79"/>
      <c r="BA11" s="79"/>
      <c r="BB11" s="79"/>
      <c r="BC11" s="79"/>
      <c r="BD11" s="79"/>
      <c r="BE11" s="79"/>
      <c r="BF11" s="80"/>
      <c r="BG11" s="84" t="s">
        <v>197</v>
      </c>
      <c r="BH11" s="79" t="s">
        <v>199</v>
      </c>
      <c r="BI11" s="79" t="s">
        <v>199</v>
      </c>
      <c r="BJ11" s="79" t="s">
        <v>200</v>
      </c>
      <c r="BK11" s="79" t="s">
        <v>198</v>
      </c>
      <c r="BL11" s="79" t="s">
        <v>198</v>
      </c>
      <c r="BM11" s="80" t="s">
        <v>198</v>
      </c>
      <c r="BN11" s="84"/>
      <c r="BO11" s="79">
        <v>116</v>
      </c>
      <c r="BP11" s="79">
        <v>27</v>
      </c>
      <c r="BQ11" s="85" t="s">
        <v>201</v>
      </c>
      <c r="BR11" s="85">
        <v>0</v>
      </c>
      <c r="BS11" s="85">
        <v>4.5</v>
      </c>
      <c r="BT11" s="85">
        <v>3.5</v>
      </c>
      <c r="BU11" s="85" t="s">
        <v>201</v>
      </c>
      <c r="BV11" s="85">
        <v>2</v>
      </c>
      <c r="BW11" s="134" t="s">
        <v>265</v>
      </c>
      <c r="BX11" s="147">
        <f t="shared" si="4"/>
        <v>0.8</v>
      </c>
      <c r="BY11" s="85" t="s">
        <v>202</v>
      </c>
      <c r="BZ11" s="67" t="s">
        <v>203</v>
      </c>
      <c r="CA11" s="78" t="s">
        <v>208</v>
      </c>
      <c r="CB11" s="86">
        <v>3.6</v>
      </c>
      <c r="CC11" s="79" t="s">
        <v>231</v>
      </c>
      <c r="CD11" s="94" t="s">
        <v>204</v>
      </c>
      <c r="CE11" s="87" t="s">
        <v>205</v>
      </c>
      <c r="CF11" s="95" t="s">
        <v>207</v>
      </c>
      <c r="CG11" s="168">
        <v>1.8</v>
      </c>
      <c r="CH11" s="79" t="s">
        <v>231</v>
      </c>
      <c r="CI11" s="94" t="s">
        <v>206</v>
      </c>
      <c r="CJ11" s="97" t="s">
        <v>205</v>
      </c>
      <c r="CK11" s="95" t="s">
        <v>209</v>
      </c>
      <c r="CL11" s="185">
        <v>2</v>
      </c>
      <c r="CM11" s="187" t="s">
        <v>231</v>
      </c>
      <c r="CN11" s="96" t="s">
        <v>206</v>
      </c>
      <c r="CO11" s="99" t="s">
        <v>205</v>
      </c>
      <c r="CP11" s="91" t="s">
        <v>239</v>
      </c>
      <c r="CQ11" s="61" t="s">
        <v>253</v>
      </c>
      <c r="CR11" s="79"/>
      <c r="CS11" s="79" t="s">
        <v>242</v>
      </c>
      <c r="CT11" s="88" t="s">
        <v>243</v>
      </c>
      <c r="CU11" s="84"/>
      <c r="CV11" s="86"/>
      <c r="CW11" s="98"/>
      <c r="CX11" s="79"/>
      <c r="CY11" s="88"/>
      <c r="CZ11" s="84"/>
      <c r="DA11" s="86"/>
      <c r="DB11" s="79"/>
      <c r="DC11" s="79"/>
      <c r="DD11" s="88"/>
      <c r="DE11" s="84"/>
      <c r="DF11" s="86"/>
      <c r="DG11" s="79"/>
      <c r="DH11" s="79"/>
      <c r="DI11" s="89"/>
      <c r="DJ11" s="90" t="s">
        <v>210</v>
      </c>
      <c r="DK11" s="91"/>
      <c r="DL11" s="79"/>
      <c r="DM11" s="79"/>
      <c r="DN11" s="88"/>
      <c r="DO11" s="79"/>
      <c r="DP11" s="79"/>
      <c r="DQ11" s="79"/>
      <c r="DR11" s="88"/>
      <c r="DS11" s="79"/>
      <c r="DT11" s="79"/>
      <c r="DU11" s="79"/>
      <c r="DV11" s="88"/>
      <c r="DW11" s="79"/>
      <c r="DX11" s="79"/>
      <c r="DY11" s="79"/>
      <c r="DZ11" s="88"/>
      <c r="EA11" s="79"/>
      <c r="EB11" s="79"/>
      <c r="EC11" s="79"/>
      <c r="ED11" s="88"/>
      <c r="EE11" s="79"/>
      <c r="EF11" s="79"/>
      <c r="EG11" s="89"/>
      <c r="EH11" s="82"/>
      <c r="EI11" s="84" t="s">
        <v>211</v>
      </c>
      <c r="EJ11" s="96" t="s">
        <v>255</v>
      </c>
      <c r="EK11" s="101" t="s">
        <v>212</v>
      </c>
      <c r="EL11" s="102" t="s">
        <v>214</v>
      </c>
      <c r="EM11" s="100" t="s">
        <v>210</v>
      </c>
      <c r="EN11" s="92" t="s">
        <v>224</v>
      </c>
      <c r="EO11" s="131" t="s">
        <v>244</v>
      </c>
      <c r="EP11" s="79"/>
      <c r="EQ11" s="132" t="s">
        <v>245</v>
      </c>
      <c r="ER11" s="79"/>
      <c r="ES11" s="79"/>
      <c r="ET11" s="79"/>
      <c r="EU11" s="79"/>
      <c r="EV11" s="79"/>
      <c r="EW11" s="79"/>
      <c r="EX11" s="80"/>
      <c r="EY11" s="84"/>
      <c r="EZ11" s="98"/>
      <c r="FA11" s="98"/>
      <c r="FB11" s="104"/>
      <c r="FC11" s="102" t="s">
        <v>220</v>
      </c>
      <c r="FD11" s="53" t="s">
        <v>198</v>
      </c>
      <c r="FE11" s="53" t="s">
        <v>210</v>
      </c>
      <c r="FF11" s="105" t="s">
        <v>217</v>
      </c>
      <c r="FG11" s="94" t="s">
        <v>218</v>
      </c>
      <c r="FH11" s="122" t="s">
        <v>219</v>
      </c>
      <c r="FI11" s="84"/>
      <c r="FJ11" s="82"/>
      <c r="FK11" s="84"/>
      <c r="FL11" s="82"/>
      <c r="FM11" s="84"/>
      <c r="FN11" s="80"/>
      <c r="FO11" s="125" t="s">
        <v>221</v>
      </c>
      <c r="FP11" s="106" t="s">
        <v>222</v>
      </c>
      <c r="FQ11" s="84" t="s">
        <v>223</v>
      </c>
      <c r="FR11" s="79"/>
      <c r="FS11" s="80"/>
      <c r="FT11" s="78" t="s">
        <v>250</v>
      </c>
      <c r="FU11" s="168">
        <v>90</v>
      </c>
      <c r="FV11" s="133" t="s">
        <v>469</v>
      </c>
      <c r="FW11" s="79" t="s">
        <v>320</v>
      </c>
      <c r="FX11" s="248" t="s">
        <v>469</v>
      </c>
      <c r="FY11" s="84" t="s">
        <v>227</v>
      </c>
      <c r="FZ11" s="168">
        <v>80</v>
      </c>
      <c r="GA11" s="79" t="s">
        <v>470</v>
      </c>
      <c r="GB11" s="79" t="s">
        <v>291</v>
      </c>
      <c r="GC11" s="192" t="s">
        <v>470</v>
      </c>
      <c r="GD11" s="84"/>
      <c r="GE11" s="168"/>
      <c r="GF11" s="79"/>
      <c r="GG11" s="79"/>
      <c r="GH11" s="192"/>
      <c r="GI11" s="84"/>
      <c r="GJ11" s="168"/>
      <c r="GK11" s="79"/>
      <c r="GL11" s="79"/>
      <c r="GM11" s="192"/>
      <c r="GN11" s="84"/>
      <c r="GO11" s="168"/>
      <c r="GP11" s="79"/>
      <c r="GQ11" s="79"/>
      <c r="GR11" s="192"/>
      <c r="GS11" s="84"/>
      <c r="GT11" s="168"/>
      <c r="GU11" s="79"/>
      <c r="GV11" s="79"/>
      <c r="GW11" s="192"/>
      <c r="GX11" s="84"/>
      <c r="GY11" s="168"/>
      <c r="GZ11" s="79"/>
      <c r="HA11" s="79"/>
      <c r="HB11" s="192"/>
      <c r="HC11" s="59"/>
      <c r="HD11" s="183"/>
      <c r="HE11" s="79"/>
      <c r="HF11" s="79"/>
      <c r="HG11" s="194"/>
      <c r="HH11" s="84"/>
      <c r="HI11" s="136"/>
      <c r="HJ11" s="79"/>
      <c r="HK11" s="79"/>
      <c r="HL11" s="194"/>
      <c r="HM11" s="84"/>
      <c r="HN11" s="136"/>
      <c r="HO11" s="79"/>
      <c r="HP11" s="79"/>
      <c r="HQ11" s="194"/>
      <c r="HR11" s="6"/>
      <c r="HS11" s="4"/>
      <c r="HT11" s="5"/>
      <c r="HU11" s="5"/>
      <c r="HV11" s="194"/>
      <c r="HW11" s="6"/>
      <c r="HX11" s="4"/>
      <c r="HY11" s="5"/>
      <c r="HZ11" s="5"/>
      <c r="IA11" s="194"/>
      <c r="IB11" s="6"/>
      <c r="IC11" s="5"/>
      <c r="ID11" s="5"/>
      <c r="IE11" s="5"/>
      <c r="IF11" s="194"/>
      <c r="IG11" s="6"/>
      <c r="IH11" s="5"/>
      <c r="II11" s="5"/>
      <c r="IJ11" s="5"/>
      <c r="IK11" s="194"/>
      <c r="IL11" s="6"/>
      <c r="IM11" s="5"/>
      <c r="IN11" s="5"/>
      <c r="IO11" s="5"/>
      <c r="IP11" s="194"/>
      <c r="IQ11" s="6"/>
      <c r="IR11" s="5"/>
      <c r="IS11" s="5"/>
      <c r="IT11" s="5"/>
      <c r="IU11" s="194"/>
      <c r="IV11" s="6"/>
      <c r="IW11" s="5"/>
      <c r="IX11" s="5"/>
      <c r="IY11" s="5"/>
      <c r="IZ11" s="194"/>
      <c r="JA11" s="6"/>
      <c r="JB11" s="5"/>
      <c r="JC11" s="5"/>
      <c r="JD11" s="5"/>
      <c r="JE11" s="194"/>
      <c r="JF11" s="6"/>
      <c r="JG11" s="5"/>
      <c r="JH11" s="5"/>
      <c r="JI11" s="5"/>
      <c r="JJ11" s="194"/>
      <c r="JK11" s="6"/>
      <c r="JL11" s="5"/>
      <c r="JM11" s="5"/>
      <c r="JN11" s="5"/>
      <c r="JO11" s="194"/>
    </row>
    <row r="12" spans="1:275" ht="15.75" customHeight="1">
      <c r="A12" s="12">
        <v>50839</v>
      </c>
      <c r="B12" s="5" t="s">
        <v>271</v>
      </c>
      <c r="C12" s="137"/>
      <c r="D12" s="4"/>
      <c r="E12" s="130"/>
      <c r="F12" s="78"/>
      <c r="G12" s="79"/>
      <c r="H12" s="79"/>
      <c r="I12" s="82"/>
      <c r="J12" s="79"/>
      <c r="K12" s="79"/>
      <c r="L12" s="81"/>
      <c r="M12" s="79"/>
      <c r="N12" s="79"/>
      <c r="O12" s="82"/>
      <c r="P12" s="83"/>
      <c r="Q12" s="79"/>
      <c r="R12" s="80"/>
      <c r="S12" s="78"/>
      <c r="T12" s="79" t="s">
        <v>192</v>
      </c>
      <c r="U12" s="245" t="s">
        <v>268</v>
      </c>
      <c r="V12" s="79" t="s">
        <v>269</v>
      </c>
      <c r="W12" s="79"/>
      <c r="X12" s="80"/>
      <c r="Y12" s="78" t="s">
        <v>198</v>
      </c>
      <c r="Z12" s="79" t="s">
        <v>198</v>
      </c>
      <c r="AA12" s="79" t="s">
        <v>198</v>
      </c>
      <c r="AB12" s="79" t="s">
        <v>198</v>
      </c>
      <c r="AC12" s="79" t="s">
        <v>198</v>
      </c>
      <c r="AD12" s="79" t="s">
        <v>198</v>
      </c>
      <c r="AE12" s="79" t="s">
        <v>198</v>
      </c>
      <c r="AF12" s="79" t="s">
        <v>210</v>
      </c>
      <c r="AG12" s="79" t="s">
        <v>198</v>
      </c>
      <c r="AH12" s="79" t="s">
        <v>198</v>
      </c>
      <c r="AI12" s="79" t="s">
        <v>198</v>
      </c>
      <c r="AJ12" s="79" t="s">
        <v>198</v>
      </c>
      <c r="AK12" s="79" t="s">
        <v>210</v>
      </c>
      <c r="AL12" s="82"/>
      <c r="AM12" s="84" t="s">
        <v>198</v>
      </c>
      <c r="AN12" s="79" t="s">
        <v>198</v>
      </c>
      <c r="AO12" s="79" t="s">
        <v>198</v>
      </c>
      <c r="AP12" s="79" t="s">
        <v>198</v>
      </c>
      <c r="AQ12" s="79" t="s">
        <v>198</v>
      </c>
      <c r="AR12" s="79" t="s">
        <v>198</v>
      </c>
      <c r="AS12" s="79" t="s">
        <v>198</v>
      </c>
      <c r="AT12" s="79" t="s">
        <v>198</v>
      </c>
      <c r="AU12" s="79" t="s">
        <v>198</v>
      </c>
      <c r="AV12" s="80"/>
      <c r="AW12" s="14" t="s">
        <v>248</v>
      </c>
      <c r="AX12" s="79"/>
      <c r="AY12" s="79"/>
      <c r="AZ12" s="79"/>
      <c r="BA12" s="79"/>
      <c r="BB12" s="79"/>
      <c r="BC12" s="79"/>
      <c r="BD12" s="79"/>
      <c r="BE12" s="79"/>
      <c r="BF12" s="80"/>
      <c r="BG12" s="84" t="s">
        <v>197</v>
      </c>
      <c r="BH12" s="79" t="s">
        <v>199</v>
      </c>
      <c r="BI12" s="79" t="s">
        <v>199</v>
      </c>
      <c r="BJ12" s="79" t="s">
        <v>200</v>
      </c>
      <c r="BK12" s="79" t="s">
        <v>198</v>
      </c>
      <c r="BL12" s="79" t="s">
        <v>198</v>
      </c>
      <c r="BM12" s="80" t="s">
        <v>198</v>
      </c>
      <c r="BN12" s="84"/>
      <c r="BO12" s="79">
        <v>116</v>
      </c>
      <c r="BP12" s="79">
        <v>27</v>
      </c>
      <c r="BQ12" s="85" t="s">
        <v>201</v>
      </c>
      <c r="BR12" s="85">
        <v>0</v>
      </c>
      <c r="BS12" s="85">
        <v>4.5</v>
      </c>
      <c r="BT12" s="85">
        <v>3.5</v>
      </c>
      <c r="BU12" s="85" t="s">
        <v>201</v>
      </c>
      <c r="BV12" s="85">
        <v>2</v>
      </c>
      <c r="BW12" s="134" t="s">
        <v>265</v>
      </c>
      <c r="BX12" s="147">
        <f t="shared" si="4"/>
        <v>0.8</v>
      </c>
      <c r="BY12" s="85" t="s">
        <v>202</v>
      </c>
      <c r="BZ12" s="67" t="s">
        <v>203</v>
      </c>
      <c r="CA12" s="78" t="s">
        <v>208</v>
      </c>
      <c r="CB12" s="86">
        <v>3.6</v>
      </c>
      <c r="CC12" s="79" t="s">
        <v>231</v>
      </c>
      <c r="CD12" s="94" t="s">
        <v>204</v>
      </c>
      <c r="CE12" s="87" t="s">
        <v>205</v>
      </c>
      <c r="CF12" s="95" t="s">
        <v>207</v>
      </c>
      <c r="CG12" s="168">
        <v>1.8</v>
      </c>
      <c r="CH12" s="79" t="s">
        <v>231</v>
      </c>
      <c r="CI12" s="94" t="s">
        <v>206</v>
      </c>
      <c r="CJ12" s="97" t="s">
        <v>205</v>
      </c>
      <c r="CK12" s="95" t="s">
        <v>209</v>
      </c>
      <c r="CL12" s="185">
        <v>2</v>
      </c>
      <c r="CM12" s="187" t="s">
        <v>231</v>
      </c>
      <c r="CN12" s="96" t="s">
        <v>206</v>
      </c>
      <c r="CO12" s="99" t="s">
        <v>205</v>
      </c>
      <c r="CP12" s="91" t="s">
        <v>239</v>
      </c>
      <c r="CQ12" s="61" t="s">
        <v>252</v>
      </c>
      <c r="CR12" s="79"/>
      <c r="CS12" s="79" t="s">
        <v>242</v>
      </c>
      <c r="CT12" s="88" t="s">
        <v>243</v>
      </c>
      <c r="CU12" s="84"/>
      <c r="CV12" s="86"/>
      <c r="CW12" s="98"/>
      <c r="CX12" s="79"/>
      <c r="CY12" s="88"/>
      <c r="CZ12" s="84"/>
      <c r="DA12" s="86"/>
      <c r="DB12" s="79"/>
      <c r="DC12" s="79"/>
      <c r="DD12" s="88"/>
      <c r="DE12" s="84"/>
      <c r="DF12" s="86"/>
      <c r="DG12" s="79"/>
      <c r="DH12" s="79"/>
      <c r="DI12" s="89"/>
      <c r="DJ12" s="90" t="s">
        <v>210</v>
      </c>
      <c r="DK12" s="91"/>
      <c r="DL12" s="79"/>
      <c r="DM12" s="79"/>
      <c r="DN12" s="88"/>
      <c r="DO12" s="79"/>
      <c r="DP12" s="79"/>
      <c r="DQ12" s="79"/>
      <c r="DR12" s="88"/>
      <c r="DS12" s="79"/>
      <c r="DT12" s="79"/>
      <c r="DU12" s="79"/>
      <c r="DV12" s="88"/>
      <c r="DW12" s="79"/>
      <c r="DX12" s="79"/>
      <c r="DY12" s="79"/>
      <c r="DZ12" s="88"/>
      <c r="EA12" s="79"/>
      <c r="EB12" s="79"/>
      <c r="EC12" s="79"/>
      <c r="ED12" s="88"/>
      <c r="EE12" s="79"/>
      <c r="EF12" s="79"/>
      <c r="EG12" s="89"/>
      <c r="EH12" s="82"/>
      <c r="EI12" s="84" t="s">
        <v>211</v>
      </c>
      <c r="EJ12" s="96" t="s">
        <v>255</v>
      </c>
      <c r="EK12" s="101" t="s">
        <v>212</v>
      </c>
      <c r="EL12" s="102" t="s">
        <v>214</v>
      </c>
      <c r="EM12" s="100" t="s">
        <v>210</v>
      </c>
      <c r="EN12" s="92" t="s">
        <v>224</v>
      </c>
      <c r="EO12" s="131" t="s">
        <v>244</v>
      </c>
      <c r="EP12" s="79"/>
      <c r="EQ12" s="132" t="s">
        <v>245</v>
      </c>
      <c r="ER12" s="79"/>
      <c r="ES12" s="79"/>
      <c r="ET12" s="79"/>
      <c r="EU12" s="79"/>
      <c r="EV12" s="79"/>
      <c r="EW12" s="79"/>
      <c r="EX12" s="80"/>
      <c r="EY12" s="84"/>
      <c r="EZ12" s="98"/>
      <c r="FA12" s="98"/>
      <c r="FB12" s="104"/>
      <c r="FC12" s="102" t="s">
        <v>220</v>
      </c>
      <c r="FD12" s="53" t="s">
        <v>198</v>
      </c>
      <c r="FE12" s="53" t="s">
        <v>210</v>
      </c>
      <c r="FF12" s="105" t="s">
        <v>217</v>
      </c>
      <c r="FG12" s="94" t="s">
        <v>218</v>
      </c>
      <c r="FH12" s="122" t="s">
        <v>219</v>
      </c>
      <c r="FI12" s="84"/>
      <c r="FJ12" s="82"/>
      <c r="FK12" s="84"/>
      <c r="FL12" s="82"/>
      <c r="FM12" s="84"/>
      <c r="FN12" s="80"/>
      <c r="FO12" s="125" t="s">
        <v>221</v>
      </c>
      <c r="FP12" s="106" t="s">
        <v>222</v>
      </c>
      <c r="FQ12" s="84" t="s">
        <v>223</v>
      </c>
      <c r="FR12" s="79"/>
      <c r="FS12" s="80"/>
      <c r="FT12" s="78" t="s">
        <v>250</v>
      </c>
      <c r="FU12" s="168">
        <v>90</v>
      </c>
      <c r="FV12" s="133" t="s">
        <v>469</v>
      </c>
      <c r="FW12" s="79" t="s">
        <v>320</v>
      </c>
      <c r="FX12" s="248" t="s">
        <v>469</v>
      </c>
      <c r="FY12" s="84" t="s">
        <v>227</v>
      </c>
      <c r="FZ12" s="168">
        <v>80</v>
      </c>
      <c r="GA12" s="79" t="s">
        <v>470</v>
      </c>
      <c r="GB12" s="79" t="s">
        <v>291</v>
      </c>
      <c r="GC12" s="192" t="s">
        <v>470</v>
      </c>
      <c r="GD12" s="84"/>
      <c r="GE12" s="168"/>
      <c r="GF12" s="79"/>
      <c r="GG12" s="79"/>
      <c r="GH12" s="192"/>
      <c r="GI12" s="84"/>
      <c r="GJ12" s="168"/>
      <c r="GK12" s="79"/>
      <c r="GL12" s="79"/>
      <c r="GM12" s="192"/>
      <c r="GN12" s="84"/>
      <c r="GO12" s="168"/>
      <c r="GP12" s="79"/>
      <c r="GQ12" s="79"/>
      <c r="GR12" s="192"/>
      <c r="GS12" s="84"/>
      <c r="GT12" s="168"/>
      <c r="GU12" s="79"/>
      <c r="GV12" s="79"/>
      <c r="GW12" s="192"/>
      <c r="GX12" s="84"/>
      <c r="GY12" s="168"/>
      <c r="GZ12" s="79"/>
      <c r="HA12" s="79"/>
      <c r="HB12" s="192"/>
      <c r="HC12" s="59"/>
      <c r="HD12" s="183"/>
      <c r="HE12" s="79"/>
      <c r="HF12" s="79"/>
      <c r="HG12" s="194"/>
      <c r="HH12" s="84"/>
      <c r="HI12" s="136"/>
      <c r="HJ12" s="79"/>
      <c r="HK12" s="79"/>
      <c r="HL12" s="194"/>
      <c r="HM12" s="84"/>
      <c r="HN12" s="136"/>
      <c r="HO12" s="79"/>
      <c r="HP12" s="79"/>
      <c r="HQ12" s="194"/>
      <c r="HR12" s="6"/>
      <c r="HS12" s="4"/>
      <c r="HT12" s="5"/>
      <c r="HU12" s="5"/>
      <c r="HV12" s="194"/>
      <c r="HW12" s="6"/>
      <c r="HX12" s="4"/>
      <c r="HY12" s="5"/>
      <c r="HZ12" s="5"/>
      <c r="IA12" s="194"/>
      <c r="IB12" s="6"/>
      <c r="IC12" s="5"/>
      <c r="ID12" s="5"/>
      <c r="IE12" s="5"/>
      <c r="IF12" s="194"/>
      <c r="IG12" s="6"/>
      <c r="IH12" s="5"/>
      <c r="II12" s="5"/>
      <c r="IJ12" s="5"/>
      <c r="IK12" s="194"/>
      <c r="IL12" s="6"/>
      <c r="IM12" s="5"/>
      <c r="IN12" s="5"/>
      <c r="IO12" s="5"/>
      <c r="IP12" s="194"/>
      <c r="IQ12" s="6"/>
      <c r="IR12" s="5"/>
      <c r="IS12" s="5"/>
      <c r="IT12" s="5"/>
      <c r="IU12" s="194"/>
      <c r="IV12" s="6"/>
      <c r="IW12" s="5"/>
      <c r="IX12" s="5"/>
      <c r="IY12" s="5"/>
      <c r="IZ12" s="194"/>
      <c r="JA12" s="6"/>
      <c r="JB12" s="5"/>
      <c r="JC12" s="5"/>
      <c r="JD12" s="5"/>
      <c r="JE12" s="194"/>
      <c r="JF12" s="6"/>
      <c r="JG12" s="5"/>
      <c r="JH12" s="5"/>
      <c r="JI12" s="5"/>
      <c r="JJ12" s="194"/>
      <c r="JK12" s="6"/>
      <c r="JL12" s="5"/>
      <c r="JM12" s="5"/>
      <c r="JN12" s="5"/>
      <c r="JO12" s="194"/>
    </row>
    <row r="13" spans="1:275" ht="15.75" customHeight="1">
      <c r="A13" s="12">
        <v>30898</v>
      </c>
      <c r="B13" s="5" t="s">
        <v>270</v>
      </c>
      <c r="C13" s="137"/>
      <c r="D13" s="4"/>
      <c r="E13" s="130"/>
      <c r="F13" s="78"/>
      <c r="G13" s="79"/>
      <c r="H13" s="79"/>
      <c r="I13" s="82"/>
      <c r="J13" s="79"/>
      <c r="K13" s="79"/>
      <c r="L13" s="81"/>
      <c r="M13" s="79"/>
      <c r="N13" s="79"/>
      <c r="O13" s="82"/>
      <c r="P13" s="83"/>
      <c r="Q13" s="79"/>
      <c r="R13" s="80"/>
      <c r="S13" s="78"/>
      <c r="T13" s="79" t="s">
        <v>192</v>
      </c>
      <c r="U13" s="245" t="s">
        <v>268</v>
      </c>
      <c r="V13" s="79" t="s">
        <v>269</v>
      </c>
      <c r="W13" s="79"/>
      <c r="X13" s="80"/>
      <c r="Y13" s="78" t="s">
        <v>198</v>
      </c>
      <c r="Z13" s="79" t="s">
        <v>198</v>
      </c>
      <c r="AA13" s="79" t="s">
        <v>198</v>
      </c>
      <c r="AB13" s="79" t="s">
        <v>198</v>
      </c>
      <c r="AC13" s="79" t="s">
        <v>198</v>
      </c>
      <c r="AD13" s="79" t="s">
        <v>198</v>
      </c>
      <c r="AE13" s="79" t="s">
        <v>198</v>
      </c>
      <c r="AF13" s="79" t="s">
        <v>210</v>
      </c>
      <c r="AG13" s="79" t="s">
        <v>198</v>
      </c>
      <c r="AH13" s="79" t="s">
        <v>198</v>
      </c>
      <c r="AI13" s="79" t="s">
        <v>198</v>
      </c>
      <c r="AJ13" s="79" t="s">
        <v>198</v>
      </c>
      <c r="AK13" s="79" t="s">
        <v>210</v>
      </c>
      <c r="AL13" s="82"/>
      <c r="AM13" s="84" t="s">
        <v>198</v>
      </c>
      <c r="AN13" s="79" t="s">
        <v>198</v>
      </c>
      <c r="AO13" s="79" t="s">
        <v>198</v>
      </c>
      <c r="AP13" s="79" t="s">
        <v>198</v>
      </c>
      <c r="AQ13" s="79" t="s">
        <v>198</v>
      </c>
      <c r="AR13" s="79" t="s">
        <v>198</v>
      </c>
      <c r="AS13" s="79" t="s">
        <v>198</v>
      </c>
      <c r="AT13" s="79" t="s">
        <v>198</v>
      </c>
      <c r="AU13" s="79" t="s">
        <v>198</v>
      </c>
      <c r="AV13" s="80"/>
      <c r="AW13" s="14" t="s">
        <v>248</v>
      </c>
      <c r="AX13" s="79"/>
      <c r="AY13" s="79"/>
      <c r="AZ13" s="79"/>
      <c r="BA13" s="79"/>
      <c r="BB13" s="79"/>
      <c r="BC13" s="79"/>
      <c r="BD13" s="79"/>
      <c r="BE13" s="79"/>
      <c r="BF13" s="80"/>
      <c r="BG13" s="84" t="s">
        <v>197</v>
      </c>
      <c r="BH13" s="79" t="s">
        <v>199</v>
      </c>
      <c r="BI13" s="79" t="s">
        <v>199</v>
      </c>
      <c r="BJ13" s="79" t="s">
        <v>200</v>
      </c>
      <c r="BK13" s="79" t="s">
        <v>198</v>
      </c>
      <c r="BL13" s="79" t="s">
        <v>198</v>
      </c>
      <c r="BM13" s="80" t="s">
        <v>198</v>
      </c>
      <c r="BN13" s="84"/>
      <c r="BO13" s="79">
        <v>116</v>
      </c>
      <c r="BP13" s="79">
        <v>27</v>
      </c>
      <c r="BQ13" s="85" t="s">
        <v>201</v>
      </c>
      <c r="BR13" s="85">
        <v>0</v>
      </c>
      <c r="BS13" s="85">
        <v>4.5</v>
      </c>
      <c r="BT13" s="85">
        <v>3.5</v>
      </c>
      <c r="BU13" s="85" t="s">
        <v>201</v>
      </c>
      <c r="BV13" s="85">
        <v>2</v>
      </c>
      <c r="BW13" s="134" t="s">
        <v>265</v>
      </c>
      <c r="BX13" s="147">
        <f t="shared" si="4"/>
        <v>0.8</v>
      </c>
      <c r="BY13" s="85" t="s">
        <v>202</v>
      </c>
      <c r="BZ13" s="67" t="s">
        <v>203</v>
      </c>
      <c r="CA13" s="78" t="s">
        <v>208</v>
      </c>
      <c r="CB13" s="86">
        <v>3.6</v>
      </c>
      <c r="CC13" s="79" t="s">
        <v>231</v>
      </c>
      <c r="CD13" s="94" t="s">
        <v>204</v>
      </c>
      <c r="CE13" s="87" t="s">
        <v>205</v>
      </c>
      <c r="CF13" s="95" t="s">
        <v>207</v>
      </c>
      <c r="CG13" s="168">
        <v>1.8</v>
      </c>
      <c r="CH13" s="79" t="s">
        <v>231</v>
      </c>
      <c r="CI13" s="94" t="s">
        <v>206</v>
      </c>
      <c r="CJ13" s="97" t="s">
        <v>205</v>
      </c>
      <c r="CK13" s="95" t="s">
        <v>209</v>
      </c>
      <c r="CL13" s="185">
        <v>2</v>
      </c>
      <c r="CM13" s="187" t="s">
        <v>231</v>
      </c>
      <c r="CN13" s="96" t="s">
        <v>206</v>
      </c>
      <c r="CO13" s="99" t="s">
        <v>205</v>
      </c>
      <c r="CP13" s="91" t="s">
        <v>239</v>
      </c>
      <c r="CQ13" s="61" t="s">
        <v>252</v>
      </c>
      <c r="CR13" s="79"/>
      <c r="CS13" s="79" t="s">
        <v>242</v>
      </c>
      <c r="CT13" s="88" t="s">
        <v>243</v>
      </c>
      <c r="CU13" s="84"/>
      <c r="CV13" s="86"/>
      <c r="CW13" s="98"/>
      <c r="CX13" s="79"/>
      <c r="CY13" s="88"/>
      <c r="CZ13" s="84"/>
      <c r="DA13" s="86"/>
      <c r="DB13" s="79"/>
      <c r="DC13" s="79"/>
      <c r="DD13" s="88"/>
      <c r="DE13" s="84"/>
      <c r="DF13" s="86"/>
      <c r="DG13" s="79"/>
      <c r="DH13" s="79"/>
      <c r="DI13" s="89"/>
      <c r="DJ13" s="90" t="s">
        <v>210</v>
      </c>
      <c r="DK13" s="91"/>
      <c r="DL13" s="79"/>
      <c r="DM13" s="79"/>
      <c r="DN13" s="88"/>
      <c r="DO13" s="79"/>
      <c r="DP13" s="79"/>
      <c r="DQ13" s="79"/>
      <c r="DR13" s="88"/>
      <c r="DS13" s="79"/>
      <c r="DT13" s="79"/>
      <c r="DU13" s="79"/>
      <c r="DV13" s="88"/>
      <c r="DW13" s="79"/>
      <c r="DX13" s="79"/>
      <c r="DY13" s="79"/>
      <c r="DZ13" s="88"/>
      <c r="EA13" s="79"/>
      <c r="EB13" s="79"/>
      <c r="EC13" s="79"/>
      <c r="ED13" s="88"/>
      <c r="EE13" s="79"/>
      <c r="EF13" s="79"/>
      <c r="EG13" s="89"/>
      <c r="EH13" s="82"/>
      <c r="EI13" s="84" t="s">
        <v>211</v>
      </c>
      <c r="EJ13" s="96" t="s">
        <v>288</v>
      </c>
      <c r="EK13" s="101" t="s">
        <v>212</v>
      </c>
      <c r="EL13" s="102" t="s">
        <v>214</v>
      </c>
      <c r="EM13" s="100" t="s">
        <v>210</v>
      </c>
      <c r="EN13" s="92" t="s">
        <v>224</v>
      </c>
      <c r="EO13" s="131" t="s">
        <v>244</v>
      </c>
      <c r="EP13" s="79"/>
      <c r="EQ13" s="132" t="s">
        <v>245</v>
      </c>
      <c r="ER13" s="79"/>
      <c r="ES13" s="79"/>
      <c r="ET13" s="79"/>
      <c r="EU13" s="79"/>
      <c r="EV13" s="79"/>
      <c r="EW13" s="79"/>
      <c r="EX13" s="80"/>
      <c r="EY13" s="84"/>
      <c r="EZ13" s="98"/>
      <c r="FA13" s="98"/>
      <c r="FB13" s="104"/>
      <c r="FC13" s="102" t="s">
        <v>220</v>
      </c>
      <c r="FD13" s="53" t="s">
        <v>198</v>
      </c>
      <c r="FE13" s="53" t="s">
        <v>210</v>
      </c>
      <c r="FF13" s="105" t="s">
        <v>217</v>
      </c>
      <c r="FG13" s="94" t="s">
        <v>218</v>
      </c>
      <c r="FH13" s="122" t="s">
        <v>219</v>
      </c>
      <c r="FI13" s="84"/>
      <c r="FJ13" s="82"/>
      <c r="FK13" s="84"/>
      <c r="FL13" s="82"/>
      <c r="FM13" s="84"/>
      <c r="FN13" s="80"/>
      <c r="FO13" s="125" t="s">
        <v>221</v>
      </c>
      <c r="FP13" s="106" t="s">
        <v>222</v>
      </c>
      <c r="FQ13" s="84" t="s">
        <v>223</v>
      </c>
      <c r="FR13" s="79"/>
      <c r="FS13" s="80"/>
      <c r="FT13" s="78" t="s">
        <v>250</v>
      </c>
      <c r="FU13" s="168">
        <v>90</v>
      </c>
      <c r="FV13" s="133" t="s">
        <v>469</v>
      </c>
      <c r="FW13" s="79" t="s">
        <v>320</v>
      </c>
      <c r="FX13" s="248" t="s">
        <v>469</v>
      </c>
      <c r="FY13" s="84" t="s">
        <v>227</v>
      </c>
      <c r="FZ13" s="168">
        <v>80</v>
      </c>
      <c r="GA13" s="79" t="s">
        <v>470</v>
      </c>
      <c r="GB13" s="79" t="s">
        <v>291</v>
      </c>
      <c r="GC13" s="192" t="s">
        <v>470</v>
      </c>
      <c r="GD13" s="84"/>
      <c r="GE13" s="168"/>
      <c r="GF13" s="79"/>
      <c r="GG13" s="79"/>
      <c r="GH13" s="192"/>
      <c r="GI13" s="84"/>
      <c r="GJ13" s="168"/>
      <c r="GK13" s="79"/>
      <c r="GL13" s="79"/>
      <c r="GM13" s="192"/>
      <c r="GN13" s="84"/>
      <c r="GO13" s="168"/>
      <c r="GP13" s="79"/>
      <c r="GQ13" s="79"/>
      <c r="GR13" s="192"/>
      <c r="GS13" s="84"/>
      <c r="GT13" s="168"/>
      <c r="GU13" s="79"/>
      <c r="GV13" s="79"/>
      <c r="GW13" s="192"/>
      <c r="GX13" s="84"/>
      <c r="GY13" s="168"/>
      <c r="GZ13" s="79"/>
      <c r="HA13" s="79"/>
      <c r="HB13" s="192"/>
      <c r="HC13" s="59"/>
      <c r="HD13" s="183"/>
      <c r="HE13" s="79"/>
      <c r="HF13" s="79"/>
      <c r="HG13" s="194"/>
      <c r="HH13" s="84"/>
      <c r="HI13" s="136"/>
      <c r="HJ13" s="79"/>
      <c r="HK13" s="79"/>
      <c r="HL13" s="194"/>
      <c r="HM13" s="84"/>
      <c r="HN13" s="136"/>
      <c r="HO13" s="79"/>
      <c r="HP13" s="79"/>
      <c r="HQ13" s="194"/>
      <c r="HR13" s="6"/>
      <c r="HS13" s="4"/>
      <c r="HT13" s="5"/>
      <c r="HU13" s="5"/>
      <c r="HV13" s="194"/>
      <c r="HW13" s="6"/>
      <c r="HX13" s="4"/>
      <c r="HY13" s="5"/>
      <c r="HZ13" s="5"/>
      <c r="IA13" s="194"/>
      <c r="IB13" s="6"/>
      <c r="IC13" s="5"/>
      <c r="ID13" s="5"/>
      <c r="IE13" s="5"/>
      <c r="IF13" s="194"/>
      <c r="IG13" s="6"/>
      <c r="IH13" s="5"/>
      <c r="II13" s="5"/>
      <c r="IJ13" s="5"/>
      <c r="IK13" s="194"/>
      <c r="IL13" s="6"/>
      <c r="IM13" s="5"/>
      <c r="IN13" s="5"/>
      <c r="IO13" s="5"/>
      <c r="IP13" s="194"/>
      <c r="IQ13" s="6"/>
      <c r="IR13" s="5"/>
      <c r="IS13" s="5"/>
      <c r="IT13" s="5"/>
      <c r="IU13" s="194"/>
      <c r="IV13" s="6"/>
      <c r="IW13" s="5"/>
      <c r="IX13" s="5"/>
      <c r="IY13" s="5"/>
      <c r="IZ13" s="194"/>
      <c r="JA13" s="6"/>
      <c r="JB13" s="5"/>
      <c r="JC13" s="5"/>
      <c r="JD13" s="5"/>
      <c r="JE13" s="194"/>
      <c r="JF13" s="6"/>
      <c r="JG13" s="5"/>
      <c r="JH13" s="5"/>
      <c r="JI13" s="5"/>
      <c r="JJ13" s="194"/>
      <c r="JK13" s="6"/>
      <c r="JL13" s="5"/>
      <c r="JM13" s="5"/>
      <c r="JN13" s="5"/>
      <c r="JO13" s="194"/>
    </row>
    <row r="14" spans="1:275" ht="15.75" customHeight="1">
      <c r="A14" s="12">
        <v>12503</v>
      </c>
      <c r="B14" s="5" t="s">
        <v>396</v>
      </c>
      <c r="C14" s="137"/>
      <c r="D14" s="4"/>
      <c r="E14" s="130"/>
      <c r="F14" s="78"/>
      <c r="G14" s="79"/>
      <c r="H14" s="79"/>
      <c r="I14" s="82"/>
      <c r="J14" s="79"/>
      <c r="K14" s="79"/>
      <c r="L14" s="81"/>
      <c r="M14" s="79"/>
      <c r="N14" s="79"/>
      <c r="O14" s="82"/>
      <c r="P14" s="83"/>
      <c r="Q14" s="79"/>
      <c r="R14" s="80"/>
      <c r="S14" s="78"/>
      <c r="T14" s="79" t="s">
        <v>192</v>
      </c>
      <c r="U14" s="246" t="s">
        <v>272</v>
      </c>
      <c r="V14" s="79" t="s">
        <v>273</v>
      </c>
      <c r="W14" s="79"/>
      <c r="X14" s="80"/>
      <c r="Y14" s="78" t="s">
        <v>198</v>
      </c>
      <c r="Z14" s="79" t="s">
        <v>198</v>
      </c>
      <c r="AA14" s="79" t="s">
        <v>198</v>
      </c>
      <c r="AB14" s="79" t="s">
        <v>198</v>
      </c>
      <c r="AC14" s="79" t="s">
        <v>198</v>
      </c>
      <c r="AD14" s="79" t="s">
        <v>198</v>
      </c>
      <c r="AE14" s="79" t="s">
        <v>198</v>
      </c>
      <c r="AF14" s="79" t="s">
        <v>210</v>
      </c>
      <c r="AG14" s="79" t="s">
        <v>198</v>
      </c>
      <c r="AH14" s="79" t="s">
        <v>198</v>
      </c>
      <c r="AI14" s="79" t="s">
        <v>198</v>
      </c>
      <c r="AJ14" s="79" t="s">
        <v>198</v>
      </c>
      <c r="AK14" s="79" t="s">
        <v>210</v>
      </c>
      <c r="AL14" s="82"/>
      <c r="AM14" s="84" t="s">
        <v>198</v>
      </c>
      <c r="AN14" s="79" t="s">
        <v>198</v>
      </c>
      <c r="AO14" s="79" t="s">
        <v>198</v>
      </c>
      <c r="AP14" s="79" t="s">
        <v>198</v>
      </c>
      <c r="AQ14" s="79" t="s">
        <v>198</v>
      </c>
      <c r="AR14" s="79" t="s">
        <v>198</v>
      </c>
      <c r="AS14" s="79" t="s">
        <v>198</v>
      </c>
      <c r="AT14" s="79" t="s">
        <v>198</v>
      </c>
      <c r="AU14" s="79" t="s">
        <v>198</v>
      </c>
      <c r="AV14" s="80"/>
      <c r="AW14" s="14" t="s">
        <v>248</v>
      </c>
      <c r="AX14" s="79"/>
      <c r="AY14" s="79"/>
      <c r="AZ14" s="79"/>
      <c r="BA14" s="79"/>
      <c r="BB14" s="79"/>
      <c r="BC14" s="79"/>
      <c r="BD14" s="79"/>
      <c r="BE14" s="79"/>
      <c r="BF14" s="80"/>
      <c r="BG14" s="84" t="s">
        <v>197</v>
      </c>
      <c r="BH14" s="79" t="s">
        <v>199</v>
      </c>
      <c r="BI14" s="79" t="s">
        <v>199</v>
      </c>
      <c r="BJ14" s="79" t="s">
        <v>200</v>
      </c>
      <c r="BK14" s="79" t="s">
        <v>198</v>
      </c>
      <c r="BL14" s="79" t="s">
        <v>198</v>
      </c>
      <c r="BM14" s="80" t="s">
        <v>198</v>
      </c>
      <c r="BN14" s="84"/>
      <c r="BO14" s="79">
        <v>101</v>
      </c>
      <c r="BP14" s="79">
        <v>24</v>
      </c>
      <c r="BQ14" s="85" t="s">
        <v>201</v>
      </c>
      <c r="BR14" s="85">
        <v>0</v>
      </c>
      <c r="BS14" s="85">
        <v>3.5</v>
      </c>
      <c r="BT14" s="85">
        <v>2</v>
      </c>
      <c r="BU14" s="85">
        <v>0.6</v>
      </c>
      <c r="BV14" s="85">
        <v>1.6</v>
      </c>
      <c r="BW14" s="134" t="s">
        <v>265</v>
      </c>
      <c r="BX14" s="147">
        <f t="shared" si="4"/>
        <v>0.64</v>
      </c>
      <c r="BY14" s="85" t="s">
        <v>202</v>
      </c>
      <c r="BZ14" s="67" t="s">
        <v>203</v>
      </c>
      <c r="CA14" s="78" t="s">
        <v>208</v>
      </c>
      <c r="CB14" s="86">
        <v>3.5</v>
      </c>
      <c r="CC14" s="79" t="s">
        <v>231</v>
      </c>
      <c r="CD14" s="94" t="s">
        <v>204</v>
      </c>
      <c r="CE14" s="87" t="s">
        <v>205</v>
      </c>
      <c r="CF14" s="95" t="s">
        <v>207</v>
      </c>
      <c r="CG14" s="168">
        <v>1.7</v>
      </c>
      <c r="CH14" s="79" t="s">
        <v>231</v>
      </c>
      <c r="CI14" s="94" t="s">
        <v>206</v>
      </c>
      <c r="CJ14" s="97" t="s">
        <v>205</v>
      </c>
      <c r="CK14" s="95" t="s">
        <v>209</v>
      </c>
      <c r="CL14" s="185">
        <v>1.6</v>
      </c>
      <c r="CM14" s="187" t="s">
        <v>231</v>
      </c>
      <c r="CN14" s="96" t="s">
        <v>206</v>
      </c>
      <c r="CO14" s="99" t="s">
        <v>205</v>
      </c>
      <c r="CP14" s="91" t="s">
        <v>274</v>
      </c>
      <c r="CQ14" s="61" t="s">
        <v>253</v>
      </c>
      <c r="CR14" s="79"/>
      <c r="CS14" s="79" t="s">
        <v>242</v>
      </c>
      <c r="CT14" s="88" t="s">
        <v>243</v>
      </c>
      <c r="CU14" s="84" t="s">
        <v>275</v>
      </c>
      <c r="CV14" s="86" t="s">
        <v>282</v>
      </c>
      <c r="CW14" s="98"/>
      <c r="CX14" s="79"/>
      <c r="CY14" s="88"/>
      <c r="CZ14" s="84"/>
      <c r="DA14" s="86"/>
      <c r="DB14" s="79"/>
      <c r="DC14" s="79"/>
      <c r="DD14" s="88"/>
      <c r="DE14" s="84"/>
      <c r="DF14" s="86"/>
      <c r="DG14" s="79"/>
      <c r="DH14" s="79"/>
      <c r="DI14" s="89"/>
      <c r="DJ14" s="90" t="s">
        <v>210</v>
      </c>
      <c r="DK14" s="91"/>
      <c r="DL14" s="79"/>
      <c r="DM14" s="79"/>
      <c r="DN14" s="88"/>
      <c r="DO14" s="79"/>
      <c r="DP14" s="79"/>
      <c r="DQ14" s="79"/>
      <c r="DR14" s="88"/>
      <c r="DS14" s="79"/>
      <c r="DT14" s="79"/>
      <c r="DU14" s="79"/>
      <c r="DV14" s="88"/>
      <c r="DW14" s="79"/>
      <c r="DX14" s="79"/>
      <c r="DY14" s="79"/>
      <c r="DZ14" s="88"/>
      <c r="EA14" s="79"/>
      <c r="EB14" s="79"/>
      <c r="EC14" s="79"/>
      <c r="ED14" s="88"/>
      <c r="EE14" s="79"/>
      <c r="EF14" s="79"/>
      <c r="EG14" s="89"/>
      <c r="EH14" s="82"/>
      <c r="EI14" s="84" t="s">
        <v>278</v>
      </c>
      <c r="EJ14" s="96" t="s">
        <v>289</v>
      </c>
      <c r="EK14" s="101" t="s">
        <v>212</v>
      </c>
      <c r="EL14" s="102" t="s">
        <v>214</v>
      </c>
      <c r="EM14" s="100" t="s">
        <v>210</v>
      </c>
      <c r="EN14" s="92" t="s">
        <v>224</v>
      </c>
      <c r="EO14" s="131" t="s">
        <v>244</v>
      </c>
      <c r="EP14" s="79"/>
      <c r="EQ14" s="132" t="s">
        <v>245</v>
      </c>
      <c r="ER14" s="79"/>
      <c r="ES14" s="79"/>
      <c r="ET14" s="79"/>
      <c r="EU14" s="79"/>
      <c r="EV14" s="79"/>
      <c r="EW14" s="79"/>
      <c r="EX14" s="80"/>
      <c r="EY14" s="84"/>
      <c r="EZ14" s="98"/>
      <c r="FA14" s="98"/>
      <c r="FB14" s="104"/>
      <c r="FC14" s="102" t="s">
        <v>220</v>
      </c>
      <c r="FD14" s="53" t="s">
        <v>198</v>
      </c>
      <c r="FE14" s="53" t="s">
        <v>210</v>
      </c>
      <c r="FF14" s="105" t="s">
        <v>217</v>
      </c>
      <c r="FG14" s="94" t="s">
        <v>218</v>
      </c>
      <c r="FH14" s="122" t="s">
        <v>219</v>
      </c>
      <c r="FI14" s="84"/>
      <c r="FJ14" s="82"/>
      <c r="FK14" s="84"/>
      <c r="FL14" s="82"/>
      <c r="FM14" s="84"/>
      <c r="FN14" s="80"/>
      <c r="FO14" s="125" t="s">
        <v>221</v>
      </c>
      <c r="FP14" s="106" t="s">
        <v>222</v>
      </c>
      <c r="FQ14" s="84" t="s">
        <v>223</v>
      </c>
      <c r="FR14" s="79"/>
      <c r="FS14" s="80"/>
      <c r="FT14" s="78" t="s">
        <v>250</v>
      </c>
      <c r="FU14" s="168">
        <v>90</v>
      </c>
      <c r="FV14" s="133" t="s">
        <v>469</v>
      </c>
      <c r="FW14" s="79" t="s">
        <v>320</v>
      </c>
      <c r="FX14" s="248" t="s">
        <v>469</v>
      </c>
      <c r="FY14" s="169" t="s">
        <v>276</v>
      </c>
      <c r="FZ14" s="168">
        <v>80</v>
      </c>
      <c r="GA14" s="133" t="s">
        <v>469</v>
      </c>
      <c r="GB14" s="79"/>
      <c r="GC14" s="247" t="s">
        <v>469</v>
      </c>
      <c r="GD14" s="84" t="s">
        <v>227</v>
      </c>
      <c r="GE14" s="136">
        <v>70</v>
      </c>
      <c r="GF14" s="79" t="s">
        <v>470</v>
      </c>
      <c r="GG14" s="79" t="s">
        <v>291</v>
      </c>
      <c r="GH14" s="192" t="s">
        <v>470</v>
      </c>
      <c r="GI14" s="84"/>
      <c r="GJ14" s="168"/>
      <c r="GK14" s="79"/>
      <c r="GL14" s="79"/>
      <c r="GM14" s="192"/>
      <c r="GN14" s="84"/>
      <c r="GO14" s="168"/>
      <c r="GP14" s="79"/>
      <c r="GQ14" s="79"/>
      <c r="GR14" s="192"/>
      <c r="GS14" s="84"/>
      <c r="GT14" s="168"/>
      <c r="GU14" s="79"/>
      <c r="GV14" s="79"/>
      <c r="GW14" s="192"/>
      <c r="GX14" s="59"/>
      <c r="GY14" s="168"/>
      <c r="GZ14" s="79"/>
      <c r="HA14" s="79"/>
      <c r="HB14" s="192"/>
      <c r="HC14" s="135"/>
      <c r="HD14" s="11"/>
      <c r="HE14" s="79"/>
      <c r="HF14" s="79"/>
      <c r="HG14" s="194"/>
      <c r="HH14" s="84"/>
      <c r="HI14" s="136"/>
      <c r="HJ14" s="79"/>
      <c r="HK14" s="79"/>
      <c r="HL14" s="194"/>
      <c r="HM14" s="84"/>
      <c r="HN14" s="136"/>
      <c r="HO14" s="79"/>
      <c r="HP14" s="79"/>
      <c r="HQ14" s="194"/>
      <c r="HR14" s="6"/>
      <c r="HS14" s="4"/>
      <c r="HT14" s="5"/>
      <c r="HU14" s="5"/>
      <c r="HV14" s="194"/>
      <c r="HW14" s="6"/>
      <c r="HX14" s="4"/>
      <c r="HY14" s="5"/>
      <c r="HZ14" s="5"/>
      <c r="IA14" s="194"/>
      <c r="IB14" s="6"/>
      <c r="IC14" s="5"/>
      <c r="ID14" s="5"/>
      <c r="IE14" s="5"/>
      <c r="IF14" s="194"/>
      <c r="IG14" s="6"/>
      <c r="IH14" s="5"/>
      <c r="II14" s="5"/>
      <c r="IJ14" s="5"/>
      <c r="IK14" s="194"/>
      <c r="IL14" s="6"/>
      <c r="IM14" s="5"/>
      <c r="IN14" s="5"/>
      <c r="IO14" s="5"/>
      <c r="IP14" s="194"/>
      <c r="IQ14" s="6"/>
      <c r="IR14" s="5"/>
      <c r="IS14" s="5"/>
      <c r="IT14" s="5"/>
      <c r="IU14" s="194"/>
      <c r="IV14" s="6"/>
      <c r="IW14" s="5"/>
      <c r="IX14" s="5"/>
      <c r="IY14" s="5"/>
      <c r="IZ14" s="194"/>
      <c r="JA14" s="6"/>
      <c r="JB14" s="5"/>
      <c r="JC14" s="5"/>
      <c r="JD14" s="5"/>
      <c r="JE14" s="194"/>
      <c r="JF14" s="6"/>
      <c r="JG14" s="5"/>
      <c r="JH14" s="5"/>
      <c r="JI14" s="5"/>
      <c r="JJ14" s="194"/>
      <c r="JK14" s="6"/>
      <c r="JL14" s="5"/>
      <c r="JM14" s="5"/>
      <c r="JN14" s="5"/>
      <c r="JO14" s="194"/>
    </row>
    <row r="15" spans="1:275" ht="15.75" customHeight="1">
      <c r="A15" s="12">
        <v>12403</v>
      </c>
      <c r="B15" s="5" t="s">
        <v>397</v>
      </c>
      <c r="C15" s="137"/>
      <c r="D15" s="4"/>
      <c r="E15" s="130"/>
      <c r="F15" s="78"/>
      <c r="G15" s="79"/>
      <c r="H15" s="79"/>
      <c r="I15" s="82"/>
      <c r="J15" s="79"/>
      <c r="K15" s="79"/>
      <c r="L15" s="81"/>
      <c r="M15" s="79"/>
      <c r="N15" s="79"/>
      <c r="O15" s="82"/>
      <c r="P15" s="83"/>
      <c r="Q15" s="79"/>
      <c r="R15" s="80"/>
      <c r="S15" s="78"/>
      <c r="T15" s="79" t="s">
        <v>192</v>
      </c>
      <c r="U15" s="246" t="s">
        <v>272</v>
      </c>
      <c r="V15" s="79" t="s">
        <v>273</v>
      </c>
      <c r="W15" s="79"/>
      <c r="X15" s="80"/>
      <c r="Y15" s="78" t="s">
        <v>198</v>
      </c>
      <c r="Z15" s="79" t="s">
        <v>198</v>
      </c>
      <c r="AA15" s="79" t="s">
        <v>198</v>
      </c>
      <c r="AB15" s="79" t="s">
        <v>198</v>
      </c>
      <c r="AC15" s="79" t="s">
        <v>198</v>
      </c>
      <c r="AD15" s="79" t="s">
        <v>198</v>
      </c>
      <c r="AE15" s="79" t="s">
        <v>198</v>
      </c>
      <c r="AF15" s="79" t="s">
        <v>210</v>
      </c>
      <c r="AG15" s="79" t="s">
        <v>198</v>
      </c>
      <c r="AH15" s="79" t="s">
        <v>198</v>
      </c>
      <c r="AI15" s="79" t="s">
        <v>198</v>
      </c>
      <c r="AJ15" s="79" t="s">
        <v>198</v>
      </c>
      <c r="AK15" s="79" t="s">
        <v>210</v>
      </c>
      <c r="AL15" s="82"/>
      <c r="AM15" s="84" t="s">
        <v>198</v>
      </c>
      <c r="AN15" s="79" t="s">
        <v>198</v>
      </c>
      <c r="AO15" s="79" t="s">
        <v>198</v>
      </c>
      <c r="AP15" s="79" t="s">
        <v>198</v>
      </c>
      <c r="AQ15" s="79" t="s">
        <v>198</v>
      </c>
      <c r="AR15" s="79" t="s">
        <v>198</v>
      </c>
      <c r="AS15" s="79" t="s">
        <v>198</v>
      </c>
      <c r="AT15" s="79" t="s">
        <v>198</v>
      </c>
      <c r="AU15" s="79" t="s">
        <v>198</v>
      </c>
      <c r="AV15" s="80"/>
      <c r="AW15" s="14" t="s">
        <v>248</v>
      </c>
      <c r="AX15" s="79"/>
      <c r="AY15" s="79"/>
      <c r="AZ15" s="79"/>
      <c r="BA15" s="79"/>
      <c r="BB15" s="79"/>
      <c r="BC15" s="79"/>
      <c r="BD15" s="79"/>
      <c r="BE15" s="79"/>
      <c r="BF15" s="80"/>
      <c r="BG15" s="84" t="s">
        <v>197</v>
      </c>
      <c r="BH15" s="79" t="s">
        <v>199</v>
      </c>
      <c r="BI15" s="79" t="s">
        <v>199</v>
      </c>
      <c r="BJ15" s="79" t="s">
        <v>200</v>
      </c>
      <c r="BK15" s="79" t="s">
        <v>198</v>
      </c>
      <c r="BL15" s="79" t="s">
        <v>198</v>
      </c>
      <c r="BM15" s="80" t="s">
        <v>198</v>
      </c>
      <c r="BN15" s="84"/>
      <c r="BO15" s="79">
        <v>101</v>
      </c>
      <c r="BP15" s="79">
        <v>24</v>
      </c>
      <c r="BQ15" s="85" t="s">
        <v>201</v>
      </c>
      <c r="BR15" s="85">
        <v>0</v>
      </c>
      <c r="BS15" s="85">
        <v>3.5</v>
      </c>
      <c r="BT15" s="85">
        <v>2</v>
      </c>
      <c r="BU15" s="85">
        <v>0.6</v>
      </c>
      <c r="BV15" s="85">
        <v>1.6</v>
      </c>
      <c r="BW15" s="134" t="s">
        <v>265</v>
      </c>
      <c r="BX15" s="147">
        <f t="shared" si="4"/>
        <v>0.64</v>
      </c>
      <c r="BY15" s="85" t="s">
        <v>202</v>
      </c>
      <c r="BZ15" s="67" t="s">
        <v>203</v>
      </c>
      <c r="CA15" s="78" t="s">
        <v>208</v>
      </c>
      <c r="CB15" s="86">
        <v>3.5</v>
      </c>
      <c r="CC15" s="79" t="s">
        <v>231</v>
      </c>
      <c r="CD15" s="94" t="s">
        <v>204</v>
      </c>
      <c r="CE15" s="87" t="s">
        <v>205</v>
      </c>
      <c r="CF15" s="95" t="s">
        <v>207</v>
      </c>
      <c r="CG15" s="168">
        <v>1.7</v>
      </c>
      <c r="CH15" s="79" t="s">
        <v>231</v>
      </c>
      <c r="CI15" s="94" t="s">
        <v>206</v>
      </c>
      <c r="CJ15" s="97" t="s">
        <v>205</v>
      </c>
      <c r="CK15" s="95" t="s">
        <v>209</v>
      </c>
      <c r="CL15" s="185">
        <v>1.6</v>
      </c>
      <c r="CM15" s="187" t="s">
        <v>231</v>
      </c>
      <c r="CN15" s="96" t="s">
        <v>206</v>
      </c>
      <c r="CO15" s="99" t="s">
        <v>205</v>
      </c>
      <c r="CP15" s="91" t="s">
        <v>274</v>
      </c>
      <c r="CQ15" s="61" t="s">
        <v>253</v>
      </c>
      <c r="CR15" s="79"/>
      <c r="CS15" s="79" t="s">
        <v>242</v>
      </c>
      <c r="CT15" s="88" t="s">
        <v>243</v>
      </c>
      <c r="CU15" s="84" t="s">
        <v>275</v>
      </c>
      <c r="CV15" s="86" t="s">
        <v>282</v>
      </c>
      <c r="CW15" s="98"/>
      <c r="CX15" s="79"/>
      <c r="CY15" s="88"/>
      <c r="CZ15" s="84"/>
      <c r="DA15" s="86"/>
      <c r="DB15" s="79"/>
      <c r="DC15" s="79"/>
      <c r="DD15" s="88"/>
      <c r="DE15" s="84"/>
      <c r="DF15" s="86"/>
      <c r="DG15" s="79"/>
      <c r="DH15" s="79"/>
      <c r="DI15" s="89"/>
      <c r="DJ15" s="90" t="s">
        <v>210</v>
      </c>
      <c r="DK15" s="91"/>
      <c r="DL15" s="79"/>
      <c r="DM15" s="79"/>
      <c r="DN15" s="88"/>
      <c r="DO15" s="79"/>
      <c r="DP15" s="79"/>
      <c r="DQ15" s="79"/>
      <c r="DR15" s="88"/>
      <c r="DS15" s="79"/>
      <c r="DT15" s="79"/>
      <c r="DU15" s="79"/>
      <c r="DV15" s="88"/>
      <c r="DW15" s="79"/>
      <c r="DX15" s="79"/>
      <c r="DY15" s="79"/>
      <c r="DZ15" s="88"/>
      <c r="EA15" s="79"/>
      <c r="EB15" s="79"/>
      <c r="EC15" s="79"/>
      <c r="ED15" s="88"/>
      <c r="EE15" s="79"/>
      <c r="EF15" s="79"/>
      <c r="EG15" s="89"/>
      <c r="EH15" s="82"/>
      <c r="EI15" s="84" t="s">
        <v>278</v>
      </c>
      <c r="EJ15" s="96" t="s">
        <v>289</v>
      </c>
      <c r="EK15" s="101" t="s">
        <v>212</v>
      </c>
      <c r="EL15" s="102" t="s">
        <v>214</v>
      </c>
      <c r="EM15" s="100" t="s">
        <v>210</v>
      </c>
      <c r="EN15" s="92" t="s">
        <v>224</v>
      </c>
      <c r="EO15" s="131" t="s">
        <v>244</v>
      </c>
      <c r="EP15" s="79"/>
      <c r="EQ15" s="132" t="s">
        <v>245</v>
      </c>
      <c r="ER15" s="79"/>
      <c r="ES15" s="79"/>
      <c r="ET15" s="79"/>
      <c r="EU15" s="79"/>
      <c r="EV15" s="79"/>
      <c r="EW15" s="79"/>
      <c r="EX15" s="80"/>
      <c r="EY15" s="84"/>
      <c r="EZ15" s="98"/>
      <c r="FA15" s="98"/>
      <c r="FB15" s="104"/>
      <c r="FC15" s="102" t="s">
        <v>220</v>
      </c>
      <c r="FD15" s="53" t="s">
        <v>198</v>
      </c>
      <c r="FE15" s="53" t="s">
        <v>210</v>
      </c>
      <c r="FF15" s="105" t="s">
        <v>217</v>
      </c>
      <c r="FG15" s="94" t="s">
        <v>218</v>
      </c>
      <c r="FH15" s="122" t="s">
        <v>219</v>
      </c>
      <c r="FI15" s="84"/>
      <c r="FJ15" s="82"/>
      <c r="FK15" s="84"/>
      <c r="FL15" s="82"/>
      <c r="FM15" s="84"/>
      <c r="FN15" s="80"/>
      <c r="FO15" s="125" t="s">
        <v>221</v>
      </c>
      <c r="FP15" s="106" t="s">
        <v>222</v>
      </c>
      <c r="FQ15" s="84" t="s">
        <v>223</v>
      </c>
      <c r="FR15" s="79"/>
      <c r="FS15" s="80"/>
      <c r="FT15" s="78" t="s">
        <v>250</v>
      </c>
      <c r="FU15" s="168">
        <v>90</v>
      </c>
      <c r="FV15" s="133" t="s">
        <v>469</v>
      </c>
      <c r="FW15" s="79" t="s">
        <v>320</v>
      </c>
      <c r="FX15" s="248" t="s">
        <v>469</v>
      </c>
      <c r="FY15" s="169" t="s">
        <v>276</v>
      </c>
      <c r="FZ15" s="168">
        <v>80</v>
      </c>
      <c r="GA15" s="133" t="s">
        <v>469</v>
      </c>
      <c r="GB15" s="79"/>
      <c r="GC15" s="247" t="s">
        <v>469</v>
      </c>
      <c r="GD15" s="84" t="s">
        <v>227</v>
      </c>
      <c r="GE15" s="136">
        <v>70</v>
      </c>
      <c r="GF15" s="79" t="s">
        <v>470</v>
      </c>
      <c r="GG15" s="79" t="s">
        <v>291</v>
      </c>
      <c r="GH15" s="192" t="s">
        <v>470</v>
      </c>
      <c r="GI15" s="84"/>
      <c r="GJ15" s="168"/>
      <c r="GK15" s="79"/>
      <c r="GL15" s="79"/>
      <c r="GM15" s="192"/>
      <c r="GN15" s="84"/>
      <c r="GO15" s="168"/>
      <c r="GP15" s="79"/>
      <c r="GQ15" s="79"/>
      <c r="GR15" s="192"/>
      <c r="GS15" s="84"/>
      <c r="GT15" s="168"/>
      <c r="GU15" s="79"/>
      <c r="GV15" s="79"/>
      <c r="GW15" s="192"/>
      <c r="GX15" s="59"/>
      <c r="GY15" s="168"/>
      <c r="GZ15" s="79"/>
      <c r="HA15" s="79"/>
      <c r="HB15" s="192"/>
      <c r="HC15" s="135"/>
      <c r="HD15" s="11"/>
      <c r="HE15" s="79"/>
      <c r="HF15" s="79"/>
      <c r="HG15" s="194"/>
      <c r="HH15" s="84"/>
      <c r="HI15" s="136"/>
      <c r="HJ15" s="79"/>
      <c r="HK15" s="79"/>
      <c r="HL15" s="194"/>
      <c r="HM15" s="84"/>
      <c r="HN15" s="136"/>
      <c r="HO15" s="79"/>
      <c r="HP15" s="79"/>
      <c r="HQ15" s="194"/>
      <c r="HR15" s="6"/>
      <c r="HS15" s="4"/>
      <c r="HT15" s="5"/>
      <c r="HU15" s="5"/>
      <c r="HV15" s="194"/>
      <c r="HW15" s="6"/>
      <c r="HX15" s="4"/>
      <c r="HY15" s="5"/>
      <c r="HZ15" s="5"/>
      <c r="IA15" s="194"/>
      <c r="IB15" s="6"/>
      <c r="IC15" s="5"/>
      <c r="ID15" s="5"/>
      <c r="IE15" s="5"/>
      <c r="IF15" s="194"/>
      <c r="IG15" s="6"/>
      <c r="IH15" s="5"/>
      <c r="II15" s="5"/>
      <c r="IJ15" s="5"/>
      <c r="IK15" s="194"/>
      <c r="IL15" s="6"/>
      <c r="IM15" s="5"/>
      <c r="IN15" s="5"/>
      <c r="IO15" s="5"/>
      <c r="IP15" s="194"/>
      <c r="IQ15" s="6"/>
      <c r="IR15" s="5"/>
      <c r="IS15" s="5"/>
      <c r="IT15" s="5"/>
      <c r="IU15" s="194"/>
      <c r="IV15" s="6"/>
      <c r="IW15" s="5"/>
      <c r="IX15" s="5"/>
      <c r="IY15" s="5"/>
      <c r="IZ15" s="194"/>
      <c r="JA15" s="6"/>
      <c r="JB15" s="5"/>
      <c r="JC15" s="5"/>
      <c r="JD15" s="5"/>
      <c r="JE15" s="194"/>
      <c r="JF15" s="6"/>
      <c r="JG15" s="5"/>
      <c r="JH15" s="5"/>
      <c r="JI15" s="5"/>
      <c r="JJ15" s="194"/>
      <c r="JK15" s="6"/>
      <c r="JL15" s="5"/>
      <c r="JM15" s="5"/>
      <c r="JN15" s="5"/>
      <c r="JO15" s="194"/>
    </row>
    <row r="16" spans="1:275" ht="15.75" customHeight="1">
      <c r="A16" s="12">
        <v>30478</v>
      </c>
      <c r="B16" s="5" t="s">
        <v>277</v>
      </c>
      <c r="C16" s="137"/>
      <c r="D16" s="4"/>
      <c r="E16" s="130"/>
      <c r="F16" s="78"/>
      <c r="G16" s="79"/>
      <c r="H16" s="79"/>
      <c r="I16" s="82"/>
      <c r="J16" s="79"/>
      <c r="K16" s="79"/>
      <c r="L16" s="81"/>
      <c r="M16" s="79"/>
      <c r="N16" s="79"/>
      <c r="O16" s="82"/>
      <c r="P16" s="83"/>
      <c r="Q16" s="79"/>
      <c r="R16" s="80"/>
      <c r="S16" s="78"/>
      <c r="T16" s="79" t="s">
        <v>192</v>
      </c>
      <c r="U16" s="246" t="s">
        <v>272</v>
      </c>
      <c r="V16" s="79" t="s">
        <v>273</v>
      </c>
      <c r="W16" s="79"/>
      <c r="X16" s="80"/>
      <c r="Y16" s="78" t="s">
        <v>198</v>
      </c>
      <c r="Z16" s="79" t="s">
        <v>198</v>
      </c>
      <c r="AA16" s="79" t="s">
        <v>198</v>
      </c>
      <c r="AB16" s="79" t="s">
        <v>198</v>
      </c>
      <c r="AC16" s="79" t="s">
        <v>198</v>
      </c>
      <c r="AD16" s="79" t="s">
        <v>198</v>
      </c>
      <c r="AE16" s="79" t="s">
        <v>198</v>
      </c>
      <c r="AF16" s="79" t="s">
        <v>210</v>
      </c>
      <c r="AG16" s="79" t="s">
        <v>198</v>
      </c>
      <c r="AH16" s="79" t="s">
        <v>198</v>
      </c>
      <c r="AI16" s="79" t="s">
        <v>198</v>
      </c>
      <c r="AJ16" s="79" t="s">
        <v>198</v>
      </c>
      <c r="AK16" s="79" t="s">
        <v>210</v>
      </c>
      <c r="AL16" s="82"/>
      <c r="AM16" s="84" t="s">
        <v>198</v>
      </c>
      <c r="AN16" s="79" t="s">
        <v>198</v>
      </c>
      <c r="AO16" s="79" t="s">
        <v>198</v>
      </c>
      <c r="AP16" s="79" t="s">
        <v>198</v>
      </c>
      <c r="AQ16" s="79" t="s">
        <v>198</v>
      </c>
      <c r="AR16" s="79" t="s">
        <v>198</v>
      </c>
      <c r="AS16" s="79" t="s">
        <v>198</v>
      </c>
      <c r="AT16" s="79" t="s">
        <v>198</v>
      </c>
      <c r="AU16" s="79" t="s">
        <v>198</v>
      </c>
      <c r="AV16" s="80"/>
      <c r="AW16" s="14" t="s">
        <v>248</v>
      </c>
      <c r="AX16" s="79"/>
      <c r="AY16" s="79"/>
      <c r="AZ16" s="79"/>
      <c r="BA16" s="79"/>
      <c r="BB16" s="79"/>
      <c r="BC16" s="79"/>
      <c r="BD16" s="79"/>
      <c r="BE16" s="79"/>
      <c r="BF16" s="80"/>
      <c r="BG16" s="84" t="s">
        <v>197</v>
      </c>
      <c r="BH16" s="79" t="s">
        <v>199</v>
      </c>
      <c r="BI16" s="79" t="s">
        <v>199</v>
      </c>
      <c r="BJ16" s="79" t="s">
        <v>200</v>
      </c>
      <c r="BK16" s="79" t="s">
        <v>198</v>
      </c>
      <c r="BL16" s="79" t="s">
        <v>198</v>
      </c>
      <c r="BM16" s="80" t="s">
        <v>198</v>
      </c>
      <c r="BN16" s="84"/>
      <c r="BO16" s="79">
        <v>101</v>
      </c>
      <c r="BP16" s="79">
        <v>24</v>
      </c>
      <c r="BQ16" s="85" t="s">
        <v>201</v>
      </c>
      <c r="BR16" s="85">
        <v>0</v>
      </c>
      <c r="BS16" s="85">
        <v>3.5</v>
      </c>
      <c r="BT16" s="85">
        <v>2</v>
      </c>
      <c r="BU16" s="85">
        <v>0.6</v>
      </c>
      <c r="BV16" s="85">
        <v>1.6</v>
      </c>
      <c r="BW16" s="134" t="s">
        <v>265</v>
      </c>
      <c r="BX16" s="147">
        <f t="shared" si="4"/>
        <v>0.64</v>
      </c>
      <c r="BY16" s="85" t="s">
        <v>202</v>
      </c>
      <c r="BZ16" s="67" t="s">
        <v>203</v>
      </c>
      <c r="CA16" s="78" t="s">
        <v>208</v>
      </c>
      <c r="CB16" s="86">
        <v>3.5</v>
      </c>
      <c r="CC16" s="79" t="s">
        <v>231</v>
      </c>
      <c r="CD16" s="94" t="s">
        <v>204</v>
      </c>
      <c r="CE16" s="87" t="s">
        <v>205</v>
      </c>
      <c r="CF16" s="95" t="s">
        <v>207</v>
      </c>
      <c r="CG16" s="168">
        <v>1.7</v>
      </c>
      <c r="CH16" s="79" t="s">
        <v>231</v>
      </c>
      <c r="CI16" s="94" t="s">
        <v>206</v>
      </c>
      <c r="CJ16" s="97" t="s">
        <v>205</v>
      </c>
      <c r="CK16" s="95" t="s">
        <v>209</v>
      </c>
      <c r="CL16" s="185">
        <v>1.6</v>
      </c>
      <c r="CM16" s="187" t="s">
        <v>231</v>
      </c>
      <c r="CN16" s="96" t="s">
        <v>206</v>
      </c>
      <c r="CO16" s="99" t="s">
        <v>205</v>
      </c>
      <c r="CP16" s="91" t="s">
        <v>274</v>
      </c>
      <c r="CQ16" s="61" t="s">
        <v>253</v>
      </c>
      <c r="CR16" s="79"/>
      <c r="CS16" s="79" t="s">
        <v>242</v>
      </c>
      <c r="CT16" s="88" t="s">
        <v>243</v>
      </c>
      <c r="CU16" s="84" t="s">
        <v>275</v>
      </c>
      <c r="CV16" s="86" t="s">
        <v>282</v>
      </c>
      <c r="CW16" s="98"/>
      <c r="CX16" s="79"/>
      <c r="CY16" s="88"/>
      <c r="CZ16" s="84"/>
      <c r="DA16" s="86"/>
      <c r="DB16" s="79"/>
      <c r="DC16" s="79"/>
      <c r="DD16" s="88"/>
      <c r="DE16" s="84"/>
      <c r="DF16" s="86"/>
      <c r="DG16" s="79"/>
      <c r="DH16" s="79"/>
      <c r="DI16" s="89"/>
      <c r="DJ16" s="90" t="s">
        <v>210</v>
      </c>
      <c r="DK16" s="91"/>
      <c r="DL16" s="79"/>
      <c r="DM16" s="79"/>
      <c r="DN16" s="88"/>
      <c r="DO16" s="79"/>
      <c r="DP16" s="79"/>
      <c r="DQ16" s="79"/>
      <c r="DR16" s="88"/>
      <c r="DS16" s="79"/>
      <c r="DT16" s="79"/>
      <c r="DU16" s="79"/>
      <c r="DV16" s="88"/>
      <c r="DW16" s="79"/>
      <c r="DX16" s="79"/>
      <c r="DY16" s="79"/>
      <c r="DZ16" s="88"/>
      <c r="EA16" s="79"/>
      <c r="EB16" s="79"/>
      <c r="EC16" s="79"/>
      <c r="ED16" s="88"/>
      <c r="EE16" s="79"/>
      <c r="EF16" s="79"/>
      <c r="EG16" s="89"/>
      <c r="EH16" s="82"/>
      <c r="EI16" s="84" t="s">
        <v>278</v>
      </c>
      <c r="EJ16" s="96" t="s">
        <v>289</v>
      </c>
      <c r="EK16" s="101" t="s">
        <v>212</v>
      </c>
      <c r="EL16" s="102" t="s">
        <v>214</v>
      </c>
      <c r="EM16" s="100" t="s">
        <v>210</v>
      </c>
      <c r="EN16" s="92" t="s">
        <v>224</v>
      </c>
      <c r="EO16" s="131" t="s">
        <v>244</v>
      </c>
      <c r="EP16" s="79"/>
      <c r="EQ16" s="132" t="s">
        <v>245</v>
      </c>
      <c r="ER16" s="79"/>
      <c r="ES16" s="79"/>
      <c r="ET16" s="79"/>
      <c r="EU16" s="79"/>
      <c r="EV16" s="79"/>
      <c r="EW16" s="79"/>
      <c r="EX16" s="80"/>
      <c r="EY16" s="84"/>
      <c r="EZ16" s="98"/>
      <c r="FA16" s="98"/>
      <c r="FB16" s="104"/>
      <c r="FC16" s="102" t="s">
        <v>220</v>
      </c>
      <c r="FD16" s="53" t="s">
        <v>198</v>
      </c>
      <c r="FE16" s="53" t="s">
        <v>210</v>
      </c>
      <c r="FF16" s="105" t="s">
        <v>217</v>
      </c>
      <c r="FG16" s="94" t="s">
        <v>218</v>
      </c>
      <c r="FH16" s="122" t="s">
        <v>219</v>
      </c>
      <c r="FI16" s="84"/>
      <c r="FJ16" s="82"/>
      <c r="FK16" s="84"/>
      <c r="FL16" s="82"/>
      <c r="FM16" s="84"/>
      <c r="FN16" s="80"/>
      <c r="FO16" s="125" t="s">
        <v>221</v>
      </c>
      <c r="FP16" s="106" t="s">
        <v>222</v>
      </c>
      <c r="FQ16" s="84" t="s">
        <v>223</v>
      </c>
      <c r="FR16" s="79"/>
      <c r="FS16" s="80"/>
      <c r="FT16" s="78" t="s">
        <v>250</v>
      </c>
      <c r="FU16" s="168">
        <v>90</v>
      </c>
      <c r="FV16" s="133" t="s">
        <v>469</v>
      </c>
      <c r="FW16" s="79" t="s">
        <v>320</v>
      </c>
      <c r="FX16" s="248" t="s">
        <v>469</v>
      </c>
      <c r="FY16" s="169" t="s">
        <v>276</v>
      </c>
      <c r="FZ16" s="168">
        <v>80</v>
      </c>
      <c r="GA16" s="133" t="s">
        <v>469</v>
      </c>
      <c r="GB16" s="79"/>
      <c r="GC16" s="247" t="s">
        <v>469</v>
      </c>
      <c r="GD16" s="84" t="s">
        <v>227</v>
      </c>
      <c r="GE16" s="136">
        <v>70</v>
      </c>
      <c r="GF16" s="79" t="s">
        <v>470</v>
      </c>
      <c r="GG16" s="79" t="s">
        <v>291</v>
      </c>
      <c r="GH16" s="192" t="s">
        <v>470</v>
      </c>
      <c r="GI16" s="84"/>
      <c r="GJ16" s="168"/>
      <c r="GK16" s="79"/>
      <c r="GL16" s="79"/>
      <c r="GM16" s="192"/>
      <c r="GN16" s="84"/>
      <c r="GO16" s="168"/>
      <c r="GP16" s="79"/>
      <c r="GQ16" s="79"/>
      <c r="GR16" s="192"/>
      <c r="GS16" s="84"/>
      <c r="GT16" s="168"/>
      <c r="GU16" s="79"/>
      <c r="GV16" s="79"/>
      <c r="GW16" s="192"/>
      <c r="GX16" s="59"/>
      <c r="GY16" s="168"/>
      <c r="GZ16" s="79"/>
      <c r="HA16" s="79"/>
      <c r="HB16" s="192"/>
      <c r="HC16" s="135"/>
      <c r="HD16" s="11"/>
      <c r="HE16" s="79"/>
      <c r="HF16" s="79"/>
      <c r="HG16" s="194"/>
      <c r="HH16" s="84"/>
      <c r="HI16" s="136"/>
      <c r="HJ16" s="79"/>
      <c r="HK16" s="79"/>
      <c r="HL16" s="194"/>
      <c r="HM16" s="84"/>
      <c r="HN16" s="136"/>
      <c r="HO16" s="79"/>
      <c r="HP16" s="79"/>
      <c r="HQ16" s="194"/>
      <c r="HR16" s="6"/>
      <c r="HS16" s="4"/>
      <c r="HT16" s="5"/>
      <c r="HU16" s="5"/>
      <c r="HV16" s="194"/>
      <c r="HW16" s="6"/>
      <c r="HX16" s="4"/>
      <c r="HY16" s="5"/>
      <c r="HZ16" s="5"/>
      <c r="IA16" s="194"/>
      <c r="IB16" s="6"/>
      <c r="IC16" s="5"/>
      <c r="ID16" s="5"/>
      <c r="IE16" s="5"/>
      <c r="IF16" s="194"/>
      <c r="IG16" s="6"/>
      <c r="IH16" s="5"/>
      <c r="II16" s="5"/>
      <c r="IJ16" s="5"/>
      <c r="IK16" s="194"/>
      <c r="IL16" s="6"/>
      <c r="IM16" s="5"/>
      <c r="IN16" s="5"/>
      <c r="IO16" s="5"/>
      <c r="IP16" s="194"/>
      <c r="IQ16" s="6"/>
      <c r="IR16" s="5"/>
      <c r="IS16" s="5"/>
      <c r="IT16" s="5"/>
      <c r="IU16" s="194"/>
      <c r="IV16" s="6"/>
      <c r="IW16" s="5"/>
      <c r="IX16" s="5"/>
      <c r="IY16" s="5"/>
      <c r="IZ16" s="194"/>
      <c r="JA16" s="6"/>
      <c r="JB16" s="5"/>
      <c r="JC16" s="5"/>
      <c r="JD16" s="5"/>
      <c r="JE16" s="194"/>
      <c r="JF16" s="6"/>
      <c r="JG16" s="5"/>
      <c r="JH16" s="5"/>
      <c r="JI16" s="5"/>
      <c r="JJ16" s="194"/>
      <c r="JK16" s="6"/>
      <c r="JL16" s="5"/>
      <c r="JM16" s="5"/>
      <c r="JN16" s="5"/>
      <c r="JO16" s="194"/>
    </row>
    <row r="17" spans="1:275" ht="15.75" customHeight="1">
      <c r="A17" s="12">
        <v>12501</v>
      </c>
      <c r="B17" s="5" t="s">
        <v>398</v>
      </c>
      <c r="C17" s="137"/>
      <c r="D17" s="4"/>
      <c r="E17" s="130"/>
      <c r="F17" s="78"/>
      <c r="G17" s="79"/>
      <c r="H17" s="79"/>
      <c r="I17" s="82"/>
      <c r="J17" s="79"/>
      <c r="K17" s="79"/>
      <c r="L17" s="81"/>
      <c r="M17" s="79"/>
      <c r="N17" s="79"/>
      <c r="O17" s="82"/>
      <c r="P17" s="83"/>
      <c r="Q17" s="79"/>
      <c r="R17" s="80"/>
      <c r="S17" s="78"/>
      <c r="T17" s="79" t="s">
        <v>192</v>
      </c>
      <c r="U17" s="79" t="s">
        <v>272</v>
      </c>
      <c r="V17" s="79" t="s">
        <v>273</v>
      </c>
      <c r="W17" s="79"/>
      <c r="X17" s="80"/>
      <c r="Y17" s="78" t="s">
        <v>198</v>
      </c>
      <c r="Z17" s="79" t="s">
        <v>198</v>
      </c>
      <c r="AA17" s="79" t="s">
        <v>198</v>
      </c>
      <c r="AB17" s="79" t="s">
        <v>198</v>
      </c>
      <c r="AC17" s="79" t="s">
        <v>198</v>
      </c>
      <c r="AD17" s="79" t="s">
        <v>198</v>
      </c>
      <c r="AE17" s="79" t="s">
        <v>198</v>
      </c>
      <c r="AF17" s="79" t="s">
        <v>210</v>
      </c>
      <c r="AG17" s="79" t="s">
        <v>198</v>
      </c>
      <c r="AH17" s="79" t="s">
        <v>198</v>
      </c>
      <c r="AI17" s="79" t="s">
        <v>198</v>
      </c>
      <c r="AJ17" s="79" t="s">
        <v>198</v>
      </c>
      <c r="AK17" s="79" t="s">
        <v>210</v>
      </c>
      <c r="AL17" s="82"/>
      <c r="AM17" s="84" t="s">
        <v>198</v>
      </c>
      <c r="AN17" s="79" t="s">
        <v>198</v>
      </c>
      <c r="AO17" s="79" t="s">
        <v>198</v>
      </c>
      <c r="AP17" s="79" t="s">
        <v>198</v>
      </c>
      <c r="AQ17" s="79" t="s">
        <v>198</v>
      </c>
      <c r="AR17" s="79" t="s">
        <v>198</v>
      </c>
      <c r="AS17" s="79" t="s">
        <v>198</v>
      </c>
      <c r="AT17" s="79" t="s">
        <v>198</v>
      </c>
      <c r="AU17" s="79" t="s">
        <v>198</v>
      </c>
      <c r="AV17" s="80"/>
      <c r="AW17" s="14" t="s">
        <v>248</v>
      </c>
      <c r="AX17" s="79"/>
      <c r="AY17" s="79"/>
      <c r="AZ17" s="79"/>
      <c r="BA17" s="79"/>
      <c r="BB17" s="79"/>
      <c r="BC17" s="79"/>
      <c r="BD17" s="79"/>
      <c r="BE17" s="79"/>
      <c r="BF17" s="80"/>
      <c r="BG17" s="84" t="s">
        <v>197</v>
      </c>
      <c r="BH17" s="79" t="s">
        <v>199</v>
      </c>
      <c r="BI17" s="79" t="s">
        <v>199</v>
      </c>
      <c r="BJ17" s="79" t="s">
        <v>200</v>
      </c>
      <c r="BK17" s="79" t="s">
        <v>198</v>
      </c>
      <c r="BL17" s="79" t="s">
        <v>198</v>
      </c>
      <c r="BM17" s="80" t="s">
        <v>198</v>
      </c>
      <c r="BN17" s="84"/>
      <c r="BO17" s="79">
        <v>101</v>
      </c>
      <c r="BP17" s="79">
        <v>24</v>
      </c>
      <c r="BQ17" s="85" t="s">
        <v>201</v>
      </c>
      <c r="BR17" s="85">
        <v>0</v>
      </c>
      <c r="BS17" s="85">
        <v>3.5</v>
      </c>
      <c r="BT17" s="85">
        <v>2</v>
      </c>
      <c r="BU17" s="85">
        <v>0.6</v>
      </c>
      <c r="BV17" s="85">
        <v>1.6</v>
      </c>
      <c r="BW17" s="134" t="s">
        <v>265</v>
      </c>
      <c r="BX17" s="147">
        <f t="shared" si="4"/>
        <v>0.64</v>
      </c>
      <c r="BY17" s="85" t="s">
        <v>202</v>
      </c>
      <c r="BZ17" s="67" t="s">
        <v>203</v>
      </c>
      <c r="CA17" s="78" t="s">
        <v>208</v>
      </c>
      <c r="CB17" s="86">
        <v>3.5</v>
      </c>
      <c r="CC17" s="79" t="s">
        <v>231</v>
      </c>
      <c r="CD17" s="94" t="s">
        <v>204</v>
      </c>
      <c r="CE17" s="87" t="s">
        <v>205</v>
      </c>
      <c r="CF17" s="95" t="s">
        <v>207</v>
      </c>
      <c r="CG17" s="168">
        <v>1.7</v>
      </c>
      <c r="CH17" s="79" t="s">
        <v>231</v>
      </c>
      <c r="CI17" s="94" t="s">
        <v>206</v>
      </c>
      <c r="CJ17" s="97" t="s">
        <v>205</v>
      </c>
      <c r="CK17" s="95" t="s">
        <v>209</v>
      </c>
      <c r="CL17" s="185">
        <v>1.6</v>
      </c>
      <c r="CM17" s="187" t="s">
        <v>231</v>
      </c>
      <c r="CN17" s="96" t="s">
        <v>206</v>
      </c>
      <c r="CO17" s="99" t="s">
        <v>205</v>
      </c>
      <c r="CP17" s="91" t="s">
        <v>274</v>
      </c>
      <c r="CQ17" s="61" t="s">
        <v>253</v>
      </c>
      <c r="CR17" s="79"/>
      <c r="CS17" s="79" t="s">
        <v>242</v>
      </c>
      <c r="CT17" s="88" t="s">
        <v>243</v>
      </c>
      <c r="CU17" s="84" t="s">
        <v>275</v>
      </c>
      <c r="CV17" s="86" t="s">
        <v>282</v>
      </c>
      <c r="CW17" s="98"/>
      <c r="CX17" s="79"/>
      <c r="CY17" s="88"/>
      <c r="CZ17" s="84"/>
      <c r="DA17" s="86"/>
      <c r="DB17" s="79"/>
      <c r="DC17" s="79"/>
      <c r="DD17" s="88"/>
      <c r="DE17" s="84"/>
      <c r="DF17" s="86"/>
      <c r="DG17" s="79"/>
      <c r="DH17" s="79"/>
      <c r="DI17" s="89"/>
      <c r="DJ17" s="90" t="s">
        <v>210</v>
      </c>
      <c r="DK17" s="91"/>
      <c r="DL17" s="79"/>
      <c r="DM17" s="79"/>
      <c r="DN17" s="88"/>
      <c r="DO17" s="79"/>
      <c r="DP17" s="79"/>
      <c r="DQ17" s="79"/>
      <c r="DR17" s="88"/>
      <c r="DS17" s="79"/>
      <c r="DT17" s="79"/>
      <c r="DU17" s="79"/>
      <c r="DV17" s="88"/>
      <c r="DW17" s="79"/>
      <c r="DX17" s="79"/>
      <c r="DY17" s="79"/>
      <c r="DZ17" s="88"/>
      <c r="EA17" s="79"/>
      <c r="EB17" s="79"/>
      <c r="EC17" s="79"/>
      <c r="ED17" s="88"/>
      <c r="EE17" s="79"/>
      <c r="EF17" s="79"/>
      <c r="EG17" s="89"/>
      <c r="EH17" s="82"/>
      <c r="EI17" s="84" t="s">
        <v>278</v>
      </c>
      <c r="EJ17" s="96" t="s">
        <v>289</v>
      </c>
      <c r="EK17" s="101" t="s">
        <v>212</v>
      </c>
      <c r="EL17" s="102" t="s">
        <v>214</v>
      </c>
      <c r="EM17" s="100" t="s">
        <v>210</v>
      </c>
      <c r="EN17" s="92" t="s">
        <v>224</v>
      </c>
      <c r="EO17" s="131" t="s">
        <v>244</v>
      </c>
      <c r="EP17" s="79"/>
      <c r="EQ17" s="132" t="s">
        <v>245</v>
      </c>
      <c r="ER17" s="79"/>
      <c r="ES17" s="79"/>
      <c r="ET17" s="79"/>
      <c r="EU17" s="79"/>
      <c r="EV17" s="79"/>
      <c r="EW17" s="79"/>
      <c r="EX17" s="80"/>
      <c r="EY17" s="84"/>
      <c r="EZ17" s="98"/>
      <c r="FA17" s="98"/>
      <c r="FB17" s="104"/>
      <c r="FC17" s="102" t="s">
        <v>220</v>
      </c>
      <c r="FD17" s="53" t="s">
        <v>198</v>
      </c>
      <c r="FE17" s="53" t="s">
        <v>210</v>
      </c>
      <c r="FF17" s="105" t="s">
        <v>217</v>
      </c>
      <c r="FG17" s="94" t="s">
        <v>218</v>
      </c>
      <c r="FH17" s="122" t="s">
        <v>219</v>
      </c>
      <c r="FI17" s="84"/>
      <c r="FJ17" s="82"/>
      <c r="FK17" s="84"/>
      <c r="FL17" s="82"/>
      <c r="FM17" s="84"/>
      <c r="FN17" s="80"/>
      <c r="FO17" s="125" t="s">
        <v>221</v>
      </c>
      <c r="FP17" s="106" t="s">
        <v>222</v>
      </c>
      <c r="FQ17" s="84" t="s">
        <v>223</v>
      </c>
      <c r="FR17" s="79"/>
      <c r="FS17" s="80"/>
      <c r="FT17" s="78" t="s">
        <v>250</v>
      </c>
      <c r="FU17" s="168">
        <v>90</v>
      </c>
      <c r="FV17" s="133" t="s">
        <v>469</v>
      </c>
      <c r="FW17" s="79" t="s">
        <v>320</v>
      </c>
      <c r="FX17" s="248" t="s">
        <v>469</v>
      </c>
      <c r="FY17" s="169" t="s">
        <v>276</v>
      </c>
      <c r="FZ17" s="168">
        <v>80</v>
      </c>
      <c r="GA17" s="133" t="s">
        <v>469</v>
      </c>
      <c r="GB17" s="79"/>
      <c r="GC17" s="247" t="s">
        <v>469</v>
      </c>
      <c r="GD17" s="84" t="s">
        <v>227</v>
      </c>
      <c r="GE17" s="136">
        <v>70</v>
      </c>
      <c r="GF17" s="79" t="s">
        <v>470</v>
      </c>
      <c r="GG17" s="79" t="s">
        <v>291</v>
      </c>
      <c r="GH17" s="192" t="s">
        <v>470</v>
      </c>
      <c r="GI17" s="84"/>
      <c r="GJ17" s="168"/>
      <c r="GK17" s="79"/>
      <c r="GL17" s="79"/>
      <c r="GM17" s="192"/>
      <c r="GN17" s="84"/>
      <c r="GO17" s="168"/>
      <c r="GP17" s="79"/>
      <c r="GQ17" s="79"/>
      <c r="GR17" s="192"/>
      <c r="GS17" s="84"/>
      <c r="GT17" s="168"/>
      <c r="GU17" s="79"/>
      <c r="GV17" s="79"/>
      <c r="GW17" s="192"/>
      <c r="GX17" s="59"/>
      <c r="GY17" s="168"/>
      <c r="GZ17" s="79"/>
      <c r="HA17" s="79"/>
      <c r="HB17" s="192"/>
      <c r="HC17" s="135"/>
      <c r="HD17" s="11"/>
      <c r="HE17" s="79"/>
      <c r="HF17" s="79"/>
      <c r="HG17" s="194"/>
      <c r="HH17" s="84"/>
      <c r="HI17" s="136"/>
      <c r="HJ17" s="79"/>
      <c r="HK17" s="79"/>
      <c r="HL17" s="194"/>
      <c r="HM17" s="84"/>
      <c r="HN17" s="136"/>
      <c r="HO17" s="79"/>
      <c r="HP17" s="79"/>
      <c r="HQ17" s="194"/>
      <c r="HR17" s="6"/>
      <c r="HS17" s="4"/>
      <c r="HT17" s="5"/>
      <c r="HU17" s="5"/>
      <c r="HV17" s="194"/>
      <c r="HW17" s="6"/>
      <c r="HX17" s="4"/>
      <c r="HY17" s="5"/>
      <c r="HZ17" s="5"/>
      <c r="IA17" s="194"/>
      <c r="IB17" s="6"/>
      <c r="IC17" s="5"/>
      <c r="ID17" s="5"/>
      <c r="IE17" s="5"/>
      <c r="IF17" s="194"/>
      <c r="IG17" s="6"/>
      <c r="IH17" s="5"/>
      <c r="II17" s="5"/>
      <c r="IJ17" s="5"/>
      <c r="IK17" s="194"/>
      <c r="IL17" s="6"/>
      <c r="IM17" s="5"/>
      <c r="IN17" s="5"/>
      <c r="IO17" s="5"/>
      <c r="IP17" s="194"/>
      <c r="IQ17" s="6"/>
      <c r="IR17" s="5"/>
      <c r="IS17" s="5"/>
      <c r="IT17" s="5"/>
      <c r="IU17" s="194"/>
      <c r="IV17" s="6"/>
      <c r="IW17" s="5"/>
      <c r="IX17" s="5"/>
      <c r="IY17" s="5"/>
      <c r="IZ17" s="194"/>
      <c r="JA17" s="6"/>
      <c r="JB17" s="5"/>
      <c r="JC17" s="5"/>
      <c r="JD17" s="5"/>
      <c r="JE17" s="194"/>
      <c r="JF17" s="6"/>
      <c r="JG17" s="5"/>
      <c r="JH17" s="5"/>
      <c r="JI17" s="5"/>
      <c r="JJ17" s="194"/>
      <c r="JK17" s="6"/>
      <c r="JL17" s="5"/>
      <c r="JM17" s="5"/>
      <c r="JN17" s="5"/>
      <c r="JO17" s="194"/>
    </row>
    <row r="18" spans="1:275" ht="15.75" customHeight="1">
      <c r="A18" s="12">
        <v>12402</v>
      </c>
      <c r="B18" s="5" t="s">
        <v>399</v>
      </c>
      <c r="C18" s="137"/>
      <c r="D18" s="4"/>
      <c r="E18" s="130"/>
      <c r="F18" s="78"/>
      <c r="G18" s="79"/>
      <c r="H18" s="79"/>
      <c r="I18" s="82"/>
      <c r="J18" s="79"/>
      <c r="K18" s="79"/>
      <c r="L18" s="81"/>
      <c r="M18" s="79"/>
      <c r="N18" s="79"/>
      <c r="O18" s="82"/>
      <c r="P18" s="83"/>
      <c r="Q18" s="79"/>
      <c r="R18" s="80"/>
      <c r="S18" s="78"/>
      <c r="T18" s="79" t="s">
        <v>192</v>
      </c>
      <c r="U18" s="245" t="s">
        <v>279</v>
      </c>
      <c r="V18" s="79" t="s">
        <v>280</v>
      </c>
      <c r="W18" s="79"/>
      <c r="X18" s="80"/>
      <c r="Y18" s="78" t="s">
        <v>198</v>
      </c>
      <c r="Z18" s="79" t="s">
        <v>198</v>
      </c>
      <c r="AA18" s="79" t="s">
        <v>198</v>
      </c>
      <c r="AB18" s="79" t="s">
        <v>198</v>
      </c>
      <c r="AC18" s="79" t="s">
        <v>198</v>
      </c>
      <c r="AD18" s="79" t="s">
        <v>198</v>
      </c>
      <c r="AE18" s="79" t="s">
        <v>198</v>
      </c>
      <c r="AF18" s="79" t="s">
        <v>198</v>
      </c>
      <c r="AG18" s="79" t="s">
        <v>198</v>
      </c>
      <c r="AH18" s="79" t="s">
        <v>198</v>
      </c>
      <c r="AI18" s="79" t="s">
        <v>198</v>
      </c>
      <c r="AJ18" s="79" t="s">
        <v>198</v>
      </c>
      <c r="AK18" s="79" t="s">
        <v>210</v>
      </c>
      <c r="AL18" s="82"/>
      <c r="AM18" s="84" t="s">
        <v>198</v>
      </c>
      <c r="AN18" s="79" t="s">
        <v>198</v>
      </c>
      <c r="AO18" s="79" t="s">
        <v>198</v>
      </c>
      <c r="AP18" s="79" t="s">
        <v>198</v>
      </c>
      <c r="AQ18" s="79" t="s">
        <v>198</v>
      </c>
      <c r="AR18" s="79" t="s">
        <v>198</v>
      </c>
      <c r="AS18" s="79" t="s">
        <v>198</v>
      </c>
      <c r="AT18" s="79" t="s">
        <v>198</v>
      </c>
      <c r="AU18" s="79" t="s">
        <v>198</v>
      </c>
      <c r="AV18" s="80"/>
      <c r="AW18" s="14" t="s">
        <v>248</v>
      </c>
      <c r="AX18" s="79" t="s">
        <v>281</v>
      </c>
      <c r="AY18" s="79"/>
      <c r="AZ18" s="79"/>
      <c r="BA18" s="79"/>
      <c r="BB18" s="79"/>
      <c r="BC18" s="79"/>
      <c r="BD18" s="79"/>
      <c r="BE18" s="79"/>
      <c r="BF18" s="80"/>
      <c r="BG18" s="84" t="s">
        <v>197</v>
      </c>
      <c r="BH18" s="79" t="s">
        <v>199</v>
      </c>
      <c r="BI18" s="79" t="s">
        <v>199</v>
      </c>
      <c r="BJ18" s="79" t="s">
        <v>200</v>
      </c>
      <c r="BK18" s="79" t="s">
        <v>198</v>
      </c>
      <c r="BL18" s="79" t="s">
        <v>198</v>
      </c>
      <c r="BM18" s="80" t="s">
        <v>198</v>
      </c>
      <c r="BN18" s="84"/>
      <c r="BO18" s="79">
        <v>152</v>
      </c>
      <c r="BP18" s="79">
        <v>36</v>
      </c>
      <c r="BQ18" s="85" t="s">
        <v>201</v>
      </c>
      <c r="BR18" s="85">
        <v>0</v>
      </c>
      <c r="BS18" s="85">
        <v>6</v>
      </c>
      <c r="BT18" s="85">
        <v>3.5</v>
      </c>
      <c r="BU18" s="85">
        <v>0.9</v>
      </c>
      <c r="BV18" s="85">
        <v>2.8</v>
      </c>
      <c r="BW18" s="134" t="s">
        <v>265</v>
      </c>
      <c r="BX18" s="147">
        <f t="shared" si="4"/>
        <v>1.1199999999999999</v>
      </c>
      <c r="BY18" s="85" t="s">
        <v>202</v>
      </c>
      <c r="BZ18" s="67" t="s">
        <v>203</v>
      </c>
      <c r="CA18" s="78" t="s">
        <v>208</v>
      </c>
      <c r="CB18" s="86">
        <v>3.3</v>
      </c>
      <c r="CC18" s="79" t="s">
        <v>231</v>
      </c>
      <c r="CD18" s="94" t="s">
        <v>204</v>
      </c>
      <c r="CE18" s="87" t="s">
        <v>205</v>
      </c>
      <c r="CF18" s="95" t="s">
        <v>207</v>
      </c>
      <c r="CG18" s="168">
        <v>1.5</v>
      </c>
      <c r="CH18" s="79" t="s">
        <v>231</v>
      </c>
      <c r="CI18" s="94" t="s">
        <v>206</v>
      </c>
      <c r="CJ18" s="97" t="s">
        <v>205</v>
      </c>
      <c r="CK18" s="95" t="s">
        <v>209</v>
      </c>
      <c r="CL18" s="185">
        <v>2.8</v>
      </c>
      <c r="CM18" s="187" t="s">
        <v>231</v>
      </c>
      <c r="CN18" s="96" t="s">
        <v>206</v>
      </c>
      <c r="CO18" s="99" t="s">
        <v>205</v>
      </c>
      <c r="CP18" s="91" t="s">
        <v>239</v>
      </c>
      <c r="CQ18" s="61" t="s">
        <v>282</v>
      </c>
      <c r="CR18" s="79"/>
      <c r="CS18" s="79" t="s">
        <v>242</v>
      </c>
      <c r="CT18" s="88" t="s">
        <v>243</v>
      </c>
      <c r="CU18" s="84"/>
      <c r="CV18" s="86"/>
      <c r="CW18" s="98"/>
      <c r="CX18" s="79"/>
      <c r="CY18" s="88"/>
      <c r="CZ18" s="84"/>
      <c r="DA18" s="86"/>
      <c r="DB18" s="79"/>
      <c r="DC18" s="79"/>
      <c r="DD18" s="88"/>
      <c r="DE18" s="84"/>
      <c r="DF18" s="86"/>
      <c r="DG18" s="79"/>
      <c r="DH18" s="79"/>
      <c r="DI18" s="89"/>
      <c r="DJ18" s="90" t="s">
        <v>210</v>
      </c>
      <c r="DK18" s="91"/>
      <c r="DL18" s="79"/>
      <c r="DM18" s="79"/>
      <c r="DN18" s="88"/>
      <c r="DO18" s="79"/>
      <c r="DP18" s="79"/>
      <c r="DQ18" s="79"/>
      <c r="DR18" s="88"/>
      <c r="DS18" s="79"/>
      <c r="DT18" s="79"/>
      <c r="DU18" s="79"/>
      <c r="DV18" s="88"/>
      <c r="DW18" s="79"/>
      <c r="DX18" s="79"/>
      <c r="DY18" s="79"/>
      <c r="DZ18" s="88"/>
      <c r="EA18" s="79"/>
      <c r="EB18" s="79"/>
      <c r="EC18" s="79"/>
      <c r="ED18" s="88"/>
      <c r="EE18" s="79"/>
      <c r="EF18" s="79"/>
      <c r="EG18" s="89"/>
      <c r="EH18" s="82"/>
      <c r="EI18" s="84" t="s">
        <v>284</v>
      </c>
      <c r="EJ18" s="96" t="s">
        <v>285</v>
      </c>
      <c r="EK18" s="101" t="s">
        <v>212</v>
      </c>
      <c r="EL18" s="102" t="s">
        <v>214</v>
      </c>
      <c r="EM18" s="100" t="s">
        <v>210</v>
      </c>
      <c r="EN18" s="92" t="s">
        <v>224</v>
      </c>
      <c r="EO18" s="131" t="s">
        <v>244</v>
      </c>
      <c r="EP18" s="79"/>
      <c r="EQ18" s="132" t="s">
        <v>245</v>
      </c>
      <c r="ER18" s="79"/>
      <c r="ES18" s="79"/>
      <c r="ET18" s="79"/>
      <c r="EU18" s="79"/>
      <c r="EV18" s="79"/>
      <c r="EW18" s="79"/>
      <c r="EX18" s="80"/>
      <c r="EY18" s="84"/>
      <c r="EZ18" s="98"/>
      <c r="FA18" s="98"/>
      <c r="FB18" s="104"/>
      <c r="FC18" s="102" t="s">
        <v>220</v>
      </c>
      <c r="FD18" s="53" t="s">
        <v>198</v>
      </c>
      <c r="FE18" s="53" t="s">
        <v>210</v>
      </c>
      <c r="FF18" s="105" t="s">
        <v>217</v>
      </c>
      <c r="FG18" s="94" t="s">
        <v>218</v>
      </c>
      <c r="FH18" s="122" t="s">
        <v>219</v>
      </c>
      <c r="FI18" s="84"/>
      <c r="FJ18" s="82"/>
      <c r="FK18" s="84"/>
      <c r="FL18" s="82"/>
      <c r="FM18" s="84"/>
      <c r="FN18" s="80"/>
      <c r="FO18" s="125" t="s">
        <v>221</v>
      </c>
      <c r="FP18" s="106" t="s">
        <v>222</v>
      </c>
      <c r="FQ18" s="84" t="s">
        <v>223</v>
      </c>
      <c r="FR18" s="79"/>
      <c r="FS18" s="80"/>
      <c r="FT18" s="78" t="s">
        <v>276</v>
      </c>
      <c r="FU18" s="168">
        <v>90</v>
      </c>
      <c r="FV18" s="133" t="s">
        <v>469</v>
      </c>
      <c r="FW18" s="79" t="s">
        <v>283</v>
      </c>
      <c r="FX18" s="248" t="s">
        <v>469</v>
      </c>
      <c r="FY18" s="84" t="s">
        <v>227</v>
      </c>
      <c r="FZ18" s="168">
        <v>80</v>
      </c>
      <c r="GA18" s="79" t="s">
        <v>470</v>
      </c>
      <c r="GB18" s="79" t="s">
        <v>291</v>
      </c>
      <c r="GC18" s="192" t="s">
        <v>470</v>
      </c>
      <c r="GD18" s="7"/>
      <c r="GE18" s="136"/>
      <c r="GF18" s="79"/>
      <c r="GG18" s="79"/>
      <c r="GH18" s="192"/>
      <c r="GI18" s="84"/>
      <c r="GJ18" s="168"/>
      <c r="GK18" s="79"/>
      <c r="GL18" s="79"/>
      <c r="GM18" s="192"/>
      <c r="GN18" s="84"/>
      <c r="GO18" s="168"/>
      <c r="GP18" s="79"/>
      <c r="GQ18" s="79"/>
      <c r="GR18" s="192"/>
      <c r="GS18" s="84"/>
      <c r="GT18" s="168"/>
      <c r="GU18" s="79"/>
      <c r="GV18" s="79"/>
      <c r="GW18" s="192"/>
      <c r="GX18" s="59"/>
      <c r="GY18" s="168"/>
      <c r="GZ18" s="79"/>
      <c r="HA18" s="79"/>
      <c r="HB18" s="192"/>
      <c r="HC18" s="135"/>
      <c r="HD18" s="11"/>
      <c r="HE18" s="79"/>
      <c r="HF18" s="79"/>
      <c r="HG18" s="194"/>
      <c r="HH18" s="84"/>
      <c r="HI18" s="136"/>
      <c r="HJ18" s="79"/>
      <c r="HK18" s="79"/>
      <c r="HL18" s="194"/>
      <c r="HM18" s="84"/>
      <c r="HN18" s="136"/>
      <c r="HO18" s="79"/>
      <c r="HP18" s="79"/>
      <c r="HQ18" s="194"/>
      <c r="HR18" s="6"/>
      <c r="HS18" s="4"/>
      <c r="HT18" s="5"/>
      <c r="HU18" s="5"/>
      <c r="HV18" s="194"/>
      <c r="HW18" s="6"/>
      <c r="HX18" s="4"/>
      <c r="HY18" s="5"/>
      <c r="HZ18" s="5"/>
      <c r="IA18" s="194"/>
      <c r="IB18" s="6"/>
      <c r="IC18" s="5"/>
      <c r="ID18" s="5"/>
      <c r="IE18" s="5"/>
      <c r="IF18" s="194"/>
      <c r="IG18" s="6"/>
      <c r="IH18" s="5"/>
      <c r="II18" s="5"/>
      <c r="IJ18" s="5"/>
      <c r="IK18" s="194"/>
      <c r="IL18" s="6"/>
      <c r="IM18" s="5"/>
      <c r="IN18" s="5"/>
      <c r="IO18" s="5"/>
      <c r="IP18" s="194"/>
      <c r="IQ18" s="6"/>
      <c r="IR18" s="5"/>
      <c r="IS18" s="5"/>
      <c r="IT18" s="5"/>
      <c r="IU18" s="194"/>
      <c r="IV18" s="6"/>
      <c r="IW18" s="5"/>
      <c r="IX18" s="5"/>
      <c r="IY18" s="5"/>
      <c r="IZ18" s="194"/>
      <c r="JA18" s="6"/>
      <c r="JB18" s="5"/>
      <c r="JC18" s="5"/>
      <c r="JD18" s="5"/>
      <c r="JE18" s="194"/>
      <c r="JF18" s="6"/>
      <c r="JG18" s="5"/>
      <c r="JH18" s="5"/>
      <c r="JI18" s="5"/>
      <c r="JJ18" s="194"/>
      <c r="JK18" s="6"/>
      <c r="JL18" s="5"/>
      <c r="JM18" s="5"/>
      <c r="JN18" s="5"/>
      <c r="JO18" s="194"/>
    </row>
    <row r="19" spans="1:275" ht="15.75" customHeight="1">
      <c r="A19" s="12">
        <v>12404</v>
      </c>
      <c r="B19" s="5" t="s">
        <v>400</v>
      </c>
      <c r="C19" s="137"/>
      <c r="D19" s="4"/>
      <c r="E19" s="130"/>
      <c r="F19" s="78"/>
      <c r="G19" s="79"/>
      <c r="H19" s="79"/>
      <c r="I19" s="82"/>
      <c r="J19" s="79"/>
      <c r="K19" s="79"/>
      <c r="L19" s="81"/>
      <c r="M19" s="79"/>
      <c r="N19" s="79"/>
      <c r="O19" s="82"/>
      <c r="P19" s="83"/>
      <c r="Q19" s="79"/>
      <c r="R19" s="80"/>
      <c r="S19" s="78"/>
      <c r="T19" s="79" t="s">
        <v>192</v>
      </c>
      <c r="U19" s="245" t="s">
        <v>279</v>
      </c>
      <c r="V19" s="79" t="s">
        <v>280</v>
      </c>
      <c r="W19" s="79"/>
      <c r="X19" s="80"/>
      <c r="Y19" s="78" t="s">
        <v>198</v>
      </c>
      <c r="Z19" s="79" t="s">
        <v>198</v>
      </c>
      <c r="AA19" s="79" t="s">
        <v>198</v>
      </c>
      <c r="AB19" s="79" t="s">
        <v>198</v>
      </c>
      <c r="AC19" s="79" t="s">
        <v>198</v>
      </c>
      <c r="AD19" s="79" t="s">
        <v>198</v>
      </c>
      <c r="AE19" s="79" t="s">
        <v>198</v>
      </c>
      <c r="AF19" s="79" t="s">
        <v>198</v>
      </c>
      <c r="AG19" s="79" t="s">
        <v>198</v>
      </c>
      <c r="AH19" s="79" t="s">
        <v>198</v>
      </c>
      <c r="AI19" s="79" t="s">
        <v>198</v>
      </c>
      <c r="AJ19" s="79" t="s">
        <v>198</v>
      </c>
      <c r="AK19" s="79" t="s">
        <v>210</v>
      </c>
      <c r="AL19" s="82"/>
      <c r="AM19" s="84" t="s">
        <v>198</v>
      </c>
      <c r="AN19" s="79" t="s">
        <v>198</v>
      </c>
      <c r="AO19" s="79" t="s">
        <v>198</v>
      </c>
      <c r="AP19" s="79" t="s">
        <v>198</v>
      </c>
      <c r="AQ19" s="79" t="s">
        <v>198</v>
      </c>
      <c r="AR19" s="79" t="s">
        <v>198</v>
      </c>
      <c r="AS19" s="79" t="s">
        <v>198</v>
      </c>
      <c r="AT19" s="79" t="s">
        <v>198</v>
      </c>
      <c r="AU19" s="79" t="s">
        <v>198</v>
      </c>
      <c r="AV19" s="80"/>
      <c r="AW19" s="14" t="s">
        <v>248</v>
      </c>
      <c r="AX19" s="79" t="s">
        <v>281</v>
      </c>
      <c r="AY19" s="79"/>
      <c r="AZ19" s="79"/>
      <c r="BA19" s="79"/>
      <c r="BB19" s="79"/>
      <c r="BC19" s="79"/>
      <c r="BD19" s="79"/>
      <c r="BE19" s="79"/>
      <c r="BF19" s="80"/>
      <c r="BG19" s="84" t="s">
        <v>197</v>
      </c>
      <c r="BH19" s="79" t="s">
        <v>199</v>
      </c>
      <c r="BI19" s="79" t="s">
        <v>199</v>
      </c>
      <c r="BJ19" s="79" t="s">
        <v>200</v>
      </c>
      <c r="BK19" s="79" t="s">
        <v>198</v>
      </c>
      <c r="BL19" s="79" t="s">
        <v>198</v>
      </c>
      <c r="BM19" s="80" t="s">
        <v>198</v>
      </c>
      <c r="BN19" s="84"/>
      <c r="BO19" s="79">
        <v>152</v>
      </c>
      <c r="BP19" s="79">
        <v>36</v>
      </c>
      <c r="BQ19" s="85" t="s">
        <v>201</v>
      </c>
      <c r="BR19" s="85">
        <v>0</v>
      </c>
      <c r="BS19" s="85">
        <v>6</v>
      </c>
      <c r="BT19" s="85">
        <v>3.5</v>
      </c>
      <c r="BU19" s="85">
        <v>0.9</v>
      </c>
      <c r="BV19" s="85">
        <v>2.8</v>
      </c>
      <c r="BW19" s="134" t="s">
        <v>265</v>
      </c>
      <c r="BX19" s="147">
        <f t="shared" si="4"/>
        <v>1.1199999999999999</v>
      </c>
      <c r="BY19" s="85" t="s">
        <v>202</v>
      </c>
      <c r="BZ19" s="67" t="s">
        <v>203</v>
      </c>
      <c r="CA19" s="78" t="s">
        <v>208</v>
      </c>
      <c r="CB19" s="86">
        <v>3.3</v>
      </c>
      <c r="CC19" s="79" t="s">
        <v>231</v>
      </c>
      <c r="CD19" s="94" t="s">
        <v>204</v>
      </c>
      <c r="CE19" s="87" t="s">
        <v>205</v>
      </c>
      <c r="CF19" s="95" t="s">
        <v>207</v>
      </c>
      <c r="CG19" s="168">
        <v>1.5</v>
      </c>
      <c r="CH19" s="79" t="s">
        <v>231</v>
      </c>
      <c r="CI19" s="94" t="s">
        <v>206</v>
      </c>
      <c r="CJ19" s="97" t="s">
        <v>205</v>
      </c>
      <c r="CK19" s="95" t="s">
        <v>209</v>
      </c>
      <c r="CL19" s="185">
        <v>2.8</v>
      </c>
      <c r="CM19" s="187" t="s">
        <v>231</v>
      </c>
      <c r="CN19" s="96" t="s">
        <v>206</v>
      </c>
      <c r="CO19" s="99" t="s">
        <v>205</v>
      </c>
      <c r="CP19" s="91" t="s">
        <v>239</v>
      </c>
      <c r="CQ19" s="61" t="s">
        <v>282</v>
      </c>
      <c r="CR19" s="79"/>
      <c r="CS19" s="79" t="s">
        <v>242</v>
      </c>
      <c r="CT19" s="88" t="s">
        <v>243</v>
      </c>
      <c r="CU19" s="84"/>
      <c r="CV19" s="86"/>
      <c r="CW19" s="98"/>
      <c r="CX19" s="79"/>
      <c r="CY19" s="88"/>
      <c r="CZ19" s="84"/>
      <c r="DA19" s="86"/>
      <c r="DB19" s="79"/>
      <c r="DC19" s="79"/>
      <c r="DD19" s="88"/>
      <c r="DE19" s="84"/>
      <c r="DF19" s="86"/>
      <c r="DG19" s="79"/>
      <c r="DH19" s="79"/>
      <c r="DI19" s="89"/>
      <c r="DJ19" s="90" t="s">
        <v>210</v>
      </c>
      <c r="DK19" s="91"/>
      <c r="DL19" s="79"/>
      <c r="DM19" s="79"/>
      <c r="DN19" s="88"/>
      <c r="DO19" s="79"/>
      <c r="DP19" s="79"/>
      <c r="DQ19" s="79"/>
      <c r="DR19" s="88"/>
      <c r="DS19" s="79"/>
      <c r="DT19" s="79"/>
      <c r="DU19" s="79"/>
      <c r="DV19" s="88"/>
      <c r="DW19" s="79"/>
      <c r="DX19" s="79"/>
      <c r="DY19" s="79"/>
      <c r="DZ19" s="88"/>
      <c r="EA19" s="79"/>
      <c r="EB19" s="79"/>
      <c r="EC19" s="79"/>
      <c r="ED19" s="88"/>
      <c r="EE19" s="79"/>
      <c r="EF19" s="79"/>
      <c r="EG19" s="89"/>
      <c r="EH19" s="82"/>
      <c r="EI19" s="84" t="s">
        <v>284</v>
      </c>
      <c r="EJ19" s="96" t="s">
        <v>285</v>
      </c>
      <c r="EK19" s="101" t="s">
        <v>212</v>
      </c>
      <c r="EL19" s="102" t="s">
        <v>214</v>
      </c>
      <c r="EM19" s="100" t="s">
        <v>210</v>
      </c>
      <c r="EN19" s="92" t="s">
        <v>224</v>
      </c>
      <c r="EO19" s="131" t="s">
        <v>244</v>
      </c>
      <c r="EP19" s="79"/>
      <c r="EQ19" s="132" t="s">
        <v>245</v>
      </c>
      <c r="ER19" s="79"/>
      <c r="ES19" s="79"/>
      <c r="ET19" s="79"/>
      <c r="EU19" s="79"/>
      <c r="EV19" s="79"/>
      <c r="EW19" s="79"/>
      <c r="EX19" s="80"/>
      <c r="EY19" s="84"/>
      <c r="EZ19" s="98"/>
      <c r="FA19" s="98"/>
      <c r="FB19" s="104"/>
      <c r="FC19" s="102" t="s">
        <v>220</v>
      </c>
      <c r="FD19" s="53" t="s">
        <v>198</v>
      </c>
      <c r="FE19" s="53" t="s">
        <v>210</v>
      </c>
      <c r="FF19" s="105" t="s">
        <v>217</v>
      </c>
      <c r="FG19" s="94" t="s">
        <v>218</v>
      </c>
      <c r="FH19" s="122" t="s">
        <v>219</v>
      </c>
      <c r="FI19" s="84"/>
      <c r="FJ19" s="82"/>
      <c r="FK19" s="84"/>
      <c r="FL19" s="82"/>
      <c r="FM19" s="84"/>
      <c r="FN19" s="80"/>
      <c r="FO19" s="125" t="s">
        <v>221</v>
      </c>
      <c r="FP19" s="106" t="s">
        <v>222</v>
      </c>
      <c r="FQ19" s="84" t="s">
        <v>223</v>
      </c>
      <c r="FR19" s="79"/>
      <c r="FS19" s="80"/>
      <c r="FT19" s="78" t="s">
        <v>276</v>
      </c>
      <c r="FU19" s="168">
        <v>90</v>
      </c>
      <c r="FV19" s="133" t="s">
        <v>469</v>
      </c>
      <c r="FW19" s="79" t="s">
        <v>283</v>
      </c>
      <c r="FX19" s="248" t="s">
        <v>469</v>
      </c>
      <c r="FY19" s="84" t="s">
        <v>227</v>
      </c>
      <c r="FZ19" s="168">
        <v>80</v>
      </c>
      <c r="GA19" s="79" t="s">
        <v>470</v>
      </c>
      <c r="GB19" s="79" t="s">
        <v>291</v>
      </c>
      <c r="GC19" s="192" t="s">
        <v>470</v>
      </c>
      <c r="GD19" s="7"/>
      <c r="GE19" s="136"/>
      <c r="GF19" s="79"/>
      <c r="GG19" s="79"/>
      <c r="GH19" s="192"/>
      <c r="GI19" s="84"/>
      <c r="GJ19" s="168"/>
      <c r="GK19" s="79"/>
      <c r="GL19" s="79"/>
      <c r="GM19" s="192"/>
      <c r="GN19" s="84"/>
      <c r="GO19" s="168"/>
      <c r="GP19" s="79"/>
      <c r="GQ19" s="79"/>
      <c r="GR19" s="192"/>
      <c r="GS19" s="84"/>
      <c r="GT19" s="168"/>
      <c r="GU19" s="79"/>
      <c r="GV19" s="79"/>
      <c r="GW19" s="192"/>
      <c r="GX19" s="59"/>
      <c r="GY19" s="168"/>
      <c r="GZ19" s="79"/>
      <c r="HA19" s="79"/>
      <c r="HB19" s="192"/>
      <c r="HC19" s="135"/>
      <c r="HD19" s="11"/>
      <c r="HE19" s="79"/>
      <c r="HF19" s="79"/>
      <c r="HG19" s="194"/>
      <c r="HH19" s="84"/>
      <c r="HI19" s="136"/>
      <c r="HJ19" s="79"/>
      <c r="HK19" s="79"/>
      <c r="HL19" s="194"/>
      <c r="HM19" s="84"/>
      <c r="HN19" s="136"/>
      <c r="HO19" s="79"/>
      <c r="HP19" s="79"/>
      <c r="HQ19" s="194"/>
      <c r="HR19" s="6"/>
      <c r="HS19" s="4"/>
      <c r="HT19" s="5"/>
      <c r="HU19" s="5"/>
      <c r="HV19" s="194"/>
      <c r="HW19" s="6"/>
      <c r="HX19" s="4"/>
      <c r="HY19" s="5"/>
      <c r="HZ19" s="5"/>
      <c r="IA19" s="194"/>
      <c r="IB19" s="6"/>
      <c r="IC19" s="5"/>
      <c r="ID19" s="5"/>
      <c r="IE19" s="5"/>
      <c r="IF19" s="194"/>
      <c r="IG19" s="6"/>
      <c r="IH19" s="5"/>
      <c r="II19" s="5"/>
      <c r="IJ19" s="5"/>
      <c r="IK19" s="194"/>
      <c r="IL19" s="6"/>
      <c r="IM19" s="5"/>
      <c r="IN19" s="5"/>
      <c r="IO19" s="5"/>
      <c r="IP19" s="194"/>
      <c r="IQ19" s="6"/>
      <c r="IR19" s="5"/>
      <c r="IS19" s="5"/>
      <c r="IT19" s="5"/>
      <c r="IU19" s="194"/>
      <c r="IV19" s="6"/>
      <c r="IW19" s="5"/>
      <c r="IX19" s="5"/>
      <c r="IY19" s="5"/>
      <c r="IZ19" s="194"/>
      <c r="JA19" s="6"/>
      <c r="JB19" s="5"/>
      <c r="JC19" s="5"/>
      <c r="JD19" s="5"/>
      <c r="JE19" s="194"/>
      <c r="JF19" s="6"/>
      <c r="JG19" s="5"/>
      <c r="JH19" s="5"/>
      <c r="JI19" s="5"/>
      <c r="JJ19" s="194"/>
      <c r="JK19" s="6"/>
      <c r="JL19" s="5"/>
      <c r="JM19" s="5"/>
      <c r="JN19" s="5"/>
      <c r="JO19" s="194"/>
    </row>
    <row r="20" spans="1:275" ht="15.75" customHeight="1">
      <c r="A20" s="12">
        <v>12406</v>
      </c>
      <c r="B20" s="5" t="s">
        <v>401</v>
      </c>
      <c r="C20" s="137"/>
      <c r="D20" s="4"/>
      <c r="E20" s="130"/>
      <c r="F20" s="78"/>
      <c r="G20" s="79"/>
      <c r="H20" s="79"/>
      <c r="I20" s="82"/>
      <c r="J20" s="79"/>
      <c r="K20" s="79"/>
      <c r="L20" s="81"/>
      <c r="M20" s="79"/>
      <c r="N20" s="79"/>
      <c r="O20" s="82"/>
      <c r="P20" s="83"/>
      <c r="Q20" s="79"/>
      <c r="R20" s="80"/>
      <c r="S20" s="78"/>
      <c r="T20" s="79" t="s">
        <v>192</v>
      </c>
      <c r="U20" s="245" t="s">
        <v>279</v>
      </c>
      <c r="V20" s="79" t="s">
        <v>280</v>
      </c>
      <c r="W20" s="79"/>
      <c r="X20" s="80"/>
      <c r="Y20" s="78" t="s">
        <v>198</v>
      </c>
      <c r="Z20" s="79" t="s">
        <v>198</v>
      </c>
      <c r="AA20" s="79" t="s">
        <v>198</v>
      </c>
      <c r="AB20" s="79" t="s">
        <v>198</v>
      </c>
      <c r="AC20" s="79" t="s">
        <v>198</v>
      </c>
      <c r="AD20" s="79" t="s">
        <v>198</v>
      </c>
      <c r="AE20" s="79" t="s">
        <v>198</v>
      </c>
      <c r="AF20" s="79" t="s">
        <v>198</v>
      </c>
      <c r="AG20" s="79" t="s">
        <v>198</v>
      </c>
      <c r="AH20" s="79" t="s">
        <v>198</v>
      </c>
      <c r="AI20" s="79" t="s">
        <v>198</v>
      </c>
      <c r="AJ20" s="79" t="s">
        <v>198</v>
      </c>
      <c r="AK20" s="79" t="s">
        <v>210</v>
      </c>
      <c r="AL20" s="82"/>
      <c r="AM20" s="84" t="s">
        <v>198</v>
      </c>
      <c r="AN20" s="79" t="s">
        <v>198</v>
      </c>
      <c r="AO20" s="79" t="s">
        <v>198</v>
      </c>
      <c r="AP20" s="79" t="s">
        <v>198</v>
      </c>
      <c r="AQ20" s="79" t="s">
        <v>198</v>
      </c>
      <c r="AR20" s="79" t="s">
        <v>198</v>
      </c>
      <c r="AS20" s="79" t="s">
        <v>198</v>
      </c>
      <c r="AT20" s="79" t="s">
        <v>198</v>
      </c>
      <c r="AU20" s="79" t="s">
        <v>198</v>
      </c>
      <c r="AV20" s="80"/>
      <c r="AW20" s="14" t="s">
        <v>248</v>
      </c>
      <c r="AX20" s="79" t="s">
        <v>281</v>
      </c>
      <c r="AY20" s="79"/>
      <c r="AZ20" s="79"/>
      <c r="BA20" s="79"/>
      <c r="BB20" s="79"/>
      <c r="BC20" s="79"/>
      <c r="BD20" s="79"/>
      <c r="BE20" s="79"/>
      <c r="BF20" s="80"/>
      <c r="BG20" s="84" t="s">
        <v>197</v>
      </c>
      <c r="BH20" s="79" t="s">
        <v>199</v>
      </c>
      <c r="BI20" s="79" t="s">
        <v>199</v>
      </c>
      <c r="BJ20" s="79" t="s">
        <v>200</v>
      </c>
      <c r="BK20" s="79" t="s">
        <v>198</v>
      </c>
      <c r="BL20" s="79" t="s">
        <v>198</v>
      </c>
      <c r="BM20" s="80" t="s">
        <v>198</v>
      </c>
      <c r="BN20" s="84"/>
      <c r="BO20" s="79">
        <v>152</v>
      </c>
      <c r="BP20" s="79">
        <v>36</v>
      </c>
      <c r="BQ20" s="85" t="s">
        <v>201</v>
      </c>
      <c r="BR20" s="85">
        <v>0</v>
      </c>
      <c r="BS20" s="85">
        <v>6</v>
      </c>
      <c r="BT20" s="85">
        <v>3.5</v>
      </c>
      <c r="BU20" s="85">
        <v>0.9</v>
      </c>
      <c r="BV20" s="85">
        <v>2.8</v>
      </c>
      <c r="BW20" s="134" t="s">
        <v>265</v>
      </c>
      <c r="BX20" s="147">
        <f t="shared" si="4"/>
        <v>1.1199999999999999</v>
      </c>
      <c r="BY20" s="85" t="s">
        <v>202</v>
      </c>
      <c r="BZ20" s="67" t="s">
        <v>203</v>
      </c>
      <c r="CA20" s="78" t="s">
        <v>208</v>
      </c>
      <c r="CB20" s="86">
        <v>3.3</v>
      </c>
      <c r="CC20" s="79" t="s">
        <v>231</v>
      </c>
      <c r="CD20" s="94" t="s">
        <v>204</v>
      </c>
      <c r="CE20" s="87" t="s">
        <v>205</v>
      </c>
      <c r="CF20" s="95" t="s">
        <v>207</v>
      </c>
      <c r="CG20" s="168">
        <v>1.5</v>
      </c>
      <c r="CH20" s="79" t="s">
        <v>231</v>
      </c>
      <c r="CI20" s="94" t="s">
        <v>206</v>
      </c>
      <c r="CJ20" s="97" t="s">
        <v>205</v>
      </c>
      <c r="CK20" s="95" t="s">
        <v>209</v>
      </c>
      <c r="CL20" s="185">
        <v>2.8</v>
      </c>
      <c r="CM20" s="187" t="s">
        <v>231</v>
      </c>
      <c r="CN20" s="96" t="s">
        <v>206</v>
      </c>
      <c r="CO20" s="99" t="s">
        <v>205</v>
      </c>
      <c r="CP20" s="91" t="s">
        <v>239</v>
      </c>
      <c r="CQ20" s="61" t="s">
        <v>282</v>
      </c>
      <c r="CR20" s="79"/>
      <c r="CS20" s="79" t="s">
        <v>242</v>
      </c>
      <c r="CT20" s="88" t="s">
        <v>243</v>
      </c>
      <c r="CU20" s="84"/>
      <c r="CV20" s="86"/>
      <c r="CW20" s="98"/>
      <c r="CX20" s="79"/>
      <c r="CY20" s="88"/>
      <c r="CZ20" s="84"/>
      <c r="DA20" s="86"/>
      <c r="DB20" s="79"/>
      <c r="DC20" s="79"/>
      <c r="DD20" s="88"/>
      <c r="DE20" s="84"/>
      <c r="DF20" s="86"/>
      <c r="DG20" s="79"/>
      <c r="DH20" s="79"/>
      <c r="DI20" s="89"/>
      <c r="DJ20" s="90" t="s">
        <v>210</v>
      </c>
      <c r="DK20" s="91"/>
      <c r="DL20" s="79"/>
      <c r="DM20" s="79"/>
      <c r="DN20" s="88"/>
      <c r="DO20" s="79"/>
      <c r="DP20" s="79"/>
      <c r="DQ20" s="79"/>
      <c r="DR20" s="88"/>
      <c r="DS20" s="79"/>
      <c r="DT20" s="79"/>
      <c r="DU20" s="79"/>
      <c r="DV20" s="88"/>
      <c r="DW20" s="79"/>
      <c r="DX20" s="79"/>
      <c r="DY20" s="79"/>
      <c r="DZ20" s="88"/>
      <c r="EA20" s="79"/>
      <c r="EB20" s="79"/>
      <c r="EC20" s="79"/>
      <c r="ED20" s="88"/>
      <c r="EE20" s="79"/>
      <c r="EF20" s="79"/>
      <c r="EG20" s="89"/>
      <c r="EH20" s="82"/>
      <c r="EI20" s="84" t="s">
        <v>284</v>
      </c>
      <c r="EJ20" s="96" t="s">
        <v>285</v>
      </c>
      <c r="EK20" s="101" t="s">
        <v>212</v>
      </c>
      <c r="EL20" s="102" t="s">
        <v>214</v>
      </c>
      <c r="EM20" s="100" t="s">
        <v>210</v>
      </c>
      <c r="EN20" s="92" t="s">
        <v>224</v>
      </c>
      <c r="EO20" s="131" t="s">
        <v>244</v>
      </c>
      <c r="EP20" s="79"/>
      <c r="EQ20" s="132" t="s">
        <v>245</v>
      </c>
      <c r="ER20" s="79"/>
      <c r="ES20" s="79"/>
      <c r="ET20" s="79"/>
      <c r="EU20" s="79"/>
      <c r="EV20" s="79"/>
      <c r="EW20" s="79"/>
      <c r="EX20" s="80"/>
      <c r="EY20" s="84"/>
      <c r="EZ20" s="98"/>
      <c r="FA20" s="98"/>
      <c r="FB20" s="104"/>
      <c r="FC20" s="102" t="s">
        <v>220</v>
      </c>
      <c r="FD20" s="53" t="s">
        <v>198</v>
      </c>
      <c r="FE20" s="53" t="s">
        <v>210</v>
      </c>
      <c r="FF20" s="105" t="s">
        <v>217</v>
      </c>
      <c r="FG20" s="94" t="s">
        <v>218</v>
      </c>
      <c r="FH20" s="122" t="s">
        <v>219</v>
      </c>
      <c r="FI20" s="84"/>
      <c r="FJ20" s="82"/>
      <c r="FK20" s="84"/>
      <c r="FL20" s="82"/>
      <c r="FM20" s="84"/>
      <c r="FN20" s="80"/>
      <c r="FO20" s="125" t="s">
        <v>221</v>
      </c>
      <c r="FP20" s="106" t="s">
        <v>222</v>
      </c>
      <c r="FQ20" s="84" t="s">
        <v>223</v>
      </c>
      <c r="FR20" s="79"/>
      <c r="FS20" s="80"/>
      <c r="FT20" s="78" t="s">
        <v>276</v>
      </c>
      <c r="FU20" s="168">
        <v>90</v>
      </c>
      <c r="FV20" s="133" t="s">
        <v>469</v>
      </c>
      <c r="FW20" s="79" t="s">
        <v>283</v>
      </c>
      <c r="FX20" s="248" t="s">
        <v>469</v>
      </c>
      <c r="FY20" s="84" t="s">
        <v>227</v>
      </c>
      <c r="FZ20" s="168">
        <v>80</v>
      </c>
      <c r="GA20" s="79" t="s">
        <v>470</v>
      </c>
      <c r="GB20" s="79" t="s">
        <v>291</v>
      </c>
      <c r="GC20" s="192" t="s">
        <v>470</v>
      </c>
      <c r="GD20" s="7"/>
      <c r="GE20" s="136"/>
      <c r="GF20" s="79"/>
      <c r="GG20" s="79"/>
      <c r="GH20" s="192"/>
      <c r="GI20" s="84"/>
      <c r="GJ20" s="168"/>
      <c r="GK20" s="79"/>
      <c r="GL20" s="79"/>
      <c r="GM20" s="192"/>
      <c r="GN20" s="84"/>
      <c r="GO20" s="168"/>
      <c r="GP20" s="79"/>
      <c r="GQ20" s="79"/>
      <c r="GR20" s="192"/>
      <c r="GS20" s="84"/>
      <c r="GT20" s="168"/>
      <c r="GU20" s="79"/>
      <c r="GV20" s="79"/>
      <c r="GW20" s="192"/>
      <c r="GX20" s="59"/>
      <c r="GY20" s="168"/>
      <c r="GZ20" s="79"/>
      <c r="HA20" s="79"/>
      <c r="HB20" s="192"/>
      <c r="HC20" s="135"/>
      <c r="HD20" s="11"/>
      <c r="HE20" s="79"/>
      <c r="HF20" s="79"/>
      <c r="HG20" s="194"/>
      <c r="HH20" s="84"/>
      <c r="HI20" s="136"/>
      <c r="HJ20" s="79"/>
      <c r="HK20" s="79"/>
      <c r="HL20" s="194"/>
      <c r="HM20" s="84"/>
      <c r="HN20" s="136"/>
      <c r="HO20" s="79"/>
      <c r="HP20" s="79"/>
      <c r="HQ20" s="194"/>
      <c r="HR20" s="6"/>
      <c r="HS20" s="4"/>
      <c r="HT20" s="5"/>
      <c r="HU20" s="5"/>
      <c r="HV20" s="194"/>
      <c r="HW20" s="6"/>
      <c r="HX20" s="4"/>
      <c r="HY20" s="5"/>
      <c r="HZ20" s="5"/>
      <c r="IA20" s="194"/>
      <c r="IB20" s="6"/>
      <c r="IC20" s="5"/>
      <c r="ID20" s="5"/>
      <c r="IE20" s="5"/>
      <c r="IF20" s="194"/>
      <c r="IG20" s="6"/>
      <c r="IH20" s="5"/>
      <c r="II20" s="5"/>
      <c r="IJ20" s="5"/>
      <c r="IK20" s="194"/>
      <c r="IL20" s="6"/>
      <c r="IM20" s="5"/>
      <c r="IN20" s="5"/>
      <c r="IO20" s="5"/>
      <c r="IP20" s="194"/>
      <c r="IQ20" s="6"/>
      <c r="IR20" s="5"/>
      <c r="IS20" s="5"/>
      <c r="IT20" s="5"/>
      <c r="IU20" s="194"/>
      <c r="IV20" s="6"/>
      <c r="IW20" s="5"/>
      <c r="IX20" s="5"/>
      <c r="IY20" s="5"/>
      <c r="IZ20" s="194"/>
      <c r="JA20" s="6"/>
      <c r="JB20" s="5"/>
      <c r="JC20" s="5"/>
      <c r="JD20" s="5"/>
      <c r="JE20" s="194"/>
      <c r="JF20" s="6"/>
      <c r="JG20" s="5"/>
      <c r="JH20" s="5"/>
      <c r="JI20" s="5"/>
      <c r="JJ20" s="194"/>
      <c r="JK20" s="6"/>
      <c r="JL20" s="5"/>
      <c r="JM20" s="5"/>
      <c r="JN20" s="5"/>
      <c r="JO20" s="194"/>
    </row>
    <row r="21" spans="1:275" ht="17.25" customHeight="1">
      <c r="A21" s="12">
        <v>12764</v>
      </c>
      <c r="B21" s="5" t="s">
        <v>402</v>
      </c>
      <c r="C21" s="137"/>
      <c r="D21" s="142"/>
      <c r="E21" s="130"/>
      <c r="F21" s="9"/>
      <c r="G21" s="148"/>
      <c r="H21" s="148"/>
      <c r="I21" s="150"/>
      <c r="J21" s="148"/>
      <c r="K21" s="148"/>
      <c r="L21" s="149"/>
      <c r="M21" s="148"/>
      <c r="N21" s="148"/>
      <c r="O21" s="150"/>
      <c r="P21" s="7"/>
      <c r="Q21" s="5"/>
      <c r="R21" s="8"/>
      <c r="S21" s="9"/>
      <c r="T21" s="5" t="s">
        <v>202</v>
      </c>
      <c r="U21" s="5" t="s">
        <v>293</v>
      </c>
      <c r="V21" s="5" t="s">
        <v>312</v>
      </c>
      <c r="W21" s="148"/>
      <c r="X21" s="151"/>
      <c r="Y21" s="152" t="s">
        <v>198</v>
      </c>
      <c r="Z21" s="148" t="s">
        <v>198</v>
      </c>
      <c r="AA21" s="148" t="s">
        <v>198</v>
      </c>
      <c r="AB21" s="148" t="s">
        <v>198</v>
      </c>
      <c r="AC21" s="148" t="s">
        <v>198</v>
      </c>
      <c r="AD21" s="148" t="s">
        <v>198</v>
      </c>
      <c r="AE21" s="148" t="s">
        <v>198</v>
      </c>
      <c r="AF21" s="148" t="s">
        <v>210</v>
      </c>
      <c r="AG21" s="148" t="s">
        <v>210</v>
      </c>
      <c r="AH21" s="148" t="s">
        <v>198</v>
      </c>
      <c r="AI21" s="148" t="s">
        <v>198</v>
      </c>
      <c r="AJ21" s="148" t="s">
        <v>198</v>
      </c>
      <c r="AK21" s="148" t="s">
        <v>210</v>
      </c>
      <c r="AL21" s="150"/>
      <c r="AM21" s="153" t="s">
        <v>198</v>
      </c>
      <c r="AN21" s="148" t="s">
        <v>198</v>
      </c>
      <c r="AO21" s="148" t="s">
        <v>198</v>
      </c>
      <c r="AP21" s="148" t="s">
        <v>198</v>
      </c>
      <c r="AQ21" s="148" t="s">
        <v>198</v>
      </c>
      <c r="AR21" s="148" t="s">
        <v>198</v>
      </c>
      <c r="AS21" s="148" t="s">
        <v>198</v>
      </c>
      <c r="AT21" s="148" t="s">
        <v>198</v>
      </c>
      <c r="AU21" s="148" t="s">
        <v>198</v>
      </c>
      <c r="AV21" s="151"/>
      <c r="AW21" s="148" t="s">
        <v>281</v>
      </c>
      <c r="AX21" s="5"/>
      <c r="AY21" s="5"/>
      <c r="AZ21" s="5"/>
      <c r="BA21" s="5"/>
      <c r="BB21" s="5"/>
      <c r="BC21" s="5"/>
      <c r="BD21" s="5"/>
      <c r="BE21" s="5"/>
      <c r="BF21" s="8"/>
      <c r="BG21" s="6" t="s">
        <v>197</v>
      </c>
      <c r="BH21" s="5" t="s">
        <v>199</v>
      </c>
      <c r="BI21" s="5" t="s">
        <v>199</v>
      </c>
      <c r="BJ21" s="5" t="s">
        <v>294</v>
      </c>
      <c r="BK21" s="5" t="s">
        <v>198</v>
      </c>
      <c r="BL21" s="5" t="s">
        <v>198</v>
      </c>
      <c r="BM21" s="8" t="s">
        <v>198</v>
      </c>
      <c r="BN21" s="6"/>
      <c r="BO21" s="14">
        <v>2820</v>
      </c>
      <c r="BP21" s="14">
        <v>684</v>
      </c>
      <c r="BQ21" s="71">
        <v>75</v>
      </c>
      <c r="BR21" s="140">
        <v>9</v>
      </c>
      <c r="BS21" s="140">
        <v>0.8</v>
      </c>
      <c r="BT21" s="140">
        <v>0.7</v>
      </c>
      <c r="BU21" s="140">
        <v>1.7</v>
      </c>
      <c r="BV21" s="140">
        <v>1.3</v>
      </c>
      <c r="BW21" s="140">
        <v>0.1</v>
      </c>
      <c r="BX21" s="147">
        <f t="shared" ref="BX21:BX22" si="5">BV21/2.5</f>
        <v>0.52</v>
      </c>
      <c r="BY21" s="154" t="s">
        <v>202</v>
      </c>
      <c r="BZ21" s="8" t="s">
        <v>203</v>
      </c>
      <c r="CA21" s="152" t="s">
        <v>208</v>
      </c>
      <c r="CB21" s="61">
        <v>3.9</v>
      </c>
      <c r="CC21" s="55" t="s">
        <v>231</v>
      </c>
      <c r="CD21" s="155" t="s">
        <v>204</v>
      </c>
      <c r="CE21" s="13" t="s">
        <v>205</v>
      </c>
      <c r="CF21" s="156" t="s">
        <v>207</v>
      </c>
      <c r="CG21" s="183">
        <v>0.4</v>
      </c>
      <c r="CH21" s="55" t="s">
        <v>257</v>
      </c>
      <c r="CI21" s="155" t="s">
        <v>206</v>
      </c>
      <c r="CJ21" s="139" t="s">
        <v>205</v>
      </c>
      <c r="CK21" s="156" t="s">
        <v>209</v>
      </c>
      <c r="CL21" s="186">
        <v>1.3</v>
      </c>
      <c r="CM21" s="188" t="s">
        <v>231</v>
      </c>
      <c r="CN21" s="157" t="s">
        <v>206</v>
      </c>
      <c r="CO21" s="158" t="s">
        <v>205</v>
      </c>
      <c r="CP21" s="159" t="s">
        <v>295</v>
      </c>
      <c r="CQ21" s="167">
        <v>170000</v>
      </c>
      <c r="CR21" s="114" t="s">
        <v>296</v>
      </c>
      <c r="CS21" s="5" t="s">
        <v>325</v>
      </c>
      <c r="CT21" s="121" t="s">
        <v>205</v>
      </c>
      <c r="CU21" s="6"/>
      <c r="CV21" s="77"/>
      <c r="CW21" s="5"/>
      <c r="CX21" s="5"/>
      <c r="CY21" s="13"/>
      <c r="CZ21" s="6"/>
      <c r="DA21" s="77"/>
      <c r="DB21" s="5"/>
      <c r="DC21" s="5"/>
      <c r="DD21" s="13"/>
      <c r="DE21" s="6"/>
      <c r="DF21" s="77"/>
      <c r="DG21" s="5"/>
      <c r="DH21" s="5"/>
      <c r="DI21" s="17"/>
      <c r="DJ21" s="171" t="s">
        <v>198</v>
      </c>
      <c r="DK21" s="18"/>
      <c r="DL21" s="5"/>
      <c r="DM21" s="5"/>
      <c r="DN21" s="13"/>
      <c r="DO21" s="5"/>
      <c r="DP21" s="5"/>
      <c r="DQ21" s="5"/>
      <c r="DR21" s="13"/>
      <c r="DS21" s="5"/>
      <c r="DT21" s="5"/>
      <c r="DU21" s="5"/>
      <c r="DV21" s="13"/>
      <c r="DW21" s="5"/>
      <c r="DX21" s="5"/>
      <c r="DY21" s="5"/>
      <c r="DZ21" s="13"/>
      <c r="EA21" s="5"/>
      <c r="EB21" s="5"/>
      <c r="EC21" s="5"/>
      <c r="ED21" s="13"/>
      <c r="EE21" s="5"/>
      <c r="EF21" s="5"/>
      <c r="EG21" s="17"/>
      <c r="EH21" s="10"/>
      <c r="EI21" s="6" t="s">
        <v>297</v>
      </c>
      <c r="EJ21" s="14" t="s">
        <v>298</v>
      </c>
      <c r="EK21" s="67" t="s">
        <v>299</v>
      </c>
      <c r="EL21" s="160" t="s">
        <v>214</v>
      </c>
      <c r="EM21" s="161" t="s">
        <v>210</v>
      </c>
      <c r="EN21" s="151" t="s">
        <v>300</v>
      </c>
      <c r="EO21" s="145" t="s">
        <v>313</v>
      </c>
      <c r="EP21" s="5"/>
      <c r="EQ21" s="146" t="s">
        <v>314</v>
      </c>
      <c r="ER21" s="138"/>
      <c r="ES21" s="6"/>
      <c r="ET21" s="5"/>
      <c r="EU21" s="5"/>
      <c r="EV21" s="5"/>
      <c r="EW21" s="5"/>
      <c r="EX21" s="8"/>
      <c r="EY21" s="6"/>
      <c r="EZ21" s="5"/>
      <c r="FA21" s="5"/>
      <c r="FB21" s="8"/>
      <c r="FC21" s="160" t="s">
        <v>315</v>
      </c>
      <c r="FD21" s="19" t="s">
        <v>198</v>
      </c>
      <c r="FE21" s="19" t="s">
        <v>210</v>
      </c>
      <c r="FF21" s="162" t="s">
        <v>217</v>
      </c>
      <c r="FG21" s="155" t="s">
        <v>218</v>
      </c>
      <c r="FH21" s="163" t="s">
        <v>219</v>
      </c>
      <c r="FI21" s="153"/>
      <c r="FJ21" s="150"/>
      <c r="FK21" s="6"/>
      <c r="FL21" s="10"/>
      <c r="FM21" s="6"/>
      <c r="FN21" s="8"/>
      <c r="FO21" s="164" t="s">
        <v>221</v>
      </c>
      <c r="FP21" s="165" t="s">
        <v>222</v>
      </c>
      <c r="FQ21" s="153" t="s">
        <v>223</v>
      </c>
      <c r="FR21" s="148"/>
      <c r="FS21" s="151"/>
      <c r="FT21" s="9" t="s">
        <v>287</v>
      </c>
      <c r="FU21" s="168">
        <v>90</v>
      </c>
      <c r="FV21" s="133" t="s">
        <v>469</v>
      </c>
      <c r="FW21" s="5" t="s">
        <v>283</v>
      </c>
      <c r="FX21" s="248" t="s">
        <v>469</v>
      </c>
      <c r="FY21" s="6" t="s">
        <v>228</v>
      </c>
      <c r="FZ21" s="168">
        <v>80</v>
      </c>
      <c r="GA21" s="5" t="s">
        <v>470</v>
      </c>
      <c r="GB21" s="5" t="s">
        <v>291</v>
      </c>
      <c r="GC21" s="192" t="s">
        <v>470</v>
      </c>
      <c r="GD21" s="6" t="s">
        <v>304</v>
      </c>
      <c r="GE21" s="4">
        <v>70</v>
      </c>
      <c r="GF21" s="5" t="s">
        <v>470</v>
      </c>
      <c r="GG21" s="5" t="s">
        <v>283</v>
      </c>
      <c r="GH21" s="170" t="s">
        <v>470</v>
      </c>
      <c r="GI21" s="6"/>
      <c r="GJ21" s="168"/>
      <c r="GK21" s="5"/>
      <c r="GL21" s="5"/>
      <c r="GM21" s="170"/>
      <c r="GN21" s="6"/>
      <c r="GO21" s="168"/>
      <c r="GP21" s="5"/>
      <c r="GQ21" s="5"/>
      <c r="GR21" s="170"/>
      <c r="GS21" s="6"/>
      <c r="GT21" s="168"/>
      <c r="GU21" s="5"/>
      <c r="GV21" s="5"/>
      <c r="GW21" s="170"/>
      <c r="GX21" s="6"/>
      <c r="GY21" s="168"/>
      <c r="GZ21" s="5"/>
      <c r="HA21" s="5"/>
      <c r="HB21" s="170"/>
      <c r="HC21" s="6"/>
      <c r="HD21" s="147"/>
      <c r="HE21" s="79"/>
      <c r="HF21" s="5"/>
      <c r="HG21" s="196"/>
      <c r="HH21" s="6"/>
      <c r="HI21" s="147"/>
      <c r="HJ21" s="5"/>
      <c r="HK21" s="5"/>
      <c r="HL21" s="196"/>
      <c r="HM21" s="6"/>
      <c r="HN21" s="77"/>
      <c r="HO21" s="5"/>
      <c r="HP21" s="5"/>
      <c r="HQ21" s="196"/>
      <c r="HR21" s="6"/>
      <c r="HS21" s="4"/>
      <c r="HT21" s="5"/>
      <c r="HU21" s="5"/>
      <c r="HV21" s="196"/>
      <c r="HW21" s="6"/>
      <c r="HX21" s="4"/>
      <c r="HY21" s="5"/>
      <c r="HZ21" s="5"/>
      <c r="IA21" s="196"/>
      <c r="IB21" s="6"/>
      <c r="IC21" s="5"/>
      <c r="ID21" s="5"/>
      <c r="IE21" s="5"/>
      <c r="IF21" s="196"/>
      <c r="IG21" s="6"/>
      <c r="IH21" s="5"/>
      <c r="II21" s="5"/>
      <c r="IJ21" s="5"/>
      <c r="IK21" s="196"/>
      <c r="IL21" s="6"/>
      <c r="IM21" s="5"/>
      <c r="IN21" s="5"/>
      <c r="IO21" s="5"/>
      <c r="IP21" s="196"/>
      <c r="IQ21" s="6"/>
      <c r="IR21" s="5"/>
      <c r="IS21" s="5"/>
      <c r="IT21" s="5"/>
      <c r="IU21" s="196"/>
      <c r="IV21" s="6"/>
      <c r="IW21" s="5"/>
      <c r="IX21" s="5"/>
      <c r="IY21" s="5"/>
      <c r="IZ21" s="196"/>
      <c r="JA21" s="6"/>
      <c r="JB21" s="5"/>
      <c r="JC21" s="5"/>
      <c r="JD21" s="5"/>
      <c r="JE21" s="196"/>
      <c r="JF21" s="6"/>
      <c r="JG21" s="5"/>
      <c r="JH21" s="5"/>
      <c r="JI21" s="5"/>
      <c r="JJ21" s="196"/>
      <c r="JK21" s="6"/>
      <c r="JL21" s="5"/>
      <c r="JM21" s="5"/>
      <c r="JN21" s="5"/>
      <c r="JO21" s="196"/>
    </row>
    <row r="22" spans="1:275" ht="17.25" customHeight="1">
      <c r="A22" s="12">
        <v>49750</v>
      </c>
      <c r="B22" s="5" t="s">
        <v>292</v>
      </c>
      <c r="C22" s="137"/>
      <c r="D22" s="142"/>
      <c r="E22" s="130"/>
      <c r="F22" s="9"/>
      <c r="G22" s="55"/>
      <c r="H22" s="55"/>
      <c r="I22" s="58"/>
      <c r="J22" s="55"/>
      <c r="K22" s="55"/>
      <c r="L22" s="57"/>
      <c r="M22" s="55"/>
      <c r="N22" s="55"/>
      <c r="O22" s="58"/>
      <c r="P22" s="7"/>
      <c r="Q22" s="5"/>
      <c r="R22" s="8"/>
      <c r="S22" s="9"/>
      <c r="T22" s="5" t="s">
        <v>202</v>
      </c>
      <c r="U22" s="5" t="s">
        <v>293</v>
      </c>
      <c r="V22" s="5" t="s">
        <v>312</v>
      </c>
      <c r="W22" s="55"/>
      <c r="X22" s="56"/>
      <c r="Y22" s="54" t="s">
        <v>198</v>
      </c>
      <c r="Z22" s="55" t="s">
        <v>198</v>
      </c>
      <c r="AA22" s="55" t="s">
        <v>198</v>
      </c>
      <c r="AB22" s="55" t="s">
        <v>198</v>
      </c>
      <c r="AC22" s="55" t="s">
        <v>198</v>
      </c>
      <c r="AD22" s="55" t="s">
        <v>198</v>
      </c>
      <c r="AE22" s="55" t="s">
        <v>198</v>
      </c>
      <c r="AF22" s="55" t="s">
        <v>210</v>
      </c>
      <c r="AG22" s="55" t="s">
        <v>210</v>
      </c>
      <c r="AH22" s="55" t="s">
        <v>198</v>
      </c>
      <c r="AI22" s="55" t="s">
        <v>198</v>
      </c>
      <c r="AJ22" s="55" t="s">
        <v>198</v>
      </c>
      <c r="AK22" s="55" t="s">
        <v>210</v>
      </c>
      <c r="AL22" s="58"/>
      <c r="AM22" s="59" t="s">
        <v>198</v>
      </c>
      <c r="AN22" s="55" t="s">
        <v>198</v>
      </c>
      <c r="AO22" s="55" t="s">
        <v>198</v>
      </c>
      <c r="AP22" s="55" t="s">
        <v>198</v>
      </c>
      <c r="AQ22" s="55" t="s">
        <v>198</v>
      </c>
      <c r="AR22" s="55" t="s">
        <v>198</v>
      </c>
      <c r="AS22" s="55" t="s">
        <v>198</v>
      </c>
      <c r="AT22" s="55" t="s">
        <v>198</v>
      </c>
      <c r="AU22" s="55" t="s">
        <v>198</v>
      </c>
      <c r="AV22" s="56"/>
      <c r="AW22" s="55" t="s">
        <v>281</v>
      </c>
      <c r="AX22" s="5"/>
      <c r="AY22" s="5"/>
      <c r="AZ22" s="5"/>
      <c r="BA22" s="5"/>
      <c r="BB22" s="5"/>
      <c r="BC22" s="5"/>
      <c r="BD22" s="5"/>
      <c r="BE22" s="5"/>
      <c r="BF22" s="8"/>
      <c r="BG22" s="6" t="s">
        <v>197</v>
      </c>
      <c r="BH22" s="5" t="s">
        <v>199</v>
      </c>
      <c r="BI22" s="5" t="s">
        <v>199</v>
      </c>
      <c r="BJ22" s="5" t="s">
        <v>294</v>
      </c>
      <c r="BK22" s="5" t="s">
        <v>198</v>
      </c>
      <c r="BL22" s="5" t="s">
        <v>198</v>
      </c>
      <c r="BM22" s="8" t="s">
        <v>198</v>
      </c>
      <c r="BN22" s="6"/>
      <c r="BO22" s="14">
        <v>2820</v>
      </c>
      <c r="BP22" s="14">
        <v>684</v>
      </c>
      <c r="BQ22" s="71">
        <v>75</v>
      </c>
      <c r="BR22" s="140">
        <v>9</v>
      </c>
      <c r="BS22" s="140">
        <v>0.8</v>
      </c>
      <c r="BT22" s="140">
        <v>0.7</v>
      </c>
      <c r="BU22" s="140">
        <v>1.7</v>
      </c>
      <c r="BV22" s="140">
        <v>1.3</v>
      </c>
      <c r="BW22" s="140">
        <v>0.1</v>
      </c>
      <c r="BX22" s="147">
        <f t="shared" si="5"/>
        <v>0.52</v>
      </c>
      <c r="BY22" s="60" t="s">
        <v>202</v>
      </c>
      <c r="BZ22" s="67" t="s">
        <v>203</v>
      </c>
      <c r="CA22" s="54" t="s">
        <v>208</v>
      </c>
      <c r="CB22" s="61">
        <v>3.9</v>
      </c>
      <c r="CC22" s="55" t="s">
        <v>231</v>
      </c>
      <c r="CD22" s="110" t="s">
        <v>204</v>
      </c>
      <c r="CE22" s="63" t="s">
        <v>205</v>
      </c>
      <c r="CF22" s="111" t="s">
        <v>207</v>
      </c>
      <c r="CG22" s="183">
        <v>0.4</v>
      </c>
      <c r="CH22" s="55" t="s">
        <v>257</v>
      </c>
      <c r="CI22" s="110" t="s">
        <v>206</v>
      </c>
      <c r="CJ22" s="112" t="s">
        <v>205</v>
      </c>
      <c r="CK22" s="111" t="s">
        <v>209</v>
      </c>
      <c r="CL22" s="186">
        <v>1.3</v>
      </c>
      <c r="CM22" s="188" t="s">
        <v>231</v>
      </c>
      <c r="CN22" s="115" t="s">
        <v>206</v>
      </c>
      <c r="CO22" s="121" t="s">
        <v>205</v>
      </c>
      <c r="CP22" s="64" t="s">
        <v>295</v>
      </c>
      <c r="CQ22" s="167">
        <v>170000</v>
      </c>
      <c r="CR22" s="114" t="s">
        <v>296</v>
      </c>
      <c r="CS22" s="5" t="s">
        <v>325</v>
      </c>
      <c r="CT22" s="121" t="s">
        <v>205</v>
      </c>
      <c r="CU22" s="6"/>
      <c r="CV22" s="77"/>
      <c r="CW22" s="5"/>
      <c r="CX22" s="5"/>
      <c r="CY22" s="13"/>
      <c r="CZ22" s="6"/>
      <c r="DA22" s="77"/>
      <c r="DB22" s="5"/>
      <c r="DC22" s="5"/>
      <c r="DD22" s="13"/>
      <c r="DE22" s="6"/>
      <c r="DF22" s="77"/>
      <c r="DG22" s="5"/>
      <c r="DH22" s="5"/>
      <c r="DI22" s="17"/>
      <c r="DJ22" s="171" t="s">
        <v>198</v>
      </c>
      <c r="DK22" s="18"/>
      <c r="DL22" s="5"/>
      <c r="DM22" s="5"/>
      <c r="DN22" s="13"/>
      <c r="DO22" s="5"/>
      <c r="DP22" s="5"/>
      <c r="DQ22" s="5"/>
      <c r="DR22" s="13"/>
      <c r="DS22" s="5"/>
      <c r="DT22" s="5"/>
      <c r="DU22" s="5"/>
      <c r="DV22" s="13"/>
      <c r="DW22" s="5"/>
      <c r="DX22" s="5"/>
      <c r="DY22" s="5"/>
      <c r="DZ22" s="13"/>
      <c r="EA22" s="5"/>
      <c r="EB22" s="5"/>
      <c r="EC22" s="5"/>
      <c r="ED22" s="13"/>
      <c r="EE22" s="5"/>
      <c r="EF22" s="5"/>
      <c r="EG22" s="17"/>
      <c r="EH22" s="10"/>
      <c r="EI22" s="6" t="s">
        <v>297</v>
      </c>
      <c r="EJ22" s="14" t="s">
        <v>298</v>
      </c>
      <c r="EK22" s="67" t="s">
        <v>299</v>
      </c>
      <c r="EL22" s="117" t="s">
        <v>214</v>
      </c>
      <c r="EM22" s="144" t="s">
        <v>210</v>
      </c>
      <c r="EN22" s="56" t="s">
        <v>300</v>
      </c>
      <c r="EO22" s="166" t="s">
        <v>301</v>
      </c>
      <c r="EP22" s="5"/>
      <c r="EQ22" s="166" t="s">
        <v>302</v>
      </c>
      <c r="ER22" s="138"/>
      <c r="ES22" s="6"/>
      <c r="ET22" s="5"/>
      <c r="EU22" s="5"/>
      <c r="EV22" s="5"/>
      <c r="EW22" s="5"/>
      <c r="EX22" s="8"/>
      <c r="EY22" s="6"/>
      <c r="EZ22" s="5"/>
      <c r="FA22" s="5"/>
      <c r="FB22" s="8"/>
      <c r="FC22" s="117" t="s">
        <v>303</v>
      </c>
      <c r="FD22" s="19" t="s">
        <v>198</v>
      </c>
      <c r="FE22" s="19" t="s">
        <v>210</v>
      </c>
      <c r="FF22" s="119" t="s">
        <v>217</v>
      </c>
      <c r="FG22" s="110" t="s">
        <v>218</v>
      </c>
      <c r="FH22" s="123" t="s">
        <v>219</v>
      </c>
      <c r="FI22" s="59"/>
      <c r="FJ22" s="58"/>
      <c r="FK22" s="6"/>
      <c r="FL22" s="10"/>
      <c r="FM22" s="6"/>
      <c r="FN22" s="8"/>
      <c r="FO22" s="126" t="s">
        <v>221</v>
      </c>
      <c r="FP22" s="120" t="s">
        <v>222</v>
      </c>
      <c r="FQ22" s="59" t="s">
        <v>223</v>
      </c>
      <c r="FR22" s="55"/>
      <c r="FS22" s="56"/>
      <c r="FT22" s="9" t="s">
        <v>287</v>
      </c>
      <c r="FU22" s="168">
        <v>90</v>
      </c>
      <c r="FV22" s="133" t="s">
        <v>469</v>
      </c>
      <c r="FW22" s="5" t="s">
        <v>283</v>
      </c>
      <c r="FX22" s="248" t="s">
        <v>469</v>
      </c>
      <c r="FY22" s="6" t="s">
        <v>228</v>
      </c>
      <c r="FZ22" s="168">
        <v>80</v>
      </c>
      <c r="GA22" s="5" t="s">
        <v>470</v>
      </c>
      <c r="GB22" s="5" t="s">
        <v>291</v>
      </c>
      <c r="GC22" s="192" t="s">
        <v>470</v>
      </c>
      <c r="GD22" s="6" t="s">
        <v>304</v>
      </c>
      <c r="GE22" s="4">
        <v>70</v>
      </c>
      <c r="GF22" s="5" t="s">
        <v>470</v>
      </c>
      <c r="GG22" s="5" t="s">
        <v>283</v>
      </c>
      <c r="GH22" s="170" t="s">
        <v>470</v>
      </c>
      <c r="GI22" s="6"/>
      <c r="GJ22" s="168"/>
      <c r="GK22" s="5"/>
      <c r="GL22" s="5"/>
      <c r="GM22" s="170"/>
      <c r="GN22" s="6"/>
      <c r="GO22" s="168"/>
      <c r="GP22" s="5"/>
      <c r="GQ22" s="5"/>
      <c r="GR22" s="170"/>
      <c r="GS22" s="6"/>
      <c r="GT22" s="168"/>
      <c r="GU22" s="5"/>
      <c r="GV22" s="5"/>
      <c r="GW22" s="170"/>
      <c r="GX22" s="6"/>
      <c r="GY22" s="168"/>
      <c r="GZ22" s="5"/>
      <c r="HA22" s="5"/>
      <c r="HB22" s="170"/>
      <c r="HC22" s="6"/>
      <c r="HD22" s="147"/>
      <c r="HE22" s="79"/>
      <c r="HF22" s="5"/>
      <c r="HG22" s="196"/>
      <c r="HH22" s="6"/>
      <c r="HI22" s="147"/>
      <c r="HJ22" s="5"/>
      <c r="HK22" s="5"/>
      <c r="HL22" s="196"/>
      <c r="HM22" s="6"/>
      <c r="HN22" s="77"/>
      <c r="HO22" s="5"/>
      <c r="HP22" s="5"/>
      <c r="HQ22" s="196"/>
      <c r="HR22" s="6"/>
      <c r="HS22" s="4"/>
      <c r="HT22" s="5"/>
      <c r="HU22" s="5"/>
      <c r="HV22" s="196"/>
      <c r="HW22" s="6"/>
      <c r="HX22" s="4"/>
      <c r="HY22" s="5"/>
      <c r="HZ22" s="5"/>
      <c r="IA22" s="196"/>
      <c r="IB22" s="6"/>
      <c r="IC22" s="5"/>
      <c r="ID22" s="5"/>
      <c r="IE22" s="5"/>
      <c r="IF22" s="196"/>
      <c r="IG22" s="6"/>
      <c r="IH22" s="5"/>
      <c r="II22" s="5"/>
      <c r="IJ22" s="5"/>
      <c r="IK22" s="196"/>
      <c r="IL22" s="6"/>
      <c r="IM22" s="5"/>
      <c r="IN22" s="5"/>
      <c r="IO22" s="5"/>
      <c r="IP22" s="196"/>
      <c r="IQ22" s="6"/>
      <c r="IR22" s="5"/>
      <c r="IS22" s="5"/>
      <c r="IT22" s="5"/>
      <c r="IU22" s="196"/>
      <c r="IV22" s="6"/>
      <c r="IW22" s="5"/>
      <c r="IX22" s="5"/>
      <c r="IY22" s="5"/>
      <c r="IZ22" s="196"/>
      <c r="JA22" s="6"/>
      <c r="JB22" s="5"/>
      <c r="JC22" s="5"/>
      <c r="JD22" s="5"/>
      <c r="JE22" s="196"/>
      <c r="JF22" s="6"/>
      <c r="JG22" s="5"/>
      <c r="JH22" s="5"/>
      <c r="JI22" s="5"/>
      <c r="JJ22" s="196"/>
      <c r="JK22" s="6"/>
      <c r="JL22" s="5"/>
      <c r="JM22" s="5"/>
      <c r="JN22" s="5"/>
      <c r="JO22" s="196"/>
    </row>
    <row r="23" spans="1:275" ht="17.25" customHeight="1">
      <c r="A23" s="12">
        <v>49762</v>
      </c>
      <c r="B23" s="5" t="s">
        <v>308</v>
      </c>
      <c r="C23" s="137"/>
      <c r="D23" s="142"/>
      <c r="E23" s="130"/>
      <c r="F23" s="9"/>
      <c r="G23" s="55"/>
      <c r="H23" s="55"/>
      <c r="I23" s="58"/>
      <c r="J23" s="55"/>
      <c r="K23" s="55"/>
      <c r="L23" s="57"/>
      <c r="M23" s="55"/>
      <c r="N23" s="55"/>
      <c r="O23" s="58"/>
      <c r="P23" s="7"/>
      <c r="Q23" s="5"/>
      <c r="R23" s="8"/>
      <c r="S23" s="9"/>
      <c r="T23" s="5" t="s">
        <v>202</v>
      </c>
      <c r="U23" s="5" t="s">
        <v>293</v>
      </c>
      <c r="V23" s="5" t="s">
        <v>316</v>
      </c>
      <c r="W23" s="55"/>
      <c r="X23" s="56"/>
      <c r="Y23" s="54" t="s">
        <v>198</v>
      </c>
      <c r="Z23" s="55" t="s">
        <v>198</v>
      </c>
      <c r="AA23" s="55" t="s">
        <v>198</v>
      </c>
      <c r="AB23" s="55" t="s">
        <v>198</v>
      </c>
      <c r="AC23" s="55" t="s">
        <v>198</v>
      </c>
      <c r="AD23" s="55" t="s">
        <v>198</v>
      </c>
      <c r="AE23" s="55" t="s">
        <v>198</v>
      </c>
      <c r="AF23" s="55" t="s">
        <v>210</v>
      </c>
      <c r="AG23" s="55" t="s">
        <v>210</v>
      </c>
      <c r="AH23" s="55" t="s">
        <v>198</v>
      </c>
      <c r="AI23" s="55" t="s">
        <v>198</v>
      </c>
      <c r="AJ23" s="55" t="s">
        <v>198</v>
      </c>
      <c r="AK23" s="55" t="s">
        <v>210</v>
      </c>
      <c r="AL23" s="58"/>
      <c r="AM23" s="59" t="s">
        <v>198</v>
      </c>
      <c r="AN23" s="55" t="s">
        <v>198</v>
      </c>
      <c r="AO23" s="55" t="s">
        <v>198</v>
      </c>
      <c r="AP23" s="55" t="s">
        <v>198</v>
      </c>
      <c r="AQ23" s="55" t="s">
        <v>198</v>
      </c>
      <c r="AR23" s="55" t="s">
        <v>198</v>
      </c>
      <c r="AS23" s="55" t="s">
        <v>198</v>
      </c>
      <c r="AT23" s="55" t="s">
        <v>198</v>
      </c>
      <c r="AU23" s="55" t="s">
        <v>198</v>
      </c>
      <c r="AV23" s="56"/>
      <c r="AW23" s="55" t="s">
        <v>281</v>
      </c>
      <c r="AX23" s="5"/>
      <c r="AY23" s="5"/>
      <c r="AZ23" s="5"/>
      <c r="BA23" s="5"/>
      <c r="BB23" s="5"/>
      <c r="BC23" s="5"/>
      <c r="BD23" s="5"/>
      <c r="BE23" s="5"/>
      <c r="BF23" s="8"/>
      <c r="BG23" s="6" t="s">
        <v>197</v>
      </c>
      <c r="BH23" s="5" t="s">
        <v>199</v>
      </c>
      <c r="BI23" s="5" t="s">
        <v>199</v>
      </c>
      <c r="BJ23" s="5" t="s">
        <v>294</v>
      </c>
      <c r="BK23" s="5" t="s">
        <v>198</v>
      </c>
      <c r="BL23" s="5" t="s">
        <v>198</v>
      </c>
      <c r="BM23" s="8" t="s">
        <v>198</v>
      </c>
      <c r="BN23" s="6"/>
      <c r="BO23" s="14">
        <v>2840</v>
      </c>
      <c r="BP23" s="14">
        <v>690</v>
      </c>
      <c r="BQ23" s="71">
        <v>74</v>
      </c>
      <c r="BR23" s="140">
        <v>8</v>
      </c>
      <c r="BS23" s="140">
        <v>4.5</v>
      </c>
      <c r="BT23" s="140">
        <v>0.8</v>
      </c>
      <c r="BU23" s="140">
        <v>1.1000000000000001</v>
      </c>
      <c r="BV23" s="140">
        <v>1.3</v>
      </c>
      <c r="BW23" s="140">
        <v>0</v>
      </c>
      <c r="BX23" s="147">
        <f t="shared" ref="BX23" si="6">BV23/2.5</f>
        <v>0.52</v>
      </c>
      <c r="BY23" s="60" t="s">
        <v>202</v>
      </c>
      <c r="BZ23" s="67" t="s">
        <v>203</v>
      </c>
      <c r="CA23" s="54" t="s">
        <v>208</v>
      </c>
      <c r="CB23" s="61">
        <v>3.7</v>
      </c>
      <c r="CC23" s="55" t="s">
        <v>231</v>
      </c>
      <c r="CD23" s="110" t="s">
        <v>204</v>
      </c>
      <c r="CE23" s="63" t="s">
        <v>205</v>
      </c>
      <c r="CF23" s="111" t="s">
        <v>207</v>
      </c>
      <c r="CG23" s="183">
        <v>0.4</v>
      </c>
      <c r="CH23" s="55" t="s">
        <v>257</v>
      </c>
      <c r="CI23" s="110" t="s">
        <v>206</v>
      </c>
      <c r="CJ23" s="112" t="s">
        <v>205</v>
      </c>
      <c r="CK23" s="111" t="s">
        <v>209</v>
      </c>
      <c r="CL23" s="186">
        <v>1.3</v>
      </c>
      <c r="CM23" s="188" t="s">
        <v>231</v>
      </c>
      <c r="CN23" s="115" t="s">
        <v>206</v>
      </c>
      <c r="CO23" s="121" t="s">
        <v>205</v>
      </c>
      <c r="CP23" s="64" t="s">
        <v>295</v>
      </c>
      <c r="CQ23" s="167">
        <v>135000</v>
      </c>
      <c r="CR23" s="114" t="s">
        <v>296</v>
      </c>
      <c r="CS23" s="5" t="s">
        <v>325</v>
      </c>
      <c r="CT23" s="121" t="s">
        <v>205</v>
      </c>
      <c r="CU23" s="6"/>
      <c r="CV23" s="77"/>
      <c r="CW23" s="5"/>
      <c r="CX23" s="5"/>
      <c r="CY23" s="13"/>
      <c r="CZ23" s="6"/>
      <c r="DA23" s="77"/>
      <c r="DB23" s="5"/>
      <c r="DC23" s="5"/>
      <c r="DD23" s="13"/>
      <c r="DE23" s="6"/>
      <c r="DF23" s="77"/>
      <c r="DG23" s="5"/>
      <c r="DH23" s="5"/>
      <c r="DI23" s="17"/>
      <c r="DJ23" s="171" t="s">
        <v>198</v>
      </c>
      <c r="DK23" s="18"/>
      <c r="DL23" s="5"/>
      <c r="DM23" s="5"/>
      <c r="DN23" s="13"/>
      <c r="DO23" s="5"/>
      <c r="DP23" s="5"/>
      <c r="DQ23" s="5"/>
      <c r="DR23" s="13"/>
      <c r="DS23" s="5"/>
      <c r="DT23" s="5"/>
      <c r="DU23" s="5"/>
      <c r="DV23" s="13"/>
      <c r="DW23" s="5"/>
      <c r="DX23" s="5"/>
      <c r="DY23" s="5"/>
      <c r="DZ23" s="13"/>
      <c r="EA23" s="5"/>
      <c r="EB23" s="5"/>
      <c r="EC23" s="5"/>
      <c r="ED23" s="13"/>
      <c r="EE23" s="5"/>
      <c r="EF23" s="5"/>
      <c r="EG23" s="17"/>
      <c r="EH23" s="10"/>
      <c r="EI23" s="6" t="s">
        <v>297</v>
      </c>
      <c r="EJ23" s="14" t="s">
        <v>298</v>
      </c>
      <c r="EK23" s="67" t="s">
        <v>299</v>
      </c>
      <c r="EL23" s="117" t="s">
        <v>214</v>
      </c>
      <c r="EM23" s="144" t="s">
        <v>210</v>
      </c>
      <c r="EN23" s="56" t="s">
        <v>300</v>
      </c>
      <c r="EO23" s="145" t="s">
        <v>307</v>
      </c>
      <c r="EP23" s="5"/>
      <c r="EQ23" s="146" t="s">
        <v>306</v>
      </c>
      <c r="ER23" s="138"/>
      <c r="ES23" s="6"/>
      <c r="ET23" s="5"/>
      <c r="EU23" s="5"/>
      <c r="EV23" s="5"/>
      <c r="EW23" s="5"/>
      <c r="EX23" s="8"/>
      <c r="EY23" s="6"/>
      <c r="EZ23" s="5"/>
      <c r="FA23" s="5"/>
      <c r="FB23" s="8"/>
      <c r="FC23" s="117" t="s">
        <v>303</v>
      </c>
      <c r="FD23" s="19" t="s">
        <v>198</v>
      </c>
      <c r="FE23" s="19" t="s">
        <v>210</v>
      </c>
      <c r="FF23" s="119" t="s">
        <v>217</v>
      </c>
      <c r="FG23" s="110" t="s">
        <v>218</v>
      </c>
      <c r="FH23" s="123" t="s">
        <v>219</v>
      </c>
      <c r="FI23" s="59"/>
      <c r="FJ23" s="58"/>
      <c r="FK23" s="6"/>
      <c r="FL23" s="10"/>
      <c r="FM23" s="6"/>
      <c r="FN23" s="8"/>
      <c r="FO23" s="126" t="s">
        <v>221</v>
      </c>
      <c r="FP23" s="120" t="s">
        <v>222</v>
      </c>
      <c r="FQ23" s="59" t="s">
        <v>223</v>
      </c>
      <c r="FR23" s="55"/>
      <c r="FS23" s="56"/>
      <c r="FT23" s="9" t="s">
        <v>287</v>
      </c>
      <c r="FU23" s="168">
        <v>90</v>
      </c>
      <c r="FV23" s="133" t="s">
        <v>469</v>
      </c>
      <c r="FW23" s="5" t="s">
        <v>283</v>
      </c>
      <c r="FX23" s="248" t="s">
        <v>469</v>
      </c>
      <c r="FY23" s="6" t="s">
        <v>228</v>
      </c>
      <c r="FZ23" s="168">
        <v>80</v>
      </c>
      <c r="GA23" s="5" t="s">
        <v>470</v>
      </c>
      <c r="GB23" s="5" t="s">
        <v>291</v>
      </c>
      <c r="GC23" s="192" t="s">
        <v>470</v>
      </c>
      <c r="GD23" s="6" t="s">
        <v>305</v>
      </c>
      <c r="GE23" s="4">
        <v>70</v>
      </c>
      <c r="GF23" s="5" t="s">
        <v>470</v>
      </c>
      <c r="GG23" s="5" t="s">
        <v>291</v>
      </c>
      <c r="GH23" s="170" t="s">
        <v>470</v>
      </c>
      <c r="GI23" s="6"/>
      <c r="GJ23" s="168"/>
      <c r="GK23" s="5"/>
      <c r="GL23" s="5"/>
      <c r="GM23" s="170"/>
      <c r="GN23" s="169"/>
      <c r="GO23" s="168"/>
      <c r="GP23" s="169"/>
      <c r="GQ23" s="5"/>
      <c r="GR23" s="170"/>
      <c r="GS23" s="6"/>
      <c r="GT23" s="168"/>
      <c r="GU23" s="5"/>
      <c r="GV23" s="5"/>
      <c r="GW23" s="170"/>
      <c r="GX23" s="6"/>
      <c r="GY23" s="168"/>
      <c r="GZ23" s="5"/>
      <c r="HA23" s="5"/>
      <c r="HB23" s="170"/>
      <c r="HC23" s="6"/>
      <c r="HD23" s="147"/>
      <c r="HE23" s="79"/>
      <c r="HF23" s="5"/>
      <c r="HG23" s="196"/>
      <c r="HH23" s="6"/>
      <c r="HI23" s="147"/>
      <c r="HJ23" s="5"/>
      <c r="HK23" s="5"/>
      <c r="HL23" s="196"/>
      <c r="HM23" s="6"/>
      <c r="HN23" s="77"/>
      <c r="HO23" s="5"/>
      <c r="HP23" s="5"/>
      <c r="HQ23" s="196"/>
      <c r="HR23" s="6"/>
      <c r="HS23" s="147"/>
      <c r="HT23" s="5"/>
      <c r="HU23" s="5"/>
      <c r="HV23" s="196"/>
      <c r="HW23" s="6"/>
      <c r="HX23" s="4"/>
      <c r="HY23" s="5"/>
      <c r="HZ23" s="5"/>
      <c r="IA23" s="196"/>
      <c r="IB23" s="6"/>
      <c r="IC23" s="5"/>
      <c r="ID23" s="5"/>
      <c r="IE23" s="5"/>
      <c r="IF23" s="196"/>
      <c r="IG23" s="6"/>
      <c r="IH23" s="5"/>
      <c r="II23" s="5"/>
      <c r="IJ23" s="5"/>
      <c r="IK23" s="196"/>
      <c r="IL23" s="6"/>
      <c r="IM23" s="5"/>
      <c r="IN23" s="5"/>
      <c r="IO23" s="5"/>
      <c r="IP23" s="196"/>
      <c r="IQ23" s="6"/>
      <c r="IR23" s="5"/>
      <c r="IS23" s="5"/>
      <c r="IT23" s="5"/>
      <c r="IU23" s="196"/>
      <c r="IV23" s="6"/>
      <c r="IW23" s="5"/>
      <c r="IX23" s="5"/>
      <c r="IY23" s="5"/>
      <c r="IZ23" s="196"/>
      <c r="JA23" s="6"/>
      <c r="JB23" s="5"/>
      <c r="JC23" s="5"/>
      <c r="JD23" s="5"/>
      <c r="JE23" s="196"/>
      <c r="JF23" s="6"/>
      <c r="JG23" s="5"/>
      <c r="JH23" s="5"/>
      <c r="JI23" s="5"/>
      <c r="JJ23" s="196"/>
      <c r="JK23" s="6"/>
      <c r="JL23" s="5"/>
      <c r="JM23" s="5"/>
      <c r="JN23" s="5"/>
      <c r="JO23" s="196"/>
    </row>
    <row r="24" spans="1:275" ht="17.25" customHeight="1">
      <c r="A24" s="12">
        <v>12752</v>
      </c>
      <c r="B24" s="5" t="s">
        <v>311</v>
      </c>
      <c r="C24" s="137"/>
      <c r="D24" s="142"/>
      <c r="E24" s="130"/>
      <c r="F24" s="9"/>
      <c r="G24" s="55"/>
      <c r="H24" s="55"/>
      <c r="I24" s="58"/>
      <c r="J24" s="55"/>
      <c r="K24" s="55"/>
      <c r="L24" s="57"/>
      <c r="M24" s="55"/>
      <c r="N24" s="55"/>
      <c r="O24" s="58"/>
      <c r="P24" s="7"/>
      <c r="Q24" s="5"/>
      <c r="R24" s="8"/>
      <c r="S24" s="9"/>
      <c r="T24" s="5" t="s">
        <v>202</v>
      </c>
      <c r="U24" s="5" t="s">
        <v>293</v>
      </c>
      <c r="V24" s="5" t="s">
        <v>317</v>
      </c>
      <c r="W24" s="55"/>
      <c r="X24" s="56"/>
      <c r="Y24" s="54" t="s">
        <v>198</v>
      </c>
      <c r="Z24" s="55" t="s">
        <v>198</v>
      </c>
      <c r="AA24" s="55" t="s">
        <v>198</v>
      </c>
      <c r="AB24" s="55" t="s">
        <v>198</v>
      </c>
      <c r="AC24" s="55" t="s">
        <v>198</v>
      </c>
      <c r="AD24" s="55" t="s">
        <v>198</v>
      </c>
      <c r="AE24" s="55" t="s">
        <v>198</v>
      </c>
      <c r="AF24" s="55" t="s">
        <v>198</v>
      </c>
      <c r="AG24" s="55" t="s">
        <v>210</v>
      </c>
      <c r="AH24" s="55" t="s">
        <v>198</v>
      </c>
      <c r="AI24" s="55" t="s">
        <v>198</v>
      </c>
      <c r="AJ24" s="55" t="s">
        <v>198</v>
      </c>
      <c r="AK24" s="55" t="s">
        <v>198</v>
      </c>
      <c r="AL24" s="58"/>
      <c r="AM24" s="59" t="s">
        <v>198</v>
      </c>
      <c r="AN24" s="55" t="s">
        <v>198</v>
      </c>
      <c r="AO24" s="55" t="s">
        <v>198</v>
      </c>
      <c r="AP24" s="55" t="s">
        <v>198</v>
      </c>
      <c r="AQ24" s="55" t="s">
        <v>198</v>
      </c>
      <c r="AR24" s="55" t="s">
        <v>198</v>
      </c>
      <c r="AS24" s="55" t="s">
        <v>198</v>
      </c>
      <c r="AT24" s="55" t="s">
        <v>198</v>
      </c>
      <c r="AU24" s="55" t="s">
        <v>198</v>
      </c>
      <c r="AV24" s="56"/>
      <c r="AW24" s="55" t="s">
        <v>281</v>
      </c>
      <c r="AX24" s="5"/>
      <c r="AY24" s="5"/>
      <c r="AZ24" s="5"/>
      <c r="BA24" s="5"/>
      <c r="BB24" s="5"/>
      <c r="BC24" s="5"/>
      <c r="BD24" s="5"/>
      <c r="BE24" s="5"/>
      <c r="BF24" s="8"/>
      <c r="BG24" s="6" t="s">
        <v>197</v>
      </c>
      <c r="BH24" s="5" t="s">
        <v>199</v>
      </c>
      <c r="BI24" s="5" t="s">
        <v>199</v>
      </c>
      <c r="BJ24" s="5" t="s">
        <v>294</v>
      </c>
      <c r="BK24" s="5" t="s">
        <v>198</v>
      </c>
      <c r="BL24" s="5" t="s">
        <v>198</v>
      </c>
      <c r="BM24" s="8" t="s">
        <v>198</v>
      </c>
      <c r="BN24" s="6"/>
      <c r="BO24" s="14">
        <v>3020</v>
      </c>
      <c r="BP24" s="14">
        <v>735</v>
      </c>
      <c r="BQ24" s="71">
        <v>80</v>
      </c>
      <c r="BR24" s="140">
        <v>9</v>
      </c>
      <c r="BS24" s="140">
        <v>2</v>
      </c>
      <c r="BT24" s="140">
        <v>0.8</v>
      </c>
      <c r="BU24" s="140">
        <v>1.5</v>
      </c>
      <c r="BV24" s="140">
        <v>1.2</v>
      </c>
      <c r="BW24" s="140">
        <v>0</v>
      </c>
      <c r="BX24" s="147">
        <f t="shared" ref="BX24" si="7">BV24/2.5</f>
        <v>0.48</v>
      </c>
      <c r="BY24" s="60" t="s">
        <v>202</v>
      </c>
      <c r="BZ24" s="67" t="s">
        <v>203</v>
      </c>
      <c r="CA24" s="54" t="s">
        <v>208</v>
      </c>
      <c r="CB24" s="61">
        <v>3.9</v>
      </c>
      <c r="CC24" s="55" t="s">
        <v>231</v>
      </c>
      <c r="CD24" s="110" t="s">
        <v>204</v>
      </c>
      <c r="CE24" s="63" t="s">
        <v>205</v>
      </c>
      <c r="CF24" s="111" t="s">
        <v>207</v>
      </c>
      <c r="CG24" s="183">
        <v>0.5</v>
      </c>
      <c r="CH24" s="55" t="s">
        <v>257</v>
      </c>
      <c r="CI24" s="110" t="s">
        <v>206</v>
      </c>
      <c r="CJ24" s="112" t="s">
        <v>205</v>
      </c>
      <c r="CK24" s="111" t="s">
        <v>209</v>
      </c>
      <c r="CL24" s="186">
        <v>1.2</v>
      </c>
      <c r="CM24" s="188" t="s">
        <v>231</v>
      </c>
      <c r="CN24" s="115" t="s">
        <v>206</v>
      </c>
      <c r="CO24" s="121" t="s">
        <v>205</v>
      </c>
      <c r="CP24" s="64" t="s">
        <v>295</v>
      </c>
      <c r="CQ24" s="167">
        <v>150000</v>
      </c>
      <c r="CR24" s="114" t="s">
        <v>296</v>
      </c>
      <c r="CS24" s="5" t="s">
        <v>325</v>
      </c>
      <c r="CT24" s="121" t="s">
        <v>205</v>
      </c>
      <c r="CU24" s="6"/>
      <c r="CV24" s="77"/>
      <c r="CW24" s="5"/>
      <c r="CX24" s="5"/>
      <c r="CY24" s="13"/>
      <c r="CZ24" s="6"/>
      <c r="DA24" s="77"/>
      <c r="DB24" s="5"/>
      <c r="DC24" s="5"/>
      <c r="DD24" s="13"/>
      <c r="DE24" s="6"/>
      <c r="DF24" s="77"/>
      <c r="DG24" s="5"/>
      <c r="DH24" s="5"/>
      <c r="DI24" s="17"/>
      <c r="DJ24" s="171" t="s">
        <v>198</v>
      </c>
      <c r="DK24" s="18"/>
      <c r="DL24" s="5"/>
      <c r="DM24" s="5"/>
      <c r="DN24" s="13"/>
      <c r="DO24" s="5"/>
      <c r="DP24" s="5"/>
      <c r="DQ24" s="5"/>
      <c r="DR24" s="13"/>
      <c r="DS24" s="5"/>
      <c r="DT24" s="5"/>
      <c r="DU24" s="5"/>
      <c r="DV24" s="13"/>
      <c r="DW24" s="5"/>
      <c r="DX24" s="5"/>
      <c r="DY24" s="5"/>
      <c r="DZ24" s="13"/>
      <c r="EA24" s="5"/>
      <c r="EB24" s="5"/>
      <c r="EC24" s="5"/>
      <c r="ED24" s="13"/>
      <c r="EE24" s="5"/>
      <c r="EF24" s="5"/>
      <c r="EG24" s="17"/>
      <c r="EH24" s="10"/>
      <c r="EI24" s="6" t="s">
        <v>297</v>
      </c>
      <c r="EJ24" s="14" t="s">
        <v>298</v>
      </c>
      <c r="EK24" s="67" t="s">
        <v>299</v>
      </c>
      <c r="EL24" s="117" t="s">
        <v>214</v>
      </c>
      <c r="EM24" s="144" t="s">
        <v>210</v>
      </c>
      <c r="EN24" s="56" t="s">
        <v>300</v>
      </c>
      <c r="EO24" s="145" t="s">
        <v>309</v>
      </c>
      <c r="EP24" s="5"/>
      <c r="EQ24" s="146" t="s">
        <v>310</v>
      </c>
      <c r="ER24" s="138"/>
      <c r="ES24" s="6"/>
      <c r="ET24" s="5"/>
      <c r="EU24" s="5"/>
      <c r="EV24" s="5"/>
      <c r="EW24" s="5"/>
      <c r="EX24" s="8"/>
      <c r="EY24" s="6"/>
      <c r="EZ24" s="5"/>
      <c r="FA24" s="5"/>
      <c r="FB24" s="8"/>
      <c r="FC24" s="117" t="s">
        <v>303</v>
      </c>
      <c r="FD24" s="19" t="s">
        <v>198</v>
      </c>
      <c r="FE24" s="19" t="s">
        <v>210</v>
      </c>
      <c r="FF24" s="119" t="s">
        <v>217</v>
      </c>
      <c r="FG24" s="110" t="s">
        <v>218</v>
      </c>
      <c r="FH24" s="123" t="s">
        <v>219</v>
      </c>
      <c r="FI24" s="59"/>
      <c r="FJ24" s="58"/>
      <c r="FK24" s="6"/>
      <c r="FL24" s="10"/>
      <c r="FM24" s="6"/>
      <c r="FN24" s="8"/>
      <c r="FO24" s="126" t="s">
        <v>221</v>
      </c>
      <c r="FP24" s="120" t="s">
        <v>222</v>
      </c>
      <c r="FQ24" s="59" t="s">
        <v>223</v>
      </c>
      <c r="FR24" s="55"/>
      <c r="FS24" s="56"/>
      <c r="FT24" s="9" t="s">
        <v>287</v>
      </c>
      <c r="FU24" s="168">
        <v>90</v>
      </c>
      <c r="FV24" s="133" t="s">
        <v>469</v>
      </c>
      <c r="FW24" s="5" t="s">
        <v>283</v>
      </c>
      <c r="FX24" s="248" t="s">
        <v>469</v>
      </c>
      <c r="FY24" s="6" t="s">
        <v>318</v>
      </c>
      <c r="FZ24" s="168">
        <v>80</v>
      </c>
      <c r="GA24" s="5" t="s">
        <v>470</v>
      </c>
      <c r="GB24" s="5" t="s">
        <v>291</v>
      </c>
      <c r="GC24" s="192" t="s">
        <v>470</v>
      </c>
      <c r="GD24" s="6" t="s">
        <v>304</v>
      </c>
      <c r="GE24" s="4">
        <v>70</v>
      </c>
      <c r="GF24" s="5" t="s">
        <v>470</v>
      </c>
      <c r="GG24" s="5" t="s">
        <v>283</v>
      </c>
      <c r="GH24" s="170" t="s">
        <v>470</v>
      </c>
      <c r="GI24" s="135"/>
      <c r="GJ24" s="168"/>
      <c r="GK24" s="169"/>
      <c r="GL24" s="5"/>
      <c r="GM24" s="170"/>
      <c r="GN24" s="169"/>
      <c r="GO24" s="168"/>
      <c r="GP24" s="169"/>
      <c r="GQ24" s="5"/>
      <c r="GR24" s="170"/>
      <c r="GS24" s="6"/>
      <c r="GT24" s="168"/>
      <c r="GU24" s="5"/>
      <c r="GV24" s="5"/>
      <c r="GW24" s="170"/>
      <c r="GX24" s="6"/>
      <c r="GY24" s="168"/>
      <c r="GZ24" s="5"/>
      <c r="HA24" s="5"/>
      <c r="HB24" s="170"/>
      <c r="HC24" s="6"/>
      <c r="HD24" s="147"/>
      <c r="HE24" s="79"/>
      <c r="HF24" s="5"/>
      <c r="HG24" s="196"/>
      <c r="HH24" s="6"/>
      <c r="HI24" s="147"/>
      <c r="HJ24" s="5"/>
      <c r="HK24" s="5"/>
      <c r="HL24" s="196"/>
      <c r="HM24" s="6"/>
      <c r="HN24" s="77"/>
      <c r="HO24" s="5"/>
      <c r="HP24" s="5"/>
      <c r="HQ24" s="196"/>
      <c r="HR24" s="6"/>
      <c r="HS24" s="147"/>
      <c r="HT24" s="5"/>
      <c r="HU24" s="5"/>
      <c r="HV24" s="196"/>
      <c r="HW24" s="6"/>
      <c r="HX24" s="4"/>
      <c r="HY24" s="5"/>
      <c r="HZ24" s="5"/>
      <c r="IA24" s="196"/>
      <c r="IB24" s="6"/>
      <c r="IC24" s="5"/>
      <c r="ID24" s="5"/>
      <c r="IE24" s="5"/>
      <c r="IF24" s="196"/>
      <c r="IG24" s="6"/>
      <c r="IH24" s="5"/>
      <c r="II24" s="5"/>
      <c r="IJ24" s="5"/>
      <c r="IK24" s="196"/>
      <c r="IL24" s="6"/>
      <c r="IM24" s="5"/>
      <c r="IN24" s="5"/>
      <c r="IO24" s="5"/>
      <c r="IP24" s="196"/>
      <c r="IQ24" s="6"/>
      <c r="IR24" s="5"/>
      <c r="IS24" s="5"/>
      <c r="IT24" s="5"/>
      <c r="IU24" s="196"/>
      <c r="IV24" s="6"/>
      <c r="IW24" s="5"/>
      <c r="IX24" s="5"/>
      <c r="IY24" s="5"/>
      <c r="IZ24" s="196"/>
      <c r="JA24" s="6"/>
      <c r="JB24" s="5"/>
      <c r="JC24" s="5"/>
      <c r="JD24" s="5"/>
      <c r="JE24" s="196"/>
      <c r="JF24" s="6"/>
      <c r="JG24" s="5"/>
      <c r="JH24" s="5"/>
      <c r="JI24" s="5"/>
      <c r="JJ24" s="196"/>
      <c r="JK24" s="6"/>
      <c r="JL24" s="5"/>
      <c r="JM24" s="5"/>
      <c r="JN24" s="5"/>
      <c r="JO24" s="196"/>
    </row>
    <row r="25" spans="1:275" ht="17.25" customHeight="1">
      <c r="A25" s="12">
        <v>12753</v>
      </c>
      <c r="B25" s="138" t="s">
        <v>321</v>
      </c>
      <c r="C25" s="137"/>
      <c r="D25" s="142"/>
      <c r="E25" s="130"/>
      <c r="F25" s="9"/>
      <c r="G25" s="55"/>
      <c r="H25" s="55"/>
      <c r="I25" s="58"/>
      <c r="J25" s="55"/>
      <c r="K25" s="55"/>
      <c r="L25" s="57"/>
      <c r="M25" s="55"/>
      <c r="N25" s="55"/>
      <c r="O25" s="58"/>
      <c r="P25" s="7"/>
      <c r="Q25" s="5"/>
      <c r="R25" s="8"/>
      <c r="S25" s="9"/>
      <c r="T25" s="5" t="s">
        <v>202</v>
      </c>
      <c r="U25" s="5" t="s">
        <v>293</v>
      </c>
      <c r="V25" s="5" t="s">
        <v>317</v>
      </c>
      <c r="W25" s="55"/>
      <c r="X25" s="56"/>
      <c r="Y25" s="54" t="s">
        <v>198</v>
      </c>
      <c r="Z25" s="55" t="s">
        <v>198</v>
      </c>
      <c r="AA25" s="55" t="s">
        <v>198</v>
      </c>
      <c r="AB25" s="55" t="s">
        <v>198</v>
      </c>
      <c r="AC25" s="55" t="s">
        <v>198</v>
      </c>
      <c r="AD25" s="55" t="s">
        <v>198</v>
      </c>
      <c r="AE25" s="55" t="s">
        <v>198</v>
      </c>
      <c r="AF25" s="55" t="s">
        <v>198</v>
      </c>
      <c r="AG25" s="55" t="s">
        <v>210</v>
      </c>
      <c r="AH25" s="55" t="s">
        <v>198</v>
      </c>
      <c r="AI25" s="55" t="s">
        <v>198</v>
      </c>
      <c r="AJ25" s="55" t="s">
        <v>198</v>
      </c>
      <c r="AK25" s="55" t="s">
        <v>198</v>
      </c>
      <c r="AL25" s="58"/>
      <c r="AM25" s="59" t="s">
        <v>198</v>
      </c>
      <c r="AN25" s="55" t="s">
        <v>198</v>
      </c>
      <c r="AO25" s="55" t="s">
        <v>198</v>
      </c>
      <c r="AP25" s="55" t="s">
        <v>198</v>
      </c>
      <c r="AQ25" s="55" t="s">
        <v>198</v>
      </c>
      <c r="AR25" s="55" t="s">
        <v>198</v>
      </c>
      <c r="AS25" s="55" t="s">
        <v>198</v>
      </c>
      <c r="AT25" s="55" t="s">
        <v>198</v>
      </c>
      <c r="AU25" s="55" t="s">
        <v>198</v>
      </c>
      <c r="AV25" s="56"/>
      <c r="AW25" s="55" t="s">
        <v>281</v>
      </c>
      <c r="AX25" s="5"/>
      <c r="AY25" s="5"/>
      <c r="AZ25" s="5"/>
      <c r="BA25" s="5"/>
      <c r="BB25" s="5"/>
      <c r="BC25" s="5"/>
      <c r="BD25" s="5"/>
      <c r="BE25" s="5"/>
      <c r="BF25" s="8"/>
      <c r="BG25" s="6" t="s">
        <v>197</v>
      </c>
      <c r="BH25" s="5" t="s">
        <v>199</v>
      </c>
      <c r="BI25" s="5" t="s">
        <v>199</v>
      </c>
      <c r="BJ25" s="5" t="s">
        <v>294</v>
      </c>
      <c r="BK25" s="5" t="s">
        <v>198</v>
      </c>
      <c r="BL25" s="5" t="s">
        <v>198</v>
      </c>
      <c r="BM25" s="8" t="s">
        <v>198</v>
      </c>
      <c r="BN25" s="6"/>
      <c r="BO25" s="14">
        <v>3020</v>
      </c>
      <c r="BP25" s="14">
        <v>735</v>
      </c>
      <c r="BQ25" s="71">
        <v>80</v>
      </c>
      <c r="BR25" s="140">
        <v>9</v>
      </c>
      <c r="BS25" s="140">
        <v>2</v>
      </c>
      <c r="BT25" s="140">
        <v>0.8</v>
      </c>
      <c r="BU25" s="140">
        <v>1.5</v>
      </c>
      <c r="BV25" s="140">
        <v>1.2</v>
      </c>
      <c r="BW25" s="140">
        <v>0</v>
      </c>
      <c r="BX25" s="147">
        <f t="shared" ref="BX25" si="8">BV25/2.5</f>
        <v>0.48</v>
      </c>
      <c r="BY25" s="60" t="s">
        <v>202</v>
      </c>
      <c r="BZ25" s="67" t="s">
        <v>203</v>
      </c>
      <c r="CA25" s="54" t="s">
        <v>208</v>
      </c>
      <c r="CB25" s="61">
        <v>3.9</v>
      </c>
      <c r="CC25" s="55" t="s">
        <v>231</v>
      </c>
      <c r="CD25" s="110" t="s">
        <v>204</v>
      </c>
      <c r="CE25" s="63" t="s">
        <v>205</v>
      </c>
      <c r="CF25" s="111" t="s">
        <v>207</v>
      </c>
      <c r="CG25" s="183">
        <v>0.5</v>
      </c>
      <c r="CH25" s="55" t="s">
        <v>257</v>
      </c>
      <c r="CI25" s="110" t="s">
        <v>206</v>
      </c>
      <c r="CJ25" s="112" t="s">
        <v>205</v>
      </c>
      <c r="CK25" s="111" t="s">
        <v>209</v>
      </c>
      <c r="CL25" s="186">
        <v>1.2</v>
      </c>
      <c r="CM25" s="188" t="s">
        <v>231</v>
      </c>
      <c r="CN25" s="115" t="s">
        <v>206</v>
      </c>
      <c r="CO25" s="121" t="s">
        <v>205</v>
      </c>
      <c r="CP25" s="64" t="s">
        <v>295</v>
      </c>
      <c r="CQ25" s="167">
        <v>150000</v>
      </c>
      <c r="CR25" s="114" t="s">
        <v>296</v>
      </c>
      <c r="CS25" s="5" t="s">
        <v>325</v>
      </c>
      <c r="CT25" s="121" t="s">
        <v>205</v>
      </c>
      <c r="CU25" s="6"/>
      <c r="CV25" s="77"/>
      <c r="CW25" s="5"/>
      <c r="CX25" s="5"/>
      <c r="CY25" s="13"/>
      <c r="CZ25" s="6"/>
      <c r="DA25" s="77"/>
      <c r="DB25" s="5"/>
      <c r="DC25" s="5"/>
      <c r="DD25" s="13"/>
      <c r="DE25" s="6"/>
      <c r="DF25" s="77"/>
      <c r="DG25" s="5"/>
      <c r="DH25" s="5"/>
      <c r="DI25" s="17"/>
      <c r="DJ25" s="171" t="s">
        <v>198</v>
      </c>
      <c r="DK25" s="18"/>
      <c r="DL25" s="5"/>
      <c r="DM25" s="5"/>
      <c r="DN25" s="13"/>
      <c r="DO25" s="5"/>
      <c r="DP25" s="5"/>
      <c r="DQ25" s="5"/>
      <c r="DR25" s="13"/>
      <c r="DS25" s="5"/>
      <c r="DT25" s="5"/>
      <c r="DU25" s="5"/>
      <c r="DV25" s="13"/>
      <c r="DW25" s="5"/>
      <c r="DX25" s="5"/>
      <c r="DY25" s="5"/>
      <c r="DZ25" s="13"/>
      <c r="EA25" s="5"/>
      <c r="EB25" s="5"/>
      <c r="EC25" s="5"/>
      <c r="ED25" s="13"/>
      <c r="EE25" s="5"/>
      <c r="EF25" s="5"/>
      <c r="EG25" s="17"/>
      <c r="EH25" s="10"/>
      <c r="EI25" s="6" t="s">
        <v>297</v>
      </c>
      <c r="EJ25" s="14" t="s">
        <v>298</v>
      </c>
      <c r="EK25" s="67" t="s">
        <v>299</v>
      </c>
      <c r="EL25" s="117" t="s">
        <v>214</v>
      </c>
      <c r="EM25" s="144" t="s">
        <v>210</v>
      </c>
      <c r="EN25" s="56" t="s">
        <v>300</v>
      </c>
      <c r="EO25" s="145" t="s">
        <v>309</v>
      </c>
      <c r="EP25" s="5"/>
      <c r="EQ25" s="146" t="s">
        <v>310</v>
      </c>
      <c r="ER25" s="138"/>
      <c r="ES25" s="6"/>
      <c r="ET25" s="5"/>
      <c r="EU25" s="5"/>
      <c r="EV25" s="5"/>
      <c r="EW25" s="5"/>
      <c r="EX25" s="8"/>
      <c r="EY25" s="6"/>
      <c r="EZ25" s="5"/>
      <c r="FA25" s="5"/>
      <c r="FB25" s="8"/>
      <c r="FC25" s="117" t="s">
        <v>303</v>
      </c>
      <c r="FD25" s="19" t="s">
        <v>198</v>
      </c>
      <c r="FE25" s="19" t="s">
        <v>210</v>
      </c>
      <c r="FF25" s="119" t="s">
        <v>217</v>
      </c>
      <c r="FG25" s="110" t="s">
        <v>218</v>
      </c>
      <c r="FH25" s="123" t="s">
        <v>219</v>
      </c>
      <c r="FI25" s="59"/>
      <c r="FJ25" s="58"/>
      <c r="FK25" s="6"/>
      <c r="FL25" s="10"/>
      <c r="FM25" s="6"/>
      <c r="FN25" s="8"/>
      <c r="FO25" s="126" t="s">
        <v>221</v>
      </c>
      <c r="FP25" s="120" t="s">
        <v>222</v>
      </c>
      <c r="FQ25" s="59" t="s">
        <v>223</v>
      </c>
      <c r="FR25" s="55"/>
      <c r="FS25" s="56"/>
      <c r="FT25" s="9" t="s">
        <v>287</v>
      </c>
      <c r="FU25" s="168">
        <v>90</v>
      </c>
      <c r="FV25" s="133" t="s">
        <v>469</v>
      </c>
      <c r="FW25" s="5" t="s">
        <v>283</v>
      </c>
      <c r="FX25" s="248" t="s">
        <v>469</v>
      </c>
      <c r="FY25" s="6" t="s">
        <v>318</v>
      </c>
      <c r="FZ25" s="168">
        <v>80</v>
      </c>
      <c r="GA25" s="5" t="s">
        <v>470</v>
      </c>
      <c r="GB25" s="5" t="s">
        <v>291</v>
      </c>
      <c r="GC25" s="192" t="s">
        <v>470</v>
      </c>
      <c r="GD25" s="6" t="s">
        <v>304</v>
      </c>
      <c r="GE25" s="4">
        <v>70</v>
      </c>
      <c r="GF25" s="5" t="s">
        <v>470</v>
      </c>
      <c r="GG25" s="5" t="s">
        <v>283</v>
      </c>
      <c r="GH25" s="170" t="s">
        <v>470</v>
      </c>
      <c r="GI25" s="135"/>
      <c r="GJ25" s="168"/>
      <c r="GK25" s="169"/>
      <c r="GL25" s="5"/>
      <c r="GM25" s="170"/>
      <c r="GN25" s="169"/>
      <c r="GO25" s="168"/>
      <c r="GP25" s="169"/>
      <c r="GQ25" s="5"/>
      <c r="GR25" s="170"/>
      <c r="GS25" s="6"/>
      <c r="GT25" s="168"/>
      <c r="GU25" s="5"/>
      <c r="GV25" s="5"/>
      <c r="GW25" s="170"/>
      <c r="GX25" s="6"/>
      <c r="GY25" s="168"/>
      <c r="GZ25" s="5"/>
      <c r="HA25" s="5"/>
      <c r="HB25" s="170"/>
      <c r="HC25" s="6"/>
      <c r="HD25" s="147"/>
      <c r="HE25" s="79"/>
      <c r="HF25" s="5"/>
      <c r="HG25" s="196"/>
      <c r="HH25" s="6"/>
      <c r="HI25" s="147"/>
      <c r="HJ25" s="5"/>
      <c r="HK25" s="5"/>
      <c r="HL25" s="196"/>
      <c r="HM25" s="6"/>
      <c r="HN25" s="77"/>
      <c r="HO25" s="5"/>
      <c r="HP25" s="5"/>
      <c r="HQ25" s="196"/>
      <c r="HR25" s="6"/>
      <c r="HS25" s="147"/>
      <c r="HT25" s="5"/>
      <c r="HU25" s="5"/>
      <c r="HV25" s="196"/>
      <c r="HW25" s="6"/>
      <c r="HX25" s="4"/>
      <c r="HY25" s="5"/>
      <c r="HZ25" s="5"/>
      <c r="IA25" s="196"/>
      <c r="IB25" s="6"/>
      <c r="IC25" s="5"/>
      <c r="ID25" s="5"/>
      <c r="IE25" s="5"/>
      <c r="IF25" s="196"/>
      <c r="IG25" s="6"/>
      <c r="IH25" s="5"/>
      <c r="II25" s="5"/>
      <c r="IJ25" s="5"/>
      <c r="IK25" s="196"/>
      <c r="IL25" s="6"/>
      <c r="IM25" s="5"/>
      <c r="IN25" s="5"/>
      <c r="IO25" s="5"/>
      <c r="IP25" s="196"/>
      <c r="IQ25" s="6"/>
      <c r="IR25" s="5"/>
      <c r="IS25" s="5"/>
      <c r="IT25" s="5"/>
      <c r="IU25" s="196"/>
      <c r="IV25" s="6"/>
      <c r="IW25" s="5"/>
      <c r="IX25" s="5"/>
      <c r="IY25" s="5"/>
      <c r="IZ25" s="196"/>
      <c r="JA25" s="6"/>
      <c r="JB25" s="5"/>
      <c r="JC25" s="5"/>
      <c r="JD25" s="5"/>
      <c r="JE25" s="196"/>
      <c r="JF25" s="6"/>
      <c r="JG25" s="5"/>
      <c r="JH25" s="5"/>
      <c r="JI25" s="5"/>
      <c r="JJ25" s="196"/>
      <c r="JK25" s="6"/>
      <c r="JL25" s="5"/>
      <c r="JM25" s="5"/>
      <c r="JN25" s="5"/>
      <c r="JO25" s="196"/>
    </row>
    <row r="26" spans="1:275" ht="17.25" customHeight="1">
      <c r="A26" s="12">
        <v>12820</v>
      </c>
      <c r="B26" s="5" t="s">
        <v>340</v>
      </c>
      <c r="C26" s="137"/>
      <c r="D26" s="142"/>
      <c r="E26" s="130"/>
      <c r="F26" s="9"/>
      <c r="G26" s="55"/>
      <c r="H26" s="55"/>
      <c r="I26" s="58"/>
      <c r="J26" s="55"/>
      <c r="K26" s="55"/>
      <c r="L26" s="57"/>
      <c r="M26" s="55"/>
      <c r="N26" s="55"/>
      <c r="O26" s="58"/>
      <c r="P26" s="7"/>
      <c r="Q26" s="5"/>
      <c r="R26" s="8"/>
      <c r="S26" s="9"/>
      <c r="T26" s="5" t="s">
        <v>202</v>
      </c>
      <c r="U26" s="5" t="s">
        <v>341</v>
      </c>
      <c r="V26" s="5" t="s">
        <v>342</v>
      </c>
      <c r="W26" s="55"/>
      <c r="X26" s="56"/>
      <c r="Y26" s="54" t="s">
        <v>198</v>
      </c>
      <c r="Z26" s="55" t="s">
        <v>198</v>
      </c>
      <c r="AA26" s="55" t="s">
        <v>198</v>
      </c>
      <c r="AB26" s="55" t="s">
        <v>198</v>
      </c>
      <c r="AC26" s="55" t="s">
        <v>198</v>
      </c>
      <c r="AD26" s="55" t="s">
        <v>198</v>
      </c>
      <c r="AE26" s="55" t="s">
        <v>198</v>
      </c>
      <c r="AF26" s="55" t="s">
        <v>210</v>
      </c>
      <c r="AG26" s="55" t="s">
        <v>210</v>
      </c>
      <c r="AH26" s="55" t="s">
        <v>198</v>
      </c>
      <c r="AI26" s="55" t="s">
        <v>198</v>
      </c>
      <c r="AJ26" s="55" t="s">
        <v>198</v>
      </c>
      <c r="AK26" s="55" t="s">
        <v>210</v>
      </c>
      <c r="AL26" s="58"/>
      <c r="AM26" s="59" t="s">
        <v>198</v>
      </c>
      <c r="AN26" s="55" t="s">
        <v>198</v>
      </c>
      <c r="AO26" s="55" t="s">
        <v>198</v>
      </c>
      <c r="AP26" s="55" t="s">
        <v>198</v>
      </c>
      <c r="AQ26" s="55" t="s">
        <v>198</v>
      </c>
      <c r="AR26" s="55" t="s">
        <v>198</v>
      </c>
      <c r="AS26" s="55" t="s">
        <v>198</v>
      </c>
      <c r="AT26" s="55" t="s">
        <v>198</v>
      </c>
      <c r="AU26" s="55" t="s">
        <v>198</v>
      </c>
      <c r="AV26" s="56"/>
      <c r="AW26" s="55" t="s">
        <v>281</v>
      </c>
      <c r="AX26" s="5" t="s">
        <v>338</v>
      </c>
      <c r="AY26" s="5" t="s">
        <v>248</v>
      </c>
      <c r="AZ26" s="55" t="s">
        <v>322</v>
      </c>
      <c r="BA26" s="5"/>
      <c r="BB26" s="5"/>
      <c r="BC26" s="5"/>
      <c r="BD26" s="5"/>
      <c r="BE26" s="5"/>
      <c r="BF26" s="8"/>
      <c r="BG26" s="6" t="s">
        <v>197</v>
      </c>
      <c r="BH26" s="5" t="s">
        <v>199</v>
      </c>
      <c r="BI26" s="5" t="s">
        <v>199</v>
      </c>
      <c r="BJ26" s="5" t="s">
        <v>294</v>
      </c>
      <c r="BK26" s="5" t="s">
        <v>198</v>
      </c>
      <c r="BL26" s="5" t="s">
        <v>198</v>
      </c>
      <c r="BM26" s="8" t="s">
        <v>198</v>
      </c>
      <c r="BN26" s="6"/>
      <c r="BO26" s="14">
        <v>2460</v>
      </c>
      <c r="BP26" s="14">
        <v>599</v>
      </c>
      <c r="BQ26" s="71">
        <v>65</v>
      </c>
      <c r="BR26" s="140">
        <v>8</v>
      </c>
      <c r="BS26" s="140">
        <v>2</v>
      </c>
      <c r="BT26" s="140">
        <v>1.6</v>
      </c>
      <c r="BU26" s="140">
        <v>1.3</v>
      </c>
      <c r="BV26" s="140">
        <v>1.7</v>
      </c>
      <c r="BW26" s="140">
        <v>0</v>
      </c>
      <c r="BX26" s="147">
        <f t="shared" ref="BX26" si="9">BV26/2.5</f>
        <v>0.67999999999999994</v>
      </c>
      <c r="BY26" s="60" t="s">
        <v>202</v>
      </c>
      <c r="BZ26" s="67" t="s">
        <v>203</v>
      </c>
      <c r="CA26" s="54" t="s">
        <v>208</v>
      </c>
      <c r="CB26" s="61">
        <v>3.8</v>
      </c>
      <c r="CC26" s="55" t="s">
        <v>256</v>
      </c>
      <c r="CD26" s="110" t="s">
        <v>204</v>
      </c>
      <c r="CE26" s="63" t="s">
        <v>205</v>
      </c>
      <c r="CF26" s="111" t="s">
        <v>207</v>
      </c>
      <c r="CG26" s="183">
        <v>0.5</v>
      </c>
      <c r="CH26" s="55" t="s">
        <v>256</v>
      </c>
      <c r="CI26" s="110" t="s">
        <v>206</v>
      </c>
      <c r="CJ26" s="112" t="s">
        <v>205</v>
      </c>
      <c r="CK26" s="111" t="s">
        <v>209</v>
      </c>
      <c r="CL26" s="186">
        <v>1.7</v>
      </c>
      <c r="CM26" s="188" t="s">
        <v>231</v>
      </c>
      <c r="CN26" s="115" t="s">
        <v>206</v>
      </c>
      <c r="CO26" s="121" t="s">
        <v>205</v>
      </c>
      <c r="CP26" s="64" t="s">
        <v>295</v>
      </c>
      <c r="CQ26" s="167" t="s">
        <v>343</v>
      </c>
      <c r="CR26" s="114"/>
      <c r="CS26" s="5" t="s">
        <v>325</v>
      </c>
      <c r="CT26" s="121" t="s">
        <v>205</v>
      </c>
      <c r="CU26" s="6"/>
      <c r="CV26" s="77"/>
      <c r="CW26" s="5"/>
      <c r="CX26" s="5"/>
      <c r="CY26" s="13"/>
      <c r="CZ26" s="6"/>
      <c r="DA26" s="77"/>
      <c r="DB26" s="5"/>
      <c r="DC26" s="5"/>
      <c r="DD26" s="13"/>
      <c r="DE26" s="6"/>
      <c r="DF26" s="77"/>
      <c r="DG26" s="5"/>
      <c r="DH26" s="5"/>
      <c r="DI26" s="17"/>
      <c r="DJ26" s="172" t="s">
        <v>198</v>
      </c>
      <c r="DK26" s="18" t="s">
        <v>328</v>
      </c>
      <c r="DL26" s="5" t="s">
        <v>344</v>
      </c>
      <c r="DM26" s="5" t="s">
        <v>329</v>
      </c>
      <c r="DN26" s="13" t="s">
        <v>330</v>
      </c>
      <c r="DO26" s="5" t="s">
        <v>331</v>
      </c>
      <c r="DP26" s="5" t="s">
        <v>345</v>
      </c>
      <c r="DQ26" s="5" t="s">
        <v>329</v>
      </c>
      <c r="DR26" s="13" t="s">
        <v>330</v>
      </c>
      <c r="DS26" s="5" t="s">
        <v>332</v>
      </c>
      <c r="DT26" s="5" t="s">
        <v>346</v>
      </c>
      <c r="DU26" s="5" t="s">
        <v>329</v>
      </c>
      <c r="DV26" s="13" t="s">
        <v>330</v>
      </c>
      <c r="DW26" s="5" t="s">
        <v>333</v>
      </c>
      <c r="DX26" s="5" t="s">
        <v>346</v>
      </c>
      <c r="DY26" s="5" t="s">
        <v>329</v>
      </c>
      <c r="DZ26" s="13" t="s">
        <v>330</v>
      </c>
      <c r="EA26" s="5" t="s">
        <v>334</v>
      </c>
      <c r="EB26" s="5" t="s">
        <v>347</v>
      </c>
      <c r="EC26" s="5" t="s">
        <v>329</v>
      </c>
      <c r="ED26" s="13" t="s">
        <v>330</v>
      </c>
      <c r="EE26" s="5" t="s">
        <v>335</v>
      </c>
      <c r="EF26" s="5" t="s">
        <v>336</v>
      </c>
      <c r="EG26" s="5" t="s">
        <v>329</v>
      </c>
      <c r="EH26" s="13" t="s">
        <v>337</v>
      </c>
      <c r="EI26" s="6" t="s">
        <v>348</v>
      </c>
      <c r="EJ26" s="14" t="s">
        <v>349</v>
      </c>
      <c r="EK26" s="67" t="s">
        <v>326</v>
      </c>
      <c r="EL26" s="117" t="s">
        <v>214</v>
      </c>
      <c r="EM26" s="144" t="s">
        <v>210</v>
      </c>
      <c r="EN26" s="56" t="s">
        <v>300</v>
      </c>
      <c r="EO26" s="145" t="s">
        <v>309</v>
      </c>
      <c r="EP26" s="5"/>
      <c r="EQ26" s="146" t="s">
        <v>310</v>
      </c>
      <c r="ER26" s="138"/>
      <c r="ES26" s="6"/>
      <c r="ET26" s="5"/>
      <c r="EU26" s="5"/>
      <c r="EV26" s="5"/>
      <c r="EW26" s="5"/>
      <c r="EX26" s="8"/>
      <c r="EY26" s="6"/>
      <c r="EZ26" s="5"/>
      <c r="FA26" s="5"/>
      <c r="FB26" s="8"/>
      <c r="FC26" s="117" t="s">
        <v>303</v>
      </c>
      <c r="FD26" s="19" t="s">
        <v>198</v>
      </c>
      <c r="FE26" s="19" t="s">
        <v>210</v>
      </c>
      <c r="FF26" s="119" t="s">
        <v>217</v>
      </c>
      <c r="FG26" s="110" t="s">
        <v>218</v>
      </c>
      <c r="FH26" s="123" t="s">
        <v>219</v>
      </c>
      <c r="FI26" s="59"/>
      <c r="FJ26" s="58"/>
      <c r="FK26" s="6"/>
      <c r="FL26" s="10"/>
      <c r="FM26" s="6"/>
      <c r="FN26" s="8"/>
      <c r="FO26" s="126" t="s">
        <v>221</v>
      </c>
      <c r="FP26" s="120" t="s">
        <v>222</v>
      </c>
      <c r="FQ26" s="59" t="s">
        <v>223</v>
      </c>
      <c r="FR26" s="55"/>
      <c r="FS26" s="56"/>
      <c r="FT26" s="9" t="s">
        <v>287</v>
      </c>
      <c r="FU26" s="168">
        <v>90</v>
      </c>
      <c r="FV26" s="133" t="s">
        <v>469</v>
      </c>
      <c r="FW26" s="5" t="s">
        <v>283</v>
      </c>
      <c r="FX26" s="248" t="s">
        <v>469</v>
      </c>
      <c r="FY26" s="6" t="s">
        <v>228</v>
      </c>
      <c r="FZ26" s="168">
        <v>80</v>
      </c>
      <c r="GA26" s="5" t="s">
        <v>470</v>
      </c>
      <c r="GB26" s="5" t="s">
        <v>291</v>
      </c>
      <c r="GC26" s="192" t="s">
        <v>470</v>
      </c>
      <c r="GD26" s="6" t="s">
        <v>246</v>
      </c>
      <c r="GE26" s="4">
        <v>70</v>
      </c>
      <c r="GF26" s="5" t="s">
        <v>470</v>
      </c>
      <c r="GG26" s="5"/>
      <c r="GH26" s="170" t="s">
        <v>470</v>
      </c>
      <c r="GI26" s="135"/>
      <c r="GJ26" s="168"/>
      <c r="GK26" s="169"/>
      <c r="GL26" s="5"/>
      <c r="GM26" s="170"/>
      <c r="GN26" s="169"/>
      <c r="GO26" s="168"/>
      <c r="GP26" s="169"/>
      <c r="GQ26" s="5"/>
      <c r="GR26" s="170"/>
      <c r="GS26" s="6"/>
      <c r="GT26" s="168"/>
      <c r="GU26" s="5"/>
      <c r="GV26" s="5"/>
      <c r="GW26" s="170"/>
      <c r="GX26" s="6"/>
      <c r="GY26" s="168"/>
      <c r="GZ26" s="5"/>
      <c r="HA26" s="5"/>
      <c r="HB26" s="170"/>
      <c r="HC26" s="6"/>
      <c r="HD26" s="147"/>
      <c r="HE26" s="79"/>
      <c r="HF26" s="5"/>
      <c r="HG26" s="196"/>
      <c r="HH26" s="6"/>
      <c r="HI26" s="147"/>
      <c r="HJ26" s="5"/>
      <c r="HK26" s="5"/>
      <c r="HL26" s="196"/>
      <c r="HM26" s="6"/>
      <c r="HN26" s="77"/>
      <c r="HO26" s="5"/>
      <c r="HP26" s="5"/>
      <c r="HQ26" s="196"/>
      <c r="HR26" s="6"/>
      <c r="HS26" s="147"/>
      <c r="HT26" s="5"/>
      <c r="HU26" s="5"/>
      <c r="HV26" s="196"/>
      <c r="HW26" s="6"/>
      <c r="HX26" s="4"/>
      <c r="HY26" s="5"/>
      <c r="HZ26" s="5"/>
      <c r="IA26" s="196"/>
      <c r="IB26" s="6"/>
      <c r="IC26" s="5"/>
      <c r="ID26" s="5"/>
      <c r="IE26" s="5"/>
      <c r="IF26" s="196"/>
      <c r="IG26" s="6"/>
      <c r="IH26" s="5"/>
      <c r="II26" s="5"/>
      <c r="IJ26" s="5"/>
      <c r="IK26" s="196"/>
      <c r="IL26" s="6"/>
      <c r="IM26" s="5"/>
      <c r="IN26" s="5"/>
      <c r="IO26" s="5"/>
      <c r="IP26" s="196"/>
      <c r="IQ26" s="6"/>
      <c r="IR26" s="5"/>
      <c r="IS26" s="5"/>
      <c r="IT26" s="5"/>
      <c r="IU26" s="196"/>
      <c r="IV26" s="6"/>
      <c r="IW26" s="5"/>
      <c r="IX26" s="5"/>
      <c r="IY26" s="5"/>
      <c r="IZ26" s="196"/>
      <c r="JA26" s="6"/>
      <c r="JB26" s="5"/>
      <c r="JC26" s="5"/>
      <c r="JD26" s="5"/>
      <c r="JE26" s="196"/>
      <c r="JF26" s="6"/>
      <c r="JG26" s="5"/>
      <c r="JH26" s="5"/>
      <c r="JI26" s="5"/>
      <c r="JJ26" s="196"/>
      <c r="JK26" s="6"/>
      <c r="JL26" s="5"/>
      <c r="JM26" s="5"/>
      <c r="JN26" s="5"/>
      <c r="JO26" s="196"/>
    </row>
    <row r="27" spans="1:275" ht="17.25" customHeight="1">
      <c r="A27" s="12">
        <v>12807</v>
      </c>
      <c r="B27" s="5" t="s">
        <v>350</v>
      </c>
      <c r="C27" s="137"/>
      <c r="D27" s="142"/>
      <c r="E27" s="130"/>
      <c r="F27" s="9"/>
      <c r="G27" s="55"/>
      <c r="H27" s="55"/>
      <c r="I27" s="58"/>
      <c r="J27" s="55"/>
      <c r="K27" s="55"/>
      <c r="L27" s="57"/>
      <c r="M27" s="55"/>
      <c r="N27" s="55"/>
      <c r="O27" s="58"/>
      <c r="P27" s="7"/>
      <c r="Q27" s="5"/>
      <c r="R27" s="8"/>
      <c r="S27" s="9"/>
      <c r="T27" s="5" t="s">
        <v>202</v>
      </c>
      <c r="U27" s="5" t="s">
        <v>341</v>
      </c>
      <c r="V27" s="5" t="s">
        <v>342</v>
      </c>
      <c r="W27" s="55"/>
      <c r="X27" s="56"/>
      <c r="Y27" s="54" t="s">
        <v>198</v>
      </c>
      <c r="Z27" s="55" t="s">
        <v>198</v>
      </c>
      <c r="AA27" s="55" t="s">
        <v>198</v>
      </c>
      <c r="AB27" s="55" t="s">
        <v>198</v>
      </c>
      <c r="AC27" s="55" t="s">
        <v>198</v>
      </c>
      <c r="AD27" s="55" t="s">
        <v>198</v>
      </c>
      <c r="AE27" s="55" t="s">
        <v>198</v>
      </c>
      <c r="AF27" s="55" t="s">
        <v>210</v>
      </c>
      <c r="AG27" s="55" t="s">
        <v>210</v>
      </c>
      <c r="AH27" s="55" t="s">
        <v>198</v>
      </c>
      <c r="AI27" s="55" t="s">
        <v>198</v>
      </c>
      <c r="AJ27" s="55" t="s">
        <v>198</v>
      </c>
      <c r="AK27" s="55" t="s">
        <v>210</v>
      </c>
      <c r="AL27" s="58"/>
      <c r="AM27" s="59" t="s">
        <v>198</v>
      </c>
      <c r="AN27" s="55" t="s">
        <v>198</v>
      </c>
      <c r="AO27" s="55" t="s">
        <v>198</v>
      </c>
      <c r="AP27" s="55" t="s">
        <v>198</v>
      </c>
      <c r="AQ27" s="55" t="s">
        <v>198</v>
      </c>
      <c r="AR27" s="55" t="s">
        <v>198</v>
      </c>
      <c r="AS27" s="55" t="s">
        <v>198</v>
      </c>
      <c r="AT27" s="55" t="s">
        <v>198</v>
      </c>
      <c r="AU27" s="55" t="s">
        <v>198</v>
      </c>
      <c r="AV27" s="56"/>
      <c r="AW27" s="55" t="s">
        <v>281</v>
      </c>
      <c r="AX27" s="5" t="s">
        <v>338</v>
      </c>
      <c r="AY27" s="5" t="s">
        <v>248</v>
      </c>
      <c r="AZ27" s="55" t="s">
        <v>322</v>
      </c>
      <c r="BA27" s="5"/>
      <c r="BB27" s="5"/>
      <c r="BC27" s="5"/>
      <c r="BD27" s="5"/>
      <c r="BE27" s="5"/>
      <c r="BF27" s="8"/>
      <c r="BG27" s="6" t="s">
        <v>197</v>
      </c>
      <c r="BH27" s="5" t="s">
        <v>199</v>
      </c>
      <c r="BI27" s="5" t="s">
        <v>199</v>
      </c>
      <c r="BJ27" s="5" t="s">
        <v>294</v>
      </c>
      <c r="BK27" s="5" t="s">
        <v>198</v>
      </c>
      <c r="BL27" s="5" t="s">
        <v>198</v>
      </c>
      <c r="BM27" s="8" t="s">
        <v>198</v>
      </c>
      <c r="BN27" s="6"/>
      <c r="BO27" s="14">
        <v>2460</v>
      </c>
      <c r="BP27" s="14">
        <v>599</v>
      </c>
      <c r="BQ27" s="71">
        <v>65</v>
      </c>
      <c r="BR27" s="140">
        <v>8</v>
      </c>
      <c r="BS27" s="140">
        <v>2</v>
      </c>
      <c r="BT27" s="140">
        <v>1.6</v>
      </c>
      <c r="BU27" s="140">
        <v>1.3</v>
      </c>
      <c r="BV27" s="140">
        <v>1.7</v>
      </c>
      <c r="BW27" s="140">
        <v>0</v>
      </c>
      <c r="BX27" s="147">
        <f t="shared" ref="BX27" si="10">BV27/2.5</f>
        <v>0.67999999999999994</v>
      </c>
      <c r="BY27" s="60" t="s">
        <v>202</v>
      </c>
      <c r="BZ27" s="67" t="s">
        <v>203</v>
      </c>
      <c r="CA27" s="54" t="s">
        <v>208</v>
      </c>
      <c r="CB27" s="61">
        <v>3.8</v>
      </c>
      <c r="CC27" s="55" t="s">
        <v>256</v>
      </c>
      <c r="CD27" s="110" t="s">
        <v>204</v>
      </c>
      <c r="CE27" s="63" t="s">
        <v>205</v>
      </c>
      <c r="CF27" s="111" t="s">
        <v>207</v>
      </c>
      <c r="CG27" s="183">
        <v>0.5</v>
      </c>
      <c r="CH27" s="55" t="s">
        <v>256</v>
      </c>
      <c r="CI27" s="110" t="s">
        <v>206</v>
      </c>
      <c r="CJ27" s="112" t="s">
        <v>205</v>
      </c>
      <c r="CK27" s="111" t="s">
        <v>209</v>
      </c>
      <c r="CL27" s="186">
        <v>1.7</v>
      </c>
      <c r="CM27" s="188" t="s">
        <v>231</v>
      </c>
      <c r="CN27" s="115" t="s">
        <v>206</v>
      </c>
      <c r="CO27" s="121" t="s">
        <v>205</v>
      </c>
      <c r="CP27" s="64" t="s">
        <v>295</v>
      </c>
      <c r="CQ27" s="167" t="s">
        <v>343</v>
      </c>
      <c r="CR27" s="114"/>
      <c r="CS27" s="5" t="s">
        <v>325</v>
      </c>
      <c r="CT27" s="121" t="s">
        <v>205</v>
      </c>
      <c r="CU27" s="6"/>
      <c r="CV27" s="77"/>
      <c r="CW27" s="5"/>
      <c r="CX27" s="5"/>
      <c r="CY27" s="13"/>
      <c r="CZ27" s="6"/>
      <c r="DA27" s="77"/>
      <c r="DB27" s="5"/>
      <c r="DC27" s="5"/>
      <c r="DD27" s="13"/>
      <c r="DE27" s="6"/>
      <c r="DF27" s="77"/>
      <c r="DG27" s="5"/>
      <c r="DH27" s="5"/>
      <c r="DI27" s="17"/>
      <c r="DJ27" s="172" t="s">
        <v>198</v>
      </c>
      <c r="DK27" s="18" t="s">
        <v>328</v>
      </c>
      <c r="DL27" s="5" t="s">
        <v>344</v>
      </c>
      <c r="DM27" s="5" t="s">
        <v>329</v>
      </c>
      <c r="DN27" s="13" t="s">
        <v>330</v>
      </c>
      <c r="DO27" s="5" t="s">
        <v>331</v>
      </c>
      <c r="DP27" s="5" t="s">
        <v>345</v>
      </c>
      <c r="DQ27" s="5" t="s">
        <v>329</v>
      </c>
      <c r="DR27" s="13" t="s">
        <v>330</v>
      </c>
      <c r="DS27" s="5" t="s">
        <v>332</v>
      </c>
      <c r="DT27" s="5" t="s">
        <v>346</v>
      </c>
      <c r="DU27" s="5" t="s">
        <v>329</v>
      </c>
      <c r="DV27" s="13" t="s">
        <v>330</v>
      </c>
      <c r="DW27" s="5" t="s">
        <v>333</v>
      </c>
      <c r="DX27" s="5" t="s">
        <v>346</v>
      </c>
      <c r="DY27" s="5" t="s">
        <v>329</v>
      </c>
      <c r="DZ27" s="13" t="s">
        <v>330</v>
      </c>
      <c r="EA27" s="5" t="s">
        <v>334</v>
      </c>
      <c r="EB27" s="5" t="s">
        <v>347</v>
      </c>
      <c r="EC27" s="5" t="s">
        <v>329</v>
      </c>
      <c r="ED27" s="13" t="s">
        <v>330</v>
      </c>
      <c r="EE27" s="5" t="s">
        <v>335</v>
      </c>
      <c r="EF27" s="5" t="s">
        <v>336</v>
      </c>
      <c r="EG27" s="5" t="s">
        <v>329</v>
      </c>
      <c r="EH27" s="13" t="s">
        <v>337</v>
      </c>
      <c r="EI27" s="6" t="s">
        <v>348</v>
      </c>
      <c r="EJ27" s="14" t="s">
        <v>349</v>
      </c>
      <c r="EK27" s="67" t="s">
        <v>326</v>
      </c>
      <c r="EL27" s="117" t="s">
        <v>214</v>
      </c>
      <c r="EM27" s="144" t="s">
        <v>210</v>
      </c>
      <c r="EN27" s="56" t="s">
        <v>300</v>
      </c>
      <c r="EO27" s="145" t="s">
        <v>307</v>
      </c>
      <c r="EP27" s="14"/>
      <c r="EQ27" s="146" t="s">
        <v>306</v>
      </c>
      <c r="ER27" s="138"/>
      <c r="ES27" s="6"/>
      <c r="ET27" s="5"/>
      <c r="EU27" s="5"/>
      <c r="EV27" s="5"/>
      <c r="EW27" s="5"/>
      <c r="EX27" s="8"/>
      <c r="EY27" s="6"/>
      <c r="EZ27" s="5"/>
      <c r="FA27" s="5"/>
      <c r="FB27" s="8"/>
      <c r="FC27" s="117" t="s">
        <v>303</v>
      </c>
      <c r="FD27" s="19" t="s">
        <v>198</v>
      </c>
      <c r="FE27" s="19" t="s">
        <v>210</v>
      </c>
      <c r="FF27" s="119" t="s">
        <v>217</v>
      </c>
      <c r="FG27" s="110" t="s">
        <v>218</v>
      </c>
      <c r="FH27" s="123" t="s">
        <v>219</v>
      </c>
      <c r="FI27" s="59"/>
      <c r="FJ27" s="58"/>
      <c r="FK27" s="6"/>
      <c r="FL27" s="10"/>
      <c r="FM27" s="6"/>
      <c r="FN27" s="8"/>
      <c r="FO27" s="126" t="s">
        <v>221</v>
      </c>
      <c r="FP27" s="120" t="s">
        <v>222</v>
      </c>
      <c r="FQ27" s="59" t="s">
        <v>223</v>
      </c>
      <c r="FR27" s="55"/>
      <c r="FS27" s="56"/>
      <c r="FT27" s="9" t="s">
        <v>287</v>
      </c>
      <c r="FU27" s="168">
        <v>90</v>
      </c>
      <c r="FV27" s="133" t="s">
        <v>469</v>
      </c>
      <c r="FW27" s="5" t="s">
        <v>283</v>
      </c>
      <c r="FX27" s="248" t="s">
        <v>469</v>
      </c>
      <c r="FY27" s="6" t="s">
        <v>228</v>
      </c>
      <c r="FZ27" s="168">
        <v>80</v>
      </c>
      <c r="GA27" s="5" t="s">
        <v>470</v>
      </c>
      <c r="GB27" s="5" t="s">
        <v>291</v>
      </c>
      <c r="GC27" s="192" t="s">
        <v>470</v>
      </c>
      <c r="GD27" s="6" t="s">
        <v>246</v>
      </c>
      <c r="GE27" s="4">
        <v>70</v>
      </c>
      <c r="GF27" s="5" t="s">
        <v>470</v>
      </c>
      <c r="GG27" s="5"/>
      <c r="GH27" s="170" t="s">
        <v>470</v>
      </c>
      <c r="GI27" s="135"/>
      <c r="GJ27" s="168"/>
      <c r="GK27" s="169"/>
      <c r="GL27" s="5"/>
      <c r="GM27" s="170"/>
      <c r="GN27" s="169"/>
      <c r="GO27" s="168"/>
      <c r="GP27" s="169"/>
      <c r="GQ27" s="5"/>
      <c r="GR27" s="170"/>
      <c r="GS27" s="6"/>
      <c r="GT27" s="168"/>
      <c r="GU27" s="5"/>
      <c r="GV27" s="5"/>
      <c r="GW27" s="170"/>
      <c r="GX27" s="6"/>
      <c r="GY27" s="168"/>
      <c r="GZ27" s="5"/>
      <c r="HA27" s="5"/>
      <c r="HB27" s="170"/>
      <c r="HC27" s="6"/>
      <c r="HD27" s="147"/>
      <c r="HE27" s="79"/>
      <c r="HF27" s="5"/>
      <c r="HG27" s="196"/>
      <c r="HH27" s="6"/>
      <c r="HI27" s="147"/>
      <c r="HJ27" s="5"/>
      <c r="HK27" s="5"/>
      <c r="HL27" s="196"/>
      <c r="HM27" s="6"/>
      <c r="HN27" s="77"/>
      <c r="HO27" s="5"/>
      <c r="HP27" s="5"/>
      <c r="HQ27" s="196"/>
      <c r="HR27" s="6"/>
      <c r="HS27" s="147"/>
      <c r="HT27" s="5"/>
      <c r="HU27" s="5"/>
      <c r="HV27" s="196"/>
      <c r="HW27" s="6"/>
      <c r="HX27" s="4"/>
      <c r="HY27" s="5"/>
      <c r="HZ27" s="5"/>
      <c r="IA27" s="196"/>
      <c r="IB27" s="6"/>
      <c r="IC27" s="5"/>
      <c r="ID27" s="5"/>
      <c r="IE27" s="5"/>
      <c r="IF27" s="196"/>
      <c r="IG27" s="6"/>
      <c r="IH27" s="5"/>
      <c r="II27" s="5"/>
      <c r="IJ27" s="5"/>
      <c r="IK27" s="196"/>
      <c r="IL27" s="6"/>
      <c r="IM27" s="5"/>
      <c r="IN27" s="5"/>
      <c r="IO27" s="5"/>
      <c r="IP27" s="196"/>
      <c r="IQ27" s="6"/>
      <c r="IR27" s="5"/>
      <c r="IS27" s="5"/>
      <c r="IT27" s="5"/>
      <c r="IU27" s="196"/>
      <c r="IV27" s="6"/>
      <c r="IW27" s="5"/>
      <c r="IX27" s="5"/>
      <c r="IY27" s="5"/>
      <c r="IZ27" s="196"/>
      <c r="JA27" s="6"/>
      <c r="JB27" s="5"/>
      <c r="JC27" s="5"/>
      <c r="JD27" s="5"/>
      <c r="JE27" s="196"/>
      <c r="JF27" s="6"/>
      <c r="JG27" s="5"/>
      <c r="JH27" s="5"/>
      <c r="JI27" s="5"/>
      <c r="JJ27" s="196"/>
      <c r="JK27" s="6"/>
      <c r="JL27" s="5"/>
      <c r="JM27" s="5"/>
      <c r="JN27" s="5"/>
      <c r="JO27" s="196"/>
    </row>
    <row r="28" spans="1:275" ht="17.25" customHeight="1">
      <c r="A28" s="12">
        <v>12778</v>
      </c>
      <c r="B28" s="5" t="s">
        <v>356</v>
      </c>
      <c r="C28" s="137"/>
      <c r="D28" s="142"/>
      <c r="E28" s="130"/>
      <c r="F28" s="9"/>
      <c r="G28" s="55"/>
      <c r="H28" s="55"/>
      <c r="I28" s="58"/>
      <c r="J28" s="55"/>
      <c r="K28" s="55"/>
      <c r="L28" s="57"/>
      <c r="M28" s="55"/>
      <c r="N28" s="55"/>
      <c r="O28" s="58"/>
      <c r="P28" s="7"/>
      <c r="Q28" s="5"/>
      <c r="R28" s="8"/>
      <c r="S28" s="9"/>
      <c r="T28" s="5" t="s">
        <v>202</v>
      </c>
      <c r="U28" s="5" t="s">
        <v>351</v>
      </c>
      <c r="V28" s="5" t="s">
        <v>352</v>
      </c>
      <c r="W28" s="55"/>
      <c r="X28" s="56"/>
      <c r="Y28" s="54" t="s">
        <v>198</v>
      </c>
      <c r="Z28" s="55" t="s">
        <v>198</v>
      </c>
      <c r="AA28" s="55" t="s">
        <v>198</v>
      </c>
      <c r="AB28" s="55" t="s">
        <v>198</v>
      </c>
      <c r="AC28" s="55" t="s">
        <v>198</v>
      </c>
      <c r="AD28" s="55" t="s">
        <v>198</v>
      </c>
      <c r="AE28" s="55" t="s">
        <v>198</v>
      </c>
      <c r="AF28" s="55" t="s">
        <v>198</v>
      </c>
      <c r="AG28" s="55" t="s">
        <v>198</v>
      </c>
      <c r="AH28" s="55" t="s">
        <v>198</v>
      </c>
      <c r="AI28" s="55" t="s">
        <v>198</v>
      </c>
      <c r="AJ28" s="55" t="s">
        <v>198</v>
      </c>
      <c r="AK28" s="55" t="s">
        <v>198</v>
      </c>
      <c r="AL28" s="58"/>
      <c r="AM28" s="59" t="s">
        <v>198</v>
      </c>
      <c r="AN28" s="55" t="s">
        <v>198</v>
      </c>
      <c r="AO28" s="55" t="s">
        <v>198</v>
      </c>
      <c r="AP28" s="55" t="s">
        <v>198</v>
      </c>
      <c r="AQ28" s="55" t="s">
        <v>198</v>
      </c>
      <c r="AR28" s="55" t="s">
        <v>198</v>
      </c>
      <c r="AS28" s="55" t="s">
        <v>198</v>
      </c>
      <c r="AT28" s="55" t="s">
        <v>198</v>
      </c>
      <c r="AU28" s="55" t="s">
        <v>198</v>
      </c>
      <c r="AV28" s="56"/>
      <c r="AW28" s="55"/>
      <c r="AX28" s="5"/>
      <c r="AY28" s="5"/>
      <c r="AZ28" s="55"/>
      <c r="BA28" s="5"/>
      <c r="BB28" s="5"/>
      <c r="BC28" s="5"/>
      <c r="BD28" s="5"/>
      <c r="BE28" s="5"/>
      <c r="BF28" s="8"/>
      <c r="BG28" s="6" t="s">
        <v>197</v>
      </c>
      <c r="BH28" s="5" t="s">
        <v>199</v>
      </c>
      <c r="BI28" s="5" t="s">
        <v>199</v>
      </c>
      <c r="BJ28" s="5" t="s">
        <v>200</v>
      </c>
      <c r="BK28" s="5" t="s">
        <v>198</v>
      </c>
      <c r="BL28" s="5" t="s">
        <v>198</v>
      </c>
      <c r="BM28" s="8" t="s">
        <v>198</v>
      </c>
      <c r="BN28" s="6"/>
      <c r="BO28" s="14">
        <v>560</v>
      </c>
      <c r="BP28" s="14">
        <v>131</v>
      </c>
      <c r="BQ28" s="71" t="s">
        <v>201</v>
      </c>
      <c r="BR28" s="140">
        <v>0</v>
      </c>
      <c r="BS28" s="140">
        <v>30</v>
      </c>
      <c r="BT28" s="140">
        <v>21</v>
      </c>
      <c r="BU28" s="140">
        <v>1.6</v>
      </c>
      <c r="BV28" s="140">
        <v>3</v>
      </c>
      <c r="BW28" s="140">
        <v>0.7</v>
      </c>
      <c r="BX28" s="147">
        <f t="shared" ref="BX28" si="11">BV28/2.5</f>
        <v>1.2</v>
      </c>
      <c r="BY28" s="60" t="s">
        <v>202</v>
      </c>
      <c r="BZ28" s="67" t="s">
        <v>203</v>
      </c>
      <c r="CA28" s="54" t="s">
        <v>208</v>
      </c>
      <c r="CB28" s="61">
        <v>3.7</v>
      </c>
      <c r="CC28" s="55" t="s">
        <v>231</v>
      </c>
      <c r="CD28" s="110" t="s">
        <v>204</v>
      </c>
      <c r="CE28" s="63" t="s">
        <v>205</v>
      </c>
      <c r="CF28" s="111" t="s">
        <v>207</v>
      </c>
      <c r="CG28" s="183">
        <v>1.5</v>
      </c>
      <c r="CH28" s="55" t="s">
        <v>256</v>
      </c>
      <c r="CI28" s="110" t="s">
        <v>206</v>
      </c>
      <c r="CJ28" s="112" t="s">
        <v>205</v>
      </c>
      <c r="CK28" s="111" t="s">
        <v>209</v>
      </c>
      <c r="CL28" s="186">
        <v>3</v>
      </c>
      <c r="CM28" s="188" t="s">
        <v>231</v>
      </c>
      <c r="CN28" s="115" t="s">
        <v>206</v>
      </c>
      <c r="CO28" s="121" t="s">
        <v>205</v>
      </c>
      <c r="CP28" s="64" t="s">
        <v>295</v>
      </c>
      <c r="CQ28" s="167">
        <v>55000</v>
      </c>
      <c r="CR28" s="114" t="s">
        <v>323</v>
      </c>
      <c r="CS28" s="5" t="s">
        <v>325</v>
      </c>
      <c r="CT28" s="121" t="s">
        <v>205</v>
      </c>
      <c r="CU28" s="6"/>
      <c r="CV28" s="77"/>
      <c r="CW28" s="5"/>
      <c r="CX28" s="5"/>
      <c r="CY28" s="13"/>
      <c r="CZ28" s="6"/>
      <c r="DA28" s="77"/>
      <c r="DB28" s="5"/>
      <c r="DC28" s="5"/>
      <c r="DD28" s="13"/>
      <c r="DE28" s="6"/>
      <c r="DF28" s="77"/>
      <c r="DG28" s="5"/>
      <c r="DH28" s="5"/>
      <c r="DI28" s="17"/>
      <c r="DJ28" s="172" t="s">
        <v>210</v>
      </c>
      <c r="DK28" s="18"/>
      <c r="DL28" s="5"/>
      <c r="DM28" s="5"/>
      <c r="DN28" s="13"/>
      <c r="DO28" s="5"/>
      <c r="DP28" s="5"/>
      <c r="DQ28" s="5"/>
      <c r="DR28" s="13"/>
      <c r="DS28" s="5"/>
      <c r="DT28" s="5"/>
      <c r="DU28" s="5"/>
      <c r="DV28" s="13"/>
      <c r="DW28" s="5"/>
      <c r="DX28" s="5"/>
      <c r="DY28" s="5"/>
      <c r="DZ28" s="13"/>
      <c r="EA28" s="5"/>
      <c r="EB28" s="5"/>
      <c r="EC28" s="5"/>
      <c r="ED28" s="13"/>
      <c r="EE28" s="5"/>
      <c r="EF28" s="5"/>
      <c r="EG28" s="5"/>
      <c r="EH28" s="13"/>
      <c r="EI28" s="6" t="s">
        <v>353</v>
      </c>
      <c r="EJ28" s="14" t="s">
        <v>354</v>
      </c>
      <c r="EK28" s="67" t="s">
        <v>355</v>
      </c>
      <c r="EL28" s="117" t="s">
        <v>214</v>
      </c>
      <c r="EM28" s="144" t="s">
        <v>210</v>
      </c>
      <c r="EN28" s="56" t="s">
        <v>224</v>
      </c>
      <c r="EO28" s="145" t="s">
        <v>307</v>
      </c>
      <c r="EP28" s="14"/>
      <c r="EQ28" s="146" t="s">
        <v>306</v>
      </c>
      <c r="ER28" s="138"/>
      <c r="ES28" s="6"/>
      <c r="ET28" s="5"/>
      <c r="EU28" s="5"/>
      <c r="EV28" s="5"/>
      <c r="EW28" s="5"/>
      <c r="EX28" s="8"/>
      <c r="EY28" s="6"/>
      <c r="EZ28" s="5"/>
      <c r="FA28" s="5"/>
      <c r="FB28" s="8"/>
      <c r="FC28" s="117" t="s">
        <v>303</v>
      </c>
      <c r="FD28" s="19" t="s">
        <v>210</v>
      </c>
      <c r="FE28" s="19" t="s">
        <v>210</v>
      </c>
      <c r="FF28" s="119" t="s">
        <v>217</v>
      </c>
      <c r="FG28" s="110" t="s">
        <v>218</v>
      </c>
      <c r="FH28" s="123" t="s">
        <v>219</v>
      </c>
      <c r="FI28" s="59"/>
      <c r="FJ28" s="58"/>
      <c r="FK28" s="6"/>
      <c r="FL28" s="10"/>
      <c r="FM28" s="6"/>
      <c r="FN28" s="8"/>
      <c r="FO28" s="126" t="s">
        <v>221</v>
      </c>
      <c r="FP28" s="120" t="s">
        <v>222</v>
      </c>
      <c r="FQ28" s="59" t="s">
        <v>223</v>
      </c>
      <c r="FR28" s="55"/>
      <c r="FS28" s="56"/>
      <c r="FT28" s="9" t="s">
        <v>324</v>
      </c>
      <c r="FU28" s="168">
        <v>90</v>
      </c>
      <c r="FV28" s="5" t="s">
        <v>470</v>
      </c>
      <c r="FW28" s="5" t="s">
        <v>290</v>
      </c>
      <c r="FX28" s="196" t="s">
        <v>470</v>
      </c>
      <c r="FY28" s="6" t="s">
        <v>327</v>
      </c>
      <c r="FZ28" s="168">
        <v>80</v>
      </c>
      <c r="GA28" s="5" t="s">
        <v>470</v>
      </c>
      <c r="GB28" s="5" t="s">
        <v>290</v>
      </c>
      <c r="GC28" s="192" t="s">
        <v>470</v>
      </c>
      <c r="GD28" s="6" t="s">
        <v>286</v>
      </c>
      <c r="GE28" s="4">
        <v>70</v>
      </c>
      <c r="GF28" s="5" t="s">
        <v>470</v>
      </c>
      <c r="GG28" s="5" t="s">
        <v>291</v>
      </c>
      <c r="GH28" s="170" t="s">
        <v>470</v>
      </c>
      <c r="GI28" s="135"/>
      <c r="GJ28" s="168"/>
      <c r="GK28" s="169"/>
      <c r="GL28" s="5"/>
      <c r="GM28" s="170"/>
      <c r="GN28" s="169"/>
      <c r="GO28" s="168"/>
      <c r="GP28" s="169"/>
      <c r="GQ28" s="5"/>
      <c r="GR28" s="170"/>
      <c r="GS28" s="6"/>
      <c r="GT28" s="168"/>
      <c r="GU28" s="5"/>
      <c r="GV28" s="5"/>
      <c r="GW28" s="170"/>
      <c r="GX28" s="6"/>
      <c r="GY28" s="168"/>
      <c r="GZ28" s="5"/>
      <c r="HA28" s="5"/>
      <c r="HB28" s="170"/>
      <c r="HC28" s="6"/>
      <c r="HD28" s="147"/>
      <c r="HE28" s="79"/>
      <c r="HF28" s="5"/>
      <c r="HG28" s="196"/>
      <c r="HH28" s="6"/>
      <c r="HI28" s="147"/>
      <c r="HJ28" s="5"/>
      <c r="HK28" s="5"/>
      <c r="HL28" s="196"/>
      <c r="HM28" s="6"/>
      <c r="HN28" s="4"/>
      <c r="HO28" s="5"/>
      <c r="HP28" s="5"/>
      <c r="HQ28" s="196"/>
      <c r="HR28" s="6"/>
      <c r="HS28" s="147"/>
      <c r="HT28" s="5"/>
      <c r="HU28" s="5"/>
      <c r="HV28" s="196"/>
      <c r="HW28" s="6"/>
      <c r="HX28" s="4"/>
      <c r="HY28" s="5"/>
      <c r="HZ28" s="5"/>
      <c r="IA28" s="196"/>
      <c r="IB28" s="6"/>
      <c r="IC28" s="5"/>
      <c r="ID28" s="5"/>
      <c r="IE28" s="5"/>
      <c r="IF28" s="196"/>
      <c r="IG28" s="6"/>
      <c r="IH28" s="5"/>
      <c r="II28" s="5"/>
      <c r="IJ28" s="5"/>
      <c r="IK28" s="196"/>
      <c r="IL28" s="6"/>
      <c r="IM28" s="5"/>
      <c r="IN28" s="5"/>
      <c r="IO28" s="5"/>
      <c r="IP28" s="196"/>
      <c r="IQ28" s="6"/>
      <c r="IR28" s="5"/>
      <c r="IS28" s="5"/>
      <c r="IT28" s="5"/>
      <c r="IU28" s="196"/>
      <c r="IV28" s="6"/>
      <c r="IW28" s="5"/>
      <c r="IX28" s="5"/>
      <c r="IY28" s="5"/>
      <c r="IZ28" s="196"/>
      <c r="JA28" s="6"/>
      <c r="JB28" s="5"/>
      <c r="JC28" s="5"/>
      <c r="JD28" s="5"/>
      <c r="JE28" s="196"/>
      <c r="JF28" s="6"/>
      <c r="JG28" s="5"/>
      <c r="JH28" s="5"/>
      <c r="JI28" s="5"/>
      <c r="JJ28" s="196"/>
      <c r="JK28" s="6"/>
      <c r="JL28" s="5"/>
      <c r="JM28" s="5"/>
      <c r="JN28" s="5"/>
      <c r="JO28" s="196"/>
    </row>
    <row r="29" spans="1:275" ht="17.25" customHeight="1">
      <c r="A29" s="12">
        <v>12770</v>
      </c>
      <c r="B29" s="5" t="s">
        <v>357</v>
      </c>
      <c r="C29" s="137"/>
      <c r="D29" s="142"/>
      <c r="E29" s="130"/>
      <c r="F29" s="9"/>
      <c r="G29" s="55"/>
      <c r="H29" s="55"/>
      <c r="I29" s="58"/>
      <c r="J29" s="55"/>
      <c r="K29" s="55"/>
      <c r="L29" s="57"/>
      <c r="M29" s="55"/>
      <c r="N29" s="55"/>
      <c r="O29" s="58"/>
      <c r="P29" s="7"/>
      <c r="Q29" s="5"/>
      <c r="R29" s="8"/>
      <c r="S29" s="9"/>
      <c r="T29" s="5" t="s">
        <v>202</v>
      </c>
      <c r="U29" s="5" t="s">
        <v>351</v>
      </c>
      <c r="V29" s="5" t="s">
        <v>352</v>
      </c>
      <c r="W29" s="55"/>
      <c r="X29" s="56"/>
      <c r="Y29" s="54" t="s">
        <v>198</v>
      </c>
      <c r="Z29" s="55" t="s">
        <v>198</v>
      </c>
      <c r="AA29" s="55" t="s">
        <v>198</v>
      </c>
      <c r="AB29" s="55" t="s">
        <v>198</v>
      </c>
      <c r="AC29" s="55" t="s">
        <v>198</v>
      </c>
      <c r="AD29" s="55" t="s">
        <v>198</v>
      </c>
      <c r="AE29" s="55" t="s">
        <v>198</v>
      </c>
      <c r="AF29" s="55" t="s">
        <v>198</v>
      </c>
      <c r="AG29" s="55" t="s">
        <v>198</v>
      </c>
      <c r="AH29" s="55" t="s">
        <v>198</v>
      </c>
      <c r="AI29" s="55" t="s">
        <v>198</v>
      </c>
      <c r="AJ29" s="55" t="s">
        <v>198</v>
      </c>
      <c r="AK29" s="55" t="s">
        <v>198</v>
      </c>
      <c r="AL29" s="58"/>
      <c r="AM29" s="59" t="s">
        <v>198</v>
      </c>
      <c r="AN29" s="55" t="s">
        <v>198</v>
      </c>
      <c r="AO29" s="55" t="s">
        <v>198</v>
      </c>
      <c r="AP29" s="55" t="s">
        <v>198</v>
      </c>
      <c r="AQ29" s="55" t="s">
        <v>198</v>
      </c>
      <c r="AR29" s="55" t="s">
        <v>198</v>
      </c>
      <c r="AS29" s="55" t="s">
        <v>198</v>
      </c>
      <c r="AT29" s="55" t="s">
        <v>198</v>
      </c>
      <c r="AU29" s="55" t="s">
        <v>198</v>
      </c>
      <c r="AV29" s="56"/>
      <c r="AW29" s="55"/>
      <c r="AX29" s="5"/>
      <c r="AY29" s="5"/>
      <c r="AZ29" s="55"/>
      <c r="BA29" s="5"/>
      <c r="BB29" s="5"/>
      <c r="BC29" s="5"/>
      <c r="BD29" s="5"/>
      <c r="BE29" s="5"/>
      <c r="BF29" s="8"/>
      <c r="BG29" s="6" t="s">
        <v>197</v>
      </c>
      <c r="BH29" s="5" t="s">
        <v>199</v>
      </c>
      <c r="BI29" s="5" t="s">
        <v>199</v>
      </c>
      <c r="BJ29" s="5" t="s">
        <v>200</v>
      </c>
      <c r="BK29" s="5" t="s">
        <v>198</v>
      </c>
      <c r="BL29" s="5" t="s">
        <v>198</v>
      </c>
      <c r="BM29" s="8" t="s">
        <v>198</v>
      </c>
      <c r="BN29" s="6"/>
      <c r="BO29" s="14">
        <v>560</v>
      </c>
      <c r="BP29" s="14">
        <v>131</v>
      </c>
      <c r="BQ29" s="71" t="s">
        <v>201</v>
      </c>
      <c r="BR29" s="140">
        <v>0</v>
      </c>
      <c r="BS29" s="140">
        <v>30</v>
      </c>
      <c r="BT29" s="140">
        <v>21</v>
      </c>
      <c r="BU29" s="140">
        <v>1.6</v>
      </c>
      <c r="BV29" s="140">
        <v>3</v>
      </c>
      <c r="BW29" s="140">
        <v>0.7</v>
      </c>
      <c r="BX29" s="147">
        <f t="shared" ref="BX29" si="12">BV29/2.5</f>
        <v>1.2</v>
      </c>
      <c r="BY29" s="60" t="s">
        <v>202</v>
      </c>
      <c r="BZ29" s="67" t="s">
        <v>203</v>
      </c>
      <c r="CA29" s="54" t="s">
        <v>208</v>
      </c>
      <c r="CB29" s="61">
        <v>3.7</v>
      </c>
      <c r="CC29" s="55" t="s">
        <v>231</v>
      </c>
      <c r="CD29" s="110" t="s">
        <v>204</v>
      </c>
      <c r="CE29" s="63" t="s">
        <v>205</v>
      </c>
      <c r="CF29" s="111" t="s">
        <v>207</v>
      </c>
      <c r="CG29" s="183">
        <v>1.5</v>
      </c>
      <c r="CH29" s="55" t="s">
        <v>256</v>
      </c>
      <c r="CI29" s="110" t="s">
        <v>206</v>
      </c>
      <c r="CJ29" s="112" t="s">
        <v>205</v>
      </c>
      <c r="CK29" s="111" t="s">
        <v>209</v>
      </c>
      <c r="CL29" s="186">
        <v>3</v>
      </c>
      <c r="CM29" s="188" t="s">
        <v>231</v>
      </c>
      <c r="CN29" s="115" t="s">
        <v>206</v>
      </c>
      <c r="CO29" s="121" t="s">
        <v>205</v>
      </c>
      <c r="CP29" s="64" t="s">
        <v>295</v>
      </c>
      <c r="CQ29" s="167">
        <v>55000</v>
      </c>
      <c r="CR29" s="114" t="s">
        <v>323</v>
      </c>
      <c r="CS29" s="5" t="s">
        <v>325</v>
      </c>
      <c r="CT29" s="121" t="s">
        <v>205</v>
      </c>
      <c r="CU29" s="6"/>
      <c r="CV29" s="77"/>
      <c r="CW29" s="5"/>
      <c r="CX29" s="5"/>
      <c r="CY29" s="13"/>
      <c r="CZ29" s="6"/>
      <c r="DA29" s="77"/>
      <c r="DB29" s="5"/>
      <c r="DC29" s="5"/>
      <c r="DD29" s="13"/>
      <c r="DE29" s="6"/>
      <c r="DF29" s="77"/>
      <c r="DG29" s="5"/>
      <c r="DH29" s="5"/>
      <c r="DI29" s="17"/>
      <c r="DJ29" s="172" t="s">
        <v>210</v>
      </c>
      <c r="DK29" s="18"/>
      <c r="DL29" s="5"/>
      <c r="DM29" s="5"/>
      <c r="DN29" s="13"/>
      <c r="DO29" s="5"/>
      <c r="DP29" s="5"/>
      <c r="DQ29" s="5"/>
      <c r="DR29" s="13"/>
      <c r="DS29" s="5"/>
      <c r="DT29" s="5"/>
      <c r="DU29" s="5"/>
      <c r="DV29" s="13"/>
      <c r="DW29" s="5"/>
      <c r="DX29" s="5"/>
      <c r="DY29" s="5"/>
      <c r="DZ29" s="13"/>
      <c r="EA29" s="5"/>
      <c r="EB29" s="5"/>
      <c r="EC29" s="5"/>
      <c r="ED29" s="13"/>
      <c r="EE29" s="5"/>
      <c r="EF29" s="5"/>
      <c r="EG29" s="5"/>
      <c r="EH29" s="13"/>
      <c r="EI29" s="6" t="s">
        <v>353</v>
      </c>
      <c r="EJ29" s="14" t="s">
        <v>354</v>
      </c>
      <c r="EK29" s="67" t="s">
        <v>355</v>
      </c>
      <c r="EL29" s="117" t="s">
        <v>214</v>
      </c>
      <c r="EM29" s="144" t="s">
        <v>210</v>
      </c>
      <c r="EN29" s="56" t="s">
        <v>224</v>
      </c>
      <c r="EO29" s="145" t="s">
        <v>307</v>
      </c>
      <c r="EP29" s="14"/>
      <c r="EQ29" s="146" t="s">
        <v>306</v>
      </c>
      <c r="ER29" s="138"/>
      <c r="ES29" s="6"/>
      <c r="ET29" s="5"/>
      <c r="EU29" s="5"/>
      <c r="EV29" s="5"/>
      <c r="EW29" s="5"/>
      <c r="EX29" s="8"/>
      <c r="EY29" s="6"/>
      <c r="EZ29" s="5"/>
      <c r="FA29" s="5"/>
      <c r="FB29" s="8"/>
      <c r="FC29" s="117" t="s">
        <v>303</v>
      </c>
      <c r="FD29" s="19" t="s">
        <v>210</v>
      </c>
      <c r="FE29" s="19" t="s">
        <v>210</v>
      </c>
      <c r="FF29" s="119" t="s">
        <v>217</v>
      </c>
      <c r="FG29" s="110" t="s">
        <v>218</v>
      </c>
      <c r="FH29" s="123" t="s">
        <v>219</v>
      </c>
      <c r="FI29" s="59"/>
      <c r="FJ29" s="58"/>
      <c r="FK29" s="6"/>
      <c r="FL29" s="10"/>
      <c r="FM29" s="6"/>
      <c r="FN29" s="8"/>
      <c r="FO29" s="126" t="s">
        <v>221</v>
      </c>
      <c r="FP29" s="120" t="s">
        <v>222</v>
      </c>
      <c r="FQ29" s="59" t="s">
        <v>223</v>
      </c>
      <c r="FR29" s="55"/>
      <c r="FS29" s="56"/>
      <c r="FT29" s="9" t="s">
        <v>324</v>
      </c>
      <c r="FU29" s="168">
        <v>90</v>
      </c>
      <c r="FV29" s="5" t="s">
        <v>470</v>
      </c>
      <c r="FW29" s="5" t="s">
        <v>290</v>
      </c>
      <c r="FX29" s="196" t="s">
        <v>470</v>
      </c>
      <c r="FY29" s="6" t="s">
        <v>327</v>
      </c>
      <c r="FZ29" s="168">
        <v>80</v>
      </c>
      <c r="GA29" s="5" t="s">
        <v>470</v>
      </c>
      <c r="GB29" s="5" t="s">
        <v>290</v>
      </c>
      <c r="GC29" s="192" t="s">
        <v>470</v>
      </c>
      <c r="GD29" s="6" t="s">
        <v>286</v>
      </c>
      <c r="GE29" s="4">
        <v>70</v>
      </c>
      <c r="GF29" s="5" t="s">
        <v>470</v>
      </c>
      <c r="GG29" s="5" t="s">
        <v>291</v>
      </c>
      <c r="GH29" s="170" t="s">
        <v>470</v>
      </c>
      <c r="GI29" s="135"/>
      <c r="GJ29" s="168"/>
      <c r="GK29" s="169"/>
      <c r="GL29" s="5"/>
      <c r="GM29" s="170"/>
      <c r="GN29" s="169"/>
      <c r="GO29" s="168"/>
      <c r="GP29" s="169"/>
      <c r="GQ29" s="5"/>
      <c r="GR29" s="170"/>
      <c r="GS29" s="6"/>
      <c r="GT29" s="168"/>
      <c r="GU29" s="5"/>
      <c r="GV29" s="5"/>
      <c r="GW29" s="170"/>
      <c r="GX29" s="6"/>
      <c r="GY29" s="168"/>
      <c r="GZ29" s="5"/>
      <c r="HA29" s="5"/>
      <c r="HB29" s="170"/>
      <c r="HC29" s="6"/>
      <c r="HD29" s="147"/>
      <c r="HE29" s="79"/>
      <c r="HF29" s="5"/>
      <c r="HG29" s="196"/>
      <c r="HH29" s="6"/>
      <c r="HI29" s="147"/>
      <c r="HJ29" s="5"/>
      <c r="HK29" s="5"/>
      <c r="HL29" s="196"/>
      <c r="HM29" s="6"/>
      <c r="HN29" s="4"/>
      <c r="HO29" s="5"/>
      <c r="HP29" s="5"/>
      <c r="HQ29" s="196"/>
      <c r="HR29" s="6"/>
      <c r="HS29" s="147"/>
      <c r="HT29" s="5"/>
      <c r="HU29" s="5"/>
      <c r="HV29" s="196"/>
      <c r="HW29" s="6"/>
      <c r="HX29" s="4"/>
      <c r="HY29" s="5"/>
      <c r="HZ29" s="5"/>
      <c r="IA29" s="196"/>
      <c r="IB29" s="6"/>
      <c r="IC29" s="5"/>
      <c r="ID29" s="5"/>
      <c r="IE29" s="5"/>
      <c r="IF29" s="196"/>
      <c r="IG29" s="6"/>
      <c r="IH29" s="5"/>
      <c r="II29" s="5"/>
      <c r="IJ29" s="5"/>
      <c r="IK29" s="196"/>
      <c r="IL29" s="6"/>
      <c r="IM29" s="5"/>
      <c r="IN29" s="5"/>
      <c r="IO29" s="5"/>
      <c r="IP29" s="196"/>
      <c r="IQ29" s="6"/>
      <c r="IR29" s="5"/>
      <c r="IS29" s="5"/>
      <c r="IT29" s="5"/>
      <c r="IU29" s="196"/>
      <c r="IV29" s="6"/>
      <c r="IW29" s="5"/>
      <c r="IX29" s="5"/>
      <c r="IY29" s="5"/>
      <c r="IZ29" s="196"/>
      <c r="JA29" s="6"/>
      <c r="JB29" s="5"/>
      <c r="JC29" s="5"/>
      <c r="JD29" s="5"/>
      <c r="JE29" s="196"/>
      <c r="JF29" s="6"/>
      <c r="JG29" s="5"/>
      <c r="JH29" s="5"/>
      <c r="JI29" s="5"/>
      <c r="JJ29" s="196"/>
      <c r="JK29" s="6"/>
      <c r="JL29" s="5"/>
      <c r="JM29" s="5"/>
      <c r="JN29" s="5"/>
      <c r="JO29" s="196"/>
    </row>
    <row r="30" spans="1:275" ht="17.25" customHeight="1">
      <c r="A30" s="12">
        <v>60635</v>
      </c>
      <c r="B30" s="5" t="s">
        <v>370</v>
      </c>
      <c r="C30" s="137"/>
      <c r="D30" s="142"/>
      <c r="E30" s="130"/>
      <c r="F30" s="9"/>
      <c r="G30" s="55"/>
      <c r="H30" s="55"/>
      <c r="I30" s="58"/>
      <c r="J30" s="55"/>
      <c r="K30" s="55"/>
      <c r="L30" s="57"/>
      <c r="M30" s="55"/>
      <c r="N30" s="55"/>
      <c r="O30" s="58"/>
      <c r="P30" s="7"/>
      <c r="Q30" s="5"/>
      <c r="R30" s="8"/>
      <c r="S30" s="9"/>
      <c r="T30" s="5" t="s">
        <v>202</v>
      </c>
      <c r="U30" s="5" t="s">
        <v>371</v>
      </c>
      <c r="V30" s="5" t="s">
        <v>372</v>
      </c>
      <c r="W30" s="55"/>
      <c r="X30" s="56"/>
      <c r="Y30" s="54" t="s">
        <v>198</v>
      </c>
      <c r="Z30" s="55" t="s">
        <v>198</v>
      </c>
      <c r="AA30" s="55" t="s">
        <v>198</v>
      </c>
      <c r="AB30" s="55" t="s">
        <v>198</v>
      </c>
      <c r="AC30" s="55" t="s">
        <v>198</v>
      </c>
      <c r="AD30" s="55" t="s">
        <v>198</v>
      </c>
      <c r="AE30" s="55" t="s">
        <v>198</v>
      </c>
      <c r="AF30" s="55" t="s">
        <v>198</v>
      </c>
      <c r="AG30" s="55" t="s">
        <v>198</v>
      </c>
      <c r="AH30" s="55" t="s">
        <v>198</v>
      </c>
      <c r="AI30" s="55" t="s">
        <v>198</v>
      </c>
      <c r="AJ30" s="55" t="s">
        <v>198</v>
      </c>
      <c r="AK30" s="55" t="s">
        <v>210</v>
      </c>
      <c r="AL30" s="58" t="s">
        <v>359</v>
      </c>
      <c r="AM30" s="59" t="s">
        <v>198</v>
      </c>
      <c r="AN30" s="55" t="s">
        <v>198</v>
      </c>
      <c r="AO30" s="55" t="s">
        <v>198</v>
      </c>
      <c r="AP30" s="55" t="s">
        <v>198</v>
      </c>
      <c r="AQ30" s="55" t="s">
        <v>198</v>
      </c>
      <c r="AR30" s="55" t="s">
        <v>198</v>
      </c>
      <c r="AS30" s="55" t="s">
        <v>198</v>
      </c>
      <c r="AT30" s="55" t="s">
        <v>198</v>
      </c>
      <c r="AU30" s="55" t="s">
        <v>198</v>
      </c>
      <c r="AV30" s="56"/>
      <c r="AW30" s="55" t="s">
        <v>360</v>
      </c>
      <c r="AX30" s="5"/>
      <c r="AY30" s="5"/>
      <c r="AZ30" s="55"/>
      <c r="BA30" s="5"/>
      <c r="BB30" s="5"/>
      <c r="BC30" s="5"/>
      <c r="BD30" s="5"/>
      <c r="BE30" s="5"/>
      <c r="BF30" s="8"/>
      <c r="BG30" s="6" t="s">
        <v>199</v>
      </c>
      <c r="BH30" s="5" t="s">
        <v>199</v>
      </c>
      <c r="BI30" s="5" t="s">
        <v>199</v>
      </c>
      <c r="BJ30" s="5" t="s">
        <v>200</v>
      </c>
      <c r="BK30" s="5" t="s">
        <v>198</v>
      </c>
      <c r="BL30" s="5" t="s">
        <v>198</v>
      </c>
      <c r="BM30" s="8" t="s">
        <v>198</v>
      </c>
      <c r="BN30" s="6"/>
      <c r="BO30" s="177"/>
      <c r="BP30" s="177"/>
      <c r="BQ30" s="178"/>
      <c r="BR30" s="175"/>
      <c r="BS30" s="175"/>
      <c r="BT30" s="175"/>
      <c r="BU30" s="175"/>
      <c r="BV30" s="175"/>
      <c r="BW30" s="175"/>
      <c r="BX30" s="179"/>
      <c r="BY30" s="60" t="s">
        <v>202</v>
      </c>
      <c r="BZ30" s="67" t="s">
        <v>203</v>
      </c>
      <c r="CA30" s="54" t="s">
        <v>208</v>
      </c>
      <c r="CB30" s="61">
        <v>2.95</v>
      </c>
      <c r="CC30" s="55" t="s">
        <v>231</v>
      </c>
      <c r="CD30" s="110" t="s">
        <v>204</v>
      </c>
      <c r="CE30" s="63" t="s">
        <v>205</v>
      </c>
      <c r="CF30" s="111" t="s">
        <v>207</v>
      </c>
      <c r="CG30" s="183">
        <v>4.5999999999999996</v>
      </c>
      <c r="CH30" s="55" t="s">
        <v>257</v>
      </c>
      <c r="CI30" s="110" t="s">
        <v>206</v>
      </c>
      <c r="CJ30" s="112" t="s">
        <v>205</v>
      </c>
      <c r="CK30" s="64" t="s">
        <v>362</v>
      </c>
      <c r="CL30" s="186">
        <v>3.2</v>
      </c>
      <c r="CM30" s="188" t="s">
        <v>256</v>
      </c>
      <c r="CN30" s="114" t="s">
        <v>363</v>
      </c>
      <c r="CO30" s="121" t="s">
        <v>205</v>
      </c>
      <c r="CP30" s="64"/>
      <c r="CQ30" s="113"/>
      <c r="CR30" s="114"/>
      <c r="CS30" s="114"/>
      <c r="CT30" s="121"/>
      <c r="CU30" s="6"/>
      <c r="CV30" s="77"/>
      <c r="CW30" s="5"/>
      <c r="CX30" s="5"/>
      <c r="CY30" s="13"/>
      <c r="CZ30" s="6"/>
      <c r="DA30" s="77"/>
      <c r="DB30" s="5"/>
      <c r="DC30" s="5"/>
      <c r="DD30" s="13"/>
      <c r="DE30" s="6"/>
      <c r="DF30" s="77"/>
      <c r="DG30" s="5"/>
      <c r="DH30" s="5"/>
      <c r="DI30" s="17"/>
      <c r="DJ30" s="172" t="s">
        <v>198</v>
      </c>
      <c r="DK30" s="18"/>
      <c r="DL30" s="5"/>
      <c r="DM30" s="5"/>
      <c r="DN30" s="13"/>
      <c r="DO30" s="5"/>
      <c r="DP30" s="5"/>
      <c r="DQ30" s="5"/>
      <c r="DR30" s="13"/>
      <c r="DS30" s="5"/>
      <c r="DT30" s="5"/>
      <c r="DU30" s="5"/>
      <c r="DV30" s="13"/>
      <c r="DW30" s="5"/>
      <c r="DX30" s="5"/>
      <c r="DY30" s="5"/>
      <c r="DZ30" s="13"/>
      <c r="EA30" s="5"/>
      <c r="EB30" s="5"/>
      <c r="EC30" s="5"/>
      <c r="ED30" s="13"/>
      <c r="EE30" s="5"/>
      <c r="EF30" s="5"/>
      <c r="EG30" s="5"/>
      <c r="EH30" s="13"/>
      <c r="EI30" s="6" t="s">
        <v>373</v>
      </c>
      <c r="EJ30" s="14" t="s">
        <v>374</v>
      </c>
      <c r="EK30" s="67" t="s">
        <v>364</v>
      </c>
      <c r="EL30" s="117" t="s">
        <v>214</v>
      </c>
      <c r="EM30" s="144" t="s">
        <v>210</v>
      </c>
      <c r="EN30" s="56" t="s">
        <v>368</v>
      </c>
      <c r="EO30" s="180" t="s">
        <v>365</v>
      </c>
      <c r="EP30" s="5"/>
      <c r="EQ30" s="174" t="s">
        <v>366</v>
      </c>
      <c r="ER30" s="138"/>
      <c r="ES30" s="6"/>
      <c r="ET30" s="5"/>
      <c r="EU30" s="5"/>
      <c r="EV30" s="5"/>
      <c r="EW30" s="5"/>
      <c r="EX30" s="8"/>
      <c r="EY30" s="6"/>
      <c r="EZ30" s="5"/>
      <c r="FA30" s="5"/>
      <c r="FB30" s="8"/>
      <c r="FC30" s="117" t="s">
        <v>303</v>
      </c>
      <c r="FD30" s="176" t="s">
        <v>198</v>
      </c>
      <c r="FE30" s="176" t="s">
        <v>210</v>
      </c>
      <c r="FF30" s="119" t="s">
        <v>217</v>
      </c>
      <c r="FG30" s="110" t="s">
        <v>218</v>
      </c>
      <c r="FH30" s="123" t="s">
        <v>219</v>
      </c>
      <c r="FI30" s="59"/>
      <c r="FJ30" s="58"/>
      <c r="FK30" s="6"/>
      <c r="FL30" s="10"/>
      <c r="FM30" s="6"/>
      <c r="FN30" s="8"/>
      <c r="FO30" s="126" t="s">
        <v>221</v>
      </c>
      <c r="FP30" s="120"/>
      <c r="FQ30" s="59" t="s">
        <v>223</v>
      </c>
      <c r="FR30" s="55"/>
      <c r="FS30" s="56"/>
      <c r="FT30" s="9" t="s">
        <v>371</v>
      </c>
      <c r="FU30" s="168">
        <v>90</v>
      </c>
      <c r="FV30" s="5" t="s">
        <v>470</v>
      </c>
      <c r="FW30" s="5"/>
      <c r="FX30" s="196" t="s">
        <v>470</v>
      </c>
      <c r="FY30" s="6" t="s">
        <v>367</v>
      </c>
      <c r="FZ30" s="168">
        <v>80</v>
      </c>
      <c r="GA30" s="5" t="s">
        <v>470</v>
      </c>
      <c r="GB30" s="5"/>
      <c r="GC30" s="192" t="s">
        <v>470</v>
      </c>
      <c r="GD30" s="6"/>
      <c r="GE30" s="147"/>
      <c r="GF30" s="5"/>
      <c r="GG30" s="5"/>
      <c r="GH30" s="170"/>
      <c r="GI30" s="6"/>
      <c r="GJ30" s="184"/>
      <c r="GK30" s="169"/>
      <c r="GL30" s="5"/>
      <c r="GM30" s="170"/>
      <c r="GN30" s="169"/>
      <c r="GO30" s="184"/>
      <c r="GP30" s="169"/>
      <c r="GQ30" s="5"/>
      <c r="GR30" s="170"/>
      <c r="GS30" s="6"/>
      <c r="GT30" s="147"/>
      <c r="GU30" s="5"/>
      <c r="GV30" s="5"/>
      <c r="GW30" s="170"/>
      <c r="GX30" s="6"/>
      <c r="GY30" s="147"/>
      <c r="GZ30" s="5"/>
      <c r="HA30" s="5"/>
      <c r="HB30" s="170"/>
      <c r="HC30" s="6"/>
      <c r="HD30" s="147"/>
      <c r="HE30" s="79"/>
      <c r="HF30" s="5"/>
      <c r="HG30" s="196"/>
      <c r="HH30" s="6"/>
      <c r="HI30" s="147"/>
      <c r="HJ30" s="5"/>
      <c r="HK30" s="5"/>
      <c r="HL30" s="196"/>
      <c r="HM30" s="6"/>
      <c r="HN30" s="4"/>
      <c r="HO30" s="5"/>
      <c r="HP30" s="5"/>
      <c r="HQ30" s="196"/>
      <c r="HR30" s="6"/>
      <c r="HS30" s="147"/>
      <c r="HT30" s="5"/>
      <c r="HU30" s="5"/>
      <c r="HV30" s="196"/>
      <c r="HW30" s="6"/>
      <c r="HX30" s="4"/>
      <c r="HY30" s="5"/>
      <c r="HZ30" s="5"/>
      <c r="IA30" s="196"/>
      <c r="IB30" s="6"/>
      <c r="IC30" s="5"/>
      <c r="ID30" s="5"/>
      <c r="IE30" s="5"/>
      <c r="IF30" s="196"/>
      <c r="IG30" s="6"/>
      <c r="IH30" s="5"/>
      <c r="II30" s="5"/>
      <c r="IJ30" s="5"/>
      <c r="IK30" s="196"/>
      <c r="IL30" s="6"/>
      <c r="IM30" s="5"/>
      <c r="IN30" s="5"/>
      <c r="IO30" s="5"/>
      <c r="IP30" s="196"/>
      <c r="IQ30" s="6"/>
      <c r="IR30" s="5"/>
      <c r="IS30" s="5"/>
      <c r="IT30" s="5"/>
      <c r="IU30" s="196"/>
      <c r="IV30" s="6"/>
      <c r="IW30" s="5"/>
      <c r="IX30" s="5"/>
      <c r="IY30" s="5"/>
      <c r="IZ30" s="196"/>
      <c r="JA30" s="6"/>
      <c r="JB30" s="5"/>
      <c r="JC30" s="5"/>
      <c r="JD30" s="5"/>
      <c r="JE30" s="196"/>
      <c r="JF30" s="6"/>
      <c r="JG30" s="5"/>
      <c r="JH30" s="5"/>
      <c r="JI30" s="5"/>
      <c r="JJ30" s="196"/>
      <c r="JK30" s="6"/>
      <c r="JL30" s="5"/>
      <c r="JM30" s="5"/>
      <c r="JN30" s="5"/>
      <c r="JO30" s="196"/>
    </row>
    <row r="31" spans="1:275" ht="17.25" customHeight="1">
      <c r="A31" s="12">
        <v>12633</v>
      </c>
      <c r="B31" s="5" t="s">
        <v>375</v>
      </c>
      <c r="C31" s="137"/>
      <c r="D31" s="142"/>
      <c r="E31" s="130"/>
      <c r="F31" s="9"/>
      <c r="G31" s="55"/>
      <c r="H31" s="55"/>
      <c r="I31" s="58"/>
      <c r="J31" s="55"/>
      <c r="K31" s="55"/>
      <c r="L31" s="57"/>
      <c r="M31" s="55"/>
      <c r="N31" s="55"/>
      <c r="O31" s="58"/>
      <c r="P31" s="7"/>
      <c r="Q31" s="5"/>
      <c r="R31" s="8"/>
      <c r="S31" s="9"/>
      <c r="T31" s="5" t="s">
        <v>202</v>
      </c>
      <c r="U31" s="5" t="s">
        <v>376</v>
      </c>
      <c r="V31" s="5" t="s">
        <v>377</v>
      </c>
      <c r="W31" s="55"/>
      <c r="X31" s="56"/>
      <c r="Y31" s="54" t="s">
        <v>198</v>
      </c>
      <c r="Z31" s="55" t="s">
        <v>198</v>
      </c>
      <c r="AA31" s="55" t="s">
        <v>198</v>
      </c>
      <c r="AB31" s="55" t="s">
        <v>198</v>
      </c>
      <c r="AC31" s="55" t="s">
        <v>198</v>
      </c>
      <c r="AD31" s="55" t="s">
        <v>198</v>
      </c>
      <c r="AE31" s="55" t="s">
        <v>198</v>
      </c>
      <c r="AF31" s="55" t="s">
        <v>198</v>
      </c>
      <c r="AG31" s="55" t="s">
        <v>198</v>
      </c>
      <c r="AH31" s="55" t="s">
        <v>198</v>
      </c>
      <c r="AI31" s="55" t="s">
        <v>198</v>
      </c>
      <c r="AJ31" s="55" t="s">
        <v>198</v>
      </c>
      <c r="AK31" s="55" t="s">
        <v>210</v>
      </c>
      <c r="AL31" s="58" t="s">
        <v>359</v>
      </c>
      <c r="AM31" s="59" t="s">
        <v>198</v>
      </c>
      <c r="AN31" s="55" t="s">
        <v>198</v>
      </c>
      <c r="AO31" s="55" t="s">
        <v>198</v>
      </c>
      <c r="AP31" s="55" t="s">
        <v>198</v>
      </c>
      <c r="AQ31" s="55" t="s">
        <v>198</v>
      </c>
      <c r="AR31" s="55" t="s">
        <v>198</v>
      </c>
      <c r="AS31" s="55" t="s">
        <v>198</v>
      </c>
      <c r="AT31" s="55" t="s">
        <v>198</v>
      </c>
      <c r="AU31" s="55" t="s">
        <v>198</v>
      </c>
      <c r="AV31" s="56"/>
      <c r="AW31" s="55" t="s">
        <v>360</v>
      </c>
      <c r="AX31" s="5"/>
      <c r="AY31" s="5"/>
      <c r="AZ31" s="55"/>
      <c r="BA31" s="5"/>
      <c r="BB31" s="5"/>
      <c r="BC31" s="5"/>
      <c r="BD31" s="5"/>
      <c r="BE31" s="5"/>
      <c r="BF31" s="8"/>
      <c r="BG31" s="6" t="s">
        <v>199</v>
      </c>
      <c r="BH31" s="5" t="s">
        <v>199</v>
      </c>
      <c r="BI31" s="5" t="s">
        <v>199</v>
      </c>
      <c r="BJ31" s="5" t="s">
        <v>200</v>
      </c>
      <c r="BK31" s="5" t="s">
        <v>198</v>
      </c>
      <c r="BL31" s="5" t="s">
        <v>198</v>
      </c>
      <c r="BM31" s="8" t="s">
        <v>198</v>
      </c>
      <c r="BN31" s="6"/>
      <c r="BO31" s="177"/>
      <c r="BP31" s="177"/>
      <c r="BQ31" s="178"/>
      <c r="BR31" s="175"/>
      <c r="BS31" s="175"/>
      <c r="BT31" s="175"/>
      <c r="BU31" s="175"/>
      <c r="BV31" s="175"/>
      <c r="BW31" s="175"/>
      <c r="BX31" s="179"/>
      <c r="BY31" s="60" t="s">
        <v>202</v>
      </c>
      <c r="BZ31" s="67" t="s">
        <v>203</v>
      </c>
      <c r="CA31" s="54" t="s">
        <v>208</v>
      </c>
      <c r="CB31" s="61">
        <v>2.7</v>
      </c>
      <c r="CC31" s="55" t="s">
        <v>256</v>
      </c>
      <c r="CD31" s="110" t="s">
        <v>204</v>
      </c>
      <c r="CE31" s="63" t="s">
        <v>205</v>
      </c>
      <c r="CF31" s="111" t="s">
        <v>207</v>
      </c>
      <c r="CG31" s="183">
        <v>4.5</v>
      </c>
      <c r="CH31" s="55" t="s">
        <v>257</v>
      </c>
      <c r="CI31" s="110" t="s">
        <v>206</v>
      </c>
      <c r="CJ31" s="112" t="s">
        <v>205</v>
      </c>
      <c r="CK31" s="64" t="s">
        <v>362</v>
      </c>
      <c r="CL31" s="186">
        <v>3</v>
      </c>
      <c r="CM31" s="188" t="s">
        <v>231</v>
      </c>
      <c r="CN31" s="114" t="s">
        <v>363</v>
      </c>
      <c r="CO31" s="121" t="s">
        <v>205</v>
      </c>
      <c r="CP31" s="64"/>
      <c r="CQ31" s="113"/>
      <c r="CR31" s="114"/>
      <c r="CS31" s="114"/>
      <c r="CT31" s="121"/>
      <c r="CU31" s="6"/>
      <c r="CV31" s="77"/>
      <c r="CW31" s="5"/>
      <c r="CX31" s="5"/>
      <c r="CY31" s="13"/>
      <c r="CZ31" s="6"/>
      <c r="DA31" s="77"/>
      <c r="DB31" s="5"/>
      <c r="DC31" s="5"/>
      <c r="DD31" s="13"/>
      <c r="DE31" s="6"/>
      <c r="DF31" s="77"/>
      <c r="DG31" s="5"/>
      <c r="DH31" s="5"/>
      <c r="DI31" s="17"/>
      <c r="DJ31" s="172" t="s">
        <v>198</v>
      </c>
      <c r="DK31" s="18"/>
      <c r="DL31" s="5"/>
      <c r="DM31" s="5"/>
      <c r="DN31" s="13"/>
      <c r="DO31" s="5"/>
      <c r="DP31" s="5"/>
      <c r="DQ31" s="5"/>
      <c r="DR31" s="13"/>
      <c r="DS31" s="5"/>
      <c r="DT31" s="5"/>
      <c r="DU31" s="5"/>
      <c r="DV31" s="13"/>
      <c r="DW31" s="5"/>
      <c r="DX31" s="5"/>
      <c r="DY31" s="5"/>
      <c r="DZ31" s="13"/>
      <c r="EA31" s="5"/>
      <c r="EB31" s="5"/>
      <c r="EC31" s="5"/>
      <c r="ED31" s="13"/>
      <c r="EE31" s="5"/>
      <c r="EF31" s="5"/>
      <c r="EG31" s="5"/>
      <c r="EH31" s="13"/>
      <c r="EI31" s="6" t="s">
        <v>369</v>
      </c>
      <c r="EJ31" s="14" t="s">
        <v>378</v>
      </c>
      <c r="EK31" s="67" t="s">
        <v>364</v>
      </c>
      <c r="EL31" s="117" t="s">
        <v>214</v>
      </c>
      <c r="EM31" s="144" t="s">
        <v>210</v>
      </c>
      <c r="EN31" s="56" t="s">
        <v>368</v>
      </c>
      <c r="EO31" s="181" t="s">
        <v>301</v>
      </c>
      <c r="EP31" s="5"/>
      <c r="EQ31" s="182" t="s">
        <v>302</v>
      </c>
      <c r="ER31" s="138"/>
      <c r="ES31" s="6"/>
      <c r="ET31" s="5"/>
      <c r="EU31" s="5"/>
      <c r="EV31" s="5"/>
      <c r="EW31" s="5"/>
      <c r="EX31" s="8"/>
      <c r="EY31" s="6"/>
      <c r="EZ31" s="5"/>
      <c r="FA31" s="5"/>
      <c r="FB31" s="8"/>
      <c r="FC31" s="117" t="s">
        <v>303</v>
      </c>
      <c r="FD31" s="176" t="s">
        <v>198</v>
      </c>
      <c r="FE31" s="176" t="s">
        <v>210</v>
      </c>
      <c r="FF31" s="119" t="s">
        <v>217</v>
      </c>
      <c r="FG31" s="110" t="s">
        <v>218</v>
      </c>
      <c r="FH31" s="123" t="s">
        <v>219</v>
      </c>
      <c r="FI31" s="59"/>
      <c r="FJ31" s="58"/>
      <c r="FK31" s="6"/>
      <c r="FL31" s="10"/>
      <c r="FM31" s="6"/>
      <c r="FN31" s="8"/>
      <c r="FO31" s="126" t="s">
        <v>221</v>
      </c>
      <c r="FP31" s="120"/>
      <c r="FQ31" s="59" t="s">
        <v>223</v>
      </c>
      <c r="FR31" s="55"/>
      <c r="FS31" s="56"/>
      <c r="FT31" s="9" t="s">
        <v>318</v>
      </c>
      <c r="FU31" s="168">
        <v>90</v>
      </c>
      <c r="FV31" s="5" t="s">
        <v>470</v>
      </c>
      <c r="FW31" s="5"/>
      <c r="FX31" s="196" t="s">
        <v>470</v>
      </c>
      <c r="FY31" s="6" t="s">
        <v>286</v>
      </c>
      <c r="FZ31" s="168">
        <v>80</v>
      </c>
      <c r="GA31" s="173" t="s">
        <v>469</v>
      </c>
      <c r="GB31" s="5" t="s">
        <v>291</v>
      </c>
      <c r="GC31" s="192" t="s">
        <v>470</v>
      </c>
      <c r="GD31" s="6" t="s">
        <v>367</v>
      </c>
      <c r="GE31" s="147">
        <v>70</v>
      </c>
      <c r="GF31" s="5" t="s">
        <v>470</v>
      </c>
      <c r="GG31" s="5"/>
      <c r="GH31" s="170" t="s">
        <v>470</v>
      </c>
      <c r="GI31" s="6"/>
      <c r="GJ31" s="184"/>
      <c r="GK31" s="169"/>
      <c r="GL31" s="5"/>
      <c r="GM31" s="170"/>
      <c r="GN31" s="169"/>
      <c r="GO31" s="184"/>
      <c r="GP31" s="169"/>
      <c r="GQ31" s="5"/>
      <c r="GR31" s="170"/>
      <c r="GS31" s="6"/>
      <c r="GT31" s="147"/>
      <c r="GU31" s="5"/>
      <c r="GV31" s="5"/>
      <c r="GW31" s="170"/>
      <c r="GX31" s="6"/>
      <c r="GY31" s="147"/>
      <c r="GZ31" s="5"/>
      <c r="HA31" s="5"/>
      <c r="HB31" s="170"/>
      <c r="HC31" s="6"/>
      <c r="HD31" s="147"/>
      <c r="HE31" s="79"/>
      <c r="HF31" s="5"/>
      <c r="HG31" s="196"/>
      <c r="HH31" s="6"/>
      <c r="HI31" s="147"/>
      <c r="HJ31" s="5"/>
      <c r="HK31" s="5"/>
      <c r="HL31" s="196"/>
      <c r="HM31" s="6"/>
      <c r="HN31" s="4"/>
      <c r="HO31" s="5"/>
      <c r="HP31" s="5"/>
      <c r="HQ31" s="196"/>
      <c r="HR31" s="6"/>
      <c r="HS31" s="147"/>
      <c r="HT31" s="5"/>
      <c r="HU31" s="5"/>
      <c r="HV31" s="196"/>
      <c r="HW31" s="6"/>
      <c r="HX31" s="4"/>
      <c r="HY31" s="5"/>
      <c r="HZ31" s="5"/>
      <c r="IA31" s="196"/>
      <c r="IB31" s="6"/>
      <c r="IC31" s="5"/>
      <c r="ID31" s="5"/>
      <c r="IE31" s="5"/>
      <c r="IF31" s="196"/>
      <c r="IG31" s="6"/>
      <c r="IH31" s="5"/>
      <c r="II31" s="5"/>
      <c r="IJ31" s="5"/>
      <c r="IK31" s="196"/>
      <c r="IL31" s="6"/>
      <c r="IM31" s="5"/>
      <c r="IN31" s="5"/>
      <c r="IO31" s="5"/>
      <c r="IP31" s="196"/>
      <c r="IQ31" s="6"/>
      <c r="IR31" s="5"/>
      <c r="IS31" s="5"/>
      <c r="IT31" s="5"/>
      <c r="IU31" s="196"/>
      <c r="IV31" s="6"/>
      <c r="IW31" s="5"/>
      <c r="IX31" s="5"/>
      <c r="IY31" s="5"/>
      <c r="IZ31" s="196"/>
      <c r="JA31" s="6"/>
      <c r="JB31" s="5"/>
      <c r="JC31" s="5"/>
      <c r="JD31" s="5"/>
      <c r="JE31" s="196"/>
      <c r="JF31" s="6"/>
      <c r="JG31" s="5"/>
      <c r="JH31" s="5"/>
      <c r="JI31" s="5"/>
      <c r="JJ31" s="196"/>
      <c r="JK31" s="6"/>
      <c r="JL31" s="5"/>
      <c r="JM31" s="5"/>
      <c r="JN31" s="5"/>
      <c r="JO31" s="196"/>
    </row>
    <row r="32" spans="1:275" ht="17.25" customHeight="1">
      <c r="A32" s="12">
        <v>12642</v>
      </c>
      <c r="B32" s="5" t="s">
        <v>379</v>
      </c>
      <c r="C32" s="137"/>
      <c r="D32" s="142"/>
      <c r="E32" s="130"/>
      <c r="F32" s="9"/>
      <c r="G32" s="55"/>
      <c r="H32" s="55"/>
      <c r="I32" s="58"/>
      <c r="J32" s="55"/>
      <c r="K32" s="55"/>
      <c r="L32" s="57"/>
      <c r="M32" s="55"/>
      <c r="N32" s="55"/>
      <c r="O32" s="58"/>
      <c r="P32" s="7"/>
      <c r="Q32" s="5"/>
      <c r="R32" s="8"/>
      <c r="S32" s="9"/>
      <c r="T32" s="5" t="s">
        <v>202</v>
      </c>
      <c r="U32" s="5" t="s">
        <v>380</v>
      </c>
      <c r="V32" s="5" t="s">
        <v>381</v>
      </c>
      <c r="W32" s="55"/>
      <c r="X32" s="56"/>
      <c r="Y32" s="54" t="s">
        <v>198</v>
      </c>
      <c r="Z32" s="55" t="s">
        <v>198</v>
      </c>
      <c r="AA32" s="55" t="s">
        <v>198</v>
      </c>
      <c r="AB32" s="55" t="s">
        <v>198</v>
      </c>
      <c r="AC32" s="55" t="s">
        <v>198</v>
      </c>
      <c r="AD32" s="55" t="s">
        <v>198</v>
      </c>
      <c r="AE32" s="55" t="s">
        <v>198</v>
      </c>
      <c r="AF32" s="55" t="s">
        <v>198</v>
      </c>
      <c r="AG32" s="55" t="s">
        <v>198</v>
      </c>
      <c r="AH32" s="55" t="s">
        <v>198</v>
      </c>
      <c r="AI32" s="55" t="s">
        <v>198</v>
      </c>
      <c r="AJ32" s="55" t="s">
        <v>198</v>
      </c>
      <c r="AK32" s="55" t="s">
        <v>210</v>
      </c>
      <c r="AL32" s="58" t="s">
        <v>359</v>
      </c>
      <c r="AM32" s="59" t="s">
        <v>198</v>
      </c>
      <c r="AN32" s="55" t="s">
        <v>198</v>
      </c>
      <c r="AO32" s="55" t="s">
        <v>198</v>
      </c>
      <c r="AP32" s="55" t="s">
        <v>198</v>
      </c>
      <c r="AQ32" s="55" t="s">
        <v>198</v>
      </c>
      <c r="AR32" s="55" t="s">
        <v>198</v>
      </c>
      <c r="AS32" s="55" t="s">
        <v>198</v>
      </c>
      <c r="AT32" s="55" t="s">
        <v>198</v>
      </c>
      <c r="AU32" s="55" t="s">
        <v>198</v>
      </c>
      <c r="AV32" s="56"/>
      <c r="AW32" s="55" t="s">
        <v>360</v>
      </c>
      <c r="AX32" s="5"/>
      <c r="AY32" s="5"/>
      <c r="AZ32" s="55"/>
      <c r="BA32" s="5"/>
      <c r="BB32" s="5"/>
      <c r="BC32" s="5"/>
      <c r="BD32" s="5"/>
      <c r="BE32" s="5"/>
      <c r="BF32" s="8"/>
      <c r="BG32" s="6" t="s">
        <v>199</v>
      </c>
      <c r="BH32" s="5" t="s">
        <v>199</v>
      </c>
      <c r="BI32" s="5" t="s">
        <v>199</v>
      </c>
      <c r="BJ32" s="5" t="s">
        <v>200</v>
      </c>
      <c r="BK32" s="5" t="s">
        <v>198</v>
      </c>
      <c r="BL32" s="5" t="s">
        <v>198</v>
      </c>
      <c r="BM32" s="8" t="s">
        <v>198</v>
      </c>
      <c r="BN32" s="6"/>
      <c r="BO32" s="177"/>
      <c r="BP32" s="177"/>
      <c r="BQ32" s="178"/>
      <c r="BR32" s="175"/>
      <c r="BS32" s="175"/>
      <c r="BT32" s="175"/>
      <c r="BU32" s="175"/>
      <c r="BV32" s="175"/>
      <c r="BW32" s="175"/>
      <c r="BX32" s="179"/>
      <c r="BY32" s="60" t="s">
        <v>202</v>
      </c>
      <c r="BZ32" s="67" t="s">
        <v>203</v>
      </c>
      <c r="CA32" s="54" t="s">
        <v>208</v>
      </c>
      <c r="CB32" s="61">
        <v>3</v>
      </c>
      <c r="CC32" s="55" t="s">
        <v>231</v>
      </c>
      <c r="CD32" s="110" t="s">
        <v>204</v>
      </c>
      <c r="CE32" s="63" t="s">
        <v>205</v>
      </c>
      <c r="CF32" s="111" t="s">
        <v>207</v>
      </c>
      <c r="CG32" s="183">
        <v>4.5999999999999996</v>
      </c>
      <c r="CH32" s="55" t="s">
        <v>257</v>
      </c>
      <c r="CI32" s="110" t="s">
        <v>206</v>
      </c>
      <c r="CJ32" s="112" t="s">
        <v>205</v>
      </c>
      <c r="CK32" s="64" t="s">
        <v>362</v>
      </c>
      <c r="CL32" s="186">
        <v>3</v>
      </c>
      <c r="CM32" s="188" t="s">
        <v>361</v>
      </c>
      <c r="CN32" s="114" t="s">
        <v>363</v>
      </c>
      <c r="CO32" s="121" t="s">
        <v>205</v>
      </c>
      <c r="CP32" s="64"/>
      <c r="CQ32" s="113"/>
      <c r="CR32" s="114"/>
      <c r="CS32" s="114"/>
      <c r="CT32" s="121"/>
      <c r="CU32" s="6"/>
      <c r="CV32" s="77"/>
      <c r="CW32" s="5"/>
      <c r="CX32" s="5"/>
      <c r="CY32" s="13"/>
      <c r="CZ32" s="6"/>
      <c r="DA32" s="77"/>
      <c r="DB32" s="5"/>
      <c r="DC32" s="5"/>
      <c r="DD32" s="13"/>
      <c r="DE32" s="6"/>
      <c r="DF32" s="77"/>
      <c r="DG32" s="5"/>
      <c r="DH32" s="5"/>
      <c r="DI32" s="17"/>
      <c r="DJ32" s="172" t="s">
        <v>198</v>
      </c>
      <c r="DK32" s="18"/>
      <c r="DL32" s="5"/>
      <c r="DM32" s="5"/>
      <c r="DN32" s="13"/>
      <c r="DO32" s="5"/>
      <c r="DP32" s="5"/>
      <c r="DQ32" s="5"/>
      <c r="DR32" s="13"/>
      <c r="DS32" s="5"/>
      <c r="DT32" s="5"/>
      <c r="DU32" s="5"/>
      <c r="DV32" s="13"/>
      <c r="DW32" s="5"/>
      <c r="DX32" s="5"/>
      <c r="DY32" s="5"/>
      <c r="DZ32" s="13"/>
      <c r="EA32" s="5"/>
      <c r="EB32" s="5"/>
      <c r="EC32" s="5"/>
      <c r="ED32" s="13"/>
      <c r="EE32" s="5"/>
      <c r="EF32" s="5"/>
      <c r="EG32" s="5"/>
      <c r="EH32" s="13"/>
      <c r="EI32" s="6" t="s">
        <v>373</v>
      </c>
      <c r="EJ32" s="14" t="s">
        <v>374</v>
      </c>
      <c r="EK32" s="67" t="s">
        <v>364</v>
      </c>
      <c r="EL32" s="117" t="s">
        <v>214</v>
      </c>
      <c r="EM32" s="144" t="s">
        <v>210</v>
      </c>
      <c r="EN32" s="56" t="s">
        <v>368</v>
      </c>
      <c r="EO32" s="181" t="s">
        <v>301</v>
      </c>
      <c r="EP32" s="5"/>
      <c r="EQ32" s="182" t="s">
        <v>302</v>
      </c>
      <c r="ER32" s="138"/>
      <c r="ES32" s="6"/>
      <c r="ET32" s="5"/>
      <c r="EU32" s="5"/>
      <c r="EV32" s="5"/>
      <c r="EW32" s="5"/>
      <c r="EX32" s="8"/>
      <c r="EY32" s="6"/>
      <c r="EZ32" s="5"/>
      <c r="FA32" s="5"/>
      <c r="FB32" s="8"/>
      <c r="FC32" s="117" t="s">
        <v>303</v>
      </c>
      <c r="FD32" s="176" t="s">
        <v>198</v>
      </c>
      <c r="FE32" s="176" t="s">
        <v>210</v>
      </c>
      <c r="FF32" s="119" t="s">
        <v>217</v>
      </c>
      <c r="FG32" s="110" t="s">
        <v>218</v>
      </c>
      <c r="FH32" s="123" t="s">
        <v>219</v>
      </c>
      <c r="FI32" s="59"/>
      <c r="FJ32" s="58"/>
      <c r="FK32" s="6"/>
      <c r="FL32" s="10"/>
      <c r="FM32" s="6"/>
      <c r="FN32" s="8"/>
      <c r="FO32" s="126" t="s">
        <v>221</v>
      </c>
      <c r="FP32" s="120"/>
      <c r="FQ32" s="59" t="s">
        <v>223</v>
      </c>
      <c r="FR32" s="55"/>
      <c r="FS32" s="56"/>
      <c r="FT32" s="9" t="s">
        <v>371</v>
      </c>
      <c r="FU32" s="168">
        <v>90</v>
      </c>
      <c r="FV32" s="5" t="s">
        <v>470</v>
      </c>
      <c r="FW32" s="5"/>
      <c r="FX32" s="196" t="s">
        <v>470</v>
      </c>
      <c r="FY32" s="6" t="s">
        <v>286</v>
      </c>
      <c r="FZ32" s="168">
        <v>80</v>
      </c>
      <c r="GA32" s="173" t="s">
        <v>469</v>
      </c>
      <c r="GB32" s="5" t="s">
        <v>291</v>
      </c>
      <c r="GC32" s="192" t="s">
        <v>470</v>
      </c>
      <c r="GD32" s="6" t="s">
        <v>367</v>
      </c>
      <c r="GE32" s="147">
        <v>70</v>
      </c>
      <c r="GF32" s="5" t="s">
        <v>470</v>
      </c>
      <c r="GG32" s="5"/>
      <c r="GH32" s="170" t="s">
        <v>470</v>
      </c>
      <c r="GI32" s="6"/>
      <c r="GJ32" s="184"/>
      <c r="GK32" s="169"/>
      <c r="GL32" s="5"/>
      <c r="GM32" s="170"/>
      <c r="GN32" s="169"/>
      <c r="GO32" s="184"/>
      <c r="GP32" s="169"/>
      <c r="GQ32" s="5"/>
      <c r="GR32" s="170"/>
      <c r="GS32" s="6"/>
      <c r="GT32" s="147"/>
      <c r="GU32" s="5"/>
      <c r="GV32" s="5"/>
      <c r="GW32" s="170"/>
      <c r="GX32" s="6"/>
      <c r="GY32" s="147"/>
      <c r="GZ32" s="5"/>
      <c r="HA32" s="5"/>
      <c r="HB32" s="170"/>
      <c r="HC32" s="6"/>
      <c r="HD32" s="147"/>
      <c r="HE32" s="79"/>
      <c r="HF32" s="5"/>
      <c r="HG32" s="196"/>
      <c r="HH32" s="6"/>
      <c r="HI32" s="147"/>
      <c r="HJ32" s="5"/>
      <c r="HK32" s="5"/>
      <c r="HL32" s="196"/>
      <c r="HM32" s="6"/>
      <c r="HN32" s="4"/>
      <c r="HO32" s="5"/>
      <c r="HP32" s="5"/>
      <c r="HQ32" s="196"/>
      <c r="HR32" s="6"/>
      <c r="HS32" s="147"/>
      <c r="HT32" s="5"/>
      <c r="HU32" s="5"/>
      <c r="HV32" s="196"/>
      <c r="HW32" s="6"/>
      <c r="HX32" s="4"/>
      <c r="HY32" s="5"/>
      <c r="HZ32" s="5"/>
      <c r="IA32" s="196"/>
      <c r="IB32" s="6"/>
      <c r="IC32" s="5"/>
      <c r="ID32" s="5"/>
      <c r="IE32" s="5"/>
      <c r="IF32" s="196"/>
      <c r="IG32" s="6"/>
      <c r="IH32" s="5"/>
      <c r="II32" s="5"/>
      <c r="IJ32" s="5"/>
      <c r="IK32" s="196"/>
      <c r="IL32" s="6"/>
      <c r="IM32" s="5"/>
      <c r="IN32" s="5"/>
      <c r="IO32" s="5"/>
      <c r="IP32" s="196"/>
      <c r="IQ32" s="6"/>
      <c r="IR32" s="5"/>
      <c r="IS32" s="5"/>
      <c r="IT32" s="5"/>
      <c r="IU32" s="196"/>
      <c r="IV32" s="6"/>
      <c r="IW32" s="5"/>
      <c r="IX32" s="5"/>
      <c r="IY32" s="5"/>
      <c r="IZ32" s="196"/>
      <c r="JA32" s="6"/>
      <c r="JB32" s="5"/>
      <c r="JC32" s="5"/>
      <c r="JD32" s="5"/>
      <c r="JE32" s="196"/>
      <c r="JF32" s="6"/>
      <c r="JG32" s="5"/>
      <c r="JH32" s="5"/>
      <c r="JI32" s="5"/>
      <c r="JJ32" s="196"/>
      <c r="JK32" s="6"/>
      <c r="JL32" s="5"/>
      <c r="JM32" s="5"/>
      <c r="JN32" s="5"/>
      <c r="JO32" s="196"/>
    </row>
    <row r="33" spans="1:275" ht="17.25" customHeight="1">
      <c r="A33" s="12">
        <v>12712</v>
      </c>
      <c r="B33" s="5" t="s">
        <v>382</v>
      </c>
      <c r="C33" s="137"/>
      <c r="D33" s="142"/>
      <c r="E33" s="130"/>
      <c r="F33" s="9"/>
      <c r="G33" s="55"/>
      <c r="H33" s="55"/>
      <c r="I33" s="58"/>
      <c r="J33" s="55"/>
      <c r="K33" s="55"/>
      <c r="L33" s="57"/>
      <c r="M33" s="55"/>
      <c r="N33" s="55"/>
      <c r="O33" s="58"/>
      <c r="P33" s="7"/>
      <c r="Q33" s="5"/>
      <c r="R33" s="8"/>
      <c r="S33" s="9"/>
      <c r="T33" s="5" t="s">
        <v>202</v>
      </c>
      <c r="U33" s="5" t="s">
        <v>383</v>
      </c>
      <c r="V33" s="5" t="s">
        <v>384</v>
      </c>
      <c r="W33" s="55"/>
      <c r="X33" s="56"/>
      <c r="Y33" s="54" t="s">
        <v>198</v>
      </c>
      <c r="Z33" s="55" t="s">
        <v>198</v>
      </c>
      <c r="AA33" s="55" t="s">
        <v>198</v>
      </c>
      <c r="AB33" s="55" t="s">
        <v>198</v>
      </c>
      <c r="AC33" s="55" t="s">
        <v>198</v>
      </c>
      <c r="AD33" s="55" t="s">
        <v>198</v>
      </c>
      <c r="AE33" s="55" t="s">
        <v>198</v>
      </c>
      <c r="AF33" s="55" t="s">
        <v>210</v>
      </c>
      <c r="AG33" s="55" t="s">
        <v>210</v>
      </c>
      <c r="AH33" s="55" t="s">
        <v>198</v>
      </c>
      <c r="AI33" s="55" t="s">
        <v>198</v>
      </c>
      <c r="AJ33" s="55" t="s">
        <v>198</v>
      </c>
      <c r="AK33" s="55" t="s">
        <v>198</v>
      </c>
      <c r="AL33" s="58"/>
      <c r="AM33" s="59" t="s">
        <v>198</v>
      </c>
      <c r="AN33" s="55" t="s">
        <v>198</v>
      </c>
      <c r="AO33" s="55" t="s">
        <v>198</v>
      </c>
      <c r="AP33" s="55" t="s">
        <v>198</v>
      </c>
      <c r="AQ33" s="55" t="s">
        <v>198</v>
      </c>
      <c r="AR33" s="55" t="s">
        <v>198</v>
      </c>
      <c r="AS33" s="55" t="s">
        <v>198</v>
      </c>
      <c r="AT33" s="55" t="s">
        <v>198</v>
      </c>
      <c r="AU33" s="55" t="s">
        <v>198</v>
      </c>
      <c r="AV33" s="56"/>
      <c r="AW33" s="55" t="s">
        <v>385</v>
      </c>
      <c r="AX33" s="5"/>
      <c r="AY33" s="5"/>
      <c r="AZ33" s="55"/>
      <c r="BA33" s="5"/>
      <c r="BB33" s="5"/>
      <c r="BC33" s="5"/>
      <c r="BD33" s="5"/>
      <c r="BE33" s="5"/>
      <c r="BF33" s="8"/>
      <c r="BG33" s="6" t="s">
        <v>197</v>
      </c>
      <c r="BH33" s="5" t="s">
        <v>199</v>
      </c>
      <c r="BI33" s="5" t="s">
        <v>339</v>
      </c>
      <c r="BJ33" s="5" t="s">
        <v>294</v>
      </c>
      <c r="BK33" s="5" t="s">
        <v>198</v>
      </c>
      <c r="BL33" s="5" t="s">
        <v>198</v>
      </c>
      <c r="BM33" s="8" t="s">
        <v>198</v>
      </c>
      <c r="BN33" s="6"/>
      <c r="BO33" s="14">
        <v>1160</v>
      </c>
      <c r="BP33" s="14">
        <v>281</v>
      </c>
      <c r="BQ33" s="71">
        <v>29</v>
      </c>
      <c r="BR33" s="140">
        <v>3.3</v>
      </c>
      <c r="BS33" s="140">
        <v>4.0999999999999996</v>
      </c>
      <c r="BT33" s="140">
        <v>2.5</v>
      </c>
      <c r="BU33" s="140">
        <v>0.9</v>
      </c>
      <c r="BV33" s="140">
        <v>2.1</v>
      </c>
      <c r="BW33" s="140">
        <v>0.2</v>
      </c>
      <c r="BX33" s="147">
        <f t="shared" ref="BX33" si="13">BV33/2.5</f>
        <v>0.84000000000000008</v>
      </c>
      <c r="BY33" s="60" t="s">
        <v>202</v>
      </c>
      <c r="BZ33" s="67" t="s">
        <v>203</v>
      </c>
      <c r="CA33" s="54" t="s">
        <v>208</v>
      </c>
      <c r="CB33" s="61">
        <v>4</v>
      </c>
      <c r="CC33" s="55" t="s">
        <v>231</v>
      </c>
      <c r="CD33" s="110" t="s">
        <v>204</v>
      </c>
      <c r="CE33" s="63" t="s">
        <v>205</v>
      </c>
      <c r="CF33" s="111" t="s">
        <v>207</v>
      </c>
      <c r="CG33" s="183">
        <v>0.8</v>
      </c>
      <c r="CH33" s="55" t="s">
        <v>256</v>
      </c>
      <c r="CI33" s="110" t="s">
        <v>206</v>
      </c>
      <c r="CJ33" s="112" t="s">
        <v>205</v>
      </c>
      <c r="CK33" s="111" t="s">
        <v>209</v>
      </c>
      <c r="CL33" s="186">
        <v>2.1</v>
      </c>
      <c r="CM33" s="188" t="s">
        <v>231</v>
      </c>
      <c r="CN33" s="115" t="s">
        <v>206</v>
      </c>
      <c r="CO33" s="121" t="s">
        <v>205</v>
      </c>
      <c r="CP33" s="64" t="s">
        <v>386</v>
      </c>
      <c r="CQ33" s="113">
        <v>1600</v>
      </c>
      <c r="CR33" s="114" t="s">
        <v>403</v>
      </c>
      <c r="CS33" s="114" t="s">
        <v>206</v>
      </c>
      <c r="CT33" s="121" t="s">
        <v>205</v>
      </c>
      <c r="CU33" s="6"/>
      <c r="CV33" s="77"/>
      <c r="CW33" s="5"/>
      <c r="CX33" s="5"/>
      <c r="CY33" s="13"/>
      <c r="CZ33" s="6"/>
      <c r="DA33" s="77"/>
      <c r="DB33" s="5"/>
      <c r="DC33" s="5"/>
      <c r="DD33" s="13"/>
      <c r="DE33" s="6"/>
      <c r="DF33" s="77"/>
      <c r="DG33" s="5"/>
      <c r="DH33" s="5"/>
      <c r="DI33" s="17"/>
      <c r="DJ33" s="143" t="s">
        <v>210</v>
      </c>
      <c r="DK33" s="18"/>
      <c r="DL33" s="5"/>
      <c r="DM33" s="5"/>
      <c r="DN33" s="13"/>
      <c r="DO33" s="5"/>
      <c r="DP33" s="5"/>
      <c r="DQ33" s="5"/>
      <c r="DR33" s="13"/>
      <c r="DS33" s="5"/>
      <c r="DT33" s="5"/>
      <c r="DU33" s="5"/>
      <c r="DV33" s="13"/>
      <c r="DW33" s="5"/>
      <c r="DX33" s="5"/>
      <c r="DY33" s="5"/>
      <c r="DZ33" s="13"/>
      <c r="EA33" s="5"/>
      <c r="EB33" s="5"/>
      <c r="EC33" s="5"/>
      <c r="ED33" s="13"/>
      <c r="EE33" s="5"/>
      <c r="EF33" s="5"/>
      <c r="EG33" s="5"/>
      <c r="EH33" s="13"/>
      <c r="EI33" s="6" t="s">
        <v>387</v>
      </c>
      <c r="EJ33" s="14" t="s">
        <v>319</v>
      </c>
      <c r="EK33" s="67" t="s">
        <v>388</v>
      </c>
      <c r="EL33" s="117" t="s">
        <v>214</v>
      </c>
      <c r="EM33" s="144" t="s">
        <v>210</v>
      </c>
      <c r="EN33" s="56" t="s">
        <v>300</v>
      </c>
      <c r="EO33" s="180" t="s">
        <v>389</v>
      </c>
      <c r="EP33" s="5"/>
      <c r="EQ33" s="174" t="s">
        <v>358</v>
      </c>
      <c r="ER33" s="138"/>
      <c r="ES33" s="6"/>
      <c r="ET33" s="5"/>
      <c r="EU33" s="5"/>
      <c r="EV33" s="5"/>
      <c r="EW33" s="5"/>
      <c r="EX33" s="8"/>
      <c r="EY33" s="6"/>
      <c r="EZ33" s="5"/>
      <c r="FA33" s="5"/>
      <c r="FB33" s="8"/>
      <c r="FC33" s="117" t="s">
        <v>303</v>
      </c>
      <c r="FD33" s="19" t="s">
        <v>198</v>
      </c>
      <c r="FE33" s="19" t="s">
        <v>210</v>
      </c>
      <c r="FF33" s="119" t="s">
        <v>217</v>
      </c>
      <c r="FG33" s="110" t="s">
        <v>218</v>
      </c>
      <c r="FH33" s="123" t="s">
        <v>219</v>
      </c>
      <c r="FI33" s="59"/>
      <c r="FJ33" s="58"/>
      <c r="FK33" s="6"/>
      <c r="FL33" s="10"/>
      <c r="FM33" s="6"/>
      <c r="FN33" s="8"/>
      <c r="FO33" s="126" t="s">
        <v>221</v>
      </c>
      <c r="FP33" s="120" t="s">
        <v>222</v>
      </c>
      <c r="FQ33" s="59" t="s">
        <v>223</v>
      </c>
      <c r="FR33" s="55"/>
      <c r="FS33" s="56"/>
      <c r="FT33" s="9" t="s">
        <v>228</v>
      </c>
      <c r="FU33" s="168">
        <v>90</v>
      </c>
      <c r="FV33" s="5" t="s">
        <v>470</v>
      </c>
      <c r="FW33" s="5" t="s">
        <v>291</v>
      </c>
      <c r="FX33" s="196" t="s">
        <v>470</v>
      </c>
      <c r="FY33" s="6" t="s">
        <v>287</v>
      </c>
      <c r="FZ33" s="168">
        <v>80</v>
      </c>
      <c r="GA33" s="5" t="s">
        <v>470</v>
      </c>
      <c r="GB33" s="5" t="s">
        <v>290</v>
      </c>
      <c r="GC33" s="192" t="s">
        <v>470</v>
      </c>
      <c r="GD33" s="6" t="s">
        <v>318</v>
      </c>
      <c r="GE33" s="147">
        <v>70</v>
      </c>
      <c r="GF33" s="5" t="s">
        <v>470</v>
      </c>
      <c r="GG33" s="5" t="s">
        <v>291</v>
      </c>
      <c r="GH33" s="170" t="s">
        <v>470</v>
      </c>
      <c r="GI33" s="6"/>
      <c r="GJ33" s="184"/>
      <c r="GK33" s="169"/>
      <c r="GL33" s="5"/>
      <c r="GM33" s="170"/>
      <c r="GN33" s="169"/>
      <c r="GO33" s="184"/>
      <c r="GP33" s="169"/>
      <c r="GQ33" s="5"/>
      <c r="GR33" s="170"/>
      <c r="GS33" s="6"/>
      <c r="GT33" s="147"/>
      <c r="GU33" s="5"/>
      <c r="GV33" s="5"/>
      <c r="GW33" s="170"/>
      <c r="GX33" s="6"/>
      <c r="GY33" s="147"/>
      <c r="GZ33" s="5"/>
      <c r="HA33" s="5"/>
      <c r="HB33" s="170"/>
      <c r="HC33" s="6"/>
      <c r="HD33" s="147"/>
      <c r="HE33" s="79"/>
      <c r="HF33" s="5"/>
      <c r="HG33" s="196"/>
      <c r="HH33" s="6"/>
      <c r="HI33" s="147"/>
      <c r="HJ33" s="5"/>
      <c r="HK33" s="5"/>
      <c r="HL33" s="196"/>
      <c r="HM33" s="6"/>
      <c r="HN33" s="4"/>
      <c r="HO33" s="5"/>
      <c r="HP33" s="5"/>
      <c r="HQ33" s="196"/>
      <c r="HR33" s="6"/>
      <c r="HS33" s="147"/>
      <c r="HT33" s="5"/>
      <c r="HU33" s="5"/>
      <c r="HV33" s="196"/>
      <c r="HW33" s="6"/>
      <c r="HX33" s="4"/>
      <c r="HY33" s="5"/>
      <c r="HZ33" s="5"/>
      <c r="IA33" s="196"/>
      <c r="IB33" s="6"/>
      <c r="IC33" s="5"/>
      <c r="ID33" s="5"/>
      <c r="IE33" s="5"/>
      <c r="IF33" s="196"/>
      <c r="IG33" s="6"/>
      <c r="IH33" s="5"/>
      <c r="II33" s="5"/>
      <c r="IJ33" s="5"/>
      <c r="IK33" s="196"/>
      <c r="IL33" s="6"/>
      <c r="IM33" s="5"/>
      <c r="IN33" s="5"/>
      <c r="IO33" s="5"/>
      <c r="IP33" s="196"/>
      <c r="IQ33" s="6"/>
      <c r="IR33" s="5"/>
      <c r="IS33" s="5"/>
      <c r="IT33" s="5"/>
      <c r="IU33" s="196"/>
      <c r="IV33" s="6"/>
      <c r="IW33" s="5"/>
      <c r="IX33" s="5"/>
      <c r="IY33" s="5"/>
      <c r="IZ33" s="196"/>
      <c r="JA33" s="6"/>
      <c r="JB33" s="5"/>
      <c r="JC33" s="5"/>
      <c r="JD33" s="5"/>
      <c r="JE33" s="196"/>
      <c r="JF33" s="6"/>
      <c r="JG33" s="5"/>
      <c r="JH33" s="5"/>
      <c r="JI33" s="5"/>
      <c r="JJ33" s="196"/>
      <c r="JK33" s="6"/>
      <c r="JL33" s="5"/>
      <c r="JM33" s="5"/>
      <c r="JN33" s="5"/>
      <c r="JO33" s="196"/>
    </row>
    <row r="34" spans="1:275" ht="17.25" customHeight="1">
      <c r="A34" s="12">
        <v>12713</v>
      </c>
      <c r="B34" s="5" t="s">
        <v>390</v>
      </c>
      <c r="C34" s="137"/>
      <c r="D34" s="142"/>
      <c r="E34" s="130"/>
      <c r="F34" s="9"/>
      <c r="G34" s="55"/>
      <c r="H34" s="55"/>
      <c r="I34" s="58"/>
      <c r="J34" s="55"/>
      <c r="K34" s="55"/>
      <c r="L34" s="57"/>
      <c r="M34" s="55"/>
      <c r="N34" s="55"/>
      <c r="O34" s="58"/>
      <c r="P34" s="7"/>
      <c r="Q34" s="5"/>
      <c r="R34" s="8"/>
      <c r="S34" s="9"/>
      <c r="T34" s="5" t="s">
        <v>202</v>
      </c>
      <c r="U34" s="5" t="s">
        <v>383</v>
      </c>
      <c r="V34" s="5" t="s">
        <v>384</v>
      </c>
      <c r="W34" s="55"/>
      <c r="X34" s="56"/>
      <c r="Y34" s="54" t="s">
        <v>198</v>
      </c>
      <c r="Z34" s="55" t="s">
        <v>198</v>
      </c>
      <c r="AA34" s="55" t="s">
        <v>198</v>
      </c>
      <c r="AB34" s="55" t="s">
        <v>198</v>
      </c>
      <c r="AC34" s="55" t="s">
        <v>198</v>
      </c>
      <c r="AD34" s="55" t="s">
        <v>198</v>
      </c>
      <c r="AE34" s="55" t="s">
        <v>198</v>
      </c>
      <c r="AF34" s="55" t="s">
        <v>210</v>
      </c>
      <c r="AG34" s="55" t="s">
        <v>210</v>
      </c>
      <c r="AH34" s="55" t="s">
        <v>198</v>
      </c>
      <c r="AI34" s="55" t="s">
        <v>198</v>
      </c>
      <c r="AJ34" s="55" t="s">
        <v>198</v>
      </c>
      <c r="AK34" s="55" t="s">
        <v>198</v>
      </c>
      <c r="AL34" s="58"/>
      <c r="AM34" s="59" t="s">
        <v>198</v>
      </c>
      <c r="AN34" s="55" t="s">
        <v>198</v>
      </c>
      <c r="AO34" s="55" t="s">
        <v>198</v>
      </c>
      <c r="AP34" s="55" t="s">
        <v>198</v>
      </c>
      <c r="AQ34" s="55" t="s">
        <v>198</v>
      </c>
      <c r="AR34" s="55" t="s">
        <v>198</v>
      </c>
      <c r="AS34" s="55" t="s">
        <v>198</v>
      </c>
      <c r="AT34" s="55" t="s">
        <v>198</v>
      </c>
      <c r="AU34" s="55" t="s">
        <v>198</v>
      </c>
      <c r="AV34" s="56"/>
      <c r="AW34" s="55" t="s">
        <v>385</v>
      </c>
      <c r="AX34" s="5"/>
      <c r="AY34" s="5"/>
      <c r="AZ34" s="55"/>
      <c r="BA34" s="5"/>
      <c r="BB34" s="5"/>
      <c r="BC34" s="5"/>
      <c r="BD34" s="5"/>
      <c r="BE34" s="5"/>
      <c r="BF34" s="8"/>
      <c r="BG34" s="6" t="s">
        <v>197</v>
      </c>
      <c r="BH34" s="5" t="s">
        <v>199</v>
      </c>
      <c r="BI34" s="5" t="s">
        <v>339</v>
      </c>
      <c r="BJ34" s="5" t="s">
        <v>294</v>
      </c>
      <c r="BK34" s="5" t="s">
        <v>198</v>
      </c>
      <c r="BL34" s="5" t="s">
        <v>198</v>
      </c>
      <c r="BM34" s="8" t="s">
        <v>198</v>
      </c>
      <c r="BN34" s="6"/>
      <c r="BO34" s="14">
        <v>1160</v>
      </c>
      <c r="BP34" s="14">
        <v>281</v>
      </c>
      <c r="BQ34" s="71">
        <v>29</v>
      </c>
      <c r="BR34" s="140">
        <v>3.3</v>
      </c>
      <c r="BS34" s="140">
        <v>4.0999999999999996</v>
      </c>
      <c r="BT34" s="140">
        <v>2.5</v>
      </c>
      <c r="BU34" s="140">
        <v>0.9</v>
      </c>
      <c r="BV34" s="140">
        <v>2.1</v>
      </c>
      <c r="BW34" s="140">
        <v>0.2</v>
      </c>
      <c r="BX34" s="147">
        <f t="shared" ref="BX34" si="14">BV34/2.5</f>
        <v>0.84000000000000008</v>
      </c>
      <c r="BY34" s="60" t="s">
        <v>202</v>
      </c>
      <c r="BZ34" s="67" t="s">
        <v>203</v>
      </c>
      <c r="CA34" s="54" t="s">
        <v>208</v>
      </c>
      <c r="CB34" s="61">
        <v>4</v>
      </c>
      <c r="CC34" s="55" t="s">
        <v>231</v>
      </c>
      <c r="CD34" s="110" t="s">
        <v>204</v>
      </c>
      <c r="CE34" s="63" t="s">
        <v>205</v>
      </c>
      <c r="CF34" s="111" t="s">
        <v>207</v>
      </c>
      <c r="CG34" s="183">
        <v>0.8</v>
      </c>
      <c r="CH34" s="55" t="s">
        <v>256</v>
      </c>
      <c r="CI34" s="110" t="s">
        <v>206</v>
      </c>
      <c r="CJ34" s="112" t="s">
        <v>205</v>
      </c>
      <c r="CK34" s="111" t="s">
        <v>209</v>
      </c>
      <c r="CL34" s="186">
        <v>2.1</v>
      </c>
      <c r="CM34" s="188" t="s">
        <v>231</v>
      </c>
      <c r="CN34" s="115" t="s">
        <v>206</v>
      </c>
      <c r="CO34" s="121" t="s">
        <v>205</v>
      </c>
      <c r="CP34" s="64" t="s">
        <v>386</v>
      </c>
      <c r="CQ34" s="113">
        <v>1600</v>
      </c>
      <c r="CR34" s="114" t="s">
        <v>403</v>
      </c>
      <c r="CS34" s="114" t="s">
        <v>206</v>
      </c>
      <c r="CT34" s="121" t="s">
        <v>205</v>
      </c>
      <c r="CU34" s="6"/>
      <c r="CV34" s="77"/>
      <c r="CW34" s="5"/>
      <c r="CX34" s="5"/>
      <c r="CY34" s="13"/>
      <c r="CZ34" s="6"/>
      <c r="DA34" s="77"/>
      <c r="DB34" s="5"/>
      <c r="DC34" s="5"/>
      <c r="DD34" s="13"/>
      <c r="DE34" s="6"/>
      <c r="DF34" s="77"/>
      <c r="DG34" s="5"/>
      <c r="DH34" s="5"/>
      <c r="DI34" s="17"/>
      <c r="DJ34" s="143" t="s">
        <v>210</v>
      </c>
      <c r="DK34" s="18"/>
      <c r="DL34" s="5"/>
      <c r="DM34" s="5"/>
      <c r="DN34" s="13"/>
      <c r="DO34" s="5"/>
      <c r="DP34" s="5"/>
      <c r="DQ34" s="5"/>
      <c r="DR34" s="13"/>
      <c r="DS34" s="5"/>
      <c r="DT34" s="5"/>
      <c r="DU34" s="5"/>
      <c r="DV34" s="13"/>
      <c r="DW34" s="5"/>
      <c r="DX34" s="5"/>
      <c r="DY34" s="5"/>
      <c r="DZ34" s="13"/>
      <c r="EA34" s="5"/>
      <c r="EB34" s="5"/>
      <c r="EC34" s="5"/>
      <c r="ED34" s="13"/>
      <c r="EE34" s="5"/>
      <c r="EF34" s="5"/>
      <c r="EG34" s="5"/>
      <c r="EH34" s="13"/>
      <c r="EI34" s="6" t="s">
        <v>387</v>
      </c>
      <c r="EJ34" s="14" t="s">
        <v>319</v>
      </c>
      <c r="EK34" s="67" t="s">
        <v>388</v>
      </c>
      <c r="EL34" s="117" t="s">
        <v>214</v>
      </c>
      <c r="EM34" s="144" t="s">
        <v>210</v>
      </c>
      <c r="EN34" s="56" t="s">
        <v>300</v>
      </c>
      <c r="EO34" s="181" t="s">
        <v>301</v>
      </c>
      <c r="EP34" s="5"/>
      <c r="EQ34" s="182" t="s">
        <v>302</v>
      </c>
      <c r="ER34" s="138"/>
      <c r="ES34" s="6"/>
      <c r="ET34" s="5"/>
      <c r="EU34" s="5"/>
      <c r="EV34" s="5"/>
      <c r="EW34" s="5"/>
      <c r="EX34" s="8"/>
      <c r="EY34" s="6"/>
      <c r="EZ34" s="5"/>
      <c r="FA34" s="5"/>
      <c r="FB34" s="8"/>
      <c r="FC34" s="117" t="s">
        <v>303</v>
      </c>
      <c r="FD34" s="19" t="s">
        <v>198</v>
      </c>
      <c r="FE34" s="19" t="s">
        <v>210</v>
      </c>
      <c r="FF34" s="119" t="s">
        <v>217</v>
      </c>
      <c r="FG34" s="110" t="s">
        <v>218</v>
      </c>
      <c r="FH34" s="123" t="s">
        <v>219</v>
      </c>
      <c r="FI34" s="59"/>
      <c r="FJ34" s="58"/>
      <c r="FK34" s="6"/>
      <c r="FL34" s="10"/>
      <c r="FM34" s="6"/>
      <c r="FN34" s="8"/>
      <c r="FO34" s="126" t="s">
        <v>221</v>
      </c>
      <c r="FP34" s="120" t="s">
        <v>222</v>
      </c>
      <c r="FQ34" s="59" t="s">
        <v>223</v>
      </c>
      <c r="FR34" s="55"/>
      <c r="FS34" s="56"/>
      <c r="FT34" s="9" t="s">
        <v>228</v>
      </c>
      <c r="FU34" s="168">
        <v>90</v>
      </c>
      <c r="FV34" s="5" t="s">
        <v>470</v>
      </c>
      <c r="FW34" s="5" t="s">
        <v>291</v>
      </c>
      <c r="FX34" s="196" t="s">
        <v>470</v>
      </c>
      <c r="FY34" s="6" t="s">
        <v>287</v>
      </c>
      <c r="FZ34" s="168">
        <v>80</v>
      </c>
      <c r="GA34" s="5" t="s">
        <v>470</v>
      </c>
      <c r="GB34" s="5" t="s">
        <v>290</v>
      </c>
      <c r="GC34" s="192" t="s">
        <v>470</v>
      </c>
      <c r="GD34" s="6" t="s">
        <v>318</v>
      </c>
      <c r="GE34" s="147">
        <v>70</v>
      </c>
      <c r="GF34" s="5" t="s">
        <v>470</v>
      </c>
      <c r="GG34" s="5" t="s">
        <v>291</v>
      </c>
      <c r="GH34" s="170" t="s">
        <v>470</v>
      </c>
      <c r="GI34" s="6"/>
      <c r="GJ34" s="184"/>
      <c r="GK34" s="169"/>
      <c r="GL34" s="5"/>
      <c r="GM34" s="170"/>
      <c r="GN34" s="169"/>
      <c r="GO34" s="184"/>
      <c r="GP34" s="169"/>
      <c r="GQ34" s="5"/>
      <c r="GR34" s="170"/>
      <c r="GS34" s="6"/>
      <c r="GT34" s="147"/>
      <c r="GU34" s="5"/>
      <c r="GV34" s="5"/>
      <c r="GW34" s="170"/>
      <c r="GX34" s="6"/>
      <c r="GY34" s="147"/>
      <c r="GZ34" s="5"/>
      <c r="HA34" s="5"/>
      <c r="HB34" s="170"/>
      <c r="HC34" s="6"/>
      <c r="HD34" s="147"/>
      <c r="HE34" s="79"/>
      <c r="HF34" s="5"/>
      <c r="HG34" s="196"/>
      <c r="HH34" s="6"/>
      <c r="HI34" s="147"/>
      <c r="HJ34" s="5"/>
      <c r="HK34" s="5"/>
      <c r="HL34" s="196"/>
      <c r="HM34" s="6"/>
      <c r="HN34" s="4"/>
      <c r="HO34" s="5"/>
      <c r="HP34" s="5"/>
      <c r="HQ34" s="196"/>
      <c r="HR34" s="6"/>
      <c r="HS34" s="147"/>
      <c r="HT34" s="5"/>
      <c r="HU34" s="5"/>
      <c r="HV34" s="196"/>
      <c r="HW34" s="6"/>
      <c r="HX34" s="4"/>
      <c r="HY34" s="5"/>
      <c r="HZ34" s="5"/>
      <c r="IA34" s="196"/>
      <c r="IB34" s="6"/>
      <c r="IC34" s="5"/>
      <c r="ID34" s="5"/>
      <c r="IE34" s="5"/>
      <c r="IF34" s="196"/>
      <c r="IG34" s="6"/>
      <c r="IH34" s="5"/>
      <c r="II34" s="5"/>
      <c r="IJ34" s="5"/>
      <c r="IK34" s="196"/>
      <c r="IL34" s="6"/>
      <c r="IM34" s="5"/>
      <c r="IN34" s="5"/>
      <c r="IO34" s="5"/>
      <c r="IP34" s="196"/>
      <c r="IQ34" s="6"/>
      <c r="IR34" s="5"/>
      <c r="IS34" s="5"/>
      <c r="IT34" s="5"/>
      <c r="IU34" s="196"/>
      <c r="IV34" s="6"/>
      <c r="IW34" s="5"/>
      <c r="IX34" s="5"/>
      <c r="IY34" s="5"/>
      <c r="IZ34" s="196"/>
      <c r="JA34" s="6"/>
      <c r="JB34" s="5"/>
      <c r="JC34" s="5"/>
      <c r="JD34" s="5"/>
      <c r="JE34" s="196"/>
      <c r="JF34" s="6"/>
      <c r="JG34" s="5"/>
      <c r="JH34" s="5"/>
      <c r="JI34" s="5"/>
      <c r="JJ34" s="196"/>
      <c r="JK34" s="6"/>
      <c r="JL34" s="5"/>
      <c r="JM34" s="5"/>
      <c r="JN34" s="5"/>
      <c r="JO34" s="196"/>
    </row>
  </sheetData>
  <autoFilter ref="A3:JO34">
    <filterColumn colId="0"/>
  </autoFilter>
  <mergeCells count="43">
    <mergeCell ref="JK2:JO2"/>
    <mergeCell ref="IL2:IP2"/>
    <mergeCell ref="IQ2:IU2"/>
    <mergeCell ref="IV2:IZ2"/>
    <mergeCell ref="JA2:JE2"/>
    <mergeCell ref="JF2:JJ2"/>
    <mergeCell ref="HM2:HQ2"/>
    <mergeCell ref="HR2:HV2"/>
    <mergeCell ref="HW2:IA2"/>
    <mergeCell ref="IB2:IF2"/>
    <mergeCell ref="IG2:IK2"/>
    <mergeCell ref="GI2:GM2"/>
    <mergeCell ref="GN2:GR2"/>
    <mergeCell ref="GS2:GW2"/>
    <mergeCell ref="GX2:HB2"/>
    <mergeCell ref="FC2:FH2"/>
    <mergeCell ref="FC1:FN1"/>
    <mergeCell ref="FI2:FJ2"/>
    <mergeCell ref="FK2:FL2"/>
    <mergeCell ref="F2:O2"/>
    <mergeCell ref="F1:R1"/>
    <mergeCell ref="S1:X2"/>
    <mergeCell ref="AW1:BF2"/>
    <mergeCell ref="Y1:AV1"/>
    <mergeCell ref="Y2:AL2"/>
    <mergeCell ref="EO1:EX2"/>
    <mergeCell ref="EY1:FB2"/>
    <mergeCell ref="CA2:DI2"/>
    <mergeCell ref="CA1:EK1"/>
    <mergeCell ref="EI2:EK2"/>
    <mergeCell ref="DJ2:EH2"/>
    <mergeCell ref="AM2:AV2"/>
    <mergeCell ref="BG1:BM2"/>
    <mergeCell ref="BN1:BZ2"/>
    <mergeCell ref="P2:R2"/>
    <mergeCell ref="EL1:EN2"/>
    <mergeCell ref="HC2:HG2"/>
    <mergeCell ref="HH2:HL2"/>
    <mergeCell ref="FM2:FN2"/>
    <mergeCell ref="FO1:FS2"/>
    <mergeCell ref="FT2:FX2"/>
    <mergeCell ref="FY2:GC2"/>
    <mergeCell ref="GD2:GH2"/>
  </mergeCells>
  <pageMargins left="0.23622047244094491" right="0.23622047244094491" top="0.74803149606299213" bottom="0.74803149606299213" header="0.31496062992125984" footer="0.31496062992125984"/>
  <pageSetup paperSize="8" scale="38" fitToWidth="2" fitToHeight="0" orientation="landscape" verticalDpi="0" r:id="rId1"/>
</worksheet>
</file>

<file path=xl/worksheets/sheet2.xml><?xml version="1.0" encoding="utf-8"?>
<worksheet xmlns="http://schemas.openxmlformats.org/spreadsheetml/2006/main" xmlns:r="http://schemas.openxmlformats.org/officeDocument/2006/relationships">
  <sheetPr codeName="Feuil2"/>
  <dimension ref="A1:W221"/>
  <sheetViews>
    <sheetView tabSelected="1" zoomScale="115" zoomScaleNormal="115" workbookViewId="0">
      <selection activeCell="E198" sqref="E198"/>
    </sheetView>
  </sheetViews>
  <sheetFormatPr baseColWidth="10" defaultColWidth="11.453125" defaultRowHeight="11.5"/>
  <cols>
    <col min="1" max="1" width="45" style="217" customWidth="1"/>
    <col min="2" max="2" width="11.7265625" style="214" customWidth="1"/>
    <col min="3" max="3" width="2.54296875" style="215" customWidth="1"/>
    <col min="4" max="4" width="7.26953125" style="214" customWidth="1"/>
    <col min="5" max="5" width="18.1796875" style="215" customWidth="1"/>
    <col min="6" max="6" width="17.90625" style="215" customWidth="1"/>
    <col min="7" max="7" width="4.1796875" style="215" customWidth="1"/>
    <col min="8" max="8" width="14.81640625" style="215" customWidth="1"/>
    <col min="9" max="9" width="9.7265625" style="215" customWidth="1"/>
    <col min="10" max="10" width="10.1796875" style="215" customWidth="1"/>
    <col min="11" max="11" width="9.453125" style="215" customWidth="1"/>
    <col min="12" max="12" width="2.453125" style="215" customWidth="1"/>
    <col min="13" max="13" width="7.54296875" style="215" customWidth="1"/>
    <col min="14" max="14" width="2.453125" style="215" customWidth="1"/>
    <col min="15" max="15" width="16.54296875" style="214" customWidth="1"/>
    <col min="16" max="16384" width="11.453125" style="214"/>
  </cols>
  <sheetData>
    <row r="1" spans="1:23">
      <c r="A1" s="249">
        <v>12403</v>
      </c>
      <c r="B1" s="250"/>
      <c r="C1" s="250"/>
      <c r="D1" s="250"/>
      <c r="E1" s="208" t="s">
        <v>455</v>
      </c>
      <c r="F1" s="213">
        <f>VLOOKUP($A$1,BDD!A:JO,4,FALSE)</f>
        <v>0</v>
      </c>
      <c r="G1" s="272"/>
      <c r="H1" s="272"/>
      <c r="I1" s="272"/>
      <c r="J1" s="272"/>
      <c r="K1" s="272"/>
      <c r="L1" s="272"/>
      <c r="M1" s="272"/>
      <c r="N1" s="272" t="s">
        <v>404</v>
      </c>
      <c r="O1" s="272"/>
      <c r="Q1" s="271" t="s">
        <v>473</v>
      </c>
      <c r="R1" s="271"/>
      <c r="S1" s="271"/>
      <c r="T1" s="271"/>
      <c r="U1" s="271"/>
      <c r="V1" s="271"/>
      <c r="W1" s="271"/>
    </row>
    <row r="2" spans="1:23">
      <c r="A2" s="242" t="str">
        <f>VLOOKUP($A$1,BDD!A:JO,2,FALSE)</f>
        <v>Cornichons-Oignons  Bocal 1/1 850 ml  HR</v>
      </c>
      <c r="B2" s="243"/>
      <c r="C2" s="243"/>
      <c r="D2" s="243"/>
      <c r="E2" s="209" t="s">
        <v>456</v>
      </c>
      <c r="F2" s="219">
        <f ca="1">TODAY()</f>
        <v>42375</v>
      </c>
      <c r="G2" s="272"/>
      <c r="H2" s="272"/>
      <c r="I2" s="272"/>
      <c r="J2" s="272"/>
      <c r="K2" s="272"/>
      <c r="L2" s="272"/>
      <c r="M2" s="272"/>
      <c r="N2" s="272" t="s">
        <v>404</v>
      </c>
      <c r="O2" s="272"/>
      <c r="Q2" s="271"/>
      <c r="R2" s="271"/>
      <c r="S2" s="271"/>
      <c r="T2" s="271"/>
      <c r="U2" s="271"/>
      <c r="V2" s="271"/>
      <c r="W2" s="271"/>
    </row>
    <row r="3" spans="1:23" ht="11.5" hidden="1" customHeight="1">
      <c r="A3" s="199"/>
      <c r="B3" s="225"/>
      <c r="C3" s="230"/>
      <c r="D3" s="225"/>
      <c r="E3" s="230"/>
      <c r="F3" s="230"/>
      <c r="G3" s="272"/>
      <c r="H3" s="272"/>
      <c r="I3" s="272"/>
      <c r="J3" s="272"/>
      <c r="K3" s="272"/>
      <c r="L3" s="272"/>
      <c r="M3" s="272"/>
      <c r="N3" s="272"/>
      <c r="O3" s="272"/>
    </row>
    <row r="4" spans="1:23" ht="25.5" hidden="1" customHeight="1">
      <c r="A4" s="240" t="s">
        <v>5</v>
      </c>
      <c r="B4" s="241"/>
      <c r="C4" s="241"/>
      <c r="D4" s="241"/>
      <c r="E4" s="241"/>
      <c r="F4" s="241"/>
      <c r="G4" s="272"/>
      <c r="H4" s="272"/>
      <c r="I4" s="272"/>
      <c r="J4" s="272"/>
      <c r="K4" s="272"/>
      <c r="L4" s="272"/>
      <c r="M4" s="272"/>
      <c r="N4" s="272"/>
      <c r="O4" s="272"/>
    </row>
    <row r="5" spans="1:23" ht="11.5" hidden="1" customHeight="1">
      <c r="A5" s="244"/>
      <c r="B5" s="225"/>
      <c r="C5" s="230"/>
      <c r="D5" s="225"/>
      <c r="E5" s="230"/>
      <c r="F5" s="230"/>
      <c r="G5" s="272"/>
      <c r="H5" s="272"/>
      <c r="I5" s="272"/>
      <c r="J5" s="272"/>
      <c r="K5" s="272"/>
      <c r="L5" s="272"/>
      <c r="M5" s="272"/>
      <c r="N5" s="272"/>
      <c r="O5" s="272"/>
    </row>
    <row r="6" spans="1:23" ht="11.5" hidden="1" customHeight="1">
      <c r="A6" s="200" t="s">
        <v>0</v>
      </c>
      <c r="B6" s="225"/>
      <c r="C6" s="230" t="s">
        <v>404</v>
      </c>
      <c r="D6" s="225">
        <f>VLOOKUP($A$1,BDD!A:JO,6,FALSE)</f>
        <v>0</v>
      </c>
      <c r="E6" s="225"/>
      <c r="G6" s="272"/>
      <c r="H6" s="272"/>
      <c r="I6" s="272"/>
      <c r="J6" s="272"/>
      <c r="K6" s="272"/>
      <c r="L6" s="272"/>
      <c r="M6" s="272"/>
      <c r="N6" s="272"/>
      <c r="O6" s="272"/>
    </row>
    <row r="7" spans="1:23" ht="11.5" hidden="1" customHeight="1">
      <c r="A7" s="200" t="s">
        <v>2</v>
      </c>
      <c r="B7" s="225"/>
      <c r="C7" s="230" t="s">
        <v>404</v>
      </c>
      <c r="D7" s="225">
        <f>VLOOKUP($A$1,BDD!A:JO,7,FALSE)</f>
        <v>0</v>
      </c>
      <c r="E7" s="225"/>
      <c r="G7" s="272"/>
      <c r="H7" s="272"/>
      <c r="I7" s="272"/>
      <c r="J7" s="272"/>
      <c r="K7" s="272"/>
      <c r="L7" s="272"/>
      <c r="M7" s="272"/>
      <c r="N7" s="272"/>
      <c r="O7" s="272"/>
    </row>
    <row r="8" spans="1:23" ht="11.5" hidden="1" customHeight="1">
      <c r="A8" s="200" t="s">
        <v>405</v>
      </c>
      <c r="B8" s="225"/>
      <c r="C8" s="230" t="s">
        <v>404</v>
      </c>
      <c r="D8" s="225">
        <f>VLOOKUP($A$1,BDD!A:JO,8,FALSE)</f>
        <v>0</v>
      </c>
      <c r="E8" s="225"/>
      <c r="F8" s="224"/>
      <c r="G8" s="272"/>
      <c r="H8" s="272"/>
      <c r="I8" s="272"/>
      <c r="J8" s="272"/>
      <c r="K8" s="272"/>
      <c r="L8" s="272"/>
      <c r="M8" s="272"/>
      <c r="N8" s="272"/>
      <c r="O8" s="272"/>
    </row>
    <row r="9" spans="1:23" ht="11.5" hidden="1" customHeight="1">
      <c r="A9" s="200"/>
      <c r="B9" s="225"/>
      <c r="C9" s="230"/>
      <c r="D9" s="225"/>
      <c r="E9" s="225"/>
      <c r="F9" s="3"/>
      <c r="G9" s="272"/>
      <c r="H9" s="272"/>
      <c r="I9" s="272"/>
      <c r="J9" s="272"/>
      <c r="K9" s="272"/>
      <c r="L9" s="272"/>
      <c r="M9" s="272"/>
      <c r="N9" s="272"/>
      <c r="O9" s="272"/>
    </row>
    <row r="10" spans="1:23" ht="11.5" hidden="1" customHeight="1">
      <c r="A10" s="200" t="s">
        <v>4</v>
      </c>
      <c r="B10" s="225"/>
      <c r="C10" s="230" t="s">
        <v>404</v>
      </c>
      <c r="D10" s="225">
        <f>VLOOKUP($A$1,BDD!A:JO,9,FALSE)</f>
        <v>0</v>
      </c>
      <c r="E10" s="225"/>
      <c r="F10" s="225"/>
      <c r="G10" s="272"/>
      <c r="H10" s="272"/>
      <c r="I10" s="272"/>
      <c r="J10" s="272"/>
      <c r="K10" s="272"/>
      <c r="L10" s="272"/>
      <c r="M10" s="272"/>
      <c r="N10" s="272"/>
      <c r="O10" s="272"/>
    </row>
    <row r="11" spans="1:23" ht="11.5" hidden="1" customHeight="1">
      <c r="A11" s="200"/>
      <c r="B11" s="225"/>
      <c r="C11" s="230"/>
      <c r="D11" s="225"/>
      <c r="E11" s="225"/>
      <c r="F11" s="3"/>
      <c r="G11" s="272"/>
      <c r="H11" s="272"/>
      <c r="I11" s="272"/>
      <c r="J11" s="272"/>
      <c r="K11" s="272"/>
      <c r="L11" s="272"/>
      <c r="M11" s="272"/>
      <c r="N11" s="272"/>
      <c r="O11" s="272"/>
    </row>
    <row r="12" spans="1:23" ht="11.5" hidden="1" customHeight="1">
      <c r="A12" s="212" t="s">
        <v>3</v>
      </c>
      <c r="B12" s="224"/>
      <c r="C12" s="3" t="s">
        <v>404</v>
      </c>
      <c r="D12" s="244">
        <f>VLOOKUP($A$1,BDD!A:JO,11,FALSE)</f>
        <v>0</v>
      </c>
      <c r="E12" s="244"/>
      <c r="F12" s="3" t="s">
        <v>404</v>
      </c>
      <c r="G12" s="272">
        <f>VLOOKUP($A$1,BDD!A:JO,14,FALSE)</f>
        <v>0</v>
      </c>
      <c r="H12" s="272"/>
      <c r="I12" s="272"/>
      <c r="J12" s="272"/>
      <c r="K12" s="272"/>
      <c r="L12" s="272"/>
      <c r="M12" s="272"/>
      <c r="N12" s="272"/>
      <c r="O12" s="272"/>
    </row>
    <row r="13" spans="1:23" ht="11.5" hidden="1" customHeight="1">
      <c r="A13" s="212" t="s">
        <v>1</v>
      </c>
      <c r="B13" s="224"/>
      <c r="C13" s="3" t="s">
        <v>404</v>
      </c>
      <c r="D13" s="244">
        <f>VLOOKUP($A$1,BDD!A:JO,10,FALSE)</f>
        <v>0</v>
      </c>
      <c r="E13" s="244"/>
      <c r="F13" s="3" t="s">
        <v>404</v>
      </c>
      <c r="G13" s="272">
        <f>VLOOKUP($A$1,BDD!A:JO,13,FALSE)</f>
        <v>0</v>
      </c>
      <c r="H13" s="272"/>
      <c r="I13" s="272"/>
      <c r="J13" s="272"/>
      <c r="K13" s="272"/>
      <c r="L13" s="272"/>
      <c r="M13" s="272"/>
      <c r="N13" s="272"/>
      <c r="O13" s="272"/>
    </row>
    <row r="14" spans="1:23" ht="12.5" hidden="1" customHeight="1">
      <c r="A14" s="212" t="s">
        <v>406</v>
      </c>
      <c r="B14" s="224"/>
      <c r="C14" s="3" t="s">
        <v>404</v>
      </c>
      <c r="D14" s="244">
        <f>VLOOKUP($A$1,BDD!A:JO,12,FALSE)</f>
        <v>0</v>
      </c>
      <c r="E14" s="244"/>
      <c r="F14" s="3" t="s">
        <v>404</v>
      </c>
      <c r="G14" s="272">
        <f>VLOOKUP($A$1,BDD!A:JO,15,FALSE)</f>
        <v>0</v>
      </c>
      <c r="H14" s="272"/>
      <c r="I14" s="272"/>
      <c r="J14" s="272"/>
      <c r="K14" s="272"/>
      <c r="L14" s="272"/>
      <c r="M14" s="272"/>
      <c r="N14" s="272"/>
      <c r="O14" s="272"/>
    </row>
    <row r="15" spans="1:23" ht="11.5" hidden="1" customHeight="1">
      <c r="A15" s="244"/>
      <c r="B15" s="225"/>
      <c r="C15" s="230"/>
      <c r="D15" s="225"/>
      <c r="E15" s="230"/>
      <c r="F15" s="3"/>
      <c r="G15" s="272"/>
      <c r="H15" s="272"/>
      <c r="I15" s="272"/>
      <c r="J15" s="272"/>
      <c r="K15" s="272"/>
      <c r="L15" s="272"/>
      <c r="M15" s="272"/>
      <c r="N15" s="272"/>
      <c r="O15" s="272"/>
    </row>
    <row r="16" spans="1:23" ht="11.5" hidden="1" customHeight="1">
      <c r="A16" s="201" t="s">
        <v>407</v>
      </c>
      <c r="B16" s="225"/>
      <c r="C16" s="230"/>
      <c r="D16" s="225"/>
      <c r="E16" s="230"/>
      <c r="F16" s="230"/>
      <c r="G16" s="272"/>
      <c r="H16" s="272"/>
      <c r="I16" s="272"/>
      <c r="J16" s="272"/>
      <c r="K16" s="272"/>
      <c r="L16" s="272"/>
      <c r="M16" s="272"/>
      <c r="N16" s="272"/>
      <c r="O16" s="272"/>
    </row>
    <row r="17" spans="1:15" ht="11.5" hidden="1" customHeight="1">
      <c r="A17" s="244"/>
      <c r="B17" s="225"/>
      <c r="C17" s="230"/>
      <c r="D17" s="225"/>
      <c r="E17" s="230"/>
      <c r="F17" s="230"/>
      <c r="G17" s="272"/>
      <c r="H17" s="272"/>
      <c r="I17" s="272"/>
      <c r="J17" s="272"/>
      <c r="K17" s="272"/>
      <c r="L17" s="272"/>
      <c r="M17" s="272"/>
      <c r="N17" s="272"/>
      <c r="O17" s="272"/>
    </row>
    <row r="18" spans="1:15" ht="11.5" hidden="1" customHeight="1">
      <c r="A18" s="202" t="s">
        <v>457</v>
      </c>
      <c r="B18" s="225"/>
      <c r="C18" s="230"/>
      <c r="D18" s="225"/>
      <c r="E18" s="230"/>
      <c r="F18" s="230"/>
      <c r="G18" s="272"/>
      <c r="H18" s="272"/>
      <c r="I18" s="272"/>
      <c r="J18" s="272"/>
      <c r="K18" s="272"/>
      <c r="L18" s="272"/>
      <c r="M18" s="272"/>
      <c r="N18" s="272"/>
      <c r="O18" s="272"/>
    </row>
    <row r="19" spans="1:15" ht="11.5" hidden="1" customHeight="1">
      <c r="A19" s="202"/>
      <c r="B19" s="225"/>
      <c r="C19" s="230"/>
      <c r="D19" s="225"/>
      <c r="E19" s="230"/>
      <c r="F19" s="230"/>
      <c r="G19" s="272"/>
      <c r="H19" s="272"/>
      <c r="I19" s="272"/>
      <c r="J19" s="272"/>
      <c r="K19" s="272"/>
      <c r="L19" s="272"/>
      <c r="M19" s="272"/>
      <c r="N19" s="272"/>
      <c r="O19" s="272"/>
    </row>
    <row r="20" spans="1:15" ht="11.5" hidden="1" customHeight="1">
      <c r="A20" s="200" t="s">
        <v>0</v>
      </c>
      <c r="B20" s="225"/>
      <c r="C20" s="230" t="s">
        <v>404</v>
      </c>
      <c r="D20" s="225">
        <f>VLOOKUP($A$1,BDD!A:JO,16,FALSE)</f>
        <v>0</v>
      </c>
      <c r="E20" s="225"/>
      <c r="F20" s="225"/>
      <c r="G20" s="272"/>
      <c r="H20" s="272"/>
      <c r="I20" s="272"/>
      <c r="J20" s="272"/>
      <c r="K20" s="272"/>
      <c r="L20" s="272"/>
      <c r="M20" s="272"/>
      <c r="N20" s="272"/>
      <c r="O20" s="272"/>
    </row>
    <row r="21" spans="1:15" ht="11.5" hidden="1" customHeight="1">
      <c r="A21" s="200" t="s">
        <v>2</v>
      </c>
      <c r="B21" s="225"/>
      <c r="C21" s="230" t="s">
        <v>404</v>
      </c>
      <c r="D21" s="225">
        <f>VLOOKUP($A$1,BDD!A:JO,17,FALSE)</f>
        <v>0</v>
      </c>
      <c r="E21" s="225"/>
      <c r="F21" s="225"/>
      <c r="G21" s="272"/>
      <c r="H21" s="272"/>
      <c r="I21" s="272"/>
      <c r="J21" s="272"/>
      <c r="K21" s="272"/>
      <c r="L21" s="272"/>
      <c r="M21" s="272"/>
      <c r="N21" s="272"/>
      <c r="O21" s="272"/>
    </row>
    <row r="22" spans="1:15" ht="11.5" hidden="1" customHeight="1">
      <c r="A22" s="200" t="s">
        <v>405</v>
      </c>
      <c r="B22" s="225"/>
      <c r="C22" s="230" t="s">
        <v>404</v>
      </c>
      <c r="D22" s="225">
        <f>VLOOKUP($A$1,BDD!A:JO,18,FALSE)</f>
        <v>0</v>
      </c>
      <c r="E22" s="225"/>
      <c r="F22" s="225"/>
      <c r="G22" s="272"/>
      <c r="H22" s="272"/>
      <c r="I22" s="272"/>
      <c r="J22" s="272"/>
      <c r="K22" s="272"/>
      <c r="L22" s="272"/>
      <c r="M22" s="272"/>
      <c r="N22" s="272"/>
      <c r="O22" s="272"/>
    </row>
    <row r="23" spans="1:15" ht="11.5" hidden="1" customHeight="1">
      <c r="A23" s="244"/>
      <c r="B23" s="225"/>
      <c r="C23" s="230"/>
      <c r="D23" s="225"/>
      <c r="E23" s="230"/>
      <c r="F23" s="230"/>
      <c r="G23" s="272"/>
      <c r="H23" s="272"/>
      <c r="I23" s="272"/>
      <c r="J23" s="272"/>
      <c r="K23" s="272"/>
      <c r="L23" s="272"/>
      <c r="M23" s="272"/>
      <c r="N23" s="272"/>
      <c r="O23" s="272"/>
    </row>
    <row r="24" spans="1:15" ht="25.5" hidden="1" customHeight="1">
      <c r="A24" s="240" t="s">
        <v>6</v>
      </c>
      <c r="B24" s="241"/>
      <c r="C24" s="241"/>
      <c r="D24" s="241"/>
      <c r="E24" s="241"/>
      <c r="F24" s="241"/>
      <c r="G24" s="272"/>
      <c r="H24" s="272"/>
      <c r="I24" s="272"/>
      <c r="J24" s="272"/>
      <c r="K24" s="272"/>
      <c r="L24" s="272"/>
      <c r="M24" s="272"/>
      <c r="N24" s="272"/>
      <c r="O24" s="272"/>
    </row>
    <row r="25" spans="1:15" ht="11.5" hidden="1" customHeight="1">
      <c r="A25" s="244"/>
      <c r="B25" s="225"/>
      <c r="C25" s="230"/>
      <c r="D25" s="225"/>
      <c r="E25" s="230"/>
      <c r="G25" s="272"/>
      <c r="H25" s="272"/>
      <c r="I25" s="272"/>
      <c r="J25" s="272"/>
      <c r="K25" s="272"/>
      <c r="L25" s="272"/>
      <c r="M25" s="272"/>
      <c r="N25" s="272"/>
      <c r="O25" s="272"/>
    </row>
    <row r="26" spans="1:15" ht="11.5" hidden="1" customHeight="1">
      <c r="A26" s="198" t="s">
        <v>466</v>
      </c>
      <c r="B26" s="225"/>
      <c r="C26" s="230" t="s">
        <v>404</v>
      </c>
      <c r="D26" s="244" t="str">
        <f>A2</f>
        <v>Cornichons-Oignons  Bocal 1/1 850 ml  HR</v>
      </c>
      <c r="E26" s="230"/>
      <c r="F26" s="200" t="s">
        <v>468</v>
      </c>
      <c r="G26" s="272"/>
      <c r="H26" s="272"/>
      <c r="I26" s="272"/>
      <c r="J26" s="272" t="s">
        <v>404</v>
      </c>
      <c r="K26" s="272">
        <f>A1</f>
        <v>12403</v>
      </c>
      <c r="L26" s="272"/>
      <c r="M26" s="272"/>
      <c r="N26" s="272"/>
      <c r="O26" s="272"/>
    </row>
    <row r="27" spans="1:15" ht="11.5" hidden="1" customHeight="1">
      <c r="A27" s="200" t="s">
        <v>7</v>
      </c>
      <c r="B27" s="225"/>
      <c r="C27" s="230" t="s">
        <v>404</v>
      </c>
      <c r="D27" s="244">
        <f>VLOOKUP($A$1,BDD!A:JO,19,FALSE)</f>
        <v>0</v>
      </c>
      <c r="E27" s="230"/>
      <c r="F27" s="198" t="s">
        <v>8</v>
      </c>
      <c r="G27" s="272"/>
      <c r="H27" s="272"/>
      <c r="I27" s="272"/>
      <c r="J27" s="272" t="s">
        <v>404</v>
      </c>
      <c r="K27" s="272" t="str">
        <f>VLOOKUP($A$1,BDD!A:JO,20,FALSE)</f>
        <v xml:space="preserve"> - </v>
      </c>
      <c r="L27" s="272"/>
      <c r="M27" s="272"/>
      <c r="N27" s="272"/>
      <c r="O27" s="272"/>
    </row>
    <row r="28" spans="1:15" ht="11.5" hidden="1" customHeight="1">
      <c r="A28" s="200"/>
      <c r="B28" s="225"/>
      <c r="C28" s="230"/>
      <c r="D28" s="225"/>
      <c r="E28" s="230"/>
      <c r="F28" s="225"/>
      <c r="G28" s="272"/>
      <c r="H28" s="272"/>
      <c r="I28" s="272"/>
      <c r="J28" s="272"/>
      <c r="K28" s="272"/>
      <c r="L28" s="272"/>
      <c r="M28" s="272"/>
      <c r="N28" s="272"/>
      <c r="O28" s="272"/>
    </row>
    <row r="29" spans="1:15" ht="11.5" hidden="1" customHeight="1">
      <c r="A29" s="200" t="s">
        <v>122</v>
      </c>
      <c r="B29" s="197"/>
      <c r="C29" s="230"/>
      <c r="D29" s="225"/>
      <c r="E29" s="230" t="s">
        <v>404</v>
      </c>
      <c r="F29" s="230"/>
      <c r="G29" s="272"/>
      <c r="H29" s="272"/>
      <c r="I29" s="272"/>
      <c r="J29" s="272"/>
      <c r="K29" s="272"/>
      <c r="L29" s="272"/>
      <c r="M29" s="272"/>
      <c r="N29" s="272"/>
      <c r="O29" s="272"/>
    </row>
    <row r="30" spans="1:15" ht="6.75" hidden="1" customHeight="1">
      <c r="A30" s="200"/>
      <c r="B30" s="197"/>
      <c r="C30" s="230"/>
      <c r="D30" s="225"/>
      <c r="E30" s="230"/>
      <c r="F30" s="230"/>
      <c r="G30" s="272"/>
      <c r="H30" s="272"/>
      <c r="I30" s="272"/>
      <c r="J30" s="272"/>
      <c r="K30" s="272"/>
      <c r="L30" s="272"/>
      <c r="M30" s="272"/>
      <c r="N30" s="272"/>
      <c r="O30" s="272"/>
    </row>
    <row r="31" spans="1:15" ht="14.25" hidden="1" customHeight="1">
      <c r="A31" s="200" t="s">
        <v>408</v>
      </c>
      <c r="B31" s="225"/>
      <c r="C31" s="230"/>
      <c r="D31" s="225"/>
      <c r="E31" s="230" t="s">
        <v>404</v>
      </c>
      <c r="F31" s="232"/>
      <c r="G31" s="272"/>
      <c r="H31" s="272"/>
      <c r="I31" s="272"/>
      <c r="J31" s="272"/>
      <c r="K31" s="272"/>
      <c r="L31" s="272"/>
      <c r="M31" s="272"/>
      <c r="N31" s="272"/>
      <c r="O31" s="272"/>
    </row>
    <row r="32" spans="1:15" ht="11.5" hidden="1" customHeight="1">
      <c r="A32" s="200"/>
      <c r="B32" s="225"/>
      <c r="C32" s="230"/>
      <c r="D32" s="225"/>
      <c r="E32" s="230"/>
      <c r="F32" s="233"/>
      <c r="G32" s="272"/>
      <c r="H32" s="272"/>
      <c r="I32" s="272"/>
      <c r="J32" s="272"/>
      <c r="K32" s="272"/>
      <c r="L32" s="272"/>
      <c r="M32" s="272"/>
      <c r="N32" s="272"/>
      <c r="O32" s="272"/>
    </row>
    <row r="33" spans="1:15" ht="11.5" hidden="1" customHeight="1">
      <c r="A33" s="200"/>
      <c r="B33" s="225"/>
      <c r="C33" s="230"/>
      <c r="D33" s="225"/>
      <c r="E33" s="230"/>
      <c r="F33" s="233"/>
      <c r="G33" s="272"/>
      <c r="H33" s="272"/>
      <c r="I33" s="272"/>
      <c r="J33" s="272"/>
      <c r="K33" s="272"/>
      <c r="L33" s="272"/>
      <c r="M33" s="272"/>
      <c r="N33" s="272"/>
      <c r="O33" s="272"/>
    </row>
    <row r="34" spans="1:15" ht="11.5" hidden="1" customHeight="1">
      <c r="A34" s="200"/>
      <c r="B34" s="225"/>
      <c r="C34" s="230"/>
      <c r="D34" s="225"/>
      <c r="E34" s="230"/>
      <c r="F34" s="233"/>
      <c r="G34" s="272"/>
      <c r="H34" s="272"/>
      <c r="I34" s="272"/>
      <c r="J34" s="272"/>
      <c r="K34" s="272"/>
      <c r="L34" s="272"/>
      <c r="M34" s="272"/>
      <c r="N34" s="272"/>
      <c r="O34" s="272"/>
    </row>
    <row r="35" spans="1:15" ht="11.5" hidden="1" customHeight="1">
      <c r="A35" s="200"/>
      <c r="B35" s="225"/>
      <c r="C35" s="230"/>
      <c r="D35" s="225"/>
      <c r="E35" s="230"/>
      <c r="F35" s="233"/>
      <c r="G35" s="272"/>
      <c r="H35" s="272"/>
      <c r="I35" s="272"/>
      <c r="J35" s="272"/>
      <c r="K35" s="272"/>
      <c r="L35" s="272"/>
      <c r="M35" s="272"/>
      <c r="N35" s="272"/>
      <c r="O35" s="272"/>
    </row>
    <row r="36" spans="1:15" ht="11.5" hidden="1" customHeight="1">
      <c r="A36" s="200"/>
      <c r="B36" s="225"/>
      <c r="C36" s="230"/>
      <c r="D36" s="225"/>
      <c r="E36" s="230"/>
      <c r="F36" s="233"/>
      <c r="G36" s="272"/>
      <c r="H36" s="272"/>
      <c r="I36" s="272"/>
      <c r="J36" s="272"/>
      <c r="K36" s="272"/>
      <c r="L36" s="272"/>
      <c r="M36" s="272"/>
      <c r="N36" s="272"/>
      <c r="O36" s="272"/>
    </row>
    <row r="37" spans="1:15" ht="11.5" hidden="1" customHeight="1">
      <c r="A37" s="200"/>
      <c r="B37" s="225"/>
      <c r="C37" s="230"/>
      <c r="D37" s="225"/>
      <c r="E37" s="230"/>
      <c r="F37" s="233"/>
      <c r="G37" s="272"/>
      <c r="H37" s="272"/>
      <c r="I37" s="272"/>
      <c r="J37" s="272"/>
      <c r="K37" s="272"/>
      <c r="L37" s="272"/>
      <c r="M37" s="272"/>
      <c r="N37" s="272"/>
      <c r="O37" s="272"/>
    </row>
    <row r="38" spans="1:15" ht="11.5" hidden="1" customHeight="1">
      <c r="A38" s="200"/>
      <c r="B38" s="225"/>
      <c r="C38" s="230"/>
      <c r="D38" s="225"/>
      <c r="E38" s="230"/>
      <c r="F38" s="233"/>
      <c r="G38" s="272"/>
      <c r="H38" s="272"/>
      <c r="I38" s="272"/>
      <c r="J38" s="272"/>
      <c r="K38" s="272"/>
      <c r="L38" s="272"/>
      <c r="M38" s="272"/>
      <c r="N38" s="272"/>
      <c r="O38" s="272"/>
    </row>
    <row r="39" spans="1:15" ht="11.5" hidden="1" customHeight="1">
      <c r="A39" s="200"/>
      <c r="B39" s="225"/>
      <c r="C39" s="230"/>
      <c r="D39" s="225"/>
      <c r="E39" s="230"/>
      <c r="F39" s="233"/>
      <c r="G39" s="272"/>
      <c r="H39" s="272"/>
      <c r="I39" s="272"/>
      <c r="J39" s="272"/>
      <c r="K39" s="272"/>
      <c r="L39" s="272"/>
      <c r="M39" s="272"/>
      <c r="N39" s="272"/>
      <c r="O39" s="272"/>
    </row>
    <row r="40" spans="1:15" ht="11.5" hidden="1" customHeight="1">
      <c r="A40" s="200"/>
      <c r="B40" s="225"/>
      <c r="C40" s="230"/>
      <c r="D40" s="225"/>
      <c r="E40" s="230"/>
      <c r="F40" s="233"/>
      <c r="G40" s="272"/>
      <c r="H40" s="272"/>
      <c r="I40" s="272"/>
      <c r="J40" s="272"/>
      <c r="K40" s="272"/>
      <c r="L40" s="272"/>
      <c r="M40" s="272"/>
      <c r="N40" s="272"/>
      <c r="O40" s="272"/>
    </row>
    <row r="41" spans="1:15" ht="11.5" hidden="1" customHeight="1">
      <c r="A41" s="200"/>
      <c r="B41" s="225"/>
      <c r="C41" s="230"/>
      <c r="D41" s="225"/>
      <c r="E41" s="230"/>
      <c r="F41" s="234"/>
      <c r="G41" s="272"/>
      <c r="H41" s="272"/>
      <c r="I41" s="272"/>
      <c r="J41" s="272"/>
      <c r="K41" s="272"/>
      <c r="L41" s="272"/>
      <c r="M41" s="272"/>
      <c r="N41" s="272"/>
      <c r="O41" s="272"/>
    </row>
    <row r="42" spans="1:15" ht="11.5" hidden="1" customHeight="1">
      <c r="A42" s="244"/>
      <c r="B42" s="225"/>
      <c r="C42" s="230"/>
      <c r="D42" s="225"/>
      <c r="E42" s="230"/>
      <c r="F42" s="230"/>
      <c r="G42" s="272"/>
      <c r="H42" s="272"/>
      <c r="I42" s="272"/>
      <c r="J42" s="272"/>
      <c r="K42" s="272"/>
      <c r="L42" s="272"/>
      <c r="M42" s="272"/>
      <c r="N42" s="272"/>
      <c r="O42" s="272"/>
    </row>
    <row r="43" spans="1:15" ht="11.5" hidden="1" customHeight="1">
      <c r="A43" s="200" t="s">
        <v>9</v>
      </c>
      <c r="B43" s="225"/>
      <c r="C43" s="230"/>
      <c r="D43" s="225"/>
      <c r="E43" s="230" t="s">
        <v>404</v>
      </c>
      <c r="F43" s="230"/>
      <c r="G43" s="272"/>
      <c r="H43" s="272"/>
      <c r="I43" s="272"/>
      <c r="J43" s="272"/>
      <c r="K43" s="272"/>
      <c r="L43" s="272"/>
      <c r="M43" s="272"/>
      <c r="N43" s="272"/>
      <c r="O43" s="272"/>
    </row>
    <row r="44" spans="1:15" ht="11.5" hidden="1" customHeight="1">
      <c r="A44" s="200" t="s">
        <v>18</v>
      </c>
      <c r="B44" s="225"/>
      <c r="C44" s="230"/>
      <c r="D44" s="225"/>
      <c r="E44" s="230" t="s">
        <v>404</v>
      </c>
      <c r="F44" s="230"/>
      <c r="G44" s="272"/>
      <c r="H44" s="272"/>
      <c r="I44" s="272"/>
      <c r="J44" s="272"/>
      <c r="K44" s="272"/>
      <c r="L44" s="272"/>
      <c r="M44" s="272"/>
      <c r="N44" s="272"/>
      <c r="O44" s="272"/>
    </row>
    <row r="45" spans="1:15" ht="11.5" hidden="1" customHeight="1">
      <c r="A45" s="244"/>
      <c r="B45" s="225"/>
      <c r="C45" s="230"/>
      <c r="D45" s="225"/>
      <c r="E45" s="230"/>
      <c r="F45" s="230"/>
      <c r="G45" s="272"/>
      <c r="H45" s="272"/>
      <c r="I45" s="272"/>
      <c r="J45" s="272"/>
      <c r="K45" s="272"/>
      <c r="L45" s="272"/>
      <c r="M45" s="272"/>
      <c r="N45" s="272"/>
      <c r="O45" s="272"/>
    </row>
    <row r="46" spans="1:15" ht="25.5" hidden="1" customHeight="1">
      <c r="A46" s="240" t="s">
        <v>40</v>
      </c>
      <c r="B46" s="241"/>
      <c r="C46" s="241"/>
      <c r="D46" s="241"/>
      <c r="E46" s="241"/>
      <c r="F46" s="241"/>
      <c r="G46" s="272"/>
      <c r="H46" s="272"/>
      <c r="I46" s="272"/>
      <c r="J46" s="272"/>
      <c r="K46" s="272"/>
      <c r="L46" s="272"/>
      <c r="M46" s="272"/>
      <c r="N46" s="272"/>
      <c r="O46" s="272"/>
    </row>
    <row r="47" spans="1:15" ht="11.5" hidden="1" customHeight="1">
      <c r="A47" s="244"/>
      <c r="B47" s="225"/>
      <c r="C47" s="230"/>
      <c r="D47" s="225"/>
      <c r="E47" s="230"/>
      <c r="F47" s="230"/>
      <c r="G47" s="272"/>
      <c r="H47" s="272"/>
      <c r="I47" s="272"/>
      <c r="J47" s="272"/>
      <c r="K47" s="272"/>
      <c r="L47" s="272"/>
      <c r="M47" s="272"/>
      <c r="N47" s="272"/>
      <c r="O47" s="272"/>
    </row>
    <row r="48" spans="1:15" ht="11.5" hidden="1" customHeight="1">
      <c r="A48" s="203" t="s">
        <v>64</v>
      </c>
      <c r="B48" s="225"/>
      <c r="C48" s="230"/>
      <c r="D48" s="225"/>
      <c r="E48" s="230"/>
      <c r="F48" s="230"/>
      <c r="G48" s="272"/>
      <c r="H48" s="272"/>
      <c r="I48" s="272"/>
      <c r="J48" s="272"/>
      <c r="K48" s="272"/>
      <c r="L48" s="272"/>
      <c r="M48" s="272"/>
      <c r="N48" s="272"/>
      <c r="O48" s="272"/>
    </row>
    <row r="49" spans="1:15" ht="11.5" hidden="1" customHeight="1">
      <c r="A49" s="244"/>
      <c r="B49" s="225"/>
      <c r="C49" s="230"/>
      <c r="D49" s="225"/>
      <c r="E49" s="230"/>
      <c r="F49" s="230"/>
      <c r="G49" s="272"/>
      <c r="H49" s="272"/>
      <c r="I49" s="272"/>
      <c r="J49" s="272"/>
      <c r="K49" s="272"/>
      <c r="L49" s="272"/>
      <c r="M49" s="272"/>
      <c r="N49" s="272"/>
      <c r="O49" s="272"/>
    </row>
    <row r="50" spans="1:15" ht="11.5" hidden="1" customHeight="1">
      <c r="A50" s="198" t="s">
        <v>41</v>
      </c>
      <c r="B50" s="225"/>
      <c r="C50" s="230"/>
      <c r="D50" s="225"/>
      <c r="E50" s="230" t="s">
        <v>404</v>
      </c>
      <c r="F50" s="230"/>
      <c r="G50" s="272"/>
      <c r="H50" s="272"/>
      <c r="I50" s="272"/>
      <c r="J50" s="272"/>
      <c r="K50" s="272"/>
      <c r="L50" s="272"/>
      <c r="M50" s="272"/>
      <c r="N50" s="272"/>
      <c r="O50" s="272"/>
    </row>
    <row r="51" spans="1:15" ht="11.5" hidden="1" customHeight="1">
      <c r="A51" s="198" t="s">
        <v>57</v>
      </c>
      <c r="B51" s="225"/>
      <c r="C51" s="230"/>
      <c r="D51" s="225"/>
      <c r="E51" s="230" t="s">
        <v>404</v>
      </c>
      <c r="F51" s="230"/>
      <c r="G51" s="272"/>
      <c r="H51" s="272"/>
      <c r="I51" s="272"/>
      <c r="J51" s="272"/>
      <c r="K51" s="272"/>
      <c r="L51" s="272"/>
      <c r="M51" s="272"/>
      <c r="N51" s="272"/>
      <c r="O51" s="272"/>
    </row>
    <row r="52" spans="1:15" ht="11.5" hidden="1" customHeight="1">
      <c r="A52" s="198" t="s">
        <v>42</v>
      </c>
      <c r="B52" s="225"/>
      <c r="C52" s="230"/>
      <c r="D52" s="225"/>
      <c r="E52" s="230" t="s">
        <v>404</v>
      </c>
      <c r="F52" s="230"/>
      <c r="G52" s="272"/>
      <c r="H52" s="272"/>
      <c r="I52" s="272"/>
      <c r="J52" s="272"/>
      <c r="K52" s="272"/>
      <c r="L52" s="272"/>
      <c r="M52" s="272"/>
      <c r="N52" s="272"/>
      <c r="O52" s="272"/>
    </row>
    <row r="53" spans="1:15" ht="11.5" hidden="1" customHeight="1">
      <c r="A53" s="198" t="s">
        <v>409</v>
      </c>
      <c r="B53" s="225"/>
      <c r="C53" s="230"/>
      <c r="D53" s="225"/>
      <c r="E53" s="230" t="s">
        <v>404</v>
      </c>
      <c r="F53" s="230"/>
      <c r="G53" s="272"/>
      <c r="H53" s="272"/>
      <c r="I53" s="272"/>
      <c r="J53" s="272"/>
      <c r="K53" s="272"/>
      <c r="L53" s="272"/>
      <c r="M53" s="272"/>
      <c r="N53" s="272"/>
      <c r="O53" s="272"/>
    </row>
    <row r="54" spans="1:15" ht="11.5" hidden="1" customHeight="1">
      <c r="A54" s="198" t="s">
        <v>410</v>
      </c>
      <c r="B54" s="225"/>
      <c r="C54" s="230"/>
      <c r="D54" s="225"/>
      <c r="E54" s="230" t="s">
        <v>404</v>
      </c>
      <c r="F54" s="230"/>
      <c r="G54" s="272"/>
      <c r="H54" s="272"/>
      <c r="I54" s="272" t="s">
        <v>404</v>
      </c>
      <c r="J54" s="272" t="str">
        <f>VLOOKUP($A$1,BDD!A:JO,39,FALSE)</f>
        <v>Non</v>
      </c>
      <c r="K54" s="272"/>
      <c r="L54" s="272"/>
      <c r="M54" s="272"/>
      <c r="N54" s="272"/>
      <c r="O54" s="272"/>
    </row>
    <row r="55" spans="1:15" ht="11.5" hidden="1" customHeight="1">
      <c r="A55" s="198" t="s">
        <v>411</v>
      </c>
      <c r="B55" s="225"/>
      <c r="C55" s="230"/>
      <c r="D55" s="225"/>
      <c r="E55" s="230" t="s">
        <v>404</v>
      </c>
      <c r="F55" s="230"/>
      <c r="G55" s="272"/>
      <c r="H55" s="272"/>
      <c r="I55" s="272" t="s">
        <v>404</v>
      </c>
      <c r="J55" s="272" t="str">
        <f>VLOOKUP($A$1,BDD!A:JO,40,FALSE)</f>
        <v>Non</v>
      </c>
      <c r="K55" s="272"/>
      <c r="L55" s="272"/>
      <c r="M55" s="272"/>
      <c r="N55" s="272"/>
      <c r="O55" s="272"/>
    </row>
    <row r="56" spans="1:15" ht="11.5" hidden="1" customHeight="1">
      <c r="A56" s="198" t="s">
        <v>46</v>
      </c>
      <c r="B56" s="225"/>
      <c r="C56" s="230"/>
      <c r="D56" s="225"/>
      <c r="E56" s="230" t="s">
        <v>404</v>
      </c>
      <c r="F56" s="230"/>
      <c r="G56" s="272"/>
      <c r="H56" s="272"/>
      <c r="I56" s="272" t="s">
        <v>404</v>
      </c>
      <c r="J56" s="272" t="str">
        <f>VLOOKUP($A$1,BDD!A:JO,41,FALSE)</f>
        <v>Non</v>
      </c>
      <c r="K56" s="272"/>
      <c r="L56" s="272"/>
      <c r="M56" s="272"/>
      <c r="N56" s="272"/>
      <c r="O56" s="272"/>
    </row>
    <row r="57" spans="1:15" ht="11.5" hidden="1" customHeight="1">
      <c r="A57" s="198" t="s">
        <v>43</v>
      </c>
      <c r="B57" s="225"/>
      <c r="C57" s="230"/>
      <c r="D57" s="225"/>
      <c r="E57" s="230" t="s">
        <v>404</v>
      </c>
      <c r="F57" s="230"/>
      <c r="G57" s="272"/>
      <c r="H57" s="272"/>
      <c r="I57" s="272" t="s">
        <v>404</v>
      </c>
      <c r="J57" s="272" t="str">
        <f>VLOOKUP($A$1,BDD!A:JO,42,FALSE)</f>
        <v>Non</v>
      </c>
      <c r="K57" s="272"/>
      <c r="L57" s="272"/>
      <c r="M57" s="272"/>
      <c r="N57" s="272"/>
      <c r="O57" s="272"/>
    </row>
    <row r="58" spans="1:15" ht="11.5" hidden="1" customHeight="1">
      <c r="A58" s="198" t="s">
        <v>412</v>
      </c>
      <c r="B58" s="225"/>
      <c r="C58" s="230"/>
      <c r="D58" s="225"/>
      <c r="E58" s="230" t="s">
        <v>404</v>
      </c>
      <c r="F58" s="230"/>
      <c r="G58" s="272"/>
      <c r="H58" s="272"/>
      <c r="I58" s="272" t="s">
        <v>404</v>
      </c>
      <c r="J58" s="272" t="str">
        <f>VLOOKUP($A$1,BDD!A:JO,43,FALSE)</f>
        <v>Non</v>
      </c>
      <c r="K58" s="272"/>
      <c r="L58" s="272"/>
      <c r="M58" s="272"/>
      <c r="N58" s="272"/>
      <c r="O58" s="272"/>
    </row>
    <row r="59" spans="1:15" ht="11.5" hidden="1" customHeight="1">
      <c r="A59" s="198" t="s">
        <v>47</v>
      </c>
      <c r="B59" s="225"/>
      <c r="C59" s="230"/>
      <c r="D59" s="225"/>
      <c r="E59" s="230" t="s">
        <v>404</v>
      </c>
      <c r="F59" s="230"/>
      <c r="G59" s="272"/>
      <c r="H59" s="272"/>
      <c r="I59" s="272" t="s">
        <v>404</v>
      </c>
      <c r="J59" s="272" t="str">
        <f>VLOOKUP($A$1,BDD!A:JO,44,FALSE)</f>
        <v>Non</v>
      </c>
      <c r="K59" s="272"/>
      <c r="L59" s="272"/>
      <c r="M59" s="272"/>
      <c r="N59" s="272"/>
      <c r="O59" s="272"/>
    </row>
    <row r="60" spans="1:15" ht="11.5" hidden="1" customHeight="1">
      <c r="A60" s="198" t="s">
        <v>413</v>
      </c>
      <c r="B60" s="225"/>
      <c r="C60" s="230"/>
      <c r="D60" s="225"/>
      <c r="E60" s="230" t="s">
        <v>404</v>
      </c>
      <c r="F60" s="230"/>
      <c r="G60" s="272"/>
      <c r="H60" s="272"/>
      <c r="I60" s="272" t="s">
        <v>404</v>
      </c>
      <c r="J60" s="272" t="str">
        <f>VLOOKUP($A$1,BDD!A:JO,45,FALSE)</f>
        <v>Non</v>
      </c>
      <c r="K60" s="272"/>
      <c r="L60" s="272"/>
      <c r="M60" s="272"/>
      <c r="N60" s="272"/>
      <c r="O60" s="272"/>
    </row>
    <row r="61" spans="1:15" ht="11.5" hidden="1" customHeight="1">
      <c r="A61" s="198" t="s">
        <v>49</v>
      </c>
      <c r="B61" s="225"/>
      <c r="C61" s="230"/>
      <c r="D61" s="225"/>
      <c r="E61" s="230" t="s">
        <v>404</v>
      </c>
      <c r="F61" s="230"/>
      <c r="G61" s="272"/>
      <c r="H61" s="272"/>
      <c r="I61" s="272" t="s">
        <v>404</v>
      </c>
      <c r="J61" s="272" t="str">
        <f>VLOOKUP($A$1,BDD!A:JO,46,FALSE)</f>
        <v>Non</v>
      </c>
      <c r="K61" s="272"/>
      <c r="L61" s="272"/>
      <c r="M61" s="272"/>
      <c r="N61" s="272"/>
      <c r="O61" s="272"/>
    </row>
    <row r="62" spans="1:15" ht="11.5" hidden="1" customHeight="1">
      <c r="A62" s="204" t="s">
        <v>414</v>
      </c>
      <c r="B62" s="224"/>
      <c r="C62" s="230"/>
      <c r="D62" s="225"/>
      <c r="E62" s="230" t="s">
        <v>404</v>
      </c>
      <c r="F62" s="230"/>
      <c r="G62" s="272"/>
      <c r="H62" s="272"/>
      <c r="I62" s="272" t="s">
        <v>404</v>
      </c>
      <c r="J62" s="272" t="str">
        <f>VLOOKUP($A$1,BDD!A:JO,47,FALSE)</f>
        <v>Non</v>
      </c>
      <c r="K62" s="272"/>
      <c r="L62" s="272"/>
      <c r="M62" s="272"/>
      <c r="N62" s="272"/>
      <c r="O62" s="272"/>
    </row>
    <row r="63" spans="1:15" ht="11.5" hidden="1" customHeight="1">
      <c r="A63" s="244"/>
      <c r="B63" s="225"/>
      <c r="C63" s="230"/>
      <c r="D63" s="225"/>
      <c r="E63" s="230"/>
      <c r="F63" s="230"/>
      <c r="G63" s="272"/>
      <c r="H63" s="272"/>
      <c r="I63" s="272"/>
      <c r="J63" s="272"/>
      <c r="K63" s="272"/>
      <c r="L63" s="272"/>
      <c r="M63" s="272"/>
      <c r="N63" s="272"/>
      <c r="O63" s="272"/>
    </row>
    <row r="64" spans="1:15" ht="11.5" hidden="1" customHeight="1">
      <c r="A64" s="198" t="s">
        <v>62</v>
      </c>
      <c r="B64" s="225"/>
      <c r="C64" s="230"/>
      <c r="D64" s="225"/>
      <c r="E64" s="230" t="s">
        <v>404</v>
      </c>
      <c r="F64" s="230"/>
      <c r="G64" s="272"/>
      <c r="H64" s="272"/>
      <c r="I64" s="272"/>
      <c r="J64" s="272"/>
      <c r="K64" s="272"/>
      <c r="L64" s="272"/>
      <c r="M64" s="272"/>
      <c r="N64" s="272"/>
      <c r="O64" s="272"/>
    </row>
    <row r="65" spans="1:15" ht="11.5" hidden="1" customHeight="1">
      <c r="A65" s="244"/>
      <c r="B65" s="225"/>
      <c r="C65" s="230"/>
      <c r="D65" s="225"/>
      <c r="E65" s="230"/>
      <c r="F65" s="230"/>
      <c r="G65" s="272"/>
      <c r="H65" s="272"/>
      <c r="I65" s="272"/>
      <c r="J65" s="272"/>
      <c r="K65" s="272"/>
      <c r="L65" s="272"/>
      <c r="M65" s="272"/>
      <c r="N65" s="272"/>
      <c r="O65" s="272"/>
    </row>
    <row r="66" spans="1:15" ht="11.5" hidden="1" customHeight="1">
      <c r="A66" s="203" t="s">
        <v>63</v>
      </c>
      <c r="B66" s="225"/>
      <c r="C66" s="230"/>
      <c r="D66" s="225"/>
      <c r="E66" s="230"/>
      <c r="F66" s="230"/>
      <c r="G66" s="272"/>
      <c r="H66" s="272"/>
      <c r="I66" s="272"/>
      <c r="J66" s="272"/>
      <c r="K66" s="272"/>
      <c r="L66" s="272"/>
      <c r="M66" s="272"/>
      <c r="N66" s="272"/>
      <c r="O66" s="272"/>
    </row>
    <row r="67" spans="1:15" ht="11.5" hidden="1" customHeight="1">
      <c r="A67" s="244"/>
      <c r="B67" s="225"/>
      <c r="C67" s="230"/>
      <c r="D67" s="225"/>
      <c r="E67" s="230"/>
      <c r="F67" s="230"/>
      <c r="G67" s="272"/>
      <c r="H67" s="272"/>
      <c r="I67" s="272"/>
      <c r="J67" s="272"/>
      <c r="K67" s="272"/>
      <c r="L67" s="272"/>
      <c r="M67" s="272"/>
      <c r="N67" s="272"/>
      <c r="O67" s="272"/>
    </row>
    <row r="68" spans="1:15" ht="11.5" hidden="1" customHeight="1">
      <c r="A68" s="198" t="s">
        <v>415</v>
      </c>
      <c r="B68" s="225"/>
      <c r="C68" s="230"/>
      <c r="D68" s="225"/>
      <c r="E68" s="230"/>
      <c r="F68" s="230"/>
      <c r="G68" s="272"/>
      <c r="H68" s="272"/>
      <c r="I68" s="272"/>
      <c r="J68" s="272"/>
      <c r="K68" s="272"/>
      <c r="L68" s="272"/>
      <c r="M68" s="272"/>
      <c r="N68" s="272"/>
      <c r="O68" s="272"/>
    </row>
    <row r="69" spans="1:15" ht="11.5" hidden="1" customHeight="1">
      <c r="A69" s="198"/>
      <c r="B69" s="225"/>
      <c r="C69" s="230"/>
      <c r="D69" s="225"/>
      <c r="E69" s="230"/>
      <c r="F69" s="230"/>
      <c r="G69" s="272"/>
      <c r="H69" s="272"/>
      <c r="I69" s="272"/>
      <c r="J69" s="272"/>
      <c r="K69" s="272"/>
      <c r="L69" s="272"/>
      <c r="M69" s="272"/>
      <c r="N69" s="272"/>
      <c r="O69" s="272"/>
    </row>
    <row r="70" spans="1:15" ht="11.5" hidden="1" customHeight="1">
      <c r="A70" s="225" t="str">
        <f>VLOOKUP($A$1,BDD!A:JO,49,FALSE)</f>
        <v>E224 métabisulfite de potassium</v>
      </c>
      <c r="B70" s="225"/>
      <c r="C70" s="225"/>
      <c r="D70" s="225"/>
      <c r="E70" s="225"/>
      <c r="F70" s="225"/>
      <c r="G70" s="272"/>
      <c r="H70" s="272"/>
      <c r="I70" s="272"/>
      <c r="J70" s="272"/>
      <c r="K70" s="272"/>
      <c r="L70" s="272"/>
      <c r="M70" s="272"/>
      <c r="N70" s="272"/>
      <c r="O70" s="272"/>
    </row>
    <row r="71" spans="1:15" ht="11.5" hidden="1" customHeight="1">
      <c r="A71" s="225">
        <f>VLOOKUP($A$1,BDD!A:JO,50,FALSE)</f>
        <v>0</v>
      </c>
      <c r="B71" s="225"/>
      <c r="C71" s="225"/>
      <c r="D71" s="225"/>
      <c r="E71" s="225"/>
      <c r="F71" s="225"/>
      <c r="G71" s="272"/>
      <c r="H71" s="272"/>
      <c r="I71" s="272"/>
      <c r="J71" s="272"/>
      <c r="K71" s="272"/>
      <c r="L71" s="272"/>
      <c r="M71" s="272"/>
      <c r="N71" s="272"/>
      <c r="O71" s="272"/>
    </row>
    <row r="72" spans="1:15" ht="11.5" hidden="1" customHeight="1">
      <c r="A72" s="225">
        <f>VLOOKUP($A$1,BDD!A:JO,51,FALSE)</f>
        <v>0</v>
      </c>
      <c r="B72" s="225"/>
      <c r="C72" s="225"/>
      <c r="D72" s="225"/>
      <c r="E72" s="225"/>
      <c r="F72" s="225"/>
      <c r="G72" s="272"/>
      <c r="H72" s="272"/>
      <c r="I72" s="272"/>
      <c r="J72" s="272"/>
      <c r="K72" s="272"/>
      <c r="L72" s="272"/>
      <c r="M72" s="272"/>
      <c r="N72" s="272"/>
      <c r="O72" s="272"/>
    </row>
    <row r="73" spans="1:15" ht="11.5" hidden="1" customHeight="1">
      <c r="A73" s="225">
        <f>VLOOKUP($A$1,BDD!A:JO,52,FALSE)</f>
        <v>0</v>
      </c>
      <c r="B73" s="225"/>
      <c r="C73" s="225"/>
      <c r="D73" s="225"/>
      <c r="E73" s="225"/>
      <c r="F73" s="225"/>
      <c r="G73" s="272"/>
      <c r="H73" s="272"/>
      <c r="I73" s="272"/>
      <c r="J73" s="272"/>
      <c r="K73" s="272"/>
      <c r="L73" s="272"/>
      <c r="M73" s="272"/>
      <c r="N73" s="272"/>
      <c r="O73" s="272"/>
    </row>
    <row r="74" spans="1:15" ht="11.5" hidden="1" customHeight="1">
      <c r="A74" s="225">
        <f>VLOOKUP($A$1,BDD!A:JO,53,FALSE)</f>
        <v>0</v>
      </c>
      <c r="B74" s="225"/>
      <c r="C74" s="225"/>
      <c r="D74" s="225"/>
      <c r="E74" s="225"/>
      <c r="F74" s="225"/>
      <c r="G74" s="272"/>
      <c r="H74" s="272"/>
      <c r="I74" s="272"/>
      <c r="J74" s="272"/>
      <c r="K74" s="272"/>
      <c r="L74" s="272"/>
      <c r="M74" s="272"/>
      <c r="N74" s="272"/>
      <c r="O74" s="272"/>
    </row>
    <row r="75" spans="1:15" ht="11.5" hidden="1" customHeight="1">
      <c r="A75" s="244"/>
      <c r="B75" s="225"/>
      <c r="C75" s="230"/>
      <c r="D75" s="225"/>
      <c r="E75" s="230"/>
      <c r="F75" s="230"/>
      <c r="G75" s="272"/>
      <c r="H75" s="272"/>
      <c r="I75" s="272"/>
      <c r="J75" s="272"/>
      <c r="K75" s="272"/>
      <c r="L75" s="272"/>
      <c r="M75" s="272"/>
      <c r="N75" s="272"/>
      <c r="O75" s="272"/>
    </row>
    <row r="76" spans="1:15" ht="25.5" hidden="1" customHeight="1">
      <c r="A76" s="240" t="s">
        <v>66</v>
      </c>
      <c r="B76" s="241"/>
      <c r="C76" s="241"/>
      <c r="D76" s="241"/>
      <c r="E76" s="241"/>
      <c r="F76" s="241"/>
      <c r="G76" s="272"/>
      <c r="H76" s="272"/>
      <c r="I76" s="272"/>
      <c r="J76" s="272"/>
      <c r="K76" s="272"/>
      <c r="L76" s="272"/>
      <c r="M76" s="272"/>
      <c r="N76" s="272"/>
      <c r="O76" s="272"/>
    </row>
    <row r="77" spans="1:15" ht="11.5" hidden="1" customHeight="1">
      <c r="A77" s="244"/>
      <c r="B77" s="225"/>
      <c r="C77" s="230"/>
      <c r="D77" s="225"/>
      <c r="E77" s="230"/>
      <c r="F77" s="230"/>
      <c r="G77" s="272"/>
      <c r="H77" s="272"/>
      <c r="I77" s="272"/>
      <c r="J77" s="272"/>
      <c r="K77" s="272"/>
      <c r="L77" s="272"/>
      <c r="M77" s="272"/>
      <c r="N77" s="272"/>
      <c r="O77" s="272"/>
    </row>
    <row r="78" spans="1:15" ht="11.5" hidden="1" customHeight="1">
      <c r="A78" s="198" t="s">
        <v>67</v>
      </c>
      <c r="B78" s="225"/>
      <c r="C78" s="230"/>
      <c r="D78" s="225"/>
      <c r="E78" s="230" t="s">
        <v>404</v>
      </c>
      <c r="F78" s="230"/>
      <c r="G78" s="272"/>
      <c r="H78" s="272"/>
      <c r="I78" s="272"/>
      <c r="J78" s="272"/>
      <c r="K78" s="272"/>
      <c r="L78" s="272"/>
      <c r="M78" s="272"/>
      <c r="N78" s="272"/>
      <c r="O78" s="272"/>
    </row>
    <row r="79" spans="1:15" ht="11.5" hidden="1" customHeight="1">
      <c r="A79" s="198" t="s">
        <v>416</v>
      </c>
      <c r="B79" s="225"/>
      <c r="C79" s="230"/>
      <c r="D79" s="225"/>
      <c r="E79" s="230" t="s">
        <v>404</v>
      </c>
      <c r="F79" s="230"/>
      <c r="G79" s="272"/>
      <c r="H79" s="272"/>
      <c r="I79" s="272"/>
      <c r="J79" s="272"/>
      <c r="K79" s="272"/>
      <c r="L79" s="272"/>
      <c r="M79" s="272"/>
      <c r="N79" s="272"/>
      <c r="O79" s="272"/>
    </row>
    <row r="80" spans="1:15" ht="11.5" hidden="1" customHeight="1">
      <c r="A80" s="198" t="s">
        <v>417</v>
      </c>
      <c r="B80" s="225"/>
      <c r="C80" s="230"/>
      <c r="D80" s="225"/>
      <c r="E80" s="230" t="s">
        <v>404</v>
      </c>
      <c r="F80" s="230"/>
      <c r="G80" s="272"/>
      <c r="H80" s="272"/>
      <c r="I80" s="272"/>
      <c r="J80" s="272"/>
      <c r="K80" s="272"/>
      <c r="L80" s="272"/>
      <c r="M80" s="272"/>
      <c r="N80" s="272"/>
      <c r="O80" s="272"/>
    </row>
    <row r="81" spans="1:15" ht="11.5" hidden="1" customHeight="1">
      <c r="A81" s="198"/>
      <c r="B81" s="225"/>
      <c r="C81" s="230"/>
      <c r="D81" s="225"/>
      <c r="E81" s="230"/>
      <c r="F81" s="230"/>
      <c r="G81" s="272"/>
      <c r="H81" s="272"/>
      <c r="I81" s="272"/>
      <c r="J81" s="272"/>
      <c r="K81" s="272"/>
      <c r="L81" s="272"/>
      <c r="M81" s="272"/>
      <c r="N81" s="272"/>
      <c r="O81" s="272"/>
    </row>
    <row r="82" spans="1:15" ht="11.5" hidden="1" customHeight="1">
      <c r="A82" s="198" t="s">
        <v>69</v>
      </c>
      <c r="B82" s="225"/>
      <c r="C82" s="230"/>
      <c r="D82" s="225"/>
      <c r="E82" s="230" t="s">
        <v>404</v>
      </c>
      <c r="F82" s="230"/>
      <c r="G82" s="272"/>
      <c r="H82" s="272"/>
      <c r="I82" s="272"/>
      <c r="J82" s="272"/>
      <c r="K82" s="272"/>
      <c r="L82" s="272"/>
      <c r="M82" s="272"/>
      <c r="N82" s="272"/>
      <c r="O82" s="272"/>
    </row>
    <row r="83" spans="1:15" ht="11.5" hidden="1" customHeight="1">
      <c r="A83" s="244"/>
      <c r="B83" s="225"/>
      <c r="C83" s="230"/>
      <c r="D83" s="225"/>
      <c r="E83" s="230"/>
      <c r="F83" s="230"/>
      <c r="G83" s="272"/>
      <c r="H83" s="272"/>
      <c r="I83" s="272"/>
      <c r="J83" s="272"/>
      <c r="K83" s="272"/>
      <c r="L83" s="272"/>
      <c r="M83" s="272"/>
      <c r="N83" s="272"/>
      <c r="O83" s="272"/>
    </row>
    <row r="84" spans="1:15" ht="11.5" hidden="1" customHeight="1">
      <c r="A84" s="198" t="s">
        <v>451</v>
      </c>
      <c r="B84" s="225"/>
      <c r="C84" s="230"/>
      <c r="D84" s="225"/>
      <c r="E84" s="230"/>
      <c r="F84" s="230"/>
      <c r="G84" s="272"/>
      <c r="H84" s="272"/>
      <c r="I84" s="272"/>
      <c r="J84" s="272"/>
      <c r="K84" s="272"/>
      <c r="L84" s="272"/>
      <c r="M84" s="272"/>
      <c r="N84" s="272"/>
      <c r="O84" s="272"/>
    </row>
    <row r="85" spans="1:15" ht="11.5" hidden="1" customHeight="1">
      <c r="A85" s="244" t="str">
        <f>VLOOKUP($A$1,BDD!A:JO,63,FALSE)</f>
        <v>Non</v>
      </c>
      <c r="B85" s="225"/>
      <c r="C85" s="230"/>
      <c r="D85" s="225"/>
      <c r="E85" s="230"/>
      <c r="F85" s="230"/>
      <c r="G85" s="272"/>
      <c r="H85" s="272"/>
      <c r="I85" s="272"/>
      <c r="J85" s="272"/>
      <c r="K85" s="272"/>
      <c r="L85" s="272"/>
      <c r="M85" s="272"/>
      <c r="N85" s="272"/>
      <c r="O85" s="272"/>
    </row>
    <row r="86" spans="1:15" ht="11.5" hidden="1" customHeight="1">
      <c r="A86" s="244"/>
      <c r="B86" s="225"/>
      <c r="C86" s="230"/>
      <c r="D86" s="225"/>
      <c r="E86" s="230"/>
      <c r="F86" s="230"/>
      <c r="G86" s="272"/>
      <c r="H86" s="272"/>
      <c r="I86" s="272"/>
      <c r="J86" s="272"/>
      <c r="K86" s="272"/>
      <c r="L86" s="272"/>
      <c r="M86" s="272"/>
      <c r="N86" s="272"/>
      <c r="O86" s="272"/>
    </row>
    <row r="87" spans="1:15" ht="11.5" hidden="1" customHeight="1">
      <c r="A87" s="198" t="s">
        <v>452</v>
      </c>
      <c r="B87" s="225"/>
      <c r="C87" s="230"/>
      <c r="D87" s="225"/>
      <c r="E87" s="230"/>
      <c r="F87" s="230"/>
      <c r="G87" s="272"/>
      <c r="H87" s="272"/>
      <c r="I87" s="272"/>
      <c r="J87" s="272"/>
      <c r="K87" s="272"/>
      <c r="L87" s="272"/>
      <c r="M87" s="272"/>
      <c r="N87" s="272"/>
      <c r="O87" s="272"/>
    </row>
    <row r="88" spans="1:15" ht="11.5" hidden="1" customHeight="1">
      <c r="A88" s="244" t="str">
        <f>VLOOKUP($A$1,BDD!A:JO,64,FALSE)</f>
        <v>Non</v>
      </c>
      <c r="B88" s="225"/>
      <c r="C88" s="230"/>
      <c r="D88" s="225"/>
      <c r="E88" s="230"/>
      <c r="F88" s="230"/>
      <c r="G88" s="272"/>
      <c r="H88" s="272"/>
      <c r="I88" s="272"/>
      <c r="J88" s="272"/>
      <c r="K88" s="272"/>
      <c r="L88" s="272"/>
      <c r="M88" s="272"/>
      <c r="N88" s="272"/>
      <c r="O88" s="272"/>
    </row>
    <row r="89" spans="1:15" ht="11.5" hidden="1" customHeight="1">
      <c r="A89" s="244"/>
      <c r="B89" s="225"/>
      <c r="C89" s="230"/>
      <c r="D89" s="225"/>
      <c r="E89" s="230"/>
      <c r="F89" s="230"/>
      <c r="G89" s="272"/>
      <c r="H89" s="272"/>
      <c r="I89" s="272"/>
      <c r="J89" s="272"/>
      <c r="K89" s="272"/>
      <c r="L89" s="272"/>
      <c r="M89" s="272"/>
      <c r="N89" s="272"/>
      <c r="O89" s="272"/>
    </row>
    <row r="90" spans="1:15" ht="11.5" hidden="1" customHeight="1">
      <c r="A90" s="198" t="s">
        <v>453</v>
      </c>
      <c r="B90" s="225"/>
      <c r="C90" s="230"/>
      <c r="D90" s="225"/>
      <c r="E90" s="230"/>
      <c r="F90" s="230"/>
      <c r="G90" s="272"/>
      <c r="H90" s="272"/>
      <c r="I90" s="272"/>
      <c r="J90" s="272"/>
      <c r="K90" s="272"/>
      <c r="L90" s="272"/>
      <c r="M90" s="272"/>
      <c r="N90" s="272"/>
      <c r="O90" s="272"/>
    </row>
    <row r="91" spans="1:15" ht="11.5" hidden="1" customHeight="1">
      <c r="A91" s="244" t="str">
        <f>VLOOKUP($A$1,BDD!A:JO,65,FALSE)</f>
        <v>Non</v>
      </c>
      <c r="B91" s="225"/>
      <c r="C91" s="230"/>
      <c r="D91" s="225"/>
      <c r="E91" s="230"/>
      <c r="F91" s="230"/>
      <c r="G91" s="272"/>
      <c r="H91" s="272"/>
      <c r="I91" s="272"/>
      <c r="J91" s="272"/>
      <c r="K91" s="272"/>
      <c r="L91" s="272"/>
      <c r="M91" s="272"/>
      <c r="N91" s="272"/>
      <c r="O91" s="272"/>
    </row>
    <row r="92" spans="1:15" ht="11.5" hidden="1" customHeight="1">
      <c r="A92" s="244"/>
      <c r="B92" s="225"/>
      <c r="C92" s="230"/>
      <c r="D92" s="225"/>
      <c r="E92" s="230"/>
      <c r="F92" s="230"/>
      <c r="G92" s="272"/>
      <c r="H92" s="272"/>
      <c r="I92" s="272"/>
      <c r="J92" s="272"/>
      <c r="K92" s="272"/>
      <c r="L92" s="272"/>
      <c r="M92" s="272"/>
      <c r="N92" s="272"/>
      <c r="O92" s="272"/>
    </row>
    <row r="93" spans="1:15" ht="25.5" hidden="1" customHeight="1">
      <c r="A93" s="240" t="s">
        <v>74</v>
      </c>
      <c r="B93" s="241"/>
      <c r="C93" s="241"/>
      <c r="D93" s="241"/>
      <c r="E93" s="241"/>
      <c r="F93" s="241"/>
      <c r="G93" s="272"/>
      <c r="H93" s="272"/>
      <c r="I93" s="272"/>
      <c r="J93" s="272"/>
      <c r="K93" s="272"/>
      <c r="L93" s="272"/>
      <c r="M93" s="272"/>
      <c r="N93" s="272"/>
      <c r="O93" s="272"/>
    </row>
    <row r="94" spans="1:15" ht="11.5" hidden="1" customHeight="1">
      <c r="A94" s="244"/>
      <c r="B94" s="225"/>
      <c r="C94" s="230"/>
      <c r="D94" s="225"/>
      <c r="E94" s="230"/>
      <c r="F94" s="230"/>
      <c r="G94" s="272"/>
      <c r="H94" s="272"/>
      <c r="I94" s="272"/>
      <c r="J94" s="272"/>
      <c r="K94" s="272"/>
      <c r="L94" s="272"/>
      <c r="M94" s="272"/>
      <c r="N94" s="272"/>
      <c r="O94" s="272"/>
    </row>
    <row r="95" spans="1:15" ht="11.5" hidden="1" customHeight="1">
      <c r="A95" s="221">
        <f>VLOOKUP($A$1,BDD!A:JO,66,FALSE)</f>
        <v>0</v>
      </c>
      <c r="B95" s="225"/>
      <c r="C95" s="230"/>
      <c r="D95" s="225"/>
      <c r="E95" s="230"/>
      <c r="F95" s="230"/>
      <c r="G95" s="272"/>
      <c r="H95" s="272"/>
      <c r="I95" s="272"/>
      <c r="J95" s="272"/>
      <c r="K95" s="272"/>
      <c r="L95" s="272"/>
      <c r="M95" s="272"/>
      <c r="N95" s="272"/>
      <c r="O95" s="272"/>
    </row>
    <row r="96" spans="1:15" ht="11.5" hidden="1" customHeight="1">
      <c r="A96" s="244"/>
      <c r="B96" s="225"/>
      <c r="C96" s="230"/>
      <c r="D96" s="225"/>
      <c r="E96" s="230"/>
      <c r="F96" s="230"/>
      <c r="G96" s="272"/>
      <c r="H96" s="272"/>
      <c r="I96" s="272"/>
      <c r="J96" s="272"/>
      <c r="K96" s="272"/>
      <c r="L96" s="272"/>
      <c r="M96" s="272"/>
      <c r="N96" s="272"/>
      <c r="O96" s="272"/>
    </row>
    <row r="97" spans="1:15" ht="11.5" hidden="1" customHeight="1">
      <c r="A97" s="205" t="s">
        <v>418</v>
      </c>
      <c r="B97" s="225"/>
      <c r="C97" s="230"/>
      <c r="D97" s="225"/>
      <c r="E97" s="230" t="s">
        <v>404</v>
      </c>
      <c r="F97" s="230"/>
      <c r="G97" s="272"/>
      <c r="H97" s="272"/>
      <c r="I97" s="272"/>
      <c r="J97" s="272"/>
      <c r="K97" s="272"/>
      <c r="L97" s="272"/>
      <c r="M97" s="272"/>
      <c r="N97" s="272"/>
      <c r="O97" s="272"/>
    </row>
    <row r="98" spans="1:15" ht="11.5" hidden="1" customHeight="1">
      <c r="A98" s="205" t="s">
        <v>419</v>
      </c>
      <c r="B98" s="225"/>
      <c r="C98" s="230"/>
      <c r="D98" s="225"/>
      <c r="E98" s="230" t="s">
        <v>404</v>
      </c>
      <c r="F98" s="230"/>
      <c r="G98" s="272"/>
      <c r="H98" s="272"/>
      <c r="I98" s="272"/>
      <c r="J98" s="272"/>
      <c r="K98" s="272"/>
      <c r="L98" s="272"/>
      <c r="M98" s="272"/>
      <c r="N98" s="272"/>
      <c r="O98" s="272"/>
    </row>
    <row r="99" spans="1:15" ht="11.5" hidden="1" customHeight="1">
      <c r="A99" s="205"/>
      <c r="B99" s="225"/>
      <c r="C99" s="230"/>
      <c r="D99" s="225"/>
      <c r="E99" s="230"/>
      <c r="F99" s="230"/>
      <c r="G99" s="272"/>
      <c r="H99" s="272"/>
      <c r="I99" s="272"/>
      <c r="J99" s="272"/>
      <c r="K99" s="272"/>
      <c r="L99" s="272"/>
      <c r="M99" s="272"/>
      <c r="N99" s="272"/>
      <c r="O99" s="272"/>
    </row>
    <row r="100" spans="1:15" ht="11.5" hidden="1" customHeight="1">
      <c r="A100" s="205" t="s">
        <v>420</v>
      </c>
      <c r="B100" s="225"/>
      <c r="C100" s="230"/>
      <c r="D100" s="225"/>
      <c r="E100" s="230" t="s">
        <v>404</v>
      </c>
      <c r="F100" s="230"/>
      <c r="G100" s="272"/>
      <c r="H100" s="272"/>
      <c r="I100" s="272"/>
      <c r="J100" s="272"/>
      <c r="K100" s="272"/>
      <c r="L100" s="272"/>
      <c r="M100" s="272"/>
      <c r="N100" s="272"/>
      <c r="O100" s="272"/>
    </row>
    <row r="101" spans="1:15" ht="11.5" hidden="1" customHeight="1">
      <c r="A101" s="237" t="s">
        <v>421</v>
      </c>
      <c r="B101" s="237"/>
      <c r="C101" s="237"/>
      <c r="D101" s="237"/>
      <c r="E101" s="230" t="s">
        <v>404</v>
      </c>
      <c r="F101" s="230"/>
      <c r="G101" s="272"/>
      <c r="H101" s="272"/>
      <c r="I101" s="272"/>
      <c r="J101" s="272"/>
      <c r="K101" s="272"/>
      <c r="L101" s="272"/>
      <c r="M101" s="272"/>
      <c r="N101" s="272"/>
      <c r="O101" s="272"/>
    </row>
    <row r="102" spans="1:15" ht="11.5" hidden="1" customHeight="1">
      <c r="A102" s="205" t="s">
        <v>422</v>
      </c>
      <c r="B102" s="225"/>
      <c r="C102" s="230"/>
      <c r="D102" s="225"/>
      <c r="E102" s="230" t="s">
        <v>404</v>
      </c>
      <c r="F102" s="230"/>
      <c r="G102" s="272"/>
      <c r="H102" s="272"/>
      <c r="I102" s="272"/>
      <c r="J102" s="272"/>
      <c r="K102" s="272"/>
      <c r="L102" s="272"/>
      <c r="M102" s="272"/>
      <c r="N102" s="272"/>
      <c r="O102" s="272"/>
    </row>
    <row r="103" spans="1:15" ht="11.5" hidden="1" customHeight="1">
      <c r="A103" s="237" t="s">
        <v>423</v>
      </c>
      <c r="B103" s="237"/>
      <c r="C103" s="237"/>
      <c r="D103" s="237"/>
      <c r="E103" s="230" t="s">
        <v>404</v>
      </c>
      <c r="F103" s="230"/>
      <c r="G103" s="272"/>
      <c r="H103" s="272"/>
      <c r="I103" s="272"/>
      <c r="J103" s="272"/>
      <c r="K103" s="272"/>
      <c r="L103" s="272"/>
      <c r="M103" s="272"/>
      <c r="N103" s="272"/>
      <c r="O103" s="272"/>
    </row>
    <row r="104" spans="1:15" ht="11.5" hidden="1" customHeight="1">
      <c r="A104" s="205" t="s">
        <v>424</v>
      </c>
      <c r="B104" s="225"/>
      <c r="C104" s="230"/>
      <c r="D104" s="225"/>
      <c r="E104" s="230" t="s">
        <v>404</v>
      </c>
      <c r="F104" s="230"/>
      <c r="G104" s="272"/>
      <c r="H104" s="272"/>
      <c r="I104" s="272"/>
      <c r="J104" s="272"/>
      <c r="K104" s="272"/>
      <c r="L104" s="272"/>
      <c r="M104" s="272"/>
      <c r="N104" s="272"/>
      <c r="O104" s="272"/>
    </row>
    <row r="105" spans="1:15" ht="11.5" hidden="1" customHeight="1">
      <c r="A105" s="205" t="s">
        <v>464</v>
      </c>
      <c r="B105" s="225"/>
      <c r="C105" s="230"/>
      <c r="D105" s="225"/>
      <c r="E105" s="230" t="s">
        <v>404</v>
      </c>
      <c r="F105" s="230"/>
      <c r="G105" s="272"/>
      <c r="H105" s="272"/>
      <c r="I105" s="272"/>
      <c r="J105" s="272"/>
      <c r="K105" s="272"/>
      <c r="L105" s="272"/>
      <c r="M105" s="272"/>
      <c r="N105" s="272"/>
      <c r="O105" s="272"/>
    </row>
    <row r="106" spans="1:15" ht="11.5" hidden="1" customHeight="1">
      <c r="A106" s="206" t="s">
        <v>425</v>
      </c>
      <c r="B106" s="225"/>
      <c r="C106" s="230"/>
      <c r="D106" s="225"/>
      <c r="E106" s="230" t="s">
        <v>404</v>
      </c>
      <c r="F106" s="230"/>
      <c r="G106" s="272"/>
      <c r="H106" s="272"/>
      <c r="I106" s="272"/>
      <c r="J106" s="272"/>
      <c r="K106" s="272"/>
      <c r="L106" s="272"/>
      <c r="M106" s="272"/>
      <c r="N106" s="272"/>
      <c r="O106" s="272"/>
    </row>
    <row r="107" spans="1:15" ht="11.5" hidden="1" customHeight="1">
      <c r="A107" s="206" t="s">
        <v>426</v>
      </c>
      <c r="B107" s="225"/>
      <c r="C107" s="230"/>
      <c r="D107" s="225"/>
      <c r="E107" s="230" t="s">
        <v>404</v>
      </c>
      <c r="F107" s="230"/>
      <c r="G107" s="272"/>
      <c r="H107" s="272"/>
      <c r="I107" s="272"/>
      <c r="J107" s="272"/>
      <c r="K107" s="272"/>
      <c r="L107" s="272"/>
      <c r="M107" s="272"/>
      <c r="N107" s="272"/>
      <c r="O107" s="272"/>
    </row>
    <row r="108" spans="1:15" ht="11.5" hidden="1" customHeight="1">
      <c r="A108" s="206" t="s">
        <v>427</v>
      </c>
      <c r="B108" s="225"/>
      <c r="C108" s="230"/>
      <c r="D108" s="225"/>
      <c r="E108" s="230" t="s">
        <v>404</v>
      </c>
      <c r="F108" s="230"/>
      <c r="G108" s="272"/>
      <c r="H108" s="272"/>
      <c r="I108" s="272"/>
      <c r="J108" s="272"/>
      <c r="K108" s="272"/>
      <c r="L108" s="272"/>
      <c r="M108" s="272"/>
      <c r="N108" s="272"/>
      <c r="O108" s="272"/>
    </row>
    <row r="109" spans="1:15" ht="11.5" hidden="1" customHeight="1">
      <c r="A109" s="244"/>
      <c r="B109" s="225"/>
      <c r="C109" s="230"/>
      <c r="D109" s="225"/>
      <c r="E109" s="230"/>
      <c r="F109" s="230"/>
      <c r="G109" s="272"/>
      <c r="H109" s="272"/>
      <c r="I109" s="272"/>
      <c r="J109" s="272"/>
      <c r="K109" s="272"/>
      <c r="L109" s="272"/>
      <c r="M109" s="272"/>
      <c r="N109" s="272"/>
      <c r="O109" s="272"/>
    </row>
    <row r="110" spans="1:15" ht="11.5" hidden="1" customHeight="1">
      <c r="A110" s="76" t="str">
        <f>VLOOKUP($A$1,BDD!A:JO,78,FALSE)</f>
        <v>Les valeurs nutritives ont été calculées</v>
      </c>
      <c r="B110" s="225"/>
      <c r="C110" s="230"/>
      <c r="D110" s="225"/>
      <c r="E110" s="230"/>
      <c r="F110" s="230"/>
      <c r="G110" s="272"/>
      <c r="H110" s="272"/>
      <c r="I110" s="272"/>
      <c r="J110" s="272"/>
      <c r="K110" s="272"/>
      <c r="L110" s="272"/>
      <c r="M110" s="272"/>
      <c r="N110" s="272"/>
      <c r="O110" s="272"/>
    </row>
    <row r="111" spans="1:15" ht="11.5" hidden="1" customHeight="1">
      <c r="A111" s="244"/>
      <c r="B111" s="225"/>
      <c r="C111" s="230"/>
      <c r="D111" s="225"/>
      <c r="E111" s="230"/>
      <c r="F111" s="230"/>
      <c r="G111" s="272"/>
      <c r="H111" s="272"/>
      <c r="I111" s="272"/>
      <c r="J111" s="272"/>
      <c r="K111" s="272"/>
      <c r="L111" s="272"/>
      <c r="M111" s="272"/>
      <c r="N111" s="272"/>
      <c r="O111" s="272"/>
    </row>
    <row r="112" spans="1:15" ht="25.5" hidden="1" customHeight="1">
      <c r="A112" s="240" t="s">
        <v>17</v>
      </c>
      <c r="B112" s="241"/>
      <c r="C112" s="241"/>
      <c r="D112" s="241"/>
      <c r="E112" s="241"/>
      <c r="F112" s="241"/>
      <c r="G112" s="272"/>
      <c r="H112" s="272"/>
      <c r="I112" s="272"/>
      <c r="J112" s="272"/>
      <c r="K112" s="272"/>
      <c r="L112" s="272"/>
      <c r="M112" s="272"/>
      <c r="N112" s="272"/>
      <c r="O112" s="272"/>
    </row>
    <row r="113" spans="1:15" ht="11.5" hidden="1" customHeight="1">
      <c r="A113" s="244"/>
      <c r="B113" s="225"/>
      <c r="C113" s="230"/>
      <c r="D113" s="225"/>
      <c r="E113" s="230"/>
      <c r="F113" s="230"/>
      <c r="G113" s="272"/>
      <c r="H113" s="272"/>
      <c r="I113" s="272"/>
      <c r="J113" s="272"/>
      <c r="K113" s="272"/>
      <c r="L113" s="272"/>
      <c r="M113" s="272"/>
      <c r="N113" s="272"/>
      <c r="O113" s="272"/>
    </row>
    <row r="114" spans="1:15" ht="11.5" hidden="1" customHeight="1">
      <c r="A114" s="207" t="s">
        <v>428</v>
      </c>
      <c r="B114" s="225"/>
      <c r="C114" s="230"/>
      <c r="D114" s="225"/>
      <c r="E114" s="230"/>
      <c r="F114" s="230"/>
      <c r="G114" s="272"/>
      <c r="H114" s="272"/>
      <c r="I114" s="272"/>
      <c r="J114" s="272"/>
      <c r="K114" s="272"/>
      <c r="L114" s="272"/>
      <c r="M114" s="272"/>
      <c r="N114" s="272"/>
      <c r="O114" s="272"/>
    </row>
    <row r="115" spans="1:15" ht="11.5" hidden="1" customHeight="1">
      <c r="A115" s="244"/>
      <c r="B115" s="225"/>
      <c r="C115" s="230"/>
      <c r="D115" s="225"/>
      <c r="E115" s="230"/>
      <c r="F115" s="230"/>
      <c r="G115" s="272"/>
      <c r="H115" s="272"/>
      <c r="I115" s="272"/>
      <c r="J115" s="272"/>
      <c r="K115" s="272"/>
      <c r="L115" s="272"/>
      <c r="M115" s="272"/>
      <c r="N115" s="272"/>
      <c r="O115" s="272"/>
    </row>
    <row r="116" spans="1:15" ht="11.5" hidden="1" customHeight="1">
      <c r="A116" s="227" t="s">
        <v>429</v>
      </c>
      <c r="B116" s="227"/>
      <c r="C116" s="228"/>
      <c r="D116" s="226" t="s">
        <v>430</v>
      </c>
      <c r="E116" s="227"/>
      <c r="F116" s="226" t="s">
        <v>431</v>
      </c>
      <c r="G116" s="272"/>
      <c r="H116" s="272"/>
      <c r="I116" s="272"/>
      <c r="J116" s="272"/>
      <c r="K116" s="272"/>
      <c r="L116" s="272"/>
      <c r="M116" s="272"/>
      <c r="N116" s="272" t="s">
        <v>432</v>
      </c>
      <c r="O116" s="272"/>
    </row>
    <row r="117" spans="1:15" ht="11.5" hidden="1" customHeight="1">
      <c r="A117" s="230" t="str">
        <f>VLOOKUP($A$1,BDD!A:JO,79,FALSE)</f>
        <v>pH</v>
      </c>
      <c r="B117" s="230"/>
      <c r="C117" s="231"/>
      <c r="D117" s="235">
        <f>VLOOKUP($A$1,BDD!A:JO,80,FALSE)</f>
        <v>3.5</v>
      </c>
      <c r="E117" s="236"/>
      <c r="F117" s="229" t="str">
        <f>VLOOKUP($A$1,BDD!A:JO,82,FALSE)</f>
        <v>Potentiomètre</v>
      </c>
      <c r="G117" s="272"/>
      <c r="H117" s="272"/>
      <c r="I117" s="272"/>
      <c r="J117" s="272"/>
      <c r="K117" s="272"/>
      <c r="L117" s="272"/>
      <c r="M117" s="272"/>
      <c r="N117" s="272" t="str">
        <f>VLOOKUP($A$1,BDD!A:JO,83,FALSE)</f>
        <v>1x/lot</v>
      </c>
      <c r="O117" s="272"/>
    </row>
    <row r="118" spans="1:15" ht="11.5" hidden="1" customHeight="1">
      <c r="A118" s="230" t="str">
        <f>VLOOKUP($A$1,BDD!A:JO,84,FALSE)</f>
        <v>Acidité (g/dl)</v>
      </c>
      <c r="B118" s="230"/>
      <c r="C118" s="231"/>
      <c r="D118" s="235">
        <f>VLOOKUP($A$1,BDD!A:JO,85,FALSE)</f>
        <v>1.7</v>
      </c>
      <c r="E118" s="236"/>
      <c r="F118" s="229" t="str">
        <f>VLOOKUP($A$1,BDD!A:JO,87,FALSE)</f>
        <v>Titrimétrie</v>
      </c>
      <c r="G118" s="272"/>
      <c r="H118" s="272"/>
      <c r="I118" s="272"/>
      <c r="J118" s="272"/>
      <c r="K118" s="272"/>
      <c r="L118" s="272"/>
      <c r="M118" s="272"/>
      <c r="N118" s="272" t="str">
        <f>VLOOKUP($A$1,BDD!A:JO,88,FALSE)</f>
        <v>1x/lot</v>
      </c>
      <c r="O118" s="272"/>
    </row>
    <row r="119" spans="1:15" ht="11.5" hidden="1" customHeight="1">
      <c r="A119" s="230" t="str">
        <f>VLOOKUP($A$1,BDD!A:JO,89,FALSE)</f>
        <v>Sel (%)</v>
      </c>
      <c r="B119" s="230"/>
      <c r="C119" s="231"/>
      <c r="D119" s="235">
        <f>VLOOKUP($A$1,BDD!A:JO,90,FALSE)</f>
        <v>1.6</v>
      </c>
      <c r="E119" s="236"/>
      <c r="F119" s="229" t="str">
        <f>VLOOKUP($A$1,BDD!A:JO,92,FALSE)</f>
        <v>Titrimétrie</v>
      </c>
      <c r="G119" s="272"/>
      <c r="H119" s="272"/>
      <c r="I119" s="272"/>
      <c r="J119" s="272"/>
      <c r="K119" s="272"/>
      <c r="L119" s="272"/>
      <c r="M119" s="272"/>
      <c r="N119" s="272" t="str">
        <f>VLOOKUP($A$1,BDD!A:JO,93,FALSE)</f>
        <v>1x/lot</v>
      </c>
      <c r="O119" s="272"/>
    </row>
    <row r="120" spans="1:15" ht="11.5" hidden="1" customHeight="1">
      <c r="A120" s="230" t="str">
        <f>VLOOKUP($A$1,BDD!A:JO,94,FALSE)</f>
        <v>Calibre cornichons</v>
      </c>
      <c r="B120" s="230"/>
      <c r="C120" s="231"/>
      <c r="D120" s="235" t="str">
        <f>VLOOKUP($A$1,BDD!A:JO,95,FALSE)</f>
        <v>80-120 fruits/kg</v>
      </c>
      <c r="E120" s="236"/>
      <c r="F120" s="229" t="str">
        <f>VLOOKUP($A$1,BDD!A:JO,97,FALSE)</f>
        <v>GMP</v>
      </c>
      <c r="G120" s="272"/>
      <c r="H120" s="272"/>
      <c r="I120" s="272"/>
      <c r="J120" s="272"/>
      <c r="K120" s="272"/>
      <c r="L120" s="272"/>
      <c r="M120" s="272"/>
      <c r="N120" s="272" t="str">
        <f>VLOOKUP($A$1,BDD!A:JO,98,FALSE)</f>
        <v>A réception</v>
      </c>
      <c r="O120" s="272"/>
    </row>
    <row r="121" spans="1:15" ht="11.5" hidden="1" customHeight="1">
      <c r="A121" s="230" t="str">
        <f>VLOOKUP($A$1,BDD!A:JO,99,FALSE)</f>
        <v>Calibre oignons</v>
      </c>
      <c r="B121" s="230"/>
      <c r="C121" s="231"/>
      <c r="D121" s="235" t="str">
        <f>VLOOKUP($A$1,BDD!A:JO,100,FALSE)</f>
        <v>18/21 mm/diam.</v>
      </c>
      <c r="E121" s="236"/>
      <c r="F121" s="229">
        <f>VLOOKUP($A$1,BDD!A:JO,102,FALSE)</f>
        <v>0</v>
      </c>
      <c r="G121" s="272"/>
      <c r="H121" s="272"/>
      <c r="I121" s="272"/>
      <c r="J121" s="272"/>
      <c r="K121" s="272"/>
      <c r="L121" s="272"/>
      <c r="M121" s="272"/>
      <c r="N121" s="272">
        <f>VLOOKUP($A$1,BDD!A:JO,103,FALSE)</f>
        <v>0</v>
      </c>
      <c r="O121" s="272"/>
    </row>
    <row r="122" spans="1:15" ht="11.5" hidden="1" customHeight="1">
      <c r="A122" s="230">
        <f>VLOOKUP($A$1,BDD!A:JO,104,FALSE)</f>
        <v>0</v>
      </c>
      <c r="B122" s="230"/>
      <c r="C122" s="231"/>
      <c r="D122" s="235">
        <f>VLOOKUP($A$1,BDD!A:JO,105,FALSE)</f>
        <v>0</v>
      </c>
      <c r="E122" s="236"/>
      <c r="F122" s="229">
        <f>VLOOKUP($A$1,BDD!A:JO,107,FALSE)</f>
        <v>0</v>
      </c>
      <c r="G122" s="272"/>
      <c r="H122" s="272"/>
      <c r="I122" s="272"/>
      <c r="J122" s="272"/>
      <c r="K122" s="272"/>
      <c r="L122" s="272"/>
      <c r="M122" s="272"/>
      <c r="N122" s="272">
        <f>VLOOKUP($A$1,BDD!A:JO,108,FALSE)</f>
        <v>0</v>
      </c>
      <c r="O122" s="272"/>
    </row>
    <row r="123" spans="1:15" ht="11.5" hidden="1" customHeight="1">
      <c r="A123" s="230">
        <f>VLOOKUP($A$1,BDD!A:JO,109,FALSE)</f>
        <v>0</v>
      </c>
      <c r="B123" s="230"/>
      <c r="C123" s="231"/>
      <c r="D123" s="235">
        <f>VLOOKUP($A$1,BDD!A:JO,110,FALSE)</f>
        <v>0</v>
      </c>
      <c r="E123" s="236"/>
      <c r="F123" s="229">
        <f>VLOOKUP($A$1,BDD!A:JO,112,FALSE)</f>
        <v>0</v>
      </c>
      <c r="G123" s="272"/>
      <c r="H123" s="272"/>
      <c r="I123" s="272"/>
      <c r="J123" s="272"/>
      <c r="K123" s="272"/>
      <c r="L123" s="272"/>
      <c r="M123" s="272"/>
      <c r="N123" s="272">
        <f>VLOOKUP($A$1,BDD!A:JO,113,FALSE)</f>
        <v>0</v>
      </c>
      <c r="O123" s="272"/>
    </row>
    <row r="124" spans="1:15" ht="11.5" hidden="1" customHeight="1">
      <c r="A124" s="244"/>
      <c r="B124" s="225"/>
      <c r="C124" s="230"/>
      <c r="D124" s="225"/>
      <c r="E124" s="230"/>
      <c r="F124" s="230"/>
      <c r="G124" s="272"/>
      <c r="H124" s="272"/>
      <c r="I124" s="272"/>
      <c r="J124" s="272"/>
      <c r="K124" s="272"/>
      <c r="L124" s="272"/>
      <c r="M124" s="272"/>
      <c r="N124" s="272"/>
      <c r="O124" s="272"/>
    </row>
    <row r="125" spans="1:15" ht="11.5" hidden="1" customHeight="1">
      <c r="A125" s="207" t="s">
        <v>433</v>
      </c>
      <c r="B125" s="225"/>
      <c r="C125" s="230"/>
      <c r="D125" s="225"/>
      <c r="E125" s="230"/>
      <c r="F125" s="230"/>
      <c r="G125" s="272"/>
      <c r="H125" s="272"/>
      <c r="I125" s="272"/>
      <c r="J125" s="272"/>
      <c r="K125" s="272"/>
      <c r="L125" s="272"/>
      <c r="M125" s="272"/>
      <c r="N125" s="272"/>
      <c r="O125" s="272"/>
    </row>
    <row r="126" spans="1:15" ht="11.5" hidden="1" customHeight="1">
      <c r="A126" s="244"/>
      <c r="B126" s="225"/>
      <c r="C126" s="230"/>
      <c r="D126" s="225"/>
      <c r="E126" s="230"/>
      <c r="F126" s="230"/>
      <c r="G126" s="272"/>
      <c r="H126" s="272"/>
      <c r="I126" s="272"/>
      <c r="J126" s="272"/>
      <c r="K126" s="272"/>
      <c r="L126" s="272"/>
      <c r="M126" s="272"/>
      <c r="N126" s="272"/>
      <c r="O126" s="272"/>
    </row>
    <row r="127" spans="1:15" ht="11.5" hidden="1" customHeight="1">
      <c r="A127" s="198" t="s">
        <v>434</v>
      </c>
      <c r="B127" s="225"/>
      <c r="C127" s="230"/>
      <c r="D127" s="225"/>
      <c r="E127" s="230" t="s">
        <v>404</v>
      </c>
      <c r="F127" s="230"/>
      <c r="G127" s="272"/>
      <c r="H127" s="272"/>
      <c r="I127" s="272"/>
      <c r="J127" s="272"/>
      <c r="K127" s="272"/>
      <c r="L127" s="272"/>
      <c r="M127" s="272"/>
      <c r="N127" s="272"/>
      <c r="O127" s="272"/>
    </row>
    <row r="128" spans="1:15" ht="11.5" hidden="1" customHeight="1">
      <c r="A128" s="244"/>
      <c r="B128" s="225"/>
      <c r="C128" s="230"/>
      <c r="D128" s="225"/>
      <c r="E128" s="230"/>
      <c r="F128" s="230"/>
      <c r="G128" s="272"/>
      <c r="H128" s="272"/>
      <c r="I128" s="272"/>
      <c r="J128" s="272"/>
      <c r="K128" s="272"/>
      <c r="L128" s="272"/>
      <c r="M128" s="272"/>
      <c r="N128" s="272"/>
      <c r="O128" s="272"/>
    </row>
    <row r="129" spans="1:15" s="217" customFormat="1" ht="11.5" hidden="1" customHeight="1">
      <c r="A129" s="227" t="s">
        <v>435</v>
      </c>
      <c r="B129" s="227"/>
      <c r="C129" s="227"/>
      <c r="D129" s="228"/>
      <c r="E129" s="226" t="s">
        <v>436</v>
      </c>
      <c r="F129" s="227"/>
      <c r="G129" s="272"/>
      <c r="H129" s="272"/>
      <c r="I129" s="272"/>
      <c r="J129" s="272"/>
      <c r="K129" s="272"/>
      <c r="L129" s="272" t="s">
        <v>432</v>
      </c>
      <c r="M129" s="272"/>
      <c r="N129" s="272"/>
      <c r="O129" s="272"/>
    </row>
    <row r="130" spans="1:15" ht="11.5" hidden="1" customHeight="1">
      <c r="A130" s="230">
        <f>VLOOKUP($A$1,BDD!A:JO,115,FALSE)</f>
        <v>0</v>
      </c>
      <c r="B130" s="230"/>
      <c r="C130" s="230"/>
      <c r="D130" s="231"/>
      <c r="E130" s="229">
        <f>VLOOKUP($A$1,BDD!A:JO,116,FALSE)</f>
        <v>0</v>
      </c>
      <c r="F130" s="230"/>
      <c r="G130" s="272"/>
      <c r="H130" s="272"/>
      <c r="I130" s="272"/>
      <c r="J130" s="272"/>
      <c r="K130" s="272"/>
      <c r="L130" s="272">
        <f>VLOOKUP($A$1,BDD!A:JO,118,FALSE)</f>
        <v>0</v>
      </c>
      <c r="M130" s="272"/>
      <c r="N130" s="272"/>
      <c r="O130" s="272"/>
    </row>
    <row r="131" spans="1:15" ht="11.5" hidden="1" customHeight="1">
      <c r="A131" s="230">
        <f>VLOOKUP($A$1,BDD!A:JO,119,FALSE)</f>
        <v>0</v>
      </c>
      <c r="B131" s="230"/>
      <c r="C131" s="230"/>
      <c r="D131" s="231"/>
      <c r="E131" s="229">
        <f>VLOOKUP($A$1,BDD!A:JO,120,FALSE)</f>
        <v>0</v>
      </c>
      <c r="F131" s="230"/>
      <c r="G131" s="272"/>
      <c r="H131" s="272"/>
      <c r="I131" s="272"/>
      <c r="J131" s="272"/>
      <c r="K131" s="272"/>
      <c r="L131" s="272">
        <f>VLOOKUP($A$1,BDD!A:JO,122,FALSE)</f>
        <v>0</v>
      </c>
      <c r="M131" s="272"/>
      <c r="N131" s="272"/>
      <c r="O131" s="272"/>
    </row>
    <row r="132" spans="1:15" ht="11.5" hidden="1" customHeight="1">
      <c r="A132" s="230">
        <f>VLOOKUP($A$1,BDD!A:JO,123,FALSE)</f>
        <v>0</v>
      </c>
      <c r="B132" s="230"/>
      <c r="C132" s="230"/>
      <c r="D132" s="231"/>
      <c r="E132" s="229">
        <f>VLOOKUP($A$1,BDD!A:JO,124,FALSE)</f>
        <v>0</v>
      </c>
      <c r="F132" s="230"/>
      <c r="G132" s="272"/>
      <c r="H132" s="272"/>
      <c r="I132" s="272"/>
      <c r="J132" s="272"/>
      <c r="K132" s="272"/>
      <c r="L132" s="272">
        <f>VLOOKUP($A$1,BDD!A:JO,126,FALSE)</f>
        <v>0</v>
      </c>
      <c r="M132" s="272"/>
      <c r="N132" s="272"/>
      <c r="O132" s="272"/>
    </row>
    <row r="133" spans="1:15" ht="11.5" hidden="1" customHeight="1">
      <c r="A133" s="230">
        <f>VLOOKUP($A$1,BDD!A:JO,127,FALSE)</f>
        <v>0</v>
      </c>
      <c r="B133" s="230"/>
      <c r="C133" s="230"/>
      <c r="D133" s="231"/>
      <c r="E133" s="229">
        <f>VLOOKUP($A$1,BDD!A:JO,128,FALSE)</f>
        <v>0</v>
      </c>
      <c r="F133" s="230"/>
      <c r="G133" s="272"/>
      <c r="H133" s="272"/>
      <c r="I133" s="272"/>
      <c r="J133" s="272"/>
      <c r="K133" s="272"/>
      <c r="L133" s="272">
        <f>VLOOKUP($A$1,BDD!A:JO,130,FALSE)</f>
        <v>0</v>
      </c>
      <c r="M133" s="272"/>
      <c r="N133" s="272"/>
      <c r="O133" s="272"/>
    </row>
    <row r="134" spans="1:15" ht="11.5" hidden="1" customHeight="1">
      <c r="A134" s="230">
        <f>VLOOKUP($A$1,BDD!A:JO,131,FALSE)</f>
        <v>0</v>
      </c>
      <c r="B134" s="230"/>
      <c r="C134" s="230"/>
      <c r="D134" s="231"/>
      <c r="E134" s="229">
        <f>VLOOKUP($A$1,BDD!A:JO,132,FALSE)</f>
        <v>0</v>
      </c>
      <c r="F134" s="230"/>
      <c r="G134" s="272"/>
      <c r="H134" s="272"/>
      <c r="I134" s="272"/>
      <c r="J134" s="272"/>
      <c r="K134" s="272"/>
      <c r="L134" s="272">
        <f>VLOOKUP($A$1,BDD!A:JO,134,FALSE)</f>
        <v>0</v>
      </c>
      <c r="M134" s="272"/>
      <c r="N134" s="272"/>
      <c r="O134" s="272"/>
    </row>
    <row r="135" spans="1:15" ht="11.5" hidden="1" customHeight="1">
      <c r="A135" s="230">
        <f>VLOOKUP($A$1,BDD!A:JO,135,FALSE)</f>
        <v>0</v>
      </c>
      <c r="B135" s="230"/>
      <c r="C135" s="230"/>
      <c r="D135" s="231"/>
      <c r="E135" s="229">
        <f>VLOOKUP($A$1,BDD!A:JO,136,FALSE)</f>
        <v>0</v>
      </c>
      <c r="F135" s="230"/>
      <c r="G135" s="272"/>
      <c r="H135" s="272"/>
      <c r="I135" s="272"/>
      <c r="J135" s="272"/>
      <c r="K135" s="272"/>
      <c r="L135" s="272">
        <f>VLOOKUP($A$1,BDD!A:JO,138,FALSE)</f>
        <v>0</v>
      </c>
      <c r="M135" s="272"/>
      <c r="N135" s="272"/>
      <c r="O135" s="272"/>
    </row>
    <row r="136" spans="1:15" ht="11.5" hidden="1" customHeight="1">
      <c r="A136" s="244"/>
      <c r="B136" s="225"/>
      <c r="C136" s="230"/>
      <c r="D136" s="225"/>
      <c r="E136" s="230"/>
      <c r="F136" s="230"/>
      <c r="G136" s="272"/>
      <c r="H136" s="272"/>
      <c r="I136" s="272"/>
      <c r="J136" s="272"/>
      <c r="K136" s="272"/>
      <c r="L136" s="272"/>
      <c r="M136" s="272"/>
      <c r="N136" s="272"/>
      <c r="O136" s="272"/>
    </row>
    <row r="137" spans="1:15" ht="11.5" hidden="1" customHeight="1">
      <c r="A137" s="207" t="s">
        <v>437</v>
      </c>
      <c r="B137" s="225"/>
      <c r="C137" s="230"/>
      <c r="D137" s="225"/>
      <c r="E137" s="230"/>
      <c r="F137" s="230"/>
      <c r="G137" s="272"/>
      <c r="H137" s="272"/>
      <c r="I137" s="272"/>
      <c r="J137" s="272"/>
      <c r="K137" s="272"/>
      <c r="L137" s="272"/>
      <c r="M137" s="272"/>
      <c r="N137" s="272"/>
      <c r="O137" s="272"/>
    </row>
    <row r="138" spans="1:15" ht="11.5" hidden="1" customHeight="1">
      <c r="A138" s="244"/>
      <c r="B138" s="225"/>
      <c r="C138" s="230"/>
      <c r="D138" s="225"/>
      <c r="E138" s="230"/>
      <c r="F138" s="230"/>
      <c r="G138" s="272"/>
      <c r="H138" s="272"/>
      <c r="I138" s="272"/>
      <c r="J138" s="272"/>
      <c r="K138" s="272"/>
      <c r="L138" s="272"/>
      <c r="M138" s="272"/>
      <c r="N138" s="272"/>
      <c r="O138" s="272"/>
    </row>
    <row r="139" spans="1:15" ht="11.5" hidden="1" customHeight="1">
      <c r="A139" s="205" t="s">
        <v>438</v>
      </c>
      <c r="B139" s="225"/>
      <c r="C139" s="230"/>
      <c r="D139" s="225"/>
      <c r="E139" s="230" t="s">
        <v>404</v>
      </c>
      <c r="F139" s="233"/>
      <c r="G139" s="272"/>
      <c r="H139" s="272"/>
      <c r="I139" s="272"/>
      <c r="J139" s="272"/>
      <c r="K139" s="272"/>
      <c r="L139" s="272"/>
      <c r="M139" s="272"/>
      <c r="N139" s="272"/>
      <c r="O139" s="272"/>
    </row>
    <row r="140" spans="1:15" ht="11.5" hidden="1" customHeight="1">
      <c r="A140" s="205"/>
      <c r="B140" s="225"/>
      <c r="C140" s="230"/>
      <c r="D140" s="225"/>
      <c r="E140" s="230"/>
      <c r="F140" s="233"/>
      <c r="G140" s="272"/>
      <c r="H140" s="272"/>
      <c r="I140" s="272"/>
      <c r="J140" s="272"/>
      <c r="K140" s="272"/>
      <c r="L140" s="272"/>
      <c r="M140" s="272"/>
      <c r="N140" s="272"/>
      <c r="O140" s="272"/>
    </row>
    <row r="141" spans="1:15" ht="11.5" hidden="1" customHeight="1">
      <c r="A141" s="205" t="s">
        <v>98</v>
      </c>
      <c r="B141" s="225"/>
      <c r="C141" s="230"/>
      <c r="D141" s="225"/>
      <c r="E141" s="230" t="s">
        <v>404</v>
      </c>
      <c r="F141" s="230"/>
      <c r="G141" s="272"/>
      <c r="H141" s="272"/>
      <c r="I141" s="272"/>
      <c r="J141" s="272"/>
      <c r="K141" s="272"/>
      <c r="L141" s="272"/>
      <c r="M141" s="272"/>
      <c r="N141" s="272"/>
      <c r="O141" s="272"/>
    </row>
    <row r="142" spans="1:15" ht="11.5" hidden="1" customHeight="1">
      <c r="A142" s="205" t="s">
        <v>99</v>
      </c>
      <c r="B142" s="225"/>
      <c r="C142" s="230"/>
      <c r="D142" s="225"/>
      <c r="E142" s="230" t="s">
        <v>404</v>
      </c>
      <c r="F142" s="230"/>
      <c r="G142" s="272"/>
      <c r="H142" s="272"/>
      <c r="I142" s="272"/>
      <c r="J142" s="272"/>
      <c r="K142" s="272"/>
      <c r="L142" s="272"/>
      <c r="M142" s="272"/>
      <c r="N142" s="272"/>
      <c r="O142" s="272"/>
    </row>
    <row r="143" spans="1:15" ht="11.5" hidden="1" customHeight="1">
      <c r="A143" s="205"/>
      <c r="B143" s="225"/>
      <c r="C143" s="230"/>
      <c r="D143" s="225"/>
      <c r="E143" s="230"/>
      <c r="F143" s="230"/>
      <c r="G143" s="272"/>
      <c r="H143" s="272"/>
      <c r="I143" s="272"/>
      <c r="J143" s="272"/>
      <c r="K143" s="272"/>
      <c r="L143" s="272"/>
      <c r="M143" s="272"/>
      <c r="N143" s="272"/>
      <c r="O143" s="272"/>
    </row>
    <row r="144" spans="1:15" ht="25.5" hidden="1" customHeight="1">
      <c r="A144" s="240" t="s">
        <v>100</v>
      </c>
      <c r="B144" s="241"/>
      <c r="C144" s="241"/>
      <c r="D144" s="241"/>
      <c r="E144" s="241"/>
      <c r="F144" s="241"/>
      <c r="G144" s="272"/>
      <c r="H144" s="272"/>
      <c r="I144" s="272"/>
      <c r="J144" s="272"/>
      <c r="K144" s="272"/>
      <c r="L144" s="272"/>
      <c r="M144" s="272"/>
      <c r="N144" s="272"/>
      <c r="O144" s="272"/>
    </row>
    <row r="145" spans="1:15" ht="11.5" hidden="1" customHeight="1">
      <c r="A145" s="244"/>
      <c r="B145" s="225"/>
      <c r="C145" s="230"/>
      <c r="D145" s="225"/>
      <c r="E145" s="230"/>
      <c r="F145" s="230"/>
      <c r="G145" s="272"/>
      <c r="H145" s="272"/>
      <c r="I145" s="272"/>
      <c r="J145" s="272"/>
      <c r="K145" s="272"/>
      <c r="L145" s="272"/>
      <c r="M145" s="272"/>
      <c r="N145" s="272"/>
      <c r="O145" s="272"/>
    </row>
    <row r="146" spans="1:15" ht="11.5" hidden="1" customHeight="1">
      <c r="A146" s="205" t="s">
        <v>439</v>
      </c>
      <c r="B146" s="225"/>
      <c r="C146" s="230"/>
      <c r="D146" s="225"/>
      <c r="E146" s="230" t="s">
        <v>404</v>
      </c>
      <c r="F146" s="230"/>
      <c r="G146" s="272"/>
      <c r="H146" s="272"/>
      <c r="I146" s="272"/>
      <c r="J146" s="272"/>
      <c r="K146" s="272"/>
      <c r="L146" s="272"/>
      <c r="M146" s="272"/>
      <c r="N146" s="272"/>
      <c r="O146" s="272"/>
    </row>
    <row r="147" spans="1:15" ht="11.5" hidden="1" customHeight="1">
      <c r="A147" s="244"/>
      <c r="B147" s="225"/>
      <c r="C147" s="230"/>
      <c r="D147" s="225"/>
      <c r="E147" s="230"/>
      <c r="F147" s="230"/>
      <c r="G147" s="272"/>
      <c r="H147" s="272"/>
      <c r="I147" s="272"/>
      <c r="J147" s="272"/>
      <c r="K147" s="272"/>
      <c r="L147" s="272"/>
      <c r="M147" s="272"/>
      <c r="N147" s="272"/>
      <c r="O147" s="272"/>
    </row>
    <row r="148" spans="1:15" ht="11.5" hidden="1" customHeight="1">
      <c r="A148" s="205" t="s">
        <v>102</v>
      </c>
      <c r="B148" s="225"/>
      <c r="C148" s="230"/>
      <c r="D148" s="225"/>
      <c r="E148" s="230" t="s">
        <v>404</v>
      </c>
      <c r="F148" s="230"/>
      <c r="G148" s="272"/>
      <c r="H148" s="272"/>
      <c r="I148" s="272"/>
      <c r="J148" s="272"/>
      <c r="K148" s="272"/>
      <c r="L148" s="272"/>
      <c r="M148" s="272"/>
      <c r="N148" s="272"/>
      <c r="O148" s="272"/>
    </row>
    <row r="149" spans="1:15" ht="11.5" hidden="1" customHeight="1">
      <c r="A149" s="205" t="s">
        <v>103</v>
      </c>
      <c r="B149" s="225"/>
      <c r="C149" s="230"/>
      <c r="D149" s="225"/>
      <c r="E149" s="230" t="s">
        <v>404</v>
      </c>
      <c r="F149" s="230"/>
      <c r="G149" s="272"/>
      <c r="H149" s="272"/>
      <c r="I149" s="272"/>
      <c r="J149" s="272"/>
      <c r="K149" s="272"/>
      <c r="L149" s="272"/>
      <c r="M149" s="272"/>
      <c r="N149" s="272"/>
      <c r="O149" s="272"/>
    </row>
    <row r="150" spans="1:15" ht="11.5" hidden="1" customHeight="1">
      <c r="A150" s="244"/>
      <c r="B150" s="225"/>
      <c r="C150" s="230"/>
      <c r="D150" s="225"/>
      <c r="E150" s="230"/>
      <c r="F150" s="230"/>
      <c r="G150" s="272"/>
      <c r="H150" s="272"/>
      <c r="I150" s="272"/>
      <c r="J150" s="272"/>
      <c r="K150" s="272"/>
      <c r="L150" s="272"/>
      <c r="M150" s="272"/>
      <c r="N150" s="272"/>
      <c r="O150" s="272"/>
    </row>
    <row r="151" spans="1:15" ht="25.5" hidden="1" customHeight="1">
      <c r="A151" s="240" t="s">
        <v>104</v>
      </c>
      <c r="B151" s="241"/>
      <c r="C151" s="241"/>
      <c r="D151" s="241"/>
      <c r="E151" s="241"/>
      <c r="F151" s="241"/>
      <c r="G151" s="272"/>
      <c r="H151" s="272"/>
      <c r="I151" s="272"/>
      <c r="J151" s="272"/>
      <c r="K151" s="272"/>
      <c r="L151" s="272"/>
      <c r="M151" s="272"/>
      <c r="N151" s="272"/>
      <c r="O151" s="272"/>
    </row>
    <row r="152" spans="1:15" ht="11.5" hidden="1" customHeight="1">
      <c r="A152" s="244"/>
      <c r="B152" s="225"/>
      <c r="C152" s="230"/>
      <c r="D152" s="225"/>
      <c r="E152" s="230"/>
      <c r="F152" s="230"/>
      <c r="G152" s="272"/>
      <c r="H152" s="272"/>
      <c r="I152" s="272"/>
      <c r="J152" s="272"/>
      <c r="K152" s="272"/>
      <c r="L152" s="272"/>
      <c r="M152" s="272"/>
      <c r="N152" s="272"/>
      <c r="O152" s="272"/>
    </row>
    <row r="153" spans="1:15" ht="11.5" hidden="1" customHeight="1">
      <c r="A153" s="205" t="s">
        <v>105</v>
      </c>
      <c r="B153" s="225"/>
      <c r="C153" s="230" t="s">
        <v>404</v>
      </c>
      <c r="D153" s="225" t="str">
        <f>VLOOKUP($A$1,BDD!A:JO,145,FALSE)</f>
        <v>Bocal + couvercle TO</v>
      </c>
      <c r="E153" s="224"/>
      <c r="F153" s="230"/>
      <c r="G153" s="272"/>
      <c r="H153" s="272"/>
      <c r="I153" s="272" t="s">
        <v>404</v>
      </c>
      <c r="J153" s="272">
        <f>VLOOKUP($A$1,BDD!A:JO,150,FALSE)</f>
        <v>0</v>
      </c>
      <c r="K153" s="272"/>
      <c r="L153" s="272"/>
      <c r="M153" s="272"/>
      <c r="N153" s="272"/>
      <c r="O153" s="272"/>
    </row>
    <row r="154" spans="1:15" ht="11.5" hidden="1" customHeight="1">
      <c r="A154" s="205" t="s">
        <v>106</v>
      </c>
      <c r="B154" s="225"/>
      <c r="C154" s="230" t="s">
        <v>404</v>
      </c>
      <c r="D154" s="225" t="str">
        <f>VLOOKUP($A$1,BDD!A:JO,147,FALSE)</f>
        <v xml:space="preserve">Verre / fer étamé </v>
      </c>
      <c r="E154" s="224"/>
      <c r="F154" s="230"/>
      <c r="G154" s="272"/>
      <c r="H154" s="272"/>
      <c r="I154" s="272" t="s">
        <v>404</v>
      </c>
      <c r="J154" s="272">
        <f>VLOOKUP($A$1,BDD!A:JO,152,FALSE)</f>
        <v>0</v>
      </c>
      <c r="K154" s="272"/>
      <c r="L154" s="272"/>
      <c r="M154" s="272"/>
      <c r="N154" s="272"/>
      <c r="O154" s="272"/>
    </row>
    <row r="155" spans="1:15" ht="11.5" hidden="1" customHeight="1">
      <c r="A155" s="205" t="s">
        <v>440</v>
      </c>
      <c r="B155" s="225"/>
      <c r="C155" s="230" t="s">
        <v>404</v>
      </c>
      <c r="D155" s="225">
        <f>VLOOKUP($A$1,BDD!A:JO,146,FALSE)</f>
        <v>0</v>
      </c>
      <c r="E155" s="224"/>
      <c r="F155" s="230"/>
      <c r="G155" s="272"/>
      <c r="H155" s="272"/>
      <c r="I155" s="272" t="s">
        <v>404</v>
      </c>
      <c r="J155" s="272">
        <f>VLOOKUP($A$1,BDD!A:JO,151,FALSE)</f>
        <v>0</v>
      </c>
      <c r="K155" s="272"/>
      <c r="L155" s="272"/>
      <c r="M155" s="272"/>
      <c r="N155" s="272"/>
      <c r="O155" s="272"/>
    </row>
    <row r="156" spans="1:15" ht="11.5" hidden="1" customHeight="1">
      <c r="A156" s="225"/>
      <c r="B156" s="225"/>
      <c r="C156" s="230"/>
      <c r="D156" s="225"/>
      <c r="E156" s="224"/>
      <c r="F156" s="230"/>
      <c r="G156" s="272"/>
      <c r="H156" s="272"/>
      <c r="I156" s="272"/>
      <c r="J156" s="272"/>
      <c r="K156" s="272"/>
      <c r="L156" s="272"/>
      <c r="M156" s="272"/>
      <c r="N156" s="272"/>
      <c r="O156" s="272"/>
    </row>
    <row r="157" spans="1:15" ht="11.5" hidden="1" customHeight="1">
      <c r="A157" s="205" t="s">
        <v>465</v>
      </c>
      <c r="B157" s="225"/>
      <c r="C157" s="230" t="s">
        <v>404</v>
      </c>
      <c r="D157" s="225">
        <f>VLOOKUP($A$1,BDD!A:JO,149,FALSE)</f>
        <v>0</v>
      </c>
      <c r="E157" s="224"/>
      <c r="F157" s="230"/>
      <c r="G157" s="272"/>
      <c r="H157" s="272"/>
      <c r="I157" s="272"/>
      <c r="J157" s="272"/>
      <c r="K157" s="272"/>
      <c r="L157" s="272"/>
      <c r="M157" s="272"/>
      <c r="N157" s="272"/>
      <c r="O157" s="272"/>
    </row>
    <row r="158" spans="1:15" ht="11.5" hidden="1" customHeight="1">
      <c r="A158" s="205" t="s">
        <v>107</v>
      </c>
      <c r="B158" s="225"/>
      <c r="C158" s="230" t="s">
        <v>404</v>
      </c>
      <c r="D158" s="225">
        <f>VLOOKUP($A$1,BDD!A:JO,148,FALSE)</f>
        <v>0</v>
      </c>
      <c r="E158" s="224"/>
      <c r="F158" s="230"/>
      <c r="G158" s="272"/>
      <c r="H158" s="272"/>
      <c r="I158" s="272"/>
      <c r="J158" s="272"/>
      <c r="K158" s="272"/>
      <c r="L158" s="272"/>
      <c r="M158" s="272"/>
      <c r="N158" s="272"/>
      <c r="O158" s="272"/>
    </row>
    <row r="159" spans="1:15" ht="11.5" hidden="1" customHeight="1">
      <c r="A159" s="205" t="s">
        <v>110</v>
      </c>
      <c r="B159" s="225"/>
      <c r="C159" s="230" t="s">
        <v>404</v>
      </c>
      <c r="D159" s="225">
        <f>VLOOKUP($A$1,BDD!A:JO,153,FALSE)</f>
        <v>0</v>
      </c>
      <c r="E159" s="224"/>
      <c r="F159" s="230"/>
      <c r="G159" s="272"/>
      <c r="H159" s="272"/>
      <c r="I159" s="272"/>
      <c r="J159" s="272"/>
      <c r="K159" s="272"/>
      <c r="L159" s="272"/>
      <c r="M159" s="272"/>
      <c r="N159" s="272"/>
      <c r="O159" s="272"/>
    </row>
    <row r="160" spans="1:15" ht="11.5" hidden="1" customHeight="1">
      <c r="A160" s="205" t="s">
        <v>111</v>
      </c>
      <c r="B160" s="225"/>
      <c r="C160" s="230" t="s">
        <v>404</v>
      </c>
      <c r="D160" s="225">
        <f>VLOOKUP($A$1,BDD!A:JO,154,FALSE)</f>
        <v>0</v>
      </c>
      <c r="E160" s="224"/>
      <c r="F160" s="230"/>
      <c r="G160" s="272"/>
      <c r="H160" s="272"/>
      <c r="I160" s="272"/>
      <c r="J160" s="272"/>
      <c r="K160" s="272"/>
      <c r="L160" s="272"/>
      <c r="M160" s="272"/>
      <c r="N160" s="272"/>
      <c r="O160" s="272"/>
    </row>
    <row r="161" spans="1:15" ht="11.5" hidden="1" customHeight="1">
      <c r="A161" s="244"/>
      <c r="B161" s="225"/>
      <c r="C161" s="230"/>
      <c r="D161" s="225"/>
      <c r="E161" s="230"/>
      <c r="F161" s="230"/>
      <c r="G161" s="272"/>
      <c r="H161" s="272"/>
      <c r="I161" s="272"/>
      <c r="J161" s="272"/>
      <c r="K161" s="272"/>
      <c r="L161" s="272"/>
      <c r="M161" s="272"/>
      <c r="N161" s="272"/>
      <c r="O161" s="272"/>
    </row>
    <row r="162" spans="1:15" ht="25.5" hidden="1" customHeight="1">
      <c r="A162" s="240" t="s">
        <v>112</v>
      </c>
      <c r="B162" s="241"/>
      <c r="C162" s="241"/>
      <c r="D162" s="241"/>
      <c r="E162" s="241"/>
      <c r="F162" s="241"/>
      <c r="G162" s="272"/>
      <c r="H162" s="272"/>
      <c r="I162" s="272"/>
      <c r="J162" s="272"/>
      <c r="K162" s="272"/>
      <c r="L162" s="272"/>
      <c r="M162" s="272"/>
      <c r="N162" s="272"/>
      <c r="O162" s="272"/>
    </row>
    <row r="163" spans="1:15" ht="11.5" hidden="1" customHeight="1">
      <c r="A163" s="244"/>
      <c r="B163" s="225"/>
      <c r="C163" s="230"/>
      <c r="D163" s="225"/>
      <c r="E163" s="230"/>
      <c r="F163" s="230"/>
      <c r="G163" s="272"/>
      <c r="H163" s="272"/>
      <c r="I163" s="272"/>
      <c r="J163" s="272"/>
      <c r="K163" s="272"/>
      <c r="L163" s="272"/>
      <c r="M163" s="272"/>
      <c r="N163" s="272"/>
      <c r="O163" s="272"/>
    </row>
    <row r="164" spans="1:15" ht="11.5" hidden="1" customHeight="1">
      <c r="A164" s="205" t="s">
        <v>441</v>
      </c>
      <c r="B164" s="225"/>
      <c r="C164" s="230"/>
      <c r="D164" s="225"/>
      <c r="E164" s="230" t="s">
        <v>404</v>
      </c>
      <c r="F164" s="230"/>
      <c r="G164" s="272"/>
      <c r="H164" s="272"/>
      <c r="I164" s="272" t="s">
        <v>404</v>
      </c>
      <c r="J164" s="272">
        <f>VLOOKUP($A$1,BDD!A:JO,157,FALSE)</f>
        <v>0</v>
      </c>
      <c r="K164" s="272"/>
      <c r="L164" s="272"/>
      <c r="M164" s="272"/>
      <c r="N164" s="272"/>
      <c r="O164" s="272"/>
    </row>
    <row r="165" spans="1:15" ht="11.5" hidden="1" customHeight="1">
      <c r="A165" s="205" t="s">
        <v>442</v>
      </c>
      <c r="B165" s="225"/>
      <c r="C165" s="230"/>
      <c r="D165" s="225"/>
      <c r="E165" s="230" t="s">
        <v>404</v>
      </c>
      <c r="F165" s="230"/>
      <c r="G165" s="272"/>
      <c r="H165" s="272"/>
      <c r="I165" s="272" t="s">
        <v>404</v>
      </c>
      <c r="J165" s="272">
        <f>VLOOKUP($A$1,BDD!A:JO,158,FALSE)</f>
        <v>0</v>
      </c>
      <c r="K165" s="272"/>
      <c r="L165" s="272"/>
      <c r="M165" s="272"/>
      <c r="N165" s="272"/>
      <c r="O165" s="272"/>
    </row>
    <row r="166" spans="1:15" ht="11.5" hidden="1" customHeight="1">
      <c r="A166" s="244"/>
      <c r="B166" s="225"/>
      <c r="C166" s="230"/>
      <c r="D166" s="225"/>
      <c r="E166" s="230"/>
      <c r="F166" s="230"/>
      <c r="G166" s="272"/>
      <c r="H166" s="272"/>
      <c r="I166" s="272"/>
      <c r="J166" s="272"/>
      <c r="K166" s="272"/>
      <c r="L166" s="272"/>
      <c r="M166" s="272"/>
      <c r="N166" s="272"/>
      <c r="O166" s="272"/>
    </row>
    <row r="167" spans="1:15" ht="25.5" hidden="1" customHeight="1">
      <c r="A167" s="240" t="s">
        <v>443</v>
      </c>
      <c r="B167" s="241"/>
      <c r="C167" s="241"/>
      <c r="D167" s="241"/>
      <c r="E167" s="241"/>
      <c r="F167" s="241"/>
      <c r="G167" s="272"/>
      <c r="H167" s="272"/>
      <c r="I167" s="272"/>
      <c r="J167" s="272"/>
      <c r="K167" s="272"/>
      <c r="L167" s="272"/>
      <c r="M167" s="272"/>
      <c r="N167" s="272"/>
      <c r="O167" s="272"/>
    </row>
    <row r="168" spans="1:15" ht="11.5" hidden="1" customHeight="1">
      <c r="A168" s="244"/>
      <c r="B168" s="225"/>
      <c r="C168" s="230"/>
      <c r="D168" s="225"/>
      <c r="E168" s="230"/>
      <c r="F168" s="230"/>
      <c r="G168" s="272"/>
      <c r="H168" s="272"/>
      <c r="I168" s="272"/>
      <c r="J168" s="272"/>
      <c r="K168" s="272"/>
      <c r="L168" s="272"/>
      <c r="M168" s="272"/>
      <c r="N168" s="272"/>
      <c r="O168" s="272"/>
    </row>
    <row r="169" spans="1:15" ht="11.5" hidden="1" customHeight="1">
      <c r="A169" s="205" t="s">
        <v>454</v>
      </c>
      <c r="B169" s="225"/>
      <c r="C169" s="230"/>
      <c r="D169" s="225"/>
      <c r="E169" s="230"/>
      <c r="F169" s="230"/>
      <c r="G169" s="272"/>
      <c r="H169" s="272"/>
      <c r="I169" s="272"/>
      <c r="J169" s="272"/>
      <c r="K169" s="272"/>
      <c r="L169" s="272"/>
      <c r="M169" s="272"/>
      <c r="N169" s="272"/>
      <c r="O169" s="272"/>
    </row>
    <row r="170" spans="1:15" ht="11.5" hidden="1" customHeight="1">
      <c r="A170" s="244"/>
      <c r="B170" s="225"/>
      <c r="C170" s="230"/>
      <c r="D170" s="225"/>
      <c r="E170" s="230"/>
      <c r="F170" s="230"/>
      <c r="G170" s="272"/>
      <c r="H170" s="272"/>
      <c r="I170" s="272"/>
      <c r="J170" s="272"/>
      <c r="K170" s="272"/>
      <c r="L170" s="272"/>
      <c r="M170" s="272"/>
      <c r="N170" s="272"/>
      <c r="O170" s="272"/>
    </row>
    <row r="171" spans="1:15" ht="12" hidden="1" customHeight="1">
      <c r="A171" s="205" t="s">
        <v>116</v>
      </c>
      <c r="B171" s="218"/>
      <c r="C171" s="230"/>
      <c r="D171" s="225"/>
      <c r="E171" s="230" t="s">
        <v>404</v>
      </c>
      <c r="F171" s="230"/>
      <c r="G171" s="272"/>
      <c r="H171" s="272"/>
      <c r="I171" s="272"/>
      <c r="J171" s="272"/>
      <c r="K171" s="272"/>
      <c r="L171" s="272"/>
      <c r="M171" s="272"/>
      <c r="N171" s="272"/>
      <c r="O171" s="272"/>
    </row>
    <row r="172" spans="1:15" ht="12" hidden="1" customHeight="1">
      <c r="A172" s="205" t="s">
        <v>444</v>
      </c>
      <c r="B172" s="218"/>
      <c r="C172" s="230"/>
      <c r="D172" s="225"/>
      <c r="E172" s="230" t="s">
        <v>404</v>
      </c>
      <c r="F172" s="230"/>
      <c r="G172" s="272"/>
      <c r="H172" s="272"/>
      <c r="I172" s="272"/>
      <c r="J172" s="272"/>
      <c r="K172" s="272"/>
      <c r="L172" s="272"/>
      <c r="M172" s="272"/>
      <c r="N172" s="272"/>
      <c r="O172" s="272"/>
    </row>
    <row r="173" spans="1:15" ht="12" hidden="1" customHeight="1">
      <c r="A173" s="205" t="s">
        <v>445</v>
      </c>
      <c r="B173" s="218"/>
      <c r="C173" s="230"/>
      <c r="D173" s="225"/>
      <c r="E173" s="230" t="s">
        <v>404</v>
      </c>
      <c r="F173" s="230"/>
      <c r="G173" s="272"/>
      <c r="H173" s="272"/>
      <c r="I173" s="272"/>
      <c r="J173" s="272"/>
      <c r="K173" s="272"/>
      <c r="L173" s="272"/>
      <c r="M173" s="272"/>
      <c r="N173" s="272"/>
      <c r="O173" s="272"/>
    </row>
    <row r="174" spans="1:15" ht="12" hidden="1" customHeight="1">
      <c r="A174" s="198" t="s">
        <v>118</v>
      </c>
      <c r="B174" s="218"/>
      <c r="C174" s="230"/>
      <c r="D174" s="225"/>
      <c r="E174" s="230" t="s">
        <v>404</v>
      </c>
      <c r="F174" s="230"/>
      <c r="G174" s="272"/>
      <c r="H174" s="272"/>
      <c r="I174" s="272"/>
      <c r="J174" s="272"/>
      <c r="K174" s="272"/>
      <c r="L174" s="272"/>
      <c r="M174" s="272"/>
      <c r="N174" s="272"/>
      <c r="O174" s="272"/>
    </row>
    <row r="175" spans="1:15" ht="12" hidden="1" customHeight="1">
      <c r="A175" s="198"/>
      <c r="B175" s="218"/>
      <c r="C175" s="230"/>
      <c r="D175" s="225"/>
      <c r="E175" s="230"/>
      <c r="F175" s="230"/>
      <c r="G175" s="272"/>
      <c r="H175" s="272"/>
      <c r="I175" s="272"/>
      <c r="J175" s="272"/>
      <c r="K175" s="272"/>
      <c r="L175" s="272"/>
      <c r="M175" s="272"/>
      <c r="N175" s="272"/>
      <c r="O175" s="272"/>
    </row>
    <row r="176" spans="1:15" ht="12" hidden="1" customHeight="1">
      <c r="A176" s="198"/>
      <c r="B176" s="218"/>
      <c r="C176" s="230"/>
      <c r="D176" s="225"/>
      <c r="E176" s="230"/>
      <c r="F176" s="230"/>
      <c r="G176" s="272"/>
      <c r="H176" s="272"/>
      <c r="I176" s="272"/>
      <c r="J176" s="272"/>
      <c r="K176" s="272"/>
      <c r="L176" s="272"/>
      <c r="M176" s="272"/>
      <c r="N176" s="272"/>
      <c r="O176" s="272"/>
    </row>
    <row r="177" spans="1:15" ht="12" hidden="1" customHeight="1">
      <c r="A177" s="198"/>
      <c r="B177" s="218"/>
      <c r="C177" s="230"/>
      <c r="D177" s="225"/>
      <c r="E177" s="230"/>
      <c r="F177" s="230"/>
      <c r="G177" s="272"/>
      <c r="H177" s="272"/>
      <c r="I177" s="272"/>
      <c r="J177" s="272"/>
      <c r="K177" s="272"/>
      <c r="L177" s="272"/>
      <c r="M177" s="272"/>
      <c r="N177" s="272"/>
      <c r="O177" s="272"/>
    </row>
    <row r="178" spans="1:15" ht="12" hidden="1" customHeight="1">
      <c r="A178" s="198">
        <f>VLOOKUP($A$1,BDD!A:JO,165,FALSE)</f>
        <v>0</v>
      </c>
      <c r="B178" s="218"/>
      <c r="C178" s="230"/>
      <c r="D178" s="225"/>
      <c r="E178" s="230"/>
      <c r="F178" s="230"/>
      <c r="G178" s="272"/>
      <c r="H178" s="272"/>
      <c r="I178" s="272"/>
      <c r="J178" s="272"/>
      <c r="K178" s="272"/>
      <c r="L178" s="272"/>
      <c r="M178" s="272"/>
      <c r="N178" s="272"/>
      <c r="O178" s="272"/>
    </row>
    <row r="179" spans="1:15" ht="12" hidden="1" customHeight="1">
      <c r="A179" s="198">
        <f>VLOOKUP($A$1,BDD!A:JO,167,FALSE)</f>
        <v>0</v>
      </c>
      <c r="B179" s="218"/>
      <c r="C179" s="230"/>
      <c r="D179" s="225"/>
      <c r="E179" s="230"/>
      <c r="F179" s="230"/>
      <c r="G179" s="272"/>
      <c r="H179" s="272"/>
      <c r="I179" s="272"/>
      <c r="J179" s="272"/>
      <c r="K179" s="272"/>
      <c r="L179" s="272"/>
      <c r="M179" s="272"/>
      <c r="N179" s="272"/>
      <c r="O179" s="272"/>
    </row>
    <row r="180" spans="1:15" ht="12" hidden="1" customHeight="1">
      <c r="A180" s="198">
        <f>VLOOKUP($A$1,BDD!A:JO,169,FALSE)</f>
        <v>0</v>
      </c>
      <c r="B180" s="218"/>
      <c r="C180" s="230"/>
      <c r="D180" s="225"/>
      <c r="E180" s="230"/>
      <c r="F180" s="230"/>
      <c r="G180" s="272"/>
      <c r="H180" s="272"/>
      <c r="I180" s="272"/>
      <c r="J180" s="272"/>
      <c r="K180" s="272"/>
      <c r="L180" s="272"/>
      <c r="M180" s="272"/>
      <c r="N180" s="272"/>
      <c r="O180" s="272"/>
    </row>
    <row r="181" spans="1:15" ht="11.5" hidden="1" customHeight="1">
      <c r="A181" s="244"/>
      <c r="B181" s="225"/>
      <c r="C181" s="230"/>
      <c r="D181" s="225"/>
      <c r="E181" s="230"/>
      <c r="F181" s="230"/>
      <c r="G181" s="272"/>
      <c r="H181" s="272"/>
      <c r="I181" s="272"/>
      <c r="J181" s="272"/>
      <c r="K181" s="272"/>
      <c r="L181" s="272"/>
      <c r="M181" s="272"/>
      <c r="N181" s="272"/>
      <c r="O181" s="272"/>
    </row>
    <row r="182" spans="1:15" ht="25.5" hidden="1" customHeight="1">
      <c r="A182" s="240" t="s">
        <v>467</v>
      </c>
      <c r="B182" s="241"/>
      <c r="C182" s="241"/>
      <c r="D182" s="241"/>
      <c r="E182" s="241"/>
      <c r="F182" s="241"/>
      <c r="G182" s="272"/>
      <c r="H182" s="272"/>
      <c r="I182" s="272"/>
      <c r="J182" s="272"/>
      <c r="K182" s="272"/>
      <c r="L182" s="272"/>
      <c r="M182" s="272"/>
      <c r="N182" s="272"/>
      <c r="O182" s="272"/>
    </row>
    <row r="183" spans="1:15" ht="11.5" hidden="1" customHeight="1">
      <c r="A183" s="244"/>
      <c r="B183" s="225"/>
      <c r="C183" s="230"/>
      <c r="D183" s="225"/>
      <c r="E183" s="230"/>
      <c r="F183" s="230"/>
      <c r="G183" s="272"/>
      <c r="H183" s="272"/>
      <c r="I183" s="272"/>
      <c r="J183" s="272"/>
      <c r="K183" s="272"/>
      <c r="L183" s="272"/>
      <c r="M183" s="272"/>
      <c r="N183" s="272"/>
      <c r="O183" s="272"/>
    </row>
    <row r="184" spans="1:15" ht="11.5" hidden="1" customHeight="1">
      <c r="A184" s="220" t="s">
        <v>120</v>
      </c>
      <c r="B184" s="225"/>
      <c r="C184" s="230"/>
      <c r="D184" s="244"/>
      <c r="E184" s="230" t="s">
        <v>404</v>
      </c>
      <c r="F184" s="244"/>
      <c r="G184" s="272"/>
      <c r="H184" s="272"/>
      <c r="I184" s="272"/>
      <c r="J184" s="272"/>
      <c r="K184" s="272"/>
      <c r="L184" s="272"/>
      <c r="M184" s="272"/>
      <c r="N184" s="272"/>
      <c r="O184" s="272"/>
    </row>
    <row r="185" spans="1:15" ht="11.5" hidden="1" customHeight="1">
      <c r="A185" s="244"/>
      <c r="B185" s="225"/>
      <c r="C185" s="230"/>
      <c r="D185" s="225"/>
      <c r="E185" s="230"/>
      <c r="F185" s="230"/>
      <c r="G185" s="272"/>
      <c r="H185" s="272"/>
      <c r="I185" s="272"/>
      <c r="J185" s="272"/>
      <c r="K185" s="272"/>
      <c r="L185" s="272"/>
      <c r="M185" s="272"/>
      <c r="N185" s="272"/>
      <c r="O185" s="272"/>
    </row>
    <row r="186" spans="1:15" ht="11.5" hidden="1" customHeight="1">
      <c r="A186" s="198" t="s">
        <v>446</v>
      </c>
      <c r="B186" s="225"/>
      <c r="C186" s="230"/>
      <c r="D186" s="225"/>
      <c r="E186" s="230" t="s">
        <v>404</v>
      </c>
      <c r="F186" s="230"/>
      <c r="G186" s="272"/>
      <c r="H186" s="272"/>
      <c r="I186" s="272"/>
      <c r="J186" s="272"/>
      <c r="K186" s="272"/>
      <c r="L186" s="272"/>
      <c r="M186" s="272"/>
      <c r="N186" s="272"/>
      <c r="O186" s="272"/>
    </row>
    <row r="187" spans="1:15" ht="11.5" hidden="1" customHeight="1">
      <c r="A187" s="198" t="s">
        <v>447</v>
      </c>
      <c r="B187" s="225"/>
      <c r="C187" s="230"/>
      <c r="D187" s="225"/>
      <c r="E187" s="230" t="s">
        <v>404</v>
      </c>
      <c r="F187" s="230"/>
      <c r="G187" s="272"/>
      <c r="H187" s="272"/>
      <c r="I187" s="272"/>
      <c r="J187" s="272"/>
      <c r="K187" s="272"/>
      <c r="L187" s="272"/>
      <c r="M187" s="272"/>
      <c r="N187" s="272"/>
      <c r="O187" s="272"/>
    </row>
    <row r="188" spans="1:15" ht="11.5" hidden="1" customHeight="1">
      <c r="A188" s="244"/>
      <c r="B188" s="225"/>
      <c r="C188" s="230"/>
      <c r="D188" s="225"/>
      <c r="E188" s="230"/>
      <c r="F188" s="230"/>
      <c r="G188" s="272"/>
      <c r="H188" s="272"/>
      <c r="I188" s="272"/>
      <c r="J188" s="272"/>
      <c r="K188" s="272"/>
      <c r="L188" s="272"/>
      <c r="M188" s="272"/>
      <c r="N188" s="272"/>
      <c r="O188" s="272"/>
    </row>
    <row r="189" spans="1:15" ht="11.5" hidden="1" customHeight="1">
      <c r="A189" s="198" t="s">
        <v>448</v>
      </c>
      <c r="B189" s="225"/>
      <c r="C189" s="230"/>
      <c r="D189" s="225"/>
      <c r="E189" s="230" t="s">
        <v>404</v>
      </c>
      <c r="F189" s="230"/>
      <c r="G189" s="272"/>
      <c r="H189" s="272"/>
      <c r="I189" s="272"/>
      <c r="J189" s="272"/>
      <c r="K189" s="272"/>
      <c r="L189" s="272"/>
      <c r="M189" s="272"/>
      <c r="N189" s="272"/>
      <c r="O189" s="272"/>
    </row>
    <row r="190" spans="1:15" ht="11.5" hidden="1" customHeight="1">
      <c r="A190" s="198" t="s">
        <v>449</v>
      </c>
      <c r="B190" s="225"/>
      <c r="C190" s="230"/>
      <c r="D190" s="225"/>
      <c r="E190" s="230" t="s">
        <v>404</v>
      </c>
      <c r="F190" s="230"/>
      <c r="G190" s="272"/>
      <c r="H190" s="272"/>
      <c r="I190" s="272"/>
      <c r="J190" s="272"/>
      <c r="K190" s="272"/>
      <c r="L190" s="272"/>
      <c r="M190" s="272"/>
      <c r="N190" s="272"/>
      <c r="O190" s="272"/>
    </row>
    <row r="191" spans="1:15" ht="11.5" hidden="1" customHeight="1">
      <c r="A191" s="244"/>
      <c r="B191" s="225"/>
      <c r="C191" s="230"/>
      <c r="D191" s="225"/>
      <c r="E191" s="230"/>
      <c r="F191" s="230"/>
      <c r="G191" s="272"/>
      <c r="H191" s="272"/>
      <c r="I191" s="272"/>
      <c r="J191" s="272"/>
      <c r="K191" s="272"/>
      <c r="L191" s="272"/>
      <c r="M191" s="272"/>
      <c r="N191" s="272"/>
      <c r="O191" s="272"/>
    </row>
    <row r="192" spans="1:15" s="306" customFormat="1" ht="25.5" customHeight="1">
      <c r="A192" s="303"/>
      <c r="B192" s="304"/>
      <c r="C192" s="305"/>
      <c r="D192" s="305"/>
      <c r="E192" s="305"/>
      <c r="F192" s="305"/>
      <c r="G192" s="272"/>
      <c r="H192" s="272"/>
      <c r="I192" s="272"/>
      <c r="J192" s="272"/>
      <c r="K192" s="272"/>
      <c r="L192" s="272"/>
      <c r="M192" s="272"/>
      <c r="N192" s="272"/>
      <c r="O192" s="272"/>
    </row>
    <row r="193" spans="1:17">
      <c r="A193" s="210"/>
      <c r="B193" s="210"/>
      <c r="C193" s="210"/>
      <c r="D193" s="210"/>
      <c r="E193" s="210"/>
      <c r="F193" s="210"/>
      <c r="G193" s="272"/>
      <c r="H193" s="272"/>
      <c r="I193" s="272"/>
      <c r="J193" s="272"/>
      <c r="K193" s="272"/>
      <c r="L193" s="272"/>
      <c r="M193" s="272"/>
      <c r="N193" s="272"/>
      <c r="O193" s="272"/>
    </row>
    <row r="194" spans="1:17" ht="27" customHeight="1">
      <c r="A194" s="238" t="s">
        <v>450</v>
      </c>
      <c r="B194" s="238"/>
      <c r="C194" s="238"/>
      <c r="D194" s="238" t="s">
        <v>144</v>
      </c>
      <c r="E194" s="302" t="s">
        <v>474</v>
      </c>
      <c r="F194" s="238"/>
      <c r="G194" s="272"/>
      <c r="H194" s="272"/>
      <c r="I194" s="272"/>
      <c r="J194" s="272"/>
      <c r="K194" s="272"/>
      <c r="L194" s="272"/>
      <c r="M194" s="272"/>
      <c r="N194" s="272"/>
      <c r="O194" s="272"/>
    </row>
    <row r="195" spans="1:17">
      <c r="A195" s="211"/>
      <c r="B195" s="211"/>
      <c r="C195" s="211"/>
      <c r="D195" s="211"/>
      <c r="E195" s="211"/>
      <c r="F195" s="211"/>
      <c r="G195" s="272"/>
      <c r="H195" s="272"/>
      <c r="I195" s="272"/>
      <c r="J195" s="272"/>
      <c r="K195" s="272"/>
      <c r="L195" s="272"/>
      <c r="M195" s="272"/>
      <c r="N195" s="272"/>
      <c r="O195" s="272"/>
    </row>
    <row r="196" spans="1:17" ht="27" customHeight="1">
      <c r="A196" s="239" t="str">
        <f t="array" aca="1" ref="A196" ca="1">IFERROR(INDEX(OFFSET(primeligne,MATCH(A$1,code,0)-1,),,SMALL(IF((MOD(COLUMN(primeligne)-1,5)=0)*(primeligne&lt;&gt;""),COLUMN(primeligne)-175),ROW(A1))),"")</f>
        <v>Cornichons</v>
      </c>
      <c r="B196" s="239"/>
      <c r="C196" s="239"/>
      <c r="D196" s="307">
        <f ca="1">IFERROR(IF(INDEX(OFFSET(primeligne,MATCH($A$1,code,0)-1,),,MATCH($A196,OFFSET(primeligne,MATCH($A$1,code,0)-1,),0)+2)="oui",INDEX(OFFSET(primeligne,MATCH($A$1,code,0)-1,),,MATCH($A196,OFFSET(primeligne,MATCH($A$1,code,0)-1,),0)+1),""),"")</f>
        <v>90</v>
      </c>
      <c r="E196" s="307" t="str">
        <f ca="1">IFERROR(IF(INDEX(OFFSET(primeligne,MATCH($A$1,code,0)-1,),,MATCH($A196,OFFSET(primeligne,MATCH($A$1,code,0)-1,),0)+4)="oui",INDEX(OFFSET(primeligne,MATCH($A$1,code,0)-1,),,MATCH($A196,OFFSET(primeligne,MATCH($A$1,code,0)-1,),0)+3),""),"")</f>
        <v>IN</v>
      </c>
      <c r="F196" s="239"/>
      <c r="G196" s="272"/>
      <c r="H196" s="272"/>
      <c r="I196" s="272"/>
      <c r="J196" s="272"/>
      <c r="K196" s="272"/>
      <c r="L196" s="272"/>
      <c r="M196" s="272"/>
      <c r="N196" s="272"/>
      <c r="O196" s="272"/>
      <c r="P196" s="224"/>
      <c r="Q196" s="224"/>
    </row>
    <row r="197" spans="1:17" ht="27" customHeight="1">
      <c r="A197" s="239" t="str">
        <f t="array" aca="1" ref="A197" ca="1">IFERROR(INDEX(OFFSET(primeligne,MATCH(A$1,code,0)-1,),,SMALL(IF((MOD(COLUMN(primeligne)-1,5)=0)*(primeligne&lt;&gt;""),COLUMN(primeligne)-175),ROW(A2))),"")</f>
        <v>Oignons</v>
      </c>
      <c r="B197" s="239"/>
      <c r="C197" s="239"/>
      <c r="D197" s="307">
        <f ca="1">IFERROR(IF(INDEX(OFFSET(primeligne,MATCH($A$1,code,0)-1,),,MATCH($A197,OFFSET(primeligne,MATCH($A$1,code,0)-1,),0)+2)="oui",INDEX(OFFSET(primeligne,MATCH($A$1,code,0)-1,),,MATCH($A197,OFFSET(primeligne,MATCH($A$1,code,0)-1,),0)+1),""),"")</f>
        <v>80</v>
      </c>
      <c r="E197" s="307">
        <f ca="1">IFERROR(IF(INDEX(OFFSET(primeligne,MATCH($A$1,code,0)-1,),,MATCH($A197,OFFSET(primeligne,MATCH($A$1,code,0)-1,),0)+4)="oui",INDEX(OFFSET(primeligne,MATCH($A$1,code,0)-1,),,MATCH($A197,OFFSET(primeligne,MATCH($A$1,code,0)-1,),0)+3),""),"")</f>
        <v>0</v>
      </c>
      <c r="F197" s="239"/>
      <c r="G197" s="272"/>
      <c r="H197" s="272"/>
      <c r="I197" s="272"/>
      <c r="J197" s="272"/>
      <c r="K197" s="272"/>
      <c r="L197" s="272"/>
      <c r="M197" s="272"/>
      <c r="N197" s="272"/>
      <c r="O197" s="272"/>
      <c r="Q197" s="251" t="s">
        <v>471</v>
      </c>
    </row>
    <row r="198" spans="1:17" ht="27" customHeight="1">
      <c r="A198" s="239" t="str">
        <f t="array" aca="1" ref="A198" ca="1">IFERROR(INDEX(OFFSET(primeligne,MATCH(A$1,code,0)-1,),,SMALL(IF((MOD(COLUMN(primeligne)-1,5)=0)*(primeligne&lt;&gt;""),COLUMN(primeligne)-175),ROW(A3))),"")</f>
        <v>Vinaigre d'alcool et de vin blanc</v>
      </c>
      <c r="B198" s="239"/>
      <c r="C198" s="239"/>
      <c r="D198" s="307" t="str">
        <f ca="1">IFERROR(IF(INDEX(OFFSET(primeligne,MATCH($A$1,code,0)-1,),,MATCH($A198,OFFSET(primeligne,MATCH($A$1,code,0)-1,),0)+2)="oui",INDEX(OFFSET(primeligne,MATCH($A$1,code,0)-1,),,MATCH($A198,OFFSET(primeligne,MATCH($A$1,code,0)-1,),0)+1),""),"")</f>
        <v/>
      </c>
      <c r="E198" s="307" t="str">
        <f ca="1">IFERROR(IF(INDEX(OFFSET(primeligne,MATCH($A$1,code,0)-1,),,MATCH($A198,OFFSET(primeligne,MATCH($A$1,code,0)-1,),0)+4)="oui",INDEX(OFFSET(primeligne,MATCH($A$1,code,0)-1,),,MATCH($A198,OFFSET(primeligne,MATCH($A$1,code,0)-1,),0)+3),""),"")</f>
        <v/>
      </c>
      <c r="F198" s="239"/>
      <c r="G198" s="272"/>
      <c r="H198" s="272"/>
      <c r="I198" s="272"/>
      <c r="J198" s="272"/>
      <c r="K198" s="272"/>
      <c r="L198" s="272"/>
      <c r="M198" s="272"/>
      <c r="N198" s="272"/>
      <c r="O198" s="272"/>
      <c r="Q198" s="251" t="s">
        <v>471</v>
      </c>
    </row>
    <row r="199" spans="1:17" ht="27" customHeight="1">
      <c r="A199" s="239" t="str">
        <f t="array" aca="1" ref="A199" ca="1">IFERROR(INDEX(OFFSET(primeligne,MATCH(A$1,code,0)-1,),,SMALL(IF((MOD(COLUMN(primeligne)-1,5)=0)*(primeligne&lt;&gt;""),COLUMN(primeligne)-175),ROW(A4))),"")</f>
        <v/>
      </c>
      <c r="B199" s="239"/>
      <c r="C199" s="239"/>
      <c r="D199" s="307" t="str">
        <f ca="1">IFERROR(IF(INDEX(OFFSET(primeligne,MATCH($A$1,code,0)-1,),,MATCH($A199,OFFSET(primeligne,MATCH($A$1,code,0)-1,),0)+2)="oui",INDEX(OFFSET(primeligne,MATCH($A$1,code,0)-1,),,MATCH($A199,OFFSET(primeligne,MATCH($A$1,code,0)-1,),0)+1),""),"")</f>
        <v/>
      </c>
      <c r="E199" s="307" t="str">
        <f ca="1">IFERROR(IF(INDEX(OFFSET(primeligne,MATCH($A$1,code,0)-1,),,MATCH($A199,OFFSET(primeligne,MATCH($A$1,code,0)-1,),0)+4)="oui",INDEX(OFFSET(primeligne,MATCH($A$1,code,0)-1,),,MATCH($A199,OFFSET(primeligne,MATCH($A$1,code,0)-1,),0)+3),""),"")</f>
        <v/>
      </c>
      <c r="F199" s="239"/>
      <c r="G199" s="272"/>
      <c r="H199" s="272"/>
      <c r="I199" s="272"/>
      <c r="J199" s="272"/>
      <c r="K199" s="272"/>
      <c r="L199" s="272"/>
      <c r="M199" s="272"/>
      <c r="N199" s="272"/>
      <c r="O199" s="272"/>
      <c r="Q199" s="251" t="s">
        <v>472</v>
      </c>
    </row>
    <row r="200" spans="1:17" ht="27" customHeight="1">
      <c r="A200" s="239" t="str">
        <f t="array" aca="1" ref="A200" ca="1">IFERROR(INDEX(OFFSET(primeligne,MATCH(A$1,code,0)-1,),,SMALL(IF((MOD(COLUMN(primeligne)-1,5)=0)*(primeligne&lt;&gt;""),COLUMN(primeligne)-175),ROW(A5))),"")</f>
        <v/>
      </c>
      <c r="B200" s="239"/>
      <c r="C200" s="239"/>
      <c r="D200" s="307" t="str">
        <f ca="1">IFERROR(IF(INDEX(OFFSET(primeligne,MATCH($A$1,code,0)-1,),,MATCH($A200,OFFSET(primeligne,MATCH($A$1,code,0)-1,),0)+2)="oui",INDEX(OFFSET(primeligne,MATCH($A$1,code,0)-1,),,MATCH($A200,OFFSET(primeligne,MATCH($A$1,code,0)-1,),0)+1),""),"")</f>
        <v/>
      </c>
      <c r="E200" s="307" t="str">
        <f ca="1">IFERROR(IF(INDEX(OFFSET(primeligne,MATCH($A$1,code,0)-1,),,MATCH($A200,OFFSET(primeligne,MATCH($A$1,code,0)-1,),0)+4)="oui",INDEX(OFFSET(primeligne,MATCH($A$1,code,0)-1,),,MATCH($A200,OFFSET(primeligne,MATCH($A$1,code,0)-1,),0)+3),""),"")</f>
        <v/>
      </c>
      <c r="F200" s="239"/>
      <c r="G200" s="272"/>
      <c r="H200" s="272"/>
      <c r="I200" s="272"/>
      <c r="J200" s="272"/>
      <c r="K200" s="272"/>
      <c r="L200" s="272"/>
      <c r="M200" s="272"/>
      <c r="N200" s="272"/>
      <c r="O200" s="272"/>
    </row>
    <row r="201" spans="1:17" ht="27" customHeight="1">
      <c r="A201" s="239" t="str">
        <f t="array" aca="1" ref="A201" ca="1">IFERROR(INDEX(OFFSET(primeligne,MATCH(A$1,code,0)-1,),,SMALL(IF((MOD(COLUMN(primeligne)-1,5)=0)*(primeligne&lt;&gt;""),COLUMN(primeligne)-175),ROW(A6))),"")</f>
        <v/>
      </c>
      <c r="B201" s="239"/>
      <c r="C201" s="239"/>
      <c r="D201" s="307" t="str">
        <f ca="1">IFERROR(IF(INDEX(OFFSET(primeligne,MATCH($A$1,code,0)-1,),,MATCH($A201,OFFSET(primeligne,MATCH($A$1,code,0)-1,),0)+2)="oui",INDEX(OFFSET(primeligne,MATCH($A$1,code,0)-1,),,MATCH($A201,OFFSET(primeligne,MATCH($A$1,code,0)-1,),0)+1),""),"")</f>
        <v/>
      </c>
      <c r="E201" s="307" t="str">
        <f ca="1">IFERROR(IF(INDEX(OFFSET(primeligne,MATCH($A$1,code,0)-1,),,MATCH($A201,OFFSET(primeligne,MATCH($A$1,code,0)-1,),0)+4)="oui",INDEX(OFFSET(primeligne,MATCH($A$1,code,0)-1,),,MATCH($A201,OFFSET(primeligne,MATCH($A$1,code,0)-1,),0)+3),""),"")</f>
        <v/>
      </c>
      <c r="F201" s="239"/>
      <c r="G201" s="272"/>
      <c r="H201" s="272"/>
      <c r="I201" s="272"/>
      <c r="J201" s="272"/>
      <c r="K201" s="272"/>
      <c r="L201" s="272"/>
      <c r="M201" s="272"/>
      <c r="N201" s="272"/>
      <c r="O201" s="272"/>
    </row>
    <row r="202" spans="1:17" ht="27" customHeight="1">
      <c r="A202" s="239" t="str">
        <f t="array" aca="1" ref="A202" ca="1">IFERROR(INDEX(OFFSET(primeligne,MATCH(A$1,code,0)-1,),,SMALL(IF((MOD(COLUMN(primeligne)-1,5)=0)*(primeligne&lt;&gt;""),COLUMN(primeligne)-175),ROW(A7))),"")</f>
        <v/>
      </c>
      <c r="B202" s="239"/>
      <c r="C202" s="239"/>
      <c r="D202" s="307" t="str">
        <f ca="1">IFERROR(IF(INDEX(OFFSET(primeligne,MATCH($A$1,code,0)-1,),,MATCH($A202,OFFSET(primeligne,MATCH($A$1,code,0)-1,),0)+2)="oui",INDEX(OFFSET(primeligne,MATCH($A$1,code,0)-1,),,MATCH($A202,OFFSET(primeligne,MATCH($A$1,code,0)-1,),0)+1),""),"")</f>
        <v/>
      </c>
      <c r="E202" s="307" t="str">
        <f ca="1">IFERROR(IF(INDEX(OFFSET(primeligne,MATCH($A$1,code,0)-1,),,MATCH($A202,OFFSET(primeligne,MATCH($A$1,code,0)-1,),0)+4)="oui",INDEX(OFFSET(primeligne,MATCH($A$1,code,0)-1,),,MATCH($A202,OFFSET(primeligne,MATCH($A$1,code,0)-1,),0)+3),""),"")</f>
        <v/>
      </c>
      <c r="F202" s="239"/>
      <c r="G202" s="272"/>
      <c r="H202" s="272"/>
      <c r="I202" s="272"/>
      <c r="J202" s="272"/>
      <c r="K202" s="272"/>
      <c r="L202" s="272"/>
      <c r="M202" s="272"/>
      <c r="N202" s="272"/>
      <c r="O202" s="272"/>
    </row>
    <row r="203" spans="1:17" ht="27" customHeight="1">
      <c r="A203" s="239" t="str">
        <f t="array" aca="1" ref="A203" ca="1">IFERROR(INDEX(OFFSET(primeligne,MATCH(A$1,code,0)-1,),,SMALL(IF((MOD(COLUMN(primeligne)-1,5)=0)*(primeligne&lt;&gt;""),COLUMN(primeligne)-175),ROW(A8))),"")</f>
        <v/>
      </c>
      <c r="B203" s="239"/>
      <c r="C203" s="239"/>
      <c r="D203" s="307" t="str">
        <f ca="1">IFERROR(IF(INDEX(OFFSET(primeligne,MATCH($A$1,code,0)-1,),,MATCH($A203,OFFSET(primeligne,MATCH($A$1,code,0)-1,),0)+2)="oui",INDEX(OFFSET(primeligne,MATCH($A$1,code,0)-1,),,MATCH($A203,OFFSET(primeligne,MATCH($A$1,code,0)-1,),0)+1),""),"")</f>
        <v/>
      </c>
      <c r="E203" s="307" t="str">
        <f ca="1">IFERROR(IF(INDEX(OFFSET(primeligne,MATCH($A$1,code,0)-1,),,MATCH($A203,OFFSET(primeligne,MATCH($A$1,code,0)-1,),0)+4)="oui",INDEX(OFFSET(primeligne,MATCH($A$1,code,0)-1,),,MATCH($A203,OFFSET(primeligne,MATCH($A$1,code,0)-1,),0)+3),""),"")</f>
        <v/>
      </c>
      <c r="F203" s="239"/>
      <c r="G203" s="272"/>
      <c r="H203" s="272"/>
      <c r="I203" s="272"/>
      <c r="J203" s="272"/>
      <c r="K203" s="272"/>
      <c r="L203" s="272"/>
      <c r="M203" s="272"/>
      <c r="N203" s="272"/>
      <c r="O203" s="272"/>
    </row>
    <row r="204" spans="1:17" ht="27" customHeight="1">
      <c r="A204" s="239" t="str">
        <f t="array" aca="1" ref="A204" ca="1">IFERROR(INDEX(OFFSET(primeligne,MATCH(A$1,code,0)-1,),,SMALL(IF((MOD(COLUMN(primeligne)-1,5)=0)*(primeligne&lt;&gt;""),COLUMN(primeligne)-175),ROW(A9))),"")</f>
        <v/>
      </c>
      <c r="B204" s="239"/>
      <c r="C204" s="239"/>
      <c r="D204" s="307" t="str">
        <f ca="1">IFERROR(IF(INDEX(OFFSET(primeligne,MATCH($A$1,code,0)-1,),,MATCH($A204,OFFSET(primeligne,MATCH($A$1,code,0)-1,),0)+2)="oui",INDEX(OFFSET(primeligne,MATCH($A$1,code,0)-1,),,MATCH($A204,OFFSET(primeligne,MATCH($A$1,code,0)-1,),0)+1),""),"")</f>
        <v/>
      </c>
      <c r="E204" s="307" t="str">
        <f ca="1">IFERROR(IF(INDEX(OFFSET(primeligne,MATCH($A$1,code,0)-1,),,MATCH($A204,OFFSET(primeligne,MATCH($A$1,code,0)-1,),0)+4)="oui",INDEX(OFFSET(primeligne,MATCH($A$1,code,0)-1,),,MATCH($A204,OFFSET(primeligne,MATCH($A$1,code,0)-1,),0)+3),""),"")</f>
        <v/>
      </c>
      <c r="F204" s="239"/>
      <c r="G204" s="272"/>
      <c r="H204" s="272"/>
      <c r="I204" s="272"/>
      <c r="J204" s="272"/>
      <c r="K204" s="272"/>
      <c r="L204" s="272"/>
      <c r="M204" s="272"/>
      <c r="N204" s="272"/>
      <c r="O204" s="272"/>
    </row>
    <row r="205" spans="1:17" ht="27" customHeight="1">
      <c r="A205" s="239" t="str">
        <f t="array" aca="1" ref="A205" ca="1">IFERROR(INDEX(OFFSET(primeligne,MATCH(A$1,code,0)-1,),,SMALL(IF((MOD(COLUMN(primeligne)-1,5)=0)*(primeligne&lt;&gt;""),COLUMN(primeligne)-175),ROW(A10))),"")</f>
        <v/>
      </c>
      <c r="B205" s="239"/>
      <c r="C205" s="239"/>
      <c r="D205" s="307" t="str">
        <f ca="1">IFERROR(IF(INDEX(OFFSET(primeligne,MATCH($A$1,code,0)-1,),,MATCH($A205,OFFSET(primeligne,MATCH($A$1,code,0)-1,),0)+2)="oui",INDEX(OFFSET(primeligne,MATCH($A$1,code,0)-1,),,MATCH($A205,OFFSET(primeligne,MATCH($A$1,code,0)-1,),0)+1),""),"")</f>
        <v/>
      </c>
      <c r="E205" s="307" t="str">
        <f ca="1">IFERROR(IF(INDEX(OFFSET(primeligne,MATCH($A$1,code,0)-1,),,MATCH($A205,OFFSET(primeligne,MATCH($A$1,code,0)-1,),0)+4)="oui",INDEX(OFFSET(primeligne,MATCH($A$1,code,0)-1,),,MATCH($A205,OFFSET(primeligne,MATCH($A$1,code,0)-1,),0)+3),""),"")</f>
        <v/>
      </c>
      <c r="F205" s="239"/>
      <c r="G205" s="272"/>
      <c r="H205" s="272"/>
      <c r="I205" s="272"/>
      <c r="J205" s="272"/>
      <c r="K205" s="272"/>
      <c r="L205" s="272"/>
      <c r="M205" s="272"/>
      <c r="N205" s="272"/>
      <c r="O205" s="272"/>
    </row>
    <row r="206" spans="1:17" ht="27" customHeight="1">
      <c r="A206" s="239" t="str">
        <f t="array" aca="1" ref="A206" ca="1">IFERROR(INDEX(OFFSET(primeligne,MATCH(A$1,code,0)-1,),,SMALL(IF((MOD(COLUMN(primeligne)-1,5)=0)*(primeligne&lt;&gt;""),COLUMN(primeligne)-175),ROW(A11))),"")</f>
        <v/>
      </c>
      <c r="B206" s="239"/>
      <c r="C206" s="239"/>
      <c r="D206" s="307" t="str">
        <f ca="1">IFERROR(IF(INDEX(OFFSET(primeligne,MATCH($A$1,code,0)-1,),,MATCH($A206,OFFSET(primeligne,MATCH($A$1,code,0)-1,),0)+2)="oui",INDEX(OFFSET(primeligne,MATCH($A$1,code,0)-1,),,MATCH($A206,OFFSET(primeligne,MATCH($A$1,code,0)-1,),0)+1),""),"")</f>
        <v/>
      </c>
      <c r="E206" s="307" t="str">
        <f ca="1">IFERROR(IF(INDEX(OFFSET(primeligne,MATCH($A$1,code,0)-1,),,MATCH($A206,OFFSET(primeligne,MATCH($A$1,code,0)-1,),0)+4)="oui",INDEX(OFFSET(primeligne,MATCH($A$1,code,0)-1,),,MATCH($A206,OFFSET(primeligne,MATCH($A$1,code,0)-1,),0)+3),""),"")</f>
        <v/>
      </c>
      <c r="F206" s="239"/>
      <c r="G206" s="272"/>
      <c r="H206" s="272"/>
      <c r="I206" s="272"/>
      <c r="J206" s="272"/>
      <c r="K206" s="272"/>
      <c r="L206" s="272"/>
      <c r="M206" s="272"/>
      <c r="N206" s="272"/>
      <c r="O206" s="272"/>
    </row>
    <row r="207" spans="1:17" ht="27" customHeight="1">
      <c r="A207" s="239" t="str">
        <f t="array" aca="1" ref="A207" ca="1">IFERROR(INDEX(OFFSET(primeligne,MATCH(A$1,code,0)-1,),,SMALL(IF((MOD(COLUMN(primeligne)-1,5)=0)*(primeligne&lt;&gt;""),COLUMN(primeligne)-175),ROW(A12))),"")</f>
        <v/>
      </c>
      <c r="B207" s="239"/>
      <c r="C207" s="239"/>
      <c r="D207" s="307" t="str">
        <f ca="1">IFERROR(IF(INDEX(OFFSET(primeligne,MATCH($A$1,code,0)-1,),,MATCH($A207,OFFSET(primeligne,MATCH($A$1,code,0)-1,),0)+2)="oui",INDEX(OFFSET(primeligne,MATCH($A$1,code,0)-1,),,MATCH($A207,OFFSET(primeligne,MATCH($A$1,code,0)-1,),0)+1),""),"")</f>
        <v/>
      </c>
      <c r="E207" s="307" t="str">
        <f ca="1">IFERROR(IF(INDEX(OFFSET(primeligne,MATCH($A$1,code,0)-1,),,MATCH($A207,OFFSET(primeligne,MATCH($A$1,code,0)-1,),0)+4)="oui",INDEX(OFFSET(primeligne,MATCH($A$1,code,0)-1,),,MATCH($A207,OFFSET(primeligne,MATCH($A$1,code,0)-1,),0)+3),""),"")</f>
        <v/>
      </c>
      <c r="F207" s="239"/>
      <c r="G207" s="272"/>
      <c r="H207" s="272"/>
      <c r="I207" s="272"/>
      <c r="J207" s="272"/>
      <c r="K207" s="272"/>
      <c r="L207" s="272"/>
      <c r="M207" s="272"/>
      <c r="N207" s="272"/>
      <c r="O207" s="272"/>
    </row>
    <row r="208" spans="1:17" ht="27" customHeight="1">
      <c r="A208" s="239" t="str">
        <f t="array" aca="1" ref="A208" ca="1">IFERROR(INDEX(OFFSET(primeligne,MATCH(A$1,code,0)-1,),,SMALL(IF((MOD(COLUMN(primeligne)-1,5)=0)*(primeligne&lt;&gt;""),COLUMN(primeligne)-175),ROW(A13))),"")</f>
        <v/>
      </c>
      <c r="B208" s="239"/>
      <c r="C208" s="239"/>
      <c r="D208" s="307" t="str">
        <f ca="1">IFERROR(IF(INDEX(OFFSET(primeligne,MATCH($A$1,code,0)-1,),,MATCH($A208,OFFSET(primeligne,MATCH($A$1,code,0)-1,),0)+2)="oui",INDEX(OFFSET(primeligne,MATCH($A$1,code,0)-1,),,MATCH($A208,OFFSET(primeligne,MATCH($A$1,code,0)-1,),0)+1),""),"")</f>
        <v/>
      </c>
      <c r="E208" s="307" t="str">
        <f ca="1">IFERROR(IF(INDEX(OFFSET(primeligne,MATCH($A$1,code,0)-1,),,MATCH($A208,OFFSET(primeligne,MATCH($A$1,code,0)-1,),0)+4)="oui",INDEX(OFFSET(primeligne,MATCH($A$1,code,0)-1,),,MATCH($A208,OFFSET(primeligne,MATCH($A$1,code,0)-1,),0)+3),""),"")</f>
        <v/>
      </c>
      <c r="F208" s="239"/>
      <c r="G208" s="272"/>
      <c r="H208" s="272"/>
      <c r="I208" s="272"/>
      <c r="J208" s="272"/>
      <c r="K208" s="272"/>
      <c r="L208" s="272"/>
      <c r="M208" s="272"/>
      <c r="N208" s="272"/>
      <c r="O208" s="272"/>
    </row>
    <row r="209" spans="1:15" ht="27" customHeight="1">
      <c r="A209" s="239" t="str">
        <f t="array" aca="1" ref="A209" ca="1">IFERROR(INDEX(OFFSET(primeligne,MATCH(A$1,code,0)-1,),,SMALL(IF((MOD(COLUMN(primeligne)-1,5)=0)*(primeligne&lt;&gt;""),COLUMN(primeligne)-175),ROW(A14))),"")</f>
        <v/>
      </c>
      <c r="B209" s="239"/>
      <c r="C209" s="239"/>
      <c r="D209" s="307" t="str">
        <f ca="1">IFERROR(IF(INDEX(OFFSET(primeligne,MATCH($A$1,code,0)-1,),,MATCH($A209,OFFSET(primeligne,MATCH($A$1,code,0)-1,),0)+2)="oui",INDEX(OFFSET(primeligne,MATCH($A$1,code,0)-1,),,MATCH($A209,OFFSET(primeligne,MATCH($A$1,code,0)-1,),0)+1),""),"")</f>
        <v/>
      </c>
      <c r="E209" s="307" t="str">
        <f ca="1">IFERROR(IF(INDEX(OFFSET(primeligne,MATCH($A$1,code,0)-1,),,MATCH($A209,OFFSET(primeligne,MATCH($A$1,code,0)-1,),0)+4)="oui",INDEX(OFFSET(primeligne,MATCH($A$1,code,0)-1,),,MATCH($A209,OFFSET(primeligne,MATCH($A$1,code,0)-1,),0)+3),""),"")</f>
        <v/>
      </c>
      <c r="F209" s="239"/>
      <c r="G209" s="272"/>
      <c r="H209" s="272"/>
      <c r="I209" s="272"/>
      <c r="J209" s="272"/>
      <c r="K209" s="272"/>
      <c r="L209" s="272"/>
      <c r="M209" s="272"/>
      <c r="N209" s="272"/>
      <c r="O209" s="272"/>
    </row>
    <row r="210" spans="1:15" ht="27" customHeight="1">
      <c r="A210" s="239" t="str">
        <f t="array" aca="1" ref="A210" ca="1">IFERROR(INDEX(OFFSET(primeligne,MATCH(A$1,code,0)-1,),,SMALL(IF((MOD(COLUMN(primeligne)-1,5)=0)*(primeligne&lt;&gt;""),COLUMN(primeligne)-175),ROW(A15))),"")</f>
        <v/>
      </c>
      <c r="B210" s="239"/>
      <c r="C210" s="239"/>
      <c r="D210" s="307" t="str">
        <f ca="1">IFERROR(IF(INDEX(OFFSET(primeligne,MATCH($A$1,code,0)-1,),,MATCH($A210,OFFSET(primeligne,MATCH($A$1,code,0)-1,),0)+2)="oui",INDEX(OFFSET(primeligne,MATCH($A$1,code,0)-1,),,MATCH($A210,OFFSET(primeligne,MATCH($A$1,code,0)-1,),0)+1),""),"")</f>
        <v/>
      </c>
      <c r="E210" s="307" t="str">
        <f ca="1">IFERROR(IF(INDEX(OFFSET(primeligne,MATCH($A$1,code,0)-1,),,MATCH($A210,OFFSET(primeligne,MATCH($A$1,code,0)-1,),0)+4)="oui",INDEX(OFFSET(primeligne,MATCH($A$1,code,0)-1,),,MATCH($A210,OFFSET(primeligne,MATCH($A$1,code,0)-1,),0)+3),""),"")</f>
        <v/>
      </c>
      <c r="F210" s="239"/>
      <c r="G210" s="272"/>
      <c r="H210" s="272"/>
      <c r="I210" s="272"/>
      <c r="J210" s="272"/>
      <c r="K210" s="272"/>
      <c r="L210" s="272"/>
      <c r="M210" s="272"/>
      <c r="N210" s="272"/>
      <c r="O210" s="272"/>
    </row>
    <row r="211" spans="1:15" ht="27" customHeight="1">
      <c r="A211" s="239" t="str">
        <f t="array" aca="1" ref="A211" ca="1">IFERROR(INDEX(OFFSET(primeligne,MATCH(A$1,code,0)-1,),,SMALL(IF((MOD(COLUMN(primeligne)-1,5)=0)*(primeligne&lt;&gt;""),COLUMN(primeligne)-175),ROW(A16))),"")</f>
        <v/>
      </c>
      <c r="B211" s="239"/>
      <c r="C211" s="239"/>
      <c r="D211" s="307" t="str">
        <f ca="1">IFERROR(IF(INDEX(OFFSET(primeligne,MATCH($A$1,code,0)-1,),,MATCH($A211,OFFSET(primeligne,MATCH($A$1,code,0)-1,),0)+2)="oui",INDEX(OFFSET(primeligne,MATCH($A$1,code,0)-1,),,MATCH($A211,OFFSET(primeligne,MATCH($A$1,code,0)-1,),0)+1),""),"")</f>
        <v/>
      </c>
      <c r="E211" s="307" t="str">
        <f ca="1">IFERROR(IF(INDEX(OFFSET(primeligne,MATCH($A$1,code,0)-1,),,MATCH($A211,OFFSET(primeligne,MATCH($A$1,code,0)-1,),0)+4)="oui",INDEX(OFFSET(primeligne,MATCH($A$1,code,0)-1,),,MATCH($A211,OFFSET(primeligne,MATCH($A$1,code,0)-1,),0)+3),""),"")</f>
        <v/>
      </c>
      <c r="F211" s="239"/>
      <c r="G211" s="272"/>
      <c r="H211" s="272"/>
      <c r="I211" s="272"/>
      <c r="J211" s="272"/>
      <c r="K211" s="272"/>
      <c r="L211" s="272"/>
      <c r="M211" s="272"/>
      <c r="N211" s="272"/>
      <c r="O211" s="272"/>
    </row>
    <row r="212" spans="1:15" ht="27" customHeight="1">
      <c r="A212" s="239" t="str">
        <f t="array" aca="1" ref="A212" ca="1">IFERROR(INDEX(OFFSET(primeligne,MATCH(A$1,code,0)-1,),,SMALL(IF((MOD(COLUMN(primeligne)-1,5)=0)*(primeligne&lt;&gt;""),COLUMN(primeligne)-175),ROW(A17))),"")</f>
        <v/>
      </c>
      <c r="B212" s="239"/>
      <c r="C212" s="239"/>
      <c r="D212" s="307" t="str">
        <f ca="1">IFERROR(IF(INDEX(OFFSET(primeligne,MATCH($A$1,code,0)-1,),,MATCH($A212,OFFSET(primeligne,MATCH($A$1,code,0)-1,),0)+2)="oui",INDEX(OFFSET(primeligne,MATCH($A$1,code,0)-1,),,MATCH($A212,OFFSET(primeligne,MATCH($A$1,code,0)-1,),0)+1),""),"")</f>
        <v/>
      </c>
      <c r="E212" s="307" t="str">
        <f ca="1">IFERROR(IF(INDEX(OFFSET(primeligne,MATCH($A$1,code,0)-1,),,MATCH($A212,OFFSET(primeligne,MATCH($A$1,code,0)-1,),0)+4)="oui",INDEX(OFFSET(primeligne,MATCH($A$1,code,0)-1,),,MATCH($A212,OFFSET(primeligne,MATCH($A$1,code,0)-1,),0)+3),""),"")</f>
        <v/>
      </c>
      <c r="F212" s="239"/>
      <c r="G212" s="272"/>
      <c r="H212" s="272"/>
      <c r="I212" s="272"/>
      <c r="J212" s="272"/>
      <c r="K212" s="272"/>
      <c r="L212" s="272"/>
      <c r="M212" s="272"/>
      <c r="N212" s="272"/>
      <c r="O212" s="272"/>
    </row>
    <row r="213" spans="1:15" ht="27" customHeight="1">
      <c r="A213" s="239" t="str">
        <f t="array" aca="1" ref="A213" ca="1">IFERROR(INDEX(OFFSET(primeligne,MATCH(A$1,code,0)-1,),,SMALL(IF((MOD(COLUMN(primeligne)-1,5)=0)*(primeligne&lt;&gt;""),COLUMN(primeligne)-175),ROW(A18))),"")</f>
        <v/>
      </c>
      <c r="B213" s="239"/>
      <c r="C213" s="239"/>
      <c r="D213" s="307" t="str">
        <f ca="1">IFERROR(IF(INDEX(OFFSET(primeligne,MATCH($A$1,code,0)-1,),,MATCH($A213,OFFSET(primeligne,MATCH($A$1,code,0)-1,),0)+2)="oui",INDEX(OFFSET(primeligne,MATCH($A$1,code,0)-1,),,MATCH($A213,OFFSET(primeligne,MATCH($A$1,code,0)-1,),0)+1),""),"")</f>
        <v/>
      </c>
      <c r="E213" s="307" t="str">
        <f ca="1">IFERROR(IF(INDEX(OFFSET(primeligne,MATCH($A$1,code,0)-1,),,MATCH($A213,OFFSET(primeligne,MATCH($A$1,code,0)-1,),0)+4)="oui",INDEX(OFFSET(primeligne,MATCH($A$1,code,0)-1,),,MATCH($A213,OFFSET(primeligne,MATCH($A$1,code,0)-1,),0)+3),""),"")</f>
        <v/>
      </c>
      <c r="F213" s="239"/>
      <c r="G213" s="272"/>
      <c r="H213" s="272"/>
      <c r="I213" s="272"/>
      <c r="J213" s="272"/>
      <c r="K213" s="272"/>
      <c r="L213" s="272"/>
      <c r="M213" s="272"/>
      <c r="N213" s="272"/>
      <c r="O213" s="272"/>
    </row>
    <row r="214" spans="1:15" ht="27" customHeight="1">
      <c r="A214" s="239" t="str">
        <f t="array" aca="1" ref="A214" ca="1">IFERROR(INDEX(OFFSET(primeligne,MATCH(A$1,code,0)-1,),,SMALL(IF((MOD(COLUMN(primeligne)-1,5)=0)*(primeligne&lt;&gt;""),COLUMN(primeligne)-175),ROW(A19))),"")</f>
        <v/>
      </c>
      <c r="B214" s="239"/>
      <c r="C214" s="239"/>
      <c r="D214" s="307" t="str">
        <f ca="1">IFERROR(IF(INDEX(OFFSET(primeligne,MATCH($A$1,code,0)-1,),,MATCH($A214,OFFSET(primeligne,MATCH($A$1,code,0)-1,),0)+2)="oui",INDEX(OFFSET(primeligne,MATCH($A$1,code,0)-1,),,MATCH($A214,OFFSET(primeligne,MATCH($A$1,code,0)-1,),0)+1),""),"")</f>
        <v/>
      </c>
      <c r="E214" s="307" t="str">
        <f ca="1">IFERROR(IF(INDEX(OFFSET(primeligne,MATCH($A$1,code,0)-1,),,MATCH($A214,OFFSET(primeligne,MATCH($A$1,code,0)-1,),0)+4)="oui",INDEX(OFFSET(primeligne,MATCH($A$1,code,0)-1,),,MATCH($A214,OFFSET(primeligne,MATCH($A$1,code,0)-1,),0)+3),""),"")</f>
        <v/>
      </c>
      <c r="F214" s="239"/>
      <c r="G214" s="272"/>
      <c r="H214" s="272"/>
      <c r="I214" s="272"/>
      <c r="J214" s="272"/>
      <c r="K214" s="272"/>
      <c r="L214" s="272"/>
      <c r="M214" s="272"/>
      <c r="N214" s="272"/>
      <c r="O214" s="272"/>
    </row>
    <row r="215" spans="1:15" ht="27" customHeight="1">
      <c r="A215" s="239" t="str">
        <f t="array" aca="1" ref="A215" ca="1">IFERROR(INDEX(OFFSET(primeligne,MATCH(A$1,code,0)-1,),,SMALL(IF((MOD(COLUMN(primeligne)-1,5)=0)*(primeligne&lt;&gt;""),COLUMN(primeligne)-175),ROW(A20))),"")</f>
        <v/>
      </c>
      <c r="B215" s="239"/>
      <c r="C215" s="239"/>
      <c r="D215" s="307" t="str">
        <f ca="1">IFERROR(IF(INDEX(OFFSET(primeligne,MATCH($A$1,code,0)-1,),,MATCH($A215,OFFSET(primeligne,MATCH($A$1,code,0)-1,),0)+2)="oui",INDEX(OFFSET(primeligne,MATCH($A$1,code,0)-1,),,MATCH($A215,OFFSET(primeligne,MATCH($A$1,code,0)-1,),0)+1),""),"")</f>
        <v/>
      </c>
      <c r="E215" s="307" t="str">
        <f ca="1">IFERROR(IF(INDEX(OFFSET(primeligne,MATCH($A$1,code,0)-1,),,MATCH($A215,OFFSET(primeligne,MATCH($A$1,code,0)-1,),0)+4)="oui",INDEX(OFFSET(primeligne,MATCH($A$1,code,0)-1,),,MATCH($A215,OFFSET(primeligne,MATCH($A$1,code,0)-1,),0)+3),""),"")</f>
        <v/>
      </c>
      <c r="F215" s="239"/>
      <c r="G215" s="272"/>
      <c r="H215" s="272"/>
      <c r="I215" s="272"/>
      <c r="J215" s="272"/>
      <c r="K215" s="272"/>
      <c r="L215" s="272"/>
      <c r="M215" s="272"/>
      <c r="N215" s="272"/>
      <c r="O215" s="272"/>
    </row>
    <row r="216" spans="1:15">
      <c r="A216" s="273"/>
      <c r="B216" s="273"/>
      <c r="C216" s="273"/>
      <c r="D216" s="273"/>
      <c r="E216" s="273"/>
      <c r="F216" s="273"/>
      <c r="G216" s="273"/>
      <c r="H216" s="273"/>
      <c r="I216" s="273"/>
      <c r="J216" s="273"/>
      <c r="K216" s="273"/>
      <c r="L216" s="272"/>
      <c r="M216" s="272"/>
      <c r="N216" s="272"/>
    </row>
    <row r="217" spans="1:15">
      <c r="A217" s="273"/>
      <c r="B217" s="273"/>
      <c r="C217" s="273"/>
      <c r="D217" s="273"/>
      <c r="E217" s="273"/>
      <c r="F217" s="273"/>
      <c r="G217" s="273"/>
      <c r="H217" s="273"/>
      <c r="I217" s="273"/>
      <c r="J217" s="273"/>
      <c r="K217" s="273"/>
      <c r="L217" s="272"/>
      <c r="M217" s="272"/>
      <c r="N217" s="272"/>
    </row>
    <row r="218" spans="1:15">
      <c r="A218" s="273"/>
      <c r="B218" s="273"/>
      <c r="C218" s="273"/>
      <c r="D218" s="273"/>
      <c r="E218" s="273"/>
      <c r="F218" s="273"/>
      <c r="G218" s="273"/>
      <c r="H218" s="273"/>
      <c r="I218" s="273"/>
      <c r="J218" s="273"/>
      <c r="K218" s="273"/>
      <c r="L218" s="272"/>
      <c r="M218" s="272"/>
      <c r="N218" s="272"/>
    </row>
    <row r="219" spans="1:15">
      <c r="A219" s="273"/>
      <c r="B219" s="273"/>
      <c r="C219" s="273"/>
      <c r="D219" s="273"/>
      <c r="E219" s="273"/>
      <c r="F219" s="273"/>
      <c r="G219" s="273"/>
      <c r="H219" s="273"/>
      <c r="I219" s="273"/>
      <c r="J219" s="273"/>
      <c r="K219" s="273"/>
      <c r="L219" s="272"/>
      <c r="M219" s="272"/>
      <c r="N219" s="272"/>
    </row>
    <row r="220" spans="1:15">
      <c r="A220" s="273"/>
      <c r="B220" s="273"/>
      <c r="C220" s="273"/>
      <c r="D220" s="273"/>
      <c r="E220" s="273"/>
      <c r="F220" s="273"/>
      <c r="G220" s="273"/>
      <c r="H220" s="273"/>
      <c r="I220" s="273"/>
      <c r="J220" s="273"/>
      <c r="K220" s="273"/>
      <c r="L220" s="272"/>
      <c r="M220" s="272"/>
      <c r="N220" s="272"/>
    </row>
    <row r="221" spans="1:15">
      <c r="A221" s="273"/>
      <c r="B221" s="273"/>
      <c r="C221" s="273"/>
      <c r="D221" s="273"/>
      <c r="E221" s="273"/>
      <c r="F221" s="273"/>
      <c r="G221" s="273"/>
      <c r="H221" s="273"/>
      <c r="I221" s="273"/>
      <c r="J221" s="273"/>
      <c r="K221" s="273"/>
      <c r="L221" s="272"/>
      <c r="M221" s="272"/>
      <c r="N221" s="272"/>
    </row>
  </sheetData>
  <mergeCells count="658">
    <mergeCell ref="G213:I213"/>
    <mergeCell ref="J213:L213"/>
    <mergeCell ref="M213:O213"/>
    <mergeCell ref="G214:I214"/>
    <mergeCell ref="J214:L214"/>
    <mergeCell ref="M214:O214"/>
    <mergeCell ref="G215:I215"/>
    <mergeCell ref="J215:L215"/>
    <mergeCell ref="M215:O215"/>
    <mergeCell ref="J209:L209"/>
    <mergeCell ref="M209:O209"/>
    <mergeCell ref="G210:I210"/>
    <mergeCell ref="J210:L210"/>
    <mergeCell ref="M210:O210"/>
    <mergeCell ref="G211:I211"/>
    <mergeCell ref="J211:L211"/>
    <mergeCell ref="M211:O211"/>
    <mergeCell ref="G212:I212"/>
    <mergeCell ref="J212:L212"/>
    <mergeCell ref="M212:O212"/>
    <mergeCell ref="G202:I202"/>
    <mergeCell ref="J202:L202"/>
    <mergeCell ref="M202:O202"/>
    <mergeCell ref="G203:I203"/>
    <mergeCell ref="J203:L203"/>
    <mergeCell ref="M203:O203"/>
    <mergeCell ref="G204:I204"/>
    <mergeCell ref="J204:L204"/>
    <mergeCell ref="M204:O204"/>
    <mergeCell ref="G199:I199"/>
    <mergeCell ref="J199:L199"/>
    <mergeCell ref="M199:O199"/>
    <mergeCell ref="G200:I200"/>
    <mergeCell ref="J200:L200"/>
    <mergeCell ref="M200:O200"/>
    <mergeCell ref="G201:I201"/>
    <mergeCell ref="J201:L201"/>
    <mergeCell ref="M201:O201"/>
    <mergeCell ref="G196:I196"/>
    <mergeCell ref="J196:L196"/>
    <mergeCell ref="M196:O196"/>
    <mergeCell ref="G197:I197"/>
    <mergeCell ref="J197:L197"/>
    <mergeCell ref="M197:O197"/>
    <mergeCell ref="G198:I198"/>
    <mergeCell ref="J198:L198"/>
    <mergeCell ref="M198:O198"/>
    <mergeCell ref="G193:I193"/>
    <mergeCell ref="J193:L193"/>
    <mergeCell ref="M193:O193"/>
    <mergeCell ref="G194:I194"/>
    <mergeCell ref="J194:L194"/>
    <mergeCell ref="M194:O194"/>
    <mergeCell ref="G195:I195"/>
    <mergeCell ref="J195:L195"/>
    <mergeCell ref="M195:O195"/>
    <mergeCell ref="G190:I190"/>
    <mergeCell ref="J190:L190"/>
    <mergeCell ref="M190:O190"/>
    <mergeCell ref="G191:I191"/>
    <mergeCell ref="J191:L191"/>
    <mergeCell ref="M191:O191"/>
    <mergeCell ref="G192:I192"/>
    <mergeCell ref="J192:L192"/>
    <mergeCell ref="M192:O192"/>
    <mergeCell ref="G187:I187"/>
    <mergeCell ref="J187:L187"/>
    <mergeCell ref="M187:O187"/>
    <mergeCell ref="G188:I188"/>
    <mergeCell ref="J188:L188"/>
    <mergeCell ref="M188:O188"/>
    <mergeCell ref="G189:I189"/>
    <mergeCell ref="J189:L189"/>
    <mergeCell ref="M189:O189"/>
    <mergeCell ref="J183:L183"/>
    <mergeCell ref="M183:O183"/>
    <mergeCell ref="G184:I184"/>
    <mergeCell ref="J184:L184"/>
    <mergeCell ref="M184:O184"/>
    <mergeCell ref="G185:I185"/>
    <mergeCell ref="J185:L185"/>
    <mergeCell ref="M185:O185"/>
    <mergeCell ref="G186:I186"/>
    <mergeCell ref="J186:L186"/>
    <mergeCell ref="M186:O186"/>
    <mergeCell ref="G180:I180"/>
    <mergeCell ref="J180:L180"/>
    <mergeCell ref="M180:O180"/>
    <mergeCell ref="G181:I181"/>
    <mergeCell ref="J181:L181"/>
    <mergeCell ref="M181:O181"/>
    <mergeCell ref="G182:I182"/>
    <mergeCell ref="J182:L182"/>
    <mergeCell ref="M182:O182"/>
    <mergeCell ref="G177:I177"/>
    <mergeCell ref="J177:L177"/>
    <mergeCell ref="M177:O177"/>
    <mergeCell ref="G178:I178"/>
    <mergeCell ref="J178:L178"/>
    <mergeCell ref="M178:O178"/>
    <mergeCell ref="G179:I179"/>
    <mergeCell ref="J179:L179"/>
    <mergeCell ref="M179:O179"/>
    <mergeCell ref="G174:I174"/>
    <mergeCell ref="J174:L174"/>
    <mergeCell ref="M174:O174"/>
    <mergeCell ref="G175:I175"/>
    <mergeCell ref="J175:L175"/>
    <mergeCell ref="M175:O175"/>
    <mergeCell ref="G176:I176"/>
    <mergeCell ref="J176:L176"/>
    <mergeCell ref="M176:O176"/>
    <mergeCell ref="G171:I171"/>
    <mergeCell ref="J171:L171"/>
    <mergeCell ref="M171:O171"/>
    <mergeCell ref="G172:I172"/>
    <mergeCell ref="J172:L172"/>
    <mergeCell ref="M172:O172"/>
    <mergeCell ref="G173:I173"/>
    <mergeCell ref="J173:L173"/>
    <mergeCell ref="M173:O173"/>
    <mergeCell ref="G168:I168"/>
    <mergeCell ref="J168:L168"/>
    <mergeCell ref="M168:O168"/>
    <mergeCell ref="G169:I169"/>
    <mergeCell ref="J169:L169"/>
    <mergeCell ref="M169:O169"/>
    <mergeCell ref="G170:I170"/>
    <mergeCell ref="J170:L170"/>
    <mergeCell ref="M170:O170"/>
    <mergeCell ref="G165:I165"/>
    <mergeCell ref="J165:L165"/>
    <mergeCell ref="M165:O165"/>
    <mergeCell ref="G166:I166"/>
    <mergeCell ref="J166:L166"/>
    <mergeCell ref="M166:O166"/>
    <mergeCell ref="G167:I167"/>
    <mergeCell ref="J167:L167"/>
    <mergeCell ref="M167:O167"/>
    <mergeCell ref="G162:I162"/>
    <mergeCell ref="J162:L162"/>
    <mergeCell ref="M162:O162"/>
    <mergeCell ref="G163:I163"/>
    <mergeCell ref="J163:L163"/>
    <mergeCell ref="M163:O163"/>
    <mergeCell ref="G164:I164"/>
    <mergeCell ref="J164:L164"/>
    <mergeCell ref="M164:O164"/>
    <mergeCell ref="G159:I159"/>
    <mergeCell ref="J159:L159"/>
    <mergeCell ref="M159:O159"/>
    <mergeCell ref="G160:I160"/>
    <mergeCell ref="J160:L160"/>
    <mergeCell ref="M160:O160"/>
    <mergeCell ref="G161:I161"/>
    <mergeCell ref="J161:L161"/>
    <mergeCell ref="M161:O161"/>
    <mergeCell ref="G156:I156"/>
    <mergeCell ref="J156:L156"/>
    <mergeCell ref="M156:O156"/>
    <mergeCell ref="G157:I157"/>
    <mergeCell ref="J157:L157"/>
    <mergeCell ref="M157:O157"/>
    <mergeCell ref="G158:I158"/>
    <mergeCell ref="J158:L158"/>
    <mergeCell ref="M158:O158"/>
    <mergeCell ref="G153:I153"/>
    <mergeCell ref="J153:L153"/>
    <mergeCell ref="M153:O153"/>
    <mergeCell ref="G154:I154"/>
    <mergeCell ref="J154:L154"/>
    <mergeCell ref="M154:O154"/>
    <mergeCell ref="G155:I155"/>
    <mergeCell ref="J155:L155"/>
    <mergeCell ref="M155:O155"/>
    <mergeCell ref="G150:I150"/>
    <mergeCell ref="J150:L150"/>
    <mergeCell ref="M150:O150"/>
    <mergeCell ref="G151:I151"/>
    <mergeCell ref="J151:L151"/>
    <mergeCell ref="M151:O151"/>
    <mergeCell ref="G152:I152"/>
    <mergeCell ref="J152:L152"/>
    <mergeCell ref="M152:O152"/>
    <mergeCell ref="G147:I147"/>
    <mergeCell ref="J147:L147"/>
    <mergeCell ref="M147:O147"/>
    <mergeCell ref="G148:I148"/>
    <mergeCell ref="J148:L148"/>
    <mergeCell ref="M148:O148"/>
    <mergeCell ref="G149:I149"/>
    <mergeCell ref="J149:L149"/>
    <mergeCell ref="M149:O149"/>
    <mergeCell ref="G144:I144"/>
    <mergeCell ref="J144:L144"/>
    <mergeCell ref="M144:O144"/>
    <mergeCell ref="G145:I145"/>
    <mergeCell ref="J145:L145"/>
    <mergeCell ref="M145:O145"/>
    <mergeCell ref="G146:I146"/>
    <mergeCell ref="J146:L146"/>
    <mergeCell ref="M146:O146"/>
    <mergeCell ref="G141:I141"/>
    <mergeCell ref="J141:L141"/>
    <mergeCell ref="M141:O141"/>
    <mergeCell ref="G142:I142"/>
    <mergeCell ref="J142:L142"/>
    <mergeCell ref="M142:O142"/>
    <mergeCell ref="G143:I143"/>
    <mergeCell ref="J143:L143"/>
    <mergeCell ref="M143:O143"/>
    <mergeCell ref="M137:O137"/>
    <mergeCell ref="G138:I138"/>
    <mergeCell ref="J138:L138"/>
    <mergeCell ref="M138:O138"/>
    <mergeCell ref="G139:I139"/>
    <mergeCell ref="J139:L139"/>
    <mergeCell ref="M139:O139"/>
    <mergeCell ref="G140:I140"/>
    <mergeCell ref="J140:L140"/>
    <mergeCell ref="M140:O140"/>
    <mergeCell ref="G129:I129"/>
    <mergeCell ref="J129:L129"/>
    <mergeCell ref="M129:O129"/>
    <mergeCell ref="G130:I130"/>
    <mergeCell ref="J130:L130"/>
    <mergeCell ref="M130:O130"/>
    <mergeCell ref="G131:I131"/>
    <mergeCell ref="J131:L131"/>
    <mergeCell ref="M131:O131"/>
    <mergeCell ref="G126:I126"/>
    <mergeCell ref="J126:L126"/>
    <mergeCell ref="M126:O126"/>
    <mergeCell ref="G127:I127"/>
    <mergeCell ref="J127:L127"/>
    <mergeCell ref="M127:O127"/>
    <mergeCell ref="G128:I128"/>
    <mergeCell ref="J128:L128"/>
    <mergeCell ref="M128:O128"/>
    <mergeCell ref="G123:I123"/>
    <mergeCell ref="J123:L123"/>
    <mergeCell ref="M123:O123"/>
    <mergeCell ref="G124:I124"/>
    <mergeCell ref="J124:L124"/>
    <mergeCell ref="M124:O124"/>
    <mergeCell ref="G125:I125"/>
    <mergeCell ref="J125:L125"/>
    <mergeCell ref="M125:O125"/>
    <mergeCell ref="G120:I120"/>
    <mergeCell ref="J120:L120"/>
    <mergeCell ref="M120:O120"/>
    <mergeCell ref="G121:I121"/>
    <mergeCell ref="J121:L121"/>
    <mergeCell ref="M121:O121"/>
    <mergeCell ref="G122:I122"/>
    <mergeCell ref="J122:L122"/>
    <mergeCell ref="M122:O122"/>
    <mergeCell ref="G117:I117"/>
    <mergeCell ref="J117:L117"/>
    <mergeCell ref="M117:O117"/>
    <mergeCell ref="G118:I118"/>
    <mergeCell ref="J118:L118"/>
    <mergeCell ref="M118:O118"/>
    <mergeCell ref="G119:I119"/>
    <mergeCell ref="J119:L119"/>
    <mergeCell ref="M119:O119"/>
    <mergeCell ref="G114:I114"/>
    <mergeCell ref="J114:L114"/>
    <mergeCell ref="M114:O114"/>
    <mergeCell ref="G115:I115"/>
    <mergeCell ref="J115:L115"/>
    <mergeCell ref="M115:O115"/>
    <mergeCell ref="G116:I116"/>
    <mergeCell ref="J116:L116"/>
    <mergeCell ref="M116:O116"/>
    <mergeCell ref="G111:I111"/>
    <mergeCell ref="J111:L111"/>
    <mergeCell ref="M111:O111"/>
    <mergeCell ref="G112:I112"/>
    <mergeCell ref="J112:L112"/>
    <mergeCell ref="M112:O112"/>
    <mergeCell ref="G113:I113"/>
    <mergeCell ref="J113:L113"/>
    <mergeCell ref="M113:O113"/>
    <mergeCell ref="G108:I108"/>
    <mergeCell ref="J108:L108"/>
    <mergeCell ref="M108:O108"/>
    <mergeCell ref="G109:I109"/>
    <mergeCell ref="J109:L109"/>
    <mergeCell ref="M109:O109"/>
    <mergeCell ref="G110:I110"/>
    <mergeCell ref="J110:L110"/>
    <mergeCell ref="M110:O110"/>
    <mergeCell ref="G105:I105"/>
    <mergeCell ref="J105:L105"/>
    <mergeCell ref="M105:O105"/>
    <mergeCell ref="G106:I106"/>
    <mergeCell ref="J106:L106"/>
    <mergeCell ref="M106:O106"/>
    <mergeCell ref="G107:I107"/>
    <mergeCell ref="J107:L107"/>
    <mergeCell ref="M107:O107"/>
    <mergeCell ref="G102:I102"/>
    <mergeCell ref="J102:L102"/>
    <mergeCell ref="M102:O102"/>
    <mergeCell ref="G103:I103"/>
    <mergeCell ref="J103:L103"/>
    <mergeCell ref="M103:O103"/>
    <mergeCell ref="G104:I104"/>
    <mergeCell ref="J104:L104"/>
    <mergeCell ref="M104:O104"/>
    <mergeCell ref="G99:I99"/>
    <mergeCell ref="J99:L99"/>
    <mergeCell ref="M99:O99"/>
    <mergeCell ref="G100:I100"/>
    <mergeCell ref="J100:L100"/>
    <mergeCell ref="M100:O100"/>
    <mergeCell ref="G101:I101"/>
    <mergeCell ref="J101:L101"/>
    <mergeCell ref="M101:O101"/>
    <mergeCell ref="G96:I96"/>
    <mergeCell ref="J96:L96"/>
    <mergeCell ref="M96:O96"/>
    <mergeCell ref="G97:I97"/>
    <mergeCell ref="J97:L97"/>
    <mergeCell ref="M97:O97"/>
    <mergeCell ref="G98:I98"/>
    <mergeCell ref="J98:L98"/>
    <mergeCell ref="M98:O98"/>
    <mergeCell ref="G93:I93"/>
    <mergeCell ref="J93:L93"/>
    <mergeCell ref="M93:O93"/>
    <mergeCell ref="G94:I94"/>
    <mergeCell ref="J94:L94"/>
    <mergeCell ref="M94:O94"/>
    <mergeCell ref="G95:I95"/>
    <mergeCell ref="J95:L95"/>
    <mergeCell ref="M95:O95"/>
    <mergeCell ref="G90:I90"/>
    <mergeCell ref="J90:L90"/>
    <mergeCell ref="M90:O90"/>
    <mergeCell ref="G91:I91"/>
    <mergeCell ref="J91:L91"/>
    <mergeCell ref="M91:O91"/>
    <mergeCell ref="G92:I92"/>
    <mergeCell ref="J92:L92"/>
    <mergeCell ref="M92:O92"/>
    <mergeCell ref="G87:I87"/>
    <mergeCell ref="J87:L87"/>
    <mergeCell ref="M87:O87"/>
    <mergeCell ref="G88:I88"/>
    <mergeCell ref="J88:L88"/>
    <mergeCell ref="M88:O88"/>
    <mergeCell ref="G89:I89"/>
    <mergeCell ref="J89:L89"/>
    <mergeCell ref="M89:O89"/>
    <mergeCell ref="G84:I84"/>
    <mergeCell ref="J84:L84"/>
    <mergeCell ref="M84:O84"/>
    <mergeCell ref="G85:I85"/>
    <mergeCell ref="J85:L85"/>
    <mergeCell ref="M85:O85"/>
    <mergeCell ref="G86:I86"/>
    <mergeCell ref="J86:L86"/>
    <mergeCell ref="M86:O86"/>
    <mergeCell ref="G81:I81"/>
    <mergeCell ref="J81:L81"/>
    <mergeCell ref="M81:O81"/>
    <mergeCell ref="G82:I82"/>
    <mergeCell ref="J82:L82"/>
    <mergeCell ref="M82:O82"/>
    <mergeCell ref="G83:I83"/>
    <mergeCell ref="J83:L83"/>
    <mergeCell ref="M83:O83"/>
    <mergeCell ref="G78:I78"/>
    <mergeCell ref="J78:L78"/>
    <mergeCell ref="M78:O78"/>
    <mergeCell ref="G79:I79"/>
    <mergeCell ref="J79:L79"/>
    <mergeCell ref="M79:O79"/>
    <mergeCell ref="G80:I80"/>
    <mergeCell ref="J80:L80"/>
    <mergeCell ref="M80:O80"/>
    <mergeCell ref="G75:I75"/>
    <mergeCell ref="J75:L75"/>
    <mergeCell ref="M75:O75"/>
    <mergeCell ref="G76:I76"/>
    <mergeCell ref="J76:L76"/>
    <mergeCell ref="M76:O76"/>
    <mergeCell ref="G77:I77"/>
    <mergeCell ref="J77:L77"/>
    <mergeCell ref="M77:O77"/>
    <mergeCell ref="G72:I72"/>
    <mergeCell ref="J72:L72"/>
    <mergeCell ref="M72:O72"/>
    <mergeCell ref="G73:I73"/>
    <mergeCell ref="J73:L73"/>
    <mergeCell ref="M73:O73"/>
    <mergeCell ref="G74:I74"/>
    <mergeCell ref="J74:L74"/>
    <mergeCell ref="M74:O74"/>
    <mergeCell ref="G69:I69"/>
    <mergeCell ref="J69:L69"/>
    <mergeCell ref="M69:O69"/>
    <mergeCell ref="G70:I70"/>
    <mergeCell ref="J70:L70"/>
    <mergeCell ref="M70:O70"/>
    <mergeCell ref="G71:I71"/>
    <mergeCell ref="J71:L71"/>
    <mergeCell ref="M71:O71"/>
    <mergeCell ref="G66:I66"/>
    <mergeCell ref="J66:L66"/>
    <mergeCell ref="M66:O66"/>
    <mergeCell ref="G67:I67"/>
    <mergeCell ref="J67:L67"/>
    <mergeCell ref="M67:O67"/>
    <mergeCell ref="G68:I68"/>
    <mergeCell ref="J68:L68"/>
    <mergeCell ref="M68:O68"/>
    <mergeCell ref="G63:I63"/>
    <mergeCell ref="J63:L63"/>
    <mergeCell ref="M63:O63"/>
    <mergeCell ref="G64:I64"/>
    <mergeCell ref="J64:L64"/>
    <mergeCell ref="M64:O64"/>
    <mergeCell ref="G65:I65"/>
    <mergeCell ref="J65:L65"/>
    <mergeCell ref="M65:O65"/>
    <mergeCell ref="G55:I55"/>
    <mergeCell ref="J55:L55"/>
    <mergeCell ref="M55:O55"/>
    <mergeCell ref="G56:I56"/>
    <mergeCell ref="J56:L56"/>
    <mergeCell ref="M56:O56"/>
    <mergeCell ref="G57:I57"/>
    <mergeCell ref="J57:L57"/>
    <mergeCell ref="M57:O57"/>
    <mergeCell ref="G52:I52"/>
    <mergeCell ref="J52:L52"/>
    <mergeCell ref="M52:O52"/>
    <mergeCell ref="G53:I53"/>
    <mergeCell ref="J53:L53"/>
    <mergeCell ref="M53:O53"/>
    <mergeCell ref="G54:I54"/>
    <mergeCell ref="J54:L54"/>
    <mergeCell ref="M54:O54"/>
    <mergeCell ref="G49:I49"/>
    <mergeCell ref="J49:L49"/>
    <mergeCell ref="M49:O49"/>
    <mergeCell ref="G50:I50"/>
    <mergeCell ref="J50:L50"/>
    <mergeCell ref="M50:O50"/>
    <mergeCell ref="G51:I51"/>
    <mergeCell ref="J51:L51"/>
    <mergeCell ref="M51:O51"/>
    <mergeCell ref="G46:I46"/>
    <mergeCell ref="J46:L46"/>
    <mergeCell ref="M46:O46"/>
    <mergeCell ref="G47:I47"/>
    <mergeCell ref="J47:L47"/>
    <mergeCell ref="M47:O47"/>
    <mergeCell ref="G48:I48"/>
    <mergeCell ref="J48:L48"/>
    <mergeCell ref="M48:O48"/>
    <mergeCell ref="G43:I43"/>
    <mergeCell ref="J43:L43"/>
    <mergeCell ref="M43:O43"/>
    <mergeCell ref="G44:I44"/>
    <mergeCell ref="J44:L44"/>
    <mergeCell ref="M44:O44"/>
    <mergeCell ref="G45:I45"/>
    <mergeCell ref="J45:L45"/>
    <mergeCell ref="M45:O45"/>
    <mergeCell ref="G40:I40"/>
    <mergeCell ref="J40:L40"/>
    <mergeCell ref="M40:O40"/>
    <mergeCell ref="G41:I41"/>
    <mergeCell ref="J41:L41"/>
    <mergeCell ref="M41:O41"/>
    <mergeCell ref="G42:I42"/>
    <mergeCell ref="J42:L42"/>
    <mergeCell ref="M42:O42"/>
    <mergeCell ref="G37:I37"/>
    <mergeCell ref="J37:L37"/>
    <mergeCell ref="M37:O37"/>
    <mergeCell ref="G38:I38"/>
    <mergeCell ref="J38:L38"/>
    <mergeCell ref="M38:O38"/>
    <mergeCell ref="G39:I39"/>
    <mergeCell ref="J39:L39"/>
    <mergeCell ref="M39:O39"/>
    <mergeCell ref="G34:I34"/>
    <mergeCell ref="J34:L34"/>
    <mergeCell ref="M34:O34"/>
    <mergeCell ref="G35:I35"/>
    <mergeCell ref="J35:L35"/>
    <mergeCell ref="M35:O35"/>
    <mergeCell ref="G36:I36"/>
    <mergeCell ref="J36:L36"/>
    <mergeCell ref="M36:O36"/>
    <mergeCell ref="G31:I31"/>
    <mergeCell ref="J31:L31"/>
    <mergeCell ref="M31:O31"/>
    <mergeCell ref="G32:I32"/>
    <mergeCell ref="J32:L32"/>
    <mergeCell ref="M32:O32"/>
    <mergeCell ref="G33:I33"/>
    <mergeCell ref="J33:L33"/>
    <mergeCell ref="M33:O33"/>
    <mergeCell ref="G28:I28"/>
    <mergeCell ref="J28:L28"/>
    <mergeCell ref="M28:O28"/>
    <mergeCell ref="G29:I29"/>
    <mergeCell ref="J29:L29"/>
    <mergeCell ref="M29:O29"/>
    <mergeCell ref="G30:I30"/>
    <mergeCell ref="J30:L30"/>
    <mergeCell ref="M30:O30"/>
    <mergeCell ref="G25:I25"/>
    <mergeCell ref="J25:L25"/>
    <mergeCell ref="M25:O25"/>
    <mergeCell ref="G26:I26"/>
    <mergeCell ref="J26:L26"/>
    <mergeCell ref="M26:O26"/>
    <mergeCell ref="G27:I27"/>
    <mergeCell ref="J27:L27"/>
    <mergeCell ref="M27:O27"/>
    <mergeCell ref="G22:I22"/>
    <mergeCell ref="J22:L22"/>
    <mergeCell ref="M22:O22"/>
    <mergeCell ref="G23:I23"/>
    <mergeCell ref="J23:L23"/>
    <mergeCell ref="M23:O23"/>
    <mergeCell ref="G24:I24"/>
    <mergeCell ref="J24:L24"/>
    <mergeCell ref="M24:O24"/>
    <mergeCell ref="G19:I19"/>
    <mergeCell ref="J19:L19"/>
    <mergeCell ref="M19:O19"/>
    <mergeCell ref="G20:I20"/>
    <mergeCell ref="J20:L20"/>
    <mergeCell ref="M20:O20"/>
    <mergeCell ref="G21:I21"/>
    <mergeCell ref="J21:L21"/>
    <mergeCell ref="M21:O21"/>
    <mergeCell ref="G16:I16"/>
    <mergeCell ref="J16:L16"/>
    <mergeCell ref="M16:O16"/>
    <mergeCell ref="G17:I17"/>
    <mergeCell ref="J17:L17"/>
    <mergeCell ref="M17:O17"/>
    <mergeCell ref="G18:I18"/>
    <mergeCell ref="J18:L18"/>
    <mergeCell ref="M18:O18"/>
    <mergeCell ref="G13:I13"/>
    <mergeCell ref="J13:L13"/>
    <mergeCell ref="M13:O13"/>
    <mergeCell ref="G14:I14"/>
    <mergeCell ref="J14:L14"/>
    <mergeCell ref="M14:O14"/>
    <mergeCell ref="G15:I15"/>
    <mergeCell ref="J15:L15"/>
    <mergeCell ref="M15:O15"/>
    <mergeCell ref="G10:I10"/>
    <mergeCell ref="J10:L10"/>
    <mergeCell ref="M10:O10"/>
    <mergeCell ref="G11:I11"/>
    <mergeCell ref="J11:L11"/>
    <mergeCell ref="M11:O11"/>
    <mergeCell ref="G12:I12"/>
    <mergeCell ref="J12:L12"/>
    <mergeCell ref="M12:O12"/>
    <mergeCell ref="G7:I7"/>
    <mergeCell ref="J7:L7"/>
    <mergeCell ref="M7:O7"/>
    <mergeCell ref="G8:I8"/>
    <mergeCell ref="J8:L8"/>
    <mergeCell ref="M8:O8"/>
    <mergeCell ref="G9:I9"/>
    <mergeCell ref="J9:L9"/>
    <mergeCell ref="M9:O9"/>
    <mergeCell ref="G4:I4"/>
    <mergeCell ref="J4:L4"/>
    <mergeCell ref="M4:O4"/>
    <mergeCell ref="G5:I5"/>
    <mergeCell ref="J5:L5"/>
    <mergeCell ref="M5:O5"/>
    <mergeCell ref="G6:I6"/>
    <mergeCell ref="J6:L6"/>
    <mergeCell ref="M6:O6"/>
    <mergeCell ref="G1:I1"/>
    <mergeCell ref="J1:L1"/>
    <mergeCell ref="M1:O1"/>
    <mergeCell ref="G2:I2"/>
    <mergeCell ref="J2:L2"/>
    <mergeCell ref="M2:O2"/>
    <mergeCell ref="G3:I3"/>
    <mergeCell ref="J3:L3"/>
    <mergeCell ref="M3:O3"/>
    <mergeCell ref="G133:I133"/>
    <mergeCell ref="J133:L133"/>
    <mergeCell ref="M133:O133"/>
    <mergeCell ref="G134:I134"/>
    <mergeCell ref="J134:L134"/>
    <mergeCell ref="M134:O134"/>
    <mergeCell ref="G135:I135"/>
    <mergeCell ref="J135:L135"/>
    <mergeCell ref="M135:O135"/>
    <mergeCell ref="G136:I136"/>
    <mergeCell ref="J136:L136"/>
    <mergeCell ref="M136:O136"/>
    <mergeCell ref="G137:I137"/>
    <mergeCell ref="J137:L137"/>
    <mergeCell ref="G132:I132"/>
    <mergeCell ref="J132:L132"/>
    <mergeCell ref="M132:O132"/>
    <mergeCell ref="G58:I58"/>
    <mergeCell ref="J58:L58"/>
    <mergeCell ref="M58:O58"/>
    <mergeCell ref="G59:I59"/>
    <mergeCell ref="J59:L59"/>
    <mergeCell ref="M59:O59"/>
    <mergeCell ref="G60:I60"/>
    <mergeCell ref="J60:L60"/>
    <mergeCell ref="M60:O60"/>
    <mergeCell ref="G61:I61"/>
    <mergeCell ref="J61:L61"/>
    <mergeCell ref="M61:O61"/>
    <mergeCell ref="G62:I62"/>
    <mergeCell ref="J62:L62"/>
    <mergeCell ref="M62:O62"/>
    <mergeCell ref="A221:K221"/>
    <mergeCell ref="L221:N221"/>
    <mergeCell ref="A217:K217"/>
    <mergeCell ref="L217:N217"/>
    <mergeCell ref="A218:K218"/>
    <mergeCell ref="L218:N218"/>
    <mergeCell ref="A219:K219"/>
    <mergeCell ref="L219:N219"/>
    <mergeCell ref="A220:K220"/>
    <mergeCell ref="L220:N220"/>
    <mergeCell ref="L216:N216"/>
    <mergeCell ref="A216:K216"/>
    <mergeCell ref="G205:I205"/>
    <mergeCell ref="J205:L205"/>
    <mergeCell ref="M205:O205"/>
    <mergeCell ref="G206:I206"/>
    <mergeCell ref="J206:L206"/>
    <mergeCell ref="M206:O206"/>
    <mergeCell ref="G207:I207"/>
    <mergeCell ref="J207:L207"/>
    <mergeCell ref="M207:O207"/>
    <mergeCell ref="G208:I208"/>
    <mergeCell ref="J208:L208"/>
    <mergeCell ref="M208:O208"/>
    <mergeCell ref="G209:I209"/>
    <mergeCell ref="G183:I183"/>
    <mergeCell ref="Q1:W2"/>
  </mergeCells>
  <printOptions horizontalCentered="1"/>
  <pageMargins left="0.39370078740157483" right="0.39370078740157483" top="1.0629921259842521" bottom="0.59055118110236227" header="0.31496062992125984" footer="0.31496062992125984"/>
  <pageSetup paperSize="9" orientation="portrait" verticalDpi="0" r:id="rId1"/>
  <headerFooter>
    <oddHeader>&amp;C
&amp;"Century Gothic,Gras"&amp;12SPECIFICATION&amp;RP-????
Version: 1
05.01.16/cj</oddHeader>
    <oddFooter>&amp;R&amp;9Page &amp;P sur &amp;N</oddFooter>
  </headerFooter>
  <rowBreaks count="5" manualBreakCount="5">
    <brk id="45" max="16383" man="1"/>
    <brk id="75" max="16383" man="1"/>
    <brk id="111" max="16383" man="1"/>
    <brk id="150" max="16383" man="1"/>
    <brk id="191" max="16383" man="1"/>
  </rowBreak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5</vt:i4>
      </vt:variant>
    </vt:vector>
  </HeadingPairs>
  <TitlesOfParts>
    <vt:vector size="7" baseType="lpstr">
      <vt:lpstr>BDD</vt:lpstr>
      <vt:lpstr>reprise</vt:lpstr>
      <vt:lpstr>dept</vt:lpstr>
      <vt:lpstr>BDD!Impression_des_titres</vt:lpstr>
      <vt:lpstr>reprise!Impression_des_titres</vt:lpstr>
      <vt:lpstr>primeligne</vt:lpstr>
      <vt:lpstr>BDD!Zone_d_impression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Carole Jerjen</dc:creator>
  <cp:lastModifiedBy>tulipe</cp:lastModifiedBy>
  <cp:lastPrinted>2016-01-06T13:32:19Z</cp:lastPrinted>
  <dcterms:created xsi:type="dcterms:W3CDTF">2015-11-13T08:23:59Z</dcterms:created>
  <dcterms:modified xsi:type="dcterms:W3CDTF">2016-01-06T17:26:30Z</dcterms:modified>
</cp:coreProperties>
</file>