
<file path=[Content_Types].xml><?xml version="1.0" encoding="utf-8"?>
<Types xmlns="http://schemas.openxmlformats.org/package/2006/content-types"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2100" yWindow="0" windowWidth="19420" windowHeight="11020" tabRatio="500" firstSheet="1" activeTab="8"/>
  </bookViews>
  <sheets>
    <sheet name="DEBUT" sheetId="10" r:id="rId1"/>
    <sheet name="TAB 2R" sheetId="1" r:id="rId2"/>
    <sheet name="DEVIS 2R" sheetId="2" r:id="rId3"/>
    <sheet name="DEVIS2R" sheetId="3" r:id="rId4"/>
    <sheet name="TAB SN" sheetId="4" r:id="rId5"/>
    <sheet name="DEVIS SN" sheetId="5" r:id="rId6"/>
    <sheet name="TABXX" sheetId="6" r:id="rId7"/>
    <sheet name="DEVISXX" sheetId="7" r:id="rId8"/>
    <sheet name="SYNTHESE" sheetId="8" r:id="rId9"/>
    <sheet name="FIN " sheetId="9" r:id="rId10"/>
  </sheets>
  <externalReferences>
    <externalReference r:id="rId11"/>
    <externalReference r:id="rId12"/>
    <externalReference r:id="rId13"/>
  </externalReferenc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8"/>
  <c r="C2"/>
  <c r="C6"/>
  <c r="I12" l="1"/>
  <c r="F6"/>
  <c r="D106" i="6"/>
  <c r="C14" i="7"/>
  <c r="E52" i="6"/>
  <c r="F52"/>
  <c r="G51"/>
  <c r="G69"/>
  <c r="D107"/>
  <c r="C15" i="7"/>
  <c r="G55" i="6"/>
  <c r="F62"/>
  <c r="F63"/>
  <c r="F64"/>
  <c r="G61"/>
  <c r="G70"/>
  <c r="D108"/>
  <c r="C16" i="7"/>
  <c r="C17"/>
  <c r="C22"/>
  <c r="C23"/>
  <c r="M92" i="6"/>
  <c r="M93"/>
  <c r="M94"/>
  <c r="M95"/>
  <c r="M96"/>
  <c r="M97"/>
  <c r="M99"/>
  <c r="C20" i="7"/>
  <c r="C12"/>
  <c r="C11"/>
  <c r="C10"/>
  <c r="C9"/>
  <c r="F120" i="6"/>
  <c r="F119"/>
  <c r="F118"/>
  <c r="D18"/>
  <c r="E18"/>
  <c r="F18"/>
  <c r="G18"/>
  <c r="H18"/>
  <c r="I18"/>
  <c r="J18"/>
  <c r="K18"/>
  <c r="L18"/>
  <c r="M18"/>
  <c r="N18"/>
  <c r="O18"/>
  <c r="P18"/>
  <c r="E19"/>
  <c r="F19"/>
  <c r="G19"/>
  <c r="H19"/>
  <c r="I19"/>
  <c r="J19"/>
  <c r="K19"/>
  <c r="L19"/>
  <c r="M19"/>
  <c r="P19"/>
  <c r="P20"/>
  <c r="P22"/>
  <c r="G28"/>
  <c r="H28"/>
  <c r="I28"/>
  <c r="J28"/>
  <c r="K28"/>
  <c r="L28"/>
  <c r="M28"/>
  <c r="P28"/>
  <c r="G29"/>
  <c r="H29"/>
  <c r="I29"/>
  <c r="J29"/>
  <c r="K29"/>
  <c r="L29"/>
  <c r="M29"/>
  <c r="P29"/>
  <c r="G30"/>
  <c r="H30"/>
  <c r="I30"/>
  <c r="J30"/>
  <c r="K30"/>
  <c r="L30"/>
  <c r="M30"/>
  <c r="P30"/>
  <c r="P33"/>
  <c r="C118"/>
  <c r="F117"/>
  <c r="G21"/>
  <c r="H21"/>
  <c r="I21"/>
  <c r="J21"/>
  <c r="K21"/>
  <c r="L21"/>
  <c r="M21"/>
  <c r="N21"/>
  <c r="R18"/>
  <c r="G22"/>
  <c r="H22"/>
  <c r="I22"/>
  <c r="J22"/>
  <c r="K22"/>
  <c r="L22"/>
  <c r="M22"/>
  <c r="N19"/>
  <c r="N22"/>
  <c r="R19"/>
  <c r="R21"/>
  <c r="D117"/>
  <c r="P21"/>
  <c r="C117"/>
  <c r="J116"/>
  <c r="P32"/>
  <c r="J39"/>
  <c r="D45"/>
  <c r="G116"/>
  <c r="F116"/>
  <c r="R31"/>
  <c r="D116"/>
  <c r="C116"/>
  <c r="J115"/>
  <c r="F115"/>
  <c r="H115"/>
  <c r="J45"/>
  <c r="G115"/>
  <c r="G32"/>
  <c r="H32"/>
  <c r="I32"/>
  <c r="J32"/>
  <c r="K32"/>
  <c r="L32"/>
  <c r="M32"/>
  <c r="N32"/>
  <c r="R28"/>
  <c r="G33"/>
  <c r="H33"/>
  <c r="I33"/>
  <c r="J33"/>
  <c r="K33"/>
  <c r="L33"/>
  <c r="M33"/>
  <c r="N33"/>
  <c r="R29"/>
  <c r="G34"/>
  <c r="H34"/>
  <c r="I34"/>
  <c r="J34"/>
  <c r="K34"/>
  <c r="L34"/>
  <c r="M34"/>
  <c r="N34"/>
  <c r="R30"/>
  <c r="R33"/>
  <c r="D115"/>
  <c r="C115"/>
  <c r="M79"/>
  <c r="M80"/>
  <c r="M81"/>
  <c r="M82"/>
  <c r="M83"/>
  <c r="M84"/>
  <c r="M85"/>
  <c r="M87"/>
  <c r="D112"/>
  <c r="C112"/>
  <c r="D109"/>
  <c r="L98"/>
  <c r="L99"/>
  <c r="K98"/>
  <c r="J98"/>
  <c r="I98"/>
  <c r="H98"/>
  <c r="G98"/>
  <c r="F98"/>
  <c r="E98"/>
  <c r="D98"/>
  <c r="C98"/>
  <c r="L77"/>
  <c r="L91"/>
  <c r="K77"/>
  <c r="K91"/>
  <c r="J77"/>
  <c r="J91"/>
  <c r="I77"/>
  <c r="I91"/>
  <c r="H77"/>
  <c r="H91"/>
  <c r="G77"/>
  <c r="G91"/>
  <c r="F77"/>
  <c r="F91"/>
  <c r="E77"/>
  <c r="E91"/>
  <c r="D77"/>
  <c r="D91"/>
  <c r="C77"/>
  <c r="C91"/>
  <c r="M90"/>
  <c r="L76"/>
  <c r="L90"/>
  <c r="K76"/>
  <c r="K90"/>
  <c r="J76"/>
  <c r="J90"/>
  <c r="I76"/>
  <c r="I90"/>
  <c r="H76"/>
  <c r="H90"/>
  <c r="G76"/>
  <c r="G90"/>
  <c r="F76"/>
  <c r="F90"/>
  <c r="E76"/>
  <c r="E90"/>
  <c r="D76"/>
  <c r="D90"/>
  <c r="C76"/>
  <c r="C90"/>
  <c r="L89"/>
  <c r="K89"/>
  <c r="J89"/>
  <c r="I89"/>
  <c r="H89"/>
  <c r="G89"/>
  <c r="F89"/>
  <c r="E89"/>
  <c r="D89"/>
  <c r="C89"/>
  <c r="L87"/>
  <c r="L86"/>
  <c r="K86"/>
  <c r="J86"/>
  <c r="I86"/>
  <c r="H86"/>
  <c r="G86"/>
  <c r="F86"/>
  <c r="E86"/>
  <c r="D86"/>
  <c r="C86"/>
  <c r="F68"/>
  <c r="F67"/>
  <c r="G66"/>
  <c r="F54"/>
  <c r="G53"/>
  <c r="G65"/>
  <c r="L44"/>
  <c r="K44"/>
  <c r="L43"/>
  <c r="J42"/>
  <c r="J43"/>
  <c r="K43"/>
  <c r="L41"/>
  <c r="J40"/>
  <c r="J41"/>
  <c r="K41"/>
  <c r="R36"/>
  <c r="O26"/>
  <c r="N26"/>
  <c r="M26"/>
  <c r="L26"/>
  <c r="K26"/>
  <c r="J26"/>
  <c r="I26"/>
  <c r="G26"/>
  <c r="O19"/>
  <c r="D99" i="4"/>
  <c r="C14" i="5"/>
  <c r="E52" i="4"/>
  <c r="F52"/>
  <c r="G51"/>
  <c r="F54"/>
  <c r="G53"/>
  <c r="G65"/>
  <c r="D100"/>
  <c r="C15" i="5"/>
  <c r="G55" i="4"/>
  <c r="F62"/>
  <c r="F63"/>
  <c r="F64"/>
  <c r="G61"/>
  <c r="G66"/>
  <c r="D101"/>
  <c r="C16" i="5"/>
  <c r="M75" i="4"/>
  <c r="M76"/>
  <c r="M77"/>
  <c r="M78"/>
  <c r="M79"/>
  <c r="M80"/>
  <c r="M81"/>
  <c r="M83"/>
  <c r="D102"/>
  <c r="B17" i="5"/>
  <c r="C17"/>
  <c r="C22"/>
  <c r="C23"/>
  <c r="M88" i="4"/>
  <c r="M89"/>
  <c r="M90"/>
  <c r="M91"/>
  <c r="M92"/>
  <c r="M93"/>
  <c r="M95"/>
  <c r="C20" i="5"/>
  <c r="C12"/>
  <c r="C10"/>
  <c r="C9"/>
  <c r="F120" i="4"/>
  <c r="F119"/>
  <c r="F118"/>
  <c r="E18"/>
  <c r="F18"/>
  <c r="G18"/>
  <c r="H16"/>
  <c r="H18"/>
  <c r="I18"/>
  <c r="J18"/>
  <c r="K18"/>
  <c r="L18"/>
  <c r="M18"/>
  <c r="N18"/>
  <c r="O18"/>
  <c r="P18"/>
  <c r="F19"/>
  <c r="G19"/>
  <c r="H19"/>
  <c r="I19"/>
  <c r="J19"/>
  <c r="K19"/>
  <c r="L19"/>
  <c r="M19"/>
  <c r="P19"/>
  <c r="P20"/>
  <c r="P22"/>
  <c r="H27"/>
  <c r="G28"/>
  <c r="H28"/>
  <c r="I28"/>
  <c r="J28"/>
  <c r="K28"/>
  <c r="L28"/>
  <c r="M28"/>
  <c r="O28"/>
  <c r="P28"/>
  <c r="G29"/>
  <c r="H29"/>
  <c r="I29"/>
  <c r="J29"/>
  <c r="K29"/>
  <c r="L29"/>
  <c r="M29"/>
  <c r="O29"/>
  <c r="P29"/>
  <c r="G30"/>
  <c r="H30"/>
  <c r="I30"/>
  <c r="J30"/>
  <c r="K30"/>
  <c r="L30"/>
  <c r="M30"/>
  <c r="O30"/>
  <c r="P30"/>
  <c r="P33"/>
  <c r="C118"/>
  <c r="F117"/>
  <c r="G21"/>
  <c r="H21"/>
  <c r="I21"/>
  <c r="J21"/>
  <c r="K21"/>
  <c r="L21"/>
  <c r="M21"/>
  <c r="N21"/>
  <c r="R18"/>
  <c r="G22"/>
  <c r="H22"/>
  <c r="I22"/>
  <c r="J22"/>
  <c r="K22"/>
  <c r="L22"/>
  <c r="M22"/>
  <c r="N19"/>
  <c r="N22"/>
  <c r="R19"/>
  <c r="R21"/>
  <c r="D117"/>
  <c r="P21"/>
  <c r="C117"/>
  <c r="J116"/>
  <c r="P32"/>
  <c r="J39"/>
  <c r="D45"/>
  <c r="G116"/>
  <c r="F116"/>
  <c r="G34"/>
  <c r="H34"/>
  <c r="I34"/>
  <c r="J34"/>
  <c r="K34"/>
  <c r="L34"/>
  <c r="M34"/>
  <c r="N34"/>
  <c r="R30"/>
  <c r="D116"/>
  <c r="C116"/>
  <c r="J115"/>
  <c r="F115"/>
  <c r="H115"/>
  <c r="J45"/>
  <c r="G115"/>
  <c r="G32"/>
  <c r="H32"/>
  <c r="I32"/>
  <c r="J32"/>
  <c r="K32"/>
  <c r="L32"/>
  <c r="M32"/>
  <c r="N32"/>
  <c r="R28"/>
  <c r="G33"/>
  <c r="H33"/>
  <c r="I33"/>
  <c r="J33"/>
  <c r="K33"/>
  <c r="L33"/>
  <c r="M33"/>
  <c r="N33"/>
  <c r="R29"/>
  <c r="R31"/>
  <c r="R33"/>
  <c r="D115"/>
  <c r="C115"/>
  <c r="D105"/>
  <c r="C105"/>
  <c r="L94"/>
  <c r="L95"/>
  <c r="K94"/>
  <c r="J94"/>
  <c r="I94"/>
  <c r="H94"/>
  <c r="G94"/>
  <c r="F94"/>
  <c r="E94"/>
  <c r="D94"/>
  <c r="C94"/>
  <c r="L73"/>
  <c r="L87"/>
  <c r="K73"/>
  <c r="K87"/>
  <c r="J73"/>
  <c r="J87"/>
  <c r="D73"/>
  <c r="D87"/>
  <c r="C73"/>
  <c r="C87"/>
  <c r="M86"/>
  <c r="L72"/>
  <c r="L86"/>
  <c r="K72"/>
  <c r="K86"/>
  <c r="J86"/>
  <c r="I86"/>
  <c r="H72"/>
  <c r="H86"/>
  <c r="G72"/>
  <c r="G86"/>
  <c r="F72"/>
  <c r="F86"/>
  <c r="E72"/>
  <c r="E86"/>
  <c r="D72"/>
  <c r="D86"/>
  <c r="C72"/>
  <c r="C86"/>
  <c r="L85"/>
  <c r="K85"/>
  <c r="J85"/>
  <c r="I85"/>
  <c r="H85"/>
  <c r="G85"/>
  <c r="F85"/>
  <c r="E85"/>
  <c r="D85"/>
  <c r="C85"/>
  <c r="Z75"/>
  <c r="Z76"/>
  <c r="Z77"/>
  <c r="Z78"/>
  <c r="Z79"/>
  <c r="Z80"/>
  <c r="Z81"/>
  <c r="Z83"/>
  <c r="Y83"/>
  <c r="L83"/>
  <c r="Y82"/>
  <c r="X82"/>
  <c r="W82"/>
  <c r="V82"/>
  <c r="U82"/>
  <c r="T82"/>
  <c r="S82"/>
  <c r="R82"/>
  <c r="Q82"/>
  <c r="P82"/>
  <c r="L82"/>
  <c r="K82"/>
  <c r="J82"/>
  <c r="I82"/>
  <c r="H82"/>
  <c r="G82"/>
  <c r="F82"/>
  <c r="E82"/>
  <c r="D82"/>
  <c r="C82"/>
  <c r="Y73"/>
  <c r="X73"/>
  <c r="W73"/>
  <c r="Q73"/>
  <c r="P73"/>
  <c r="Y72"/>
  <c r="X72"/>
  <c r="W72"/>
  <c r="U72"/>
  <c r="T72"/>
  <c r="S72"/>
  <c r="R72"/>
  <c r="Q72"/>
  <c r="P72"/>
  <c r="L44"/>
  <c r="K44"/>
  <c r="L43"/>
  <c r="J42"/>
  <c r="J43"/>
  <c r="K43"/>
  <c r="L41"/>
  <c r="J40"/>
  <c r="J41"/>
  <c r="K41"/>
  <c r="R36"/>
  <c r="O26"/>
  <c r="N26"/>
  <c r="M26"/>
  <c r="L26"/>
  <c r="O19"/>
  <c r="C14" i="3"/>
  <c r="C15"/>
  <c r="C16"/>
  <c r="B17"/>
  <c r="C17"/>
  <c r="C22"/>
  <c r="C23"/>
  <c r="C20"/>
  <c r="C12"/>
  <c r="C11"/>
  <c r="C10"/>
  <c r="C9"/>
  <c r="D104" i="1"/>
  <c r="C14" i="2"/>
  <c r="E51" i="1"/>
  <c r="F51"/>
  <c r="G50"/>
  <c r="F53"/>
  <c r="G52"/>
  <c r="G64"/>
  <c r="D105"/>
  <c r="C15" i="2"/>
  <c r="G54" i="1"/>
  <c r="C61"/>
  <c r="F61"/>
  <c r="F62"/>
  <c r="F63"/>
  <c r="G60"/>
  <c r="G65"/>
  <c r="D106"/>
  <c r="C16" i="2"/>
  <c r="M74" i="1"/>
  <c r="M75"/>
  <c r="M76"/>
  <c r="M77"/>
  <c r="M78"/>
  <c r="M79"/>
  <c r="M80"/>
  <c r="M81"/>
  <c r="M83"/>
  <c r="B17" i="2"/>
  <c r="C17"/>
  <c r="C22"/>
  <c r="C23"/>
  <c r="M88" i="1"/>
  <c r="M89"/>
  <c r="M90"/>
  <c r="M91"/>
  <c r="M92"/>
  <c r="M93"/>
  <c r="M94"/>
  <c r="L95"/>
  <c r="M95"/>
  <c r="M97"/>
  <c r="C20" i="2"/>
  <c r="C12"/>
  <c r="C11"/>
  <c r="C9"/>
  <c r="F120" i="1"/>
  <c r="F119"/>
  <c r="F118"/>
  <c r="D17"/>
  <c r="E17"/>
  <c r="G15"/>
  <c r="G17"/>
  <c r="H15"/>
  <c r="H17"/>
  <c r="I17"/>
  <c r="J17"/>
  <c r="K17"/>
  <c r="L17"/>
  <c r="M17"/>
  <c r="N17"/>
  <c r="O17"/>
  <c r="P17"/>
  <c r="E18"/>
  <c r="G18"/>
  <c r="H18"/>
  <c r="I18"/>
  <c r="J18"/>
  <c r="K18"/>
  <c r="L18"/>
  <c r="M18"/>
  <c r="P18"/>
  <c r="P19"/>
  <c r="P21"/>
  <c r="G27"/>
  <c r="H27"/>
  <c r="I27"/>
  <c r="J27"/>
  <c r="K27"/>
  <c r="L27"/>
  <c r="M27"/>
  <c r="O27"/>
  <c r="P27"/>
  <c r="G28"/>
  <c r="H28"/>
  <c r="I28"/>
  <c r="J28"/>
  <c r="K28"/>
  <c r="L28"/>
  <c r="M28"/>
  <c r="O28"/>
  <c r="P28"/>
  <c r="G29"/>
  <c r="H29"/>
  <c r="I29"/>
  <c r="J29"/>
  <c r="K29"/>
  <c r="L29"/>
  <c r="M29"/>
  <c r="O29"/>
  <c r="P29"/>
  <c r="P32"/>
  <c r="C118"/>
  <c r="F117"/>
  <c r="G20"/>
  <c r="H20"/>
  <c r="I20"/>
  <c r="J20"/>
  <c r="K20"/>
  <c r="L20"/>
  <c r="M20"/>
  <c r="N20"/>
  <c r="R17"/>
  <c r="G21"/>
  <c r="H21"/>
  <c r="I21"/>
  <c r="J21"/>
  <c r="K21"/>
  <c r="L21"/>
  <c r="M21"/>
  <c r="N18"/>
  <c r="N21"/>
  <c r="R18"/>
  <c r="R20"/>
  <c r="D117"/>
  <c r="P20"/>
  <c r="C117"/>
  <c r="J116"/>
  <c r="P31"/>
  <c r="J38"/>
  <c r="D44"/>
  <c r="G116"/>
  <c r="F116"/>
  <c r="G34"/>
  <c r="H34"/>
  <c r="I34"/>
  <c r="J34"/>
  <c r="K34"/>
  <c r="L34"/>
  <c r="M34"/>
  <c r="N34"/>
  <c r="R30"/>
  <c r="D116"/>
  <c r="C116"/>
  <c r="J115"/>
  <c r="F115"/>
  <c r="H115"/>
  <c r="J44"/>
  <c r="G115"/>
  <c r="G31"/>
  <c r="H31"/>
  <c r="I31"/>
  <c r="J31"/>
  <c r="K31"/>
  <c r="L31"/>
  <c r="M31"/>
  <c r="N31"/>
  <c r="R27"/>
  <c r="G32"/>
  <c r="H32"/>
  <c r="I32"/>
  <c r="J32"/>
  <c r="K32"/>
  <c r="L32"/>
  <c r="M32"/>
  <c r="N32"/>
  <c r="R28"/>
  <c r="G33"/>
  <c r="H33"/>
  <c r="I33"/>
  <c r="J33"/>
  <c r="K33"/>
  <c r="L33"/>
  <c r="M33"/>
  <c r="N33"/>
  <c r="R29"/>
  <c r="R32"/>
  <c r="D115"/>
  <c r="C115"/>
  <c r="D110"/>
  <c r="C110"/>
  <c r="L96"/>
  <c r="L97"/>
  <c r="D107"/>
  <c r="K96"/>
  <c r="J96"/>
  <c r="I96"/>
  <c r="H96"/>
  <c r="G96"/>
  <c r="F96"/>
  <c r="E96"/>
  <c r="D96"/>
  <c r="C96"/>
  <c r="L72"/>
  <c r="L87"/>
  <c r="K72"/>
  <c r="K87"/>
  <c r="J72"/>
  <c r="J87"/>
  <c r="I72"/>
  <c r="I87"/>
  <c r="H72"/>
  <c r="H87"/>
  <c r="G72"/>
  <c r="G87"/>
  <c r="F72"/>
  <c r="F87"/>
  <c r="E72"/>
  <c r="E87"/>
  <c r="D72"/>
  <c r="D87"/>
  <c r="C72"/>
  <c r="C87"/>
  <c r="M86"/>
  <c r="L71"/>
  <c r="L86"/>
  <c r="K71"/>
  <c r="K86"/>
  <c r="J71"/>
  <c r="J86"/>
  <c r="I71"/>
  <c r="I86"/>
  <c r="H71"/>
  <c r="H86"/>
  <c r="G71"/>
  <c r="G86"/>
  <c r="F71"/>
  <c r="F86"/>
  <c r="E71"/>
  <c r="E86"/>
  <c r="D71"/>
  <c r="D86"/>
  <c r="C71"/>
  <c r="C86"/>
  <c r="L85"/>
  <c r="K85"/>
  <c r="J85"/>
  <c r="I85"/>
  <c r="H85"/>
  <c r="G85"/>
  <c r="F85"/>
  <c r="E85"/>
  <c r="D85"/>
  <c r="C85"/>
  <c r="L83"/>
  <c r="L82"/>
  <c r="K82"/>
  <c r="J82"/>
  <c r="I82"/>
  <c r="H82"/>
  <c r="G82"/>
  <c r="F82"/>
  <c r="E82"/>
  <c r="D82"/>
  <c r="C82"/>
  <c r="L43"/>
  <c r="K43"/>
  <c r="L42"/>
  <c r="J41"/>
  <c r="J42"/>
  <c r="K42"/>
  <c r="L40"/>
  <c r="J39"/>
  <c r="J40"/>
  <c r="K40"/>
  <c r="R35"/>
  <c r="P33"/>
  <c r="O25"/>
  <c r="N25"/>
  <c r="M25"/>
  <c r="L25"/>
  <c r="K25"/>
  <c r="J25"/>
  <c r="I25"/>
  <c r="H25"/>
  <c r="G25"/>
  <c r="P22"/>
  <c r="O18"/>
</calcChain>
</file>

<file path=xl/comments1.xml><?xml version="1.0" encoding="utf-8"?>
<comments xmlns="http://schemas.openxmlformats.org/spreadsheetml/2006/main">
  <authors>
    <author>Joachim Gatti</author>
  </authors>
  <commentList>
    <comment ref="D15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19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comments2.xml><?xml version="1.0" encoding="utf-8"?>
<comments xmlns="http://schemas.openxmlformats.org/spreadsheetml/2006/main">
  <authors>
    <author>Joachim Gatti</author>
  </authors>
  <commentList>
    <comment ref="D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E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20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comments3.xml><?xml version="1.0" encoding="utf-8"?>
<comments xmlns="http://schemas.openxmlformats.org/spreadsheetml/2006/main">
  <authors>
    <author>Joachim Gatti</author>
  </authors>
  <commentList>
    <comment ref="D16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Véro : 150€ RG 
+ 90 ch/ch décor + 90 ch/dec pr renfort
</t>
        </r>
      </text>
    </comment>
    <comment ref="D20" authorId="0">
      <text>
        <r>
          <rPr>
            <b/>
            <sz val="9"/>
            <color indexed="81"/>
            <rFont val="Calibri"/>
            <family val="2"/>
          </rPr>
          <t>Joachim Gatti:</t>
        </r>
        <r>
          <rPr>
            <sz val="9"/>
            <color indexed="81"/>
            <rFont val="Calibri"/>
            <family val="2"/>
          </rPr>
          <t xml:space="preserve">
2*90 x 1 ch/dech decor
</t>
        </r>
      </text>
    </comment>
  </commentList>
</comments>
</file>

<file path=xl/sharedStrings.xml><?xml version="1.0" encoding="utf-8"?>
<sst xmlns="http://schemas.openxmlformats.org/spreadsheetml/2006/main" count="793" uniqueCount="223">
  <si>
    <t>1)</t>
  </si>
  <si>
    <t>COUT PLATEAU</t>
  </si>
  <si>
    <t xml:space="preserve">SPECTACLE </t>
  </si>
  <si>
    <t>LIEU</t>
  </si>
  <si>
    <t>PERIODE</t>
  </si>
  <si>
    <t>ANNEE</t>
  </si>
  <si>
    <t>B</t>
  </si>
  <si>
    <t xml:space="preserve">NB REP </t>
  </si>
  <si>
    <t>Dont SCO</t>
  </si>
  <si>
    <t>Dont TP</t>
  </si>
  <si>
    <t>J-X-voyage</t>
  </si>
  <si>
    <t>J-X- SI SERVICE</t>
  </si>
  <si>
    <t>J-1</t>
  </si>
  <si>
    <t>J</t>
  </si>
  <si>
    <t>J+1</t>
  </si>
  <si>
    <t>J+2</t>
  </si>
  <si>
    <t>J+3</t>
  </si>
  <si>
    <t>J+4</t>
  </si>
  <si>
    <t>J+5</t>
  </si>
  <si>
    <t>J+6</t>
  </si>
  <si>
    <t>J+7</t>
  </si>
  <si>
    <t xml:space="preserve">DATES </t>
  </si>
  <si>
    <t>mar 10/04</t>
  </si>
  <si>
    <t xml:space="preserve"> mer 11/04/2018</t>
  </si>
  <si>
    <t xml:space="preserve"> jeu 12/04/2018</t>
  </si>
  <si>
    <t xml:space="preserve"> vend 13/04/2018</t>
  </si>
  <si>
    <t xml:space="preserve"> sam 14/04/2018</t>
  </si>
  <si>
    <t>MONTAGE</t>
  </si>
  <si>
    <t>TEK</t>
  </si>
  <si>
    <t>RG /CH-DH DECOR</t>
  </si>
  <si>
    <t>VOYAGE (nb h)</t>
  </si>
  <si>
    <t>1SERVICE</t>
  </si>
  <si>
    <t>Total brut/pers</t>
  </si>
  <si>
    <t>1REP</t>
  </si>
  <si>
    <t xml:space="preserve">NB H </t>
  </si>
  <si>
    <t>2REP</t>
  </si>
  <si>
    <t xml:space="preserve">BRIDIER </t>
  </si>
  <si>
    <t>2REP+DEMONTAGE</t>
  </si>
  <si>
    <t>GAILLARD</t>
  </si>
  <si>
    <t>1REP+DEMONTAGE</t>
  </si>
  <si>
    <t xml:space="preserve">CHARGEMENT </t>
  </si>
  <si>
    <t>BRUT TECHNIK</t>
  </si>
  <si>
    <t xml:space="preserve">CHARGES P </t>
  </si>
  <si>
    <t>RACCORD</t>
  </si>
  <si>
    <t xml:space="preserve">ARTISTES </t>
  </si>
  <si>
    <t>raccord</t>
  </si>
  <si>
    <t>RACCORD+1REP</t>
  </si>
  <si>
    <t>CASSIGNARD</t>
  </si>
  <si>
    <t>RACCORD+2REP</t>
  </si>
  <si>
    <t>CARDIN</t>
  </si>
  <si>
    <t>HEURTEBISE</t>
  </si>
  <si>
    <t xml:space="preserve">TT BRUT ART </t>
  </si>
  <si>
    <t>CHARGES P</t>
  </si>
  <si>
    <t>SYNTHESE</t>
  </si>
  <si>
    <t xml:space="preserve">COUT PLATEAU </t>
  </si>
  <si>
    <t xml:space="preserve">PRIX PAR REP </t>
  </si>
  <si>
    <t>MARGE 0,4</t>
  </si>
  <si>
    <t xml:space="preserve">annoncé à Jane : 750€ marge Cie sur 2 rep donc à enlever si cout plateau </t>
  </si>
  <si>
    <t>PRIX MARGE - 0,4</t>
  </si>
  <si>
    <t>MARGE 0,3</t>
  </si>
  <si>
    <t>PRIX MARGE - 0,3</t>
  </si>
  <si>
    <t>PROPOSITON</t>
  </si>
  <si>
    <t>MARGE REEL</t>
  </si>
  <si>
    <t>2)</t>
  </si>
  <si>
    <t>TRANSPORTS</t>
  </si>
  <si>
    <t xml:space="preserve">TOTAUX </t>
  </si>
  <si>
    <t>LOCATION CAMIONS</t>
  </si>
  <si>
    <t>TARIF/J</t>
  </si>
  <si>
    <t>JOURS</t>
  </si>
  <si>
    <t>TOTAL</t>
  </si>
  <si>
    <t xml:space="preserve">MARGE TVA </t>
  </si>
  <si>
    <t>CAMION 2</t>
  </si>
  <si>
    <t>ESSENCE/PEAGE</t>
  </si>
  <si>
    <t>KM</t>
  </si>
  <si>
    <t>€ IK</t>
  </si>
  <si>
    <t>PEAGE</t>
  </si>
  <si>
    <t>CAMION 1</t>
  </si>
  <si>
    <t>SNCF</t>
  </si>
  <si>
    <t>TRAJET 1</t>
  </si>
  <si>
    <t>TRAJET 2</t>
  </si>
  <si>
    <t>TRAJET 3</t>
  </si>
  <si>
    <t>TRAJET 4</t>
  </si>
  <si>
    <t>BX TERRASSON</t>
  </si>
  <si>
    <t xml:space="preserve">PRID DIFF </t>
  </si>
  <si>
    <t>IK</t>
  </si>
  <si>
    <t>TRANSORTS DECOR</t>
  </si>
  <si>
    <t xml:space="preserve">TRANSPORT EQUIPE </t>
  </si>
  <si>
    <t>3)</t>
  </si>
  <si>
    <t xml:space="preserve"> REPAS / NUITEES</t>
  </si>
  <si>
    <t>REPAS</t>
  </si>
  <si>
    <t>TOTAL PERS</t>
  </si>
  <si>
    <t>J-X-2</t>
  </si>
  <si>
    <t>DATES</t>
  </si>
  <si>
    <t>TOTAL JOUR</t>
  </si>
  <si>
    <t>def CONV COLL</t>
  </si>
  <si>
    <t>NUITÉES</t>
  </si>
  <si>
    <t>Cession</t>
  </si>
  <si>
    <t>Transports décors</t>
  </si>
  <si>
    <t>transport équipe</t>
  </si>
  <si>
    <t>Défraiements repas</t>
  </si>
  <si>
    <t xml:space="preserve">Défraiements repas - Prise en charge directe </t>
  </si>
  <si>
    <t>chambres singles</t>
  </si>
  <si>
    <t xml:space="preserve">MASSE SALARIALE </t>
  </si>
  <si>
    <t xml:space="preserve">PRODUITS </t>
  </si>
  <si>
    <t xml:space="preserve">MARGE </t>
  </si>
  <si>
    <t>TVA</t>
  </si>
  <si>
    <t>REP</t>
  </si>
  <si>
    <t>A</t>
  </si>
  <si>
    <t xml:space="preserve">ARTISTE </t>
  </si>
  <si>
    <t>CESSION</t>
  </si>
  <si>
    <t xml:space="preserve">SCOLAIRE </t>
  </si>
  <si>
    <t xml:space="preserve">dont MES </t>
  </si>
  <si>
    <t>ACTIVITE ANNEXES</t>
  </si>
  <si>
    <t>TT PUBLIC</t>
  </si>
  <si>
    <t xml:space="preserve">TEK </t>
  </si>
  <si>
    <t xml:space="preserve">dont T.Décor </t>
  </si>
  <si>
    <t xml:space="preserve">dont T.équipe </t>
  </si>
  <si>
    <t>dont Hébgmt</t>
  </si>
  <si>
    <t xml:space="preserve">dont repas </t>
  </si>
  <si>
    <t>Direction  BETTY HEURTEBISE</t>
  </si>
  <si>
    <t xml:space="preserve">BORDEAUX, le </t>
  </si>
  <si>
    <t xml:space="preserve">DEVIS - CESSION </t>
  </si>
  <si>
    <t>THEATRE</t>
  </si>
  <si>
    <t xml:space="preserve">NOMBRE DE REPRESENTATIONS </t>
  </si>
  <si>
    <t>HT</t>
  </si>
  <si>
    <t>TOTAL HT  (hors nuitées)</t>
  </si>
  <si>
    <t>TOTAL TTC (hors nuitées) - TVA 5,5%</t>
  </si>
  <si>
    <t>TTC</t>
  </si>
  <si>
    <t>Equipe composée de :</t>
  </si>
  <si>
    <t>2 techniciens (lumières/vidéo, son, plateau)</t>
  </si>
  <si>
    <t>2 comédiens</t>
  </si>
  <si>
    <t>1 metteur en scène</t>
  </si>
  <si>
    <t xml:space="preserve">1 chargé(e) de production / diffusion  </t>
  </si>
  <si>
    <t>Arrivées :</t>
  </si>
  <si>
    <t>Techniciens et décors</t>
  </si>
  <si>
    <t>J-2 soir</t>
  </si>
  <si>
    <t>Comédiens et metteur en scène</t>
  </si>
  <si>
    <t>J-1 soir</t>
  </si>
  <si>
    <t xml:space="preserve">Chargé(e) de production / diffusion  </t>
  </si>
  <si>
    <t xml:space="preserve">J </t>
  </si>
  <si>
    <t xml:space="preserve"> Frais annexes calculés sur la base de la Convention collective nationale des entreprises artisitiques et culturelles.</t>
  </si>
  <si>
    <t xml:space="preserve">Devis établi selon le calendrier suiviant : </t>
  </si>
  <si>
    <t xml:space="preserve">Montage + Raccords </t>
  </si>
  <si>
    <t>1 solaire le matin + 1 scolaire l'après-midi</t>
  </si>
  <si>
    <t>Contact diffusion</t>
  </si>
  <si>
    <t xml:space="preserve">CELINE VAUCENAT </t>
  </si>
  <si>
    <t>celine.vaucenat@lapetitefabrique.org</t>
  </si>
  <si>
    <t xml:space="preserve">tel :  06 31 43 85 56 </t>
  </si>
  <si>
    <t>3 techniciens (lumières/vidéo, son, plateau)</t>
  </si>
  <si>
    <t xml:space="preserve">Montage </t>
  </si>
  <si>
    <t>1 scolaire + 1 TP</t>
  </si>
  <si>
    <t xml:space="preserve">2 scolaires </t>
  </si>
  <si>
    <t>annee</t>
  </si>
  <si>
    <t>J-3</t>
  </si>
  <si>
    <t>J-2</t>
  </si>
  <si>
    <t>L 26/03/18</t>
  </si>
  <si>
    <t>M 27/03/18</t>
  </si>
  <si>
    <t>M 28/03/18</t>
  </si>
  <si>
    <t>J 29/03/18</t>
  </si>
  <si>
    <t>V 30/03/18</t>
  </si>
  <si>
    <t>JOUR</t>
  </si>
  <si>
    <t>1REP+DÉMONTAGE</t>
  </si>
  <si>
    <t>2REP+DÉMONTAGE</t>
  </si>
  <si>
    <t>HEURTE</t>
  </si>
  <si>
    <t>BXPOITIERS</t>
  </si>
  <si>
    <t>REPAS DEFRAIEMENTS</t>
  </si>
  <si>
    <t>REPAS EN DIRECT</t>
  </si>
  <si>
    <t>J-2-voyage</t>
  </si>
  <si>
    <t>1REP+DEMONT</t>
  </si>
  <si>
    <t>M 27/03/18-14h</t>
  </si>
  <si>
    <t>M 28/03/18 scoTP</t>
  </si>
  <si>
    <t>J 29/03/18-2sco</t>
  </si>
  <si>
    <t>V 30/03/18-10h</t>
  </si>
  <si>
    <t xml:space="preserve">PROD DIFF </t>
  </si>
  <si>
    <t>Du 27 au 30/03/2018</t>
  </si>
  <si>
    <t>50 repas</t>
  </si>
  <si>
    <t xml:space="preserve">Devis établi selon le calendrier suivant : </t>
  </si>
  <si>
    <t>L 26/03/2018</t>
  </si>
  <si>
    <t>Montage (2 serv)</t>
  </si>
  <si>
    <t>M 27/03/2018</t>
  </si>
  <si>
    <t>1 serv mont + 1 rep 14H</t>
  </si>
  <si>
    <t>M 28/03/2018</t>
  </si>
  <si>
    <t>2 rep (1 scol + 1 TP)</t>
  </si>
  <si>
    <t>J 29/03/2018</t>
  </si>
  <si>
    <t>2 rep (2 scol)</t>
  </si>
  <si>
    <t>V 30/03/2018</t>
  </si>
  <si>
    <t>1 rep 10H et démontage</t>
  </si>
  <si>
    <t>CELINE VAUCENAT</t>
  </si>
  <si>
    <t>tel :  06 12 17 07 65</t>
  </si>
  <si>
    <t>VOYAGE J-2</t>
  </si>
  <si>
    <t>lundi</t>
  </si>
  <si>
    <t>mardi</t>
  </si>
  <si>
    <t>mercredi</t>
  </si>
  <si>
    <t>jeudi</t>
  </si>
  <si>
    <t>vendredi</t>
  </si>
  <si>
    <t>RG + CH</t>
  </si>
  <si>
    <t>2rep</t>
  </si>
  <si>
    <t>1rep</t>
  </si>
  <si>
    <t>3 REP : 5800</t>
  </si>
  <si>
    <t>4 REP : 6300</t>
  </si>
  <si>
    <t xml:space="preserve">1 scolaires </t>
  </si>
  <si>
    <t>xxxx</t>
  </si>
  <si>
    <t>xxx</t>
  </si>
  <si>
    <t>x</t>
  </si>
  <si>
    <t>xx</t>
  </si>
  <si>
    <t>X</t>
  </si>
  <si>
    <t>XX</t>
  </si>
  <si>
    <t>année</t>
  </si>
  <si>
    <t xml:space="preserve"> REP </t>
  </si>
  <si>
    <t xml:space="preserve"> -    €</t>
  </si>
  <si>
    <t xml:space="preserve"> CESSION </t>
  </si>
  <si>
    <t>SCO</t>
  </si>
  <si>
    <t xml:space="preserve"> ++ </t>
  </si>
  <si>
    <t>TP</t>
  </si>
  <si>
    <t>TT</t>
  </si>
  <si>
    <t>TAB 2R</t>
  </si>
  <si>
    <t>TAB SN</t>
  </si>
  <si>
    <t>TABXX</t>
  </si>
  <si>
    <t>choix de l'année</t>
  </si>
  <si>
    <t>moyenne</t>
  </si>
  <si>
    <t xml:space="preserve">j'ai fait pour sommer les C115  ; la moyenne est cette somme divisée par le nb fois l'année selon choix </t>
  </si>
  <si>
    <t xml:space="preserve">tu choisis </t>
  </si>
  <si>
    <t xml:space="preserve">pas touche </t>
  </si>
</sst>
</file>

<file path=xl/styles.xml><?xml version="1.0" encoding="utf-8"?>
<styleSheet xmlns="http://schemas.openxmlformats.org/spreadsheetml/2006/main">
  <numFmts count="5">
    <numFmt numFmtId="164" formatCode="_ * #,##0.00_)\ &quot;€&quot;_ ;_ * \(#,##0.00\)\ &quot;€&quot;_ ;_ * &quot;-&quot;??_)\ &quot;€&quot;_ ;_ @_ "/>
    <numFmt numFmtId="165" formatCode="_ * #,##0_)\ &quot;€&quot;_ ;_ * \(#,##0\)\ &quot;€&quot;_ ;_ * &quot;-&quot;??_)\ &quot;€&quot;_ ;_ @_ "/>
    <numFmt numFmtId="166" formatCode="#,##0\ &quot;€&quot;"/>
    <numFmt numFmtId="167" formatCode="#,##0.00\ &quot;€&quot;"/>
    <numFmt numFmtId="168" formatCode="#,##0&quot;€&quot;"/>
  </numFmts>
  <fonts count="4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venir Book"/>
    </font>
    <font>
      <b/>
      <sz val="10"/>
      <color theme="1"/>
      <name val="Avenir Book"/>
    </font>
    <font>
      <sz val="12"/>
      <color theme="1"/>
      <name val="Avenir Book"/>
    </font>
    <font>
      <sz val="10"/>
      <color rgb="FFFF6600"/>
      <name val="Avenir Book"/>
    </font>
    <font>
      <b/>
      <sz val="16"/>
      <color rgb="FFFF0000"/>
      <name val="Avenir Book"/>
    </font>
    <font>
      <b/>
      <sz val="12"/>
      <name val="Avenir Book"/>
    </font>
    <font>
      <b/>
      <sz val="10"/>
      <name val="Avenir Book"/>
    </font>
    <font>
      <b/>
      <sz val="8"/>
      <color theme="1"/>
      <name val="Avenir Book"/>
    </font>
    <font>
      <b/>
      <sz val="8"/>
      <name val="Avenir Book"/>
    </font>
    <font>
      <sz val="10"/>
      <color theme="1"/>
      <name val="Avenir Book"/>
    </font>
    <font>
      <b/>
      <i/>
      <sz val="10"/>
      <name val="Avenir Book"/>
    </font>
    <font>
      <b/>
      <sz val="9"/>
      <name val="Avenir Book"/>
    </font>
    <font>
      <sz val="10"/>
      <name val="Avenir Book"/>
    </font>
    <font>
      <sz val="6"/>
      <color theme="1"/>
      <name val="Avenir Book"/>
    </font>
    <font>
      <b/>
      <sz val="6"/>
      <name val="Avenir Book"/>
    </font>
    <font>
      <i/>
      <sz val="12"/>
      <color theme="1"/>
      <name val="Avenir Book"/>
    </font>
    <font>
      <i/>
      <sz val="10"/>
      <color theme="1"/>
      <name val="Avenir Book"/>
    </font>
    <font>
      <b/>
      <sz val="14"/>
      <name val="Avenir Book"/>
    </font>
    <font>
      <sz val="14"/>
      <name val="Avenir Book"/>
    </font>
    <font>
      <b/>
      <sz val="13"/>
      <color rgb="FFFF0000"/>
      <name val="Avenir Book"/>
    </font>
    <font>
      <b/>
      <sz val="12"/>
      <color theme="1"/>
      <name val="Avenir Book"/>
    </font>
    <font>
      <b/>
      <sz val="10"/>
      <color rgb="FFFF0000"/>
      <name val="Avenir Book"/>
    </font>
    <font>
      <b/>
      <sz val="12"/>
      <color rgb="FFFF0000"/>
      <name val="Avenir Book"/>
    </font>
    <font>
      <sz val="12"/>
      <color rgb="FFFF0000"/>
      <name val="Avenir Book"/>
    </font>
    <font>
      <sz val="12"/>
      <name val="Avenir Book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  <font>
      <sz val="11"/>
      <name val="Avenir Book"/>
    </font>
    <font>
      <b/>
      <sz val="11"/>
      <name val="Avenir Book"/>
    </font>
    <font>
      <b/>
      <i/>
      <sz val="12"/>
      <name val="Avenir Book"/>
    </font>
    <font>
      <b/>
      <i/>
      <sz val="12"/>
      <color theme="1"/>
      <name val="Avenir Book"/>
    </font>
    <font>
      <i/>
      <sz val="12"/>
      <color indexed="63"/>
      <name val="Avenir Book"/>
    </font>
    <font>
      <sz val="12"/>
      <color theme="0"/>
      <name val="Avenir Book"/>
    </font>
    <font>
      <u/>
      <sz val="12"/>
      <color theme="10"/>
      <name val="Calibri"/>
      <family val="2"/>
      <scheme val="minor"/>
    </font>
    <font>
      <sz val="10"/>
      <color rgb="FF000000"/>
      <name val="Avenir Book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8" fillId="0" borderId="0" applyNumberFormat="0" applyFill="0" applyBorder="0" applyAlignment="0" applyProtection="0"/>
  </cellStyleXfs>
  <cellXfs count="327">
    <xf numFmtId="0" fontId="0" fillId="0" borderId="0" xfId="0"/>
    <xf numFmtId="164" fontId="3" fillId="0" borderId="0" xfId="1" applyNumberFormat="1" applyFont="1" applyProtection="1">
      <protection locked="0"/>
    </xf>
    <xf numFmtId="164" fontId="4" fillId="0" borderId="0" xfId="1" applyNumberFormat="1" applyFont="1" applyAlignment="1" applyProtection="1">
      <alignment horizontal="left"/>
      <protection locked="0"/>
    </xf>
    <xf numFmtId="164" fontId="5" fillId="0" borderId="0" xfId="1" applyNumberFormat="1" applyFont="1" applyProtection="1">
      <protection locked="0"/>
    </xf>
    <xf numFmtId="165" fontId="5" fillId="0" borderId="0" xfId="1" applyNumberFormat="1" applyFont="1" applyProtection="1">
      <protection locked="0"/>
    </xf>
    <xf numFmtId="1" fontId="5" fillId="0" borderId="0" xfId="1" applyNumberFormat="1" applyFont="1" applyProtection="1">
      <protection locked="0"/>
    </xf>
    <xf numFmtId="164" fontId="6" fillId="2" borderId="1" xfId="1" applyNumberFormat="1" applyFont="1" applyFill="1" applyBorder="1" applyProtection="1">
      <protection locked="0"/>
    </xf>
    <xf numFmtId="164" fontId="4" fillId="0" borderId="4" xfId="1" applyNumberFormat="1" applyFont="1" applyBorder="1" applyProtection="1">
      <protection locked="0"/>
    </xf>
    <xf numFmtId="164" fontId="8" fillId="0" borderId="5" xfId="1" applyNumberFormat="1" applyFont="1" applyBorder="1" applyAlignment="1" applyProtection="1">
      <protection locked="0"/>
    </xf>
    <xf numFmtId="164" fontId="8" fillId="0" borderId="6" xfId="1" applyNumberFormat="1" applyFont="1" applyBorder="1" applyAlignment="1" applyProtection="1">
      <protection locked="0"/>
    </xf>
    <xf numFmtId="164" fontId="9" fillId="0" borderId="4" xfId="1" applyNumberFormat="1" applyFont="1" applyBorder="1" applyAlignment="1" applyProtection="1">
      <protection locked="0"/>
    </xf>
    <xf numFmtId="164" fontId="10" fillId="0" borderId="0" xfId="1" applyNumberFormat="1" applyFont="1" applyAlignment="1" applyProtection="1">
      <alignment horizontal="left"/>
      <protection locked="0"/>
    </xf>
    <xf numFmtId="1" fontId="8" fillId="0" borderId="5" xfId="1" applyNumberFormat="1" applyFont="1" applyBorder="1" applyAlignment="1" applyProtection="1">
      <protection locked="0"/>
    </xf>
    <xf numFmtId="164" fontId="4" fillId="0" borderId="0" xfId="1" applyNumberFormat="1" applyFont="1" applyBorder="1" applyProtection="1">
      <protection locked="0"/>
    </xf>
    <xf numFmtId="1" fontId="8" fillId="0" borderId="0" xfId="1" applyNumberFormat="1" applyFont="1" applyBorder="1" applyAlignment="1" applyProtection="1">
      <protection locked="0"/>
    </xf>
    <xf numFmtId="164" fontId="11" fillId="0" borderId="0" xfId="1" applyNumberFormat="1" applyFont="1" applyAlignment="1" applyProtection="1">
      <alignment horizontal="center"/>
      <protection locked="0"/>
    </xf>
    <xf numFmtId="164" fontId="9" fillId="0" borderId="0" xfId="1" applyNumberFormat="1" applyFont="1" applyAlignment="1" applyProtection="1">
      <alignment horizontal="center"/>
      <protection locked="0"/>
    </xf>
    <xf numFmtId="164" fontId="8" fillId="0" borderId="0" xfId="1" applyNumberFormat="1" applyFont="1" applyAlignment="1" applyProtection="1">
      <alignment horizontal="center"/>
      <protection locked="0"/>
    </xf>
    <xf numFmtId="165" fontId="8" fillId="0" borderId="0" xfId="1" applyNumberFormat="1" applyFont="1" applyAlignment="1" applyProtection="1">
      <alignment horizontal="center"/>
      <protection locked="0"/>
    </xf>
    <xf numFmtId="1" fontId="8" fillId="0" borderId="0" xfId="1" applyNumberFormat="1" applyFont="1" applyAlignment="1" applyProtection="1">
      <alignment horizontal="center"/>
      <protection locked="0"/>
    </xf>
    <xf numFmtId="164" fontId="12" fillId="0" borderId="0" xfId="1" applyNumberFormat="1" applyFont="1" applyProtection="1">
      <protection locked="0"/>
    </xf>
    <xf numFmtId="164" fontId="9" fillId="3" borderId="7" xfId="1" applyNumberFormat="1" applyFont="1" applyFill="1" applyBorder="1" applyProtection="1">
      <protection locked="0"/>
    </xf>
    <xf numFmtId="164" fontId="9" fillId="3" borderId="8" xfId="1" applyNumberFormat="1" applyFont="1" applyFill="1" applyBorder="1" applyProtection="1">
      <protection locked="0"/>
    </xf>
    <xf numFmtId="164" fontId="13" fillId="3" borderId="7" xfId="1" applyNumberFormat="1" applyFont="1" applyFill="1" applyBorder="1" applyProtection="1">
      <protection locked="0"/>
    </xf>
    <xf numFmtId="14" fontId="13" fillId="3" borderId="8" xfId="1" applyNumberFormat="1" applyFont="1" applyFill="1" applyBorder="1" applyProtection="1">
      <protection locked="0"/>
    </xf>
    <xf numFmtId="164" fontId="13" fillId="3" borderId="8" xfId="1" applyNumberFormat="1" applyFont="1" applyFill="1" applyBorder="1" applyProtection="1">
      <protection locked="0"/>
    </xf>
    <xf numFmtId="164" fontId="4" fillId="0" borderId="0" xfId="1" applyNumberFormat="1" applyFont="1" applyProtection="1">
      <protection locked="0"/>
    </xf>
    <xf numFmtId="164" fontId="8" fillId="0" borderId="7" xfId="1" applyNumberFormat="1" applyFont="1" applyBorder="1" applyProtection="1">
      <protection locked="0"/>
    </xf>
    <xf numFmtId="164" fontId="12" fillId="0" borderId="7" xfId="1" applyNumberFormat="1" applyFont="1" applyBorder="1" applyProtection="1">
      <protection locked="0"/>
    </xf>
    <xf numFmtId="164" fontId="12" fillId="0" borderId="8" xfId="1" applyNumberFormat="1" applyFont="1" applyBorder="1" applyProtection="1">
      <protection locked="0"/>
    </xf>
    <xf numFmtId="165" fontId="9" fillId="4" borderId="9" xfId="1" applyNumberFormat="1" applyFont="1" applyFill="1" applyBorder="1" applyProtection="1">
      <protection locked="0"/>
    </xf>
    <xf numFmtId="1" fontId="12" fillId="0" borderId="0" xfId="1" applyNumberFormat="1" applyFont="1" applyProtection="1">
      <protection locked="0"/>
    </xf>
    <xf numFmtId="164" fontId="14" fillId="0" borderId="10" xfId="1" applyNumberFormat="1" applyFont="1" applyBorder="1" applyProtection="1">
      <protection locked="0"/>
    </xf>
    <xf numFmtId="1" fontId="5" fillId="0" borderId="10" xfId="1" applyNumberFormat="1" applyFont="1" applyBorder="1" applyProtection="1">
      <protection locked="0"/>
    </xf>
    <xf numFmtId="164" fontId="5" fillId="0" borderId="10" xfId="1" applyNumberFormat="1" applyFont="1" applyBorder="1" applyProtection="1">
      <protection locked="0"/>
    </xf>
    <xf numFmtId="165" fontId="15" fillId="4" borderId="9" xfId="1" applyNumberFormat="1" applyFont="1" applyFill="1" applyBorder="1" applyProtection="1">
      <protection locked="0"/>
    </xf>
    <xf numFmtId="164" fontId="11" fillId="0" borderId="0" xfId="1" applyNumberFormat="1" applyFont="1" applyAlignment="1" applyProtection="1">
      <alignment horizontal="left"/>
      <protection locked="0"/>
    </xf>
    <xf numFmtId="164" fontId="12" fillId="0" borderId="11" xfId="1" applyNumberFormat="1" applyFont="1" applyBorder="1" applyProtection="1">
      <protection locked="0"/>
    </xf>
    <xf numFmtId="164" fontId="12" fillId="0" borderId="12" xfId="1" applyNumberFormat="1" applyFont="1" applyBorder="1" applyProtection="1"/>
    <xf numFmtId="164" fontId="15" fillId="5" borderId="12" xfId="1" applyNumberFormat="1" applyFont="1" applyFill="1" applyBorder="1" applyProtection="1"/>
    <xf numFmtId="165" fontId="15" fillId="4" borderId="13" xfId="1" applyNumberFormat="1" applyFont="1" applyFill="1" applyBorder="1" applyProtection="1"/>
    <xf numFmtId="164" fontId="12" fillId="0" borderId="14" xfId="1" applyNumberFormat="1" applyFont="1" applyBorder="1" applyProtection="1">
      <protection locked="0"/>
    </xf>
    <xf numFmtId="164" fontId="12" fillId="0" borderId="4" xfId="1" applyNumberFormat="1" applyFont="1" applyBorder="1" applyProtection="1"/>
    <xf numFmtId="164" fontId="15" fillId="5" borderId="4" xfId="1" applyNumberFormat="1" applyFont="1" applyFill="1" applyBorder="1" applyProtection="1"/>
    <xf numFmtId="164" fontId="12" fillId="0" borderId="15" xfId="1" applyNumberFormat="1" applyFont="1" applyBorder="1" applyProtection="1">
      <protection locked="0"/>
    </xf>
    <xf numFmtId="164" fontId="12" fillId="0" borderId="16" xfId="1" applyNumberFormat="1" applyFont="1" applyBorder="1" applyProtection="1"/>
    <xf numFmtId="164" fontId="15" fillId="5" borderId="16" xfId="1" applyNumberFormat="1" applyFont="1" applyFill="1" applyBorder="1" applyProtection="1"/>
    <xf numFmtId="164" fontId="16" fillId="0" borderId="0" xfId="1" applyNumberFormat="1" applyFont="1" applyProtection="1">
      <protection locked="0"/>
    </xf>
    <xf numFmtId="164" fontId="17" fillId="0" borderId="0" xfId="1" applyNumberFormat="1" applyFont="1" applyFill="1" applyBorder="1" applyProtection="1">
      <protection locked="0"/>
    </xf>
    <xf numFmtId="164" fontId="17" fillId="0" borderId="0" xfId="1" applyNumberFormat="1" applyFont="1" applyFill="1" applyBorder="1" applyProtection="1"/>
    <xf numFmtId="2" fontId="16" fillId="0" borderId="0" xfId="1" applyNumberFormat="1" applyFont="1" applyProtection="1">
      <protection locked="0"/>
    </xf>
    <xf numFmtId="164" fontId="18" fillId="0" borderId="17" xfId="1" applyNumberFormat="1" applyFont="1" applyBorder="1" applyAlignment="1" applyProtection="1">
      <alignment wrapText="1"/>
    </xf>
    <xf numFmtId="165" fontId="18" fillId="0" borderId="18" xfId="1" applyNumberFormat="1" applyFont="1" applyBorder="1" applyProtection="1"/>
    <xf numFmtId="164" fontId="18" fillId="0" borderId="19" xfId="1" applyNumberFormat="1" applyFont="1" applyBorder="1" applyAlignment="1" applyProtection="1">
      <alignment wrapText="1"/>
    </xf>
    <xf numFmtId="165" fontId="18" fillId="0" borderId="20" xfId="1" applyNumberFormat="1" applyFont="1" applyBorder="1" applyProtection="1"/>
    <xf numFmtId="1" fontId="16" fillId="0" borderId="0" xfId="1" applyNumberFormat="1" applyFont="1" applyProtection="1">
      <protection locked="0"/>
    </xf>
    <xf numFmtId="164" fontId="9" fillId="0" borderId="0" xfId="1" applyNumberFormat="1" applyFont="1" applyFill="1" applyBorder="1" applyProtection="1">
      <protection locked="0"/>
    </xf>
    <xf numFmtId="164" fontId="9" fillId="3" borderId="21" xfId="1" applyNumberFormat="1" applyFont="1" applyFill="1" applyBorder="1" applyAlignment="1" applyProtection="1">
      <protection locked="0"/>
    </xf>
    <xf numFmtId="164" fontId="9" fillId="3" borderId="22" xfId="1" applyNumberFormat="1" applyFont="1" applyFill="1" applyBorder="1" applyAlignment="1" applyProtection="1">
      <protection locked="0"/>
    </xf>
    <xf numFmtId="164" fontId="9" fillId="3" borderId="23" xfId="1" applyNumberFormat="1" applyFont="1" applyFill="1" applyBorder="1" applyAlignment="1" applyProtection="1">
      <protection locked="0"/>
    </xf>
    <xf numFmtId="164" fontId="9" fillId="3" borderId="24" xfId="1" applyNumberFormat="1" applyFont="1" applyFill="1" applyBorder="1" applyProtection="1">
      <protection locked="0"/>
    </xf>
    <xf numFmtId="164" fontId="13" fillId="3" borderId="1" xfId="1" applyNumberFormat="1" applyFont="1" applyFill="1" applyBorder="1" applyProtection="1">
      <protection locked="0"/>
    </xf>
    <xf numFmtId="164" fontId="9" fillId="3" borderId="25" xfId="1" applyNumberFormat="1" applyFont="1" applyFill="1" applyBorder="1" applyAlignment="1" applyProtection="1">
      <protection locked="0"/>
    </xf>
    <xf numFmtId="164" fontId="9" fillId="3" borderId="0" xfId="1" applyNumberFormat="1" applyFont="1" applyFill="1" applyBorder="1" applyAlignment="1" applyProtection="1">
      <protection locked="0"/>
    </xf>
    <xf numFmtId="164" fontId="9" fillId="3" borderId="9" xfId="1" applyNumberFormat="1" applyFont="1" applyFill="1" applyBorder="1" applyAlignment="1" applyProtection="1">
      <protection locked="0"/>
    </xf>
    <xf numFmtId="14" fontId="13" fillId="3" borderId="3" xfId="1" applyNumberFormat="1" applyFont="1" applyFill="1" applyBorder="1" applyProtection="1">
      <protection locked="0"/>
    </xf>
    <xf numFmtId="164" fontId="10" fillId="6" borderId="0" xfId="1" applyNumberFormat="1" applyFont="1" applyFill="1" applyProtection="1">
      <protection locked="0"/>
    </xf>
    <xf numFmtId="164" fontId="4" fillId="6" borderId="0" xfId="1" applyNumberFormat="1" applyFont="1" applyFill="1" applyProtection="1">
      <protection locked="0"/>
    </xf>
    <xf numFmtId="164" fontId="8" fillId="0" borderId="1" xfId="1" applyNumberFormat="1" applyFont="1" applyBorder="1" applyProtection="1">
      <protection locked="0"/>
    </xf>
    <xf numFmtId="164" fontId="9" fillId="3" borderId="26" xfId="1" applyNumberFormat="1" applyFont="1" applyFill="1" applyBorder="1" applyAlignment="1" applyProtection="1">
      <protection locked="0"/>
    </xf>
    <xf numFmtId="164" fontId="12" fillId="0" borderId="27" xfId="1" applyNumberFormat="1" applyFont="1" applyBorder="1" applyProtection="1">
      <protection locked="0"/>
    </xf>
    <xf numFmtId="164" fontId="12" fillId="0" borderId="28" xfId="1" applyNumberFormat="1" applyFont="1" applyBorder="1" applyProtection="1">
      <protection locked="0"/>
    </xf>
    <xf numFmtId="164" fontId="12" fillId="0" borderId="17" xfId="1" applyNumberFormat="1" applyFont="1" applyBorder="1" applyProtection="1">
      <protection locked="0"/>
    </xf>
    <xf numFmtId="164" fontId="12" fillId="0" borderId="29" xfId="1" applyNumberFormat="1" applyFont="1" applyBorder="1" applyProtection="1"/>
    <xf numFmtId="164" fontId="12" fillId="0" borderId="30" xfId="1" applyNumberFormat="1" applyFont="1" applyBorder="1" applyProtection="1"/>
    <xf numFmtId="165" fontId="15" fillId="4" borderId="31" xfId="1" applyNumberFormat="1" applyFont="1" applyFill="1" applyBorder="1" applyProtection="1"/>
    <xf numFmtId="164" fontId="12" fillId="0" borderId="32" xfId="1" applyNumberFormat="1" applyFont="1" applyBorder="1" applyProtection="1">
      <protection locked="0"/>
    </xf>
    <xf numFmtId="164" fontId="10" fillId="0" borderId="0" xfId="1" applyNumberFormat="1" applyFont="1" applyProtection="1">
      <protection locked="0"/>
    </xf>
    <xf numFmtId="164" fontId="9" fillId="3" borderId="33" xfId="1" applyNumberFormat="1" applyFont="1" applyFill="1" applyBorder="1" applyAlignment="1" applyProtection="1">
      <protection locked="0"/>
    </xf>
    <xf numFmtId="164" fontId="9" fillId="3" borderId="34" xfId="1" applyNumberFormat="1" applyFont="1" applyFill="1" applyBorder="1" applyAlignment="1" applyProtection="1">
      <protection locked="0"/>
    </xf>
    <xf numFmtId="164" fontId="9" fillId="3" borderId="35" xfId="1" applyNumberFormat="1" applyFont="1" applyFill="1" applyBorder="1" applyAlignment="1" applyProtection="1">
      <protection locked="0"/>
    </xf>
    <xf numFmtId="164" fontId="12" fillId="0" borderId="6" xfId="1" applyNumberFormat="1" applyFont="1" applyBorder="1" applyProtection="1"/>
    <xf numFmtId="164" fontId="12" fillId="0" borderId="36" xfId="1" applyNumberFormat="1" applyFont="1" applyBorder="1" applyProtection="1">
      <protection locked="0"/>
    </xf>
    <xf numFmtId="164" fontId="9" fillId="0" borderId="0" xfId="1" applyNumberFormat="1" applyFont="1" applyFill="1" applyBorder="1" applyProtection="1"/>
    <xf numFmtId="164" fontId="19" fillId="0" borderId="37" xfId="1" applyNumberFormat="1" applyFont="1" applyBorder="1" applyProtection="1"/>
    <xf numFmtId="165" fontId="19" fillId="0" borderId="18" xfId="1" applyNumberFormat="1" applyFont="1" applyBorder="1" applyProtection="1"/>
    <xf numFmtId="164" fontId="5" fillId="0" borderId="0" xfId="1" applyNumberFormat="1" applyFont="1" applyProtection="1"/>
    <xf numFmtId="164" fontId="19" fillId="0" borderId="19" xfId="1" applyNumberFormat="1" applyFont="1" applyBorder="1" applyProtection="1"/>
    <xf numFmtId="165" fontId="19" fillId="0" borderId="20" xfId="1" applyNumberFormat="1" applyFont="1" applyBorder="1" applyProtection="1"/>
    <xf numFmtId="164" fontId="19" fillId="0" borderId="0" xfId="1" applyNumberFormat="1" applyFont="1" applyBorder="1" applyProtection="1"/>
    <xf numFmtId="165" fontId="19" fillId="0" borderId="0" xfId="1" applyNumberFormat="1" applyFont="1" applyBorder="1" applyProtection="1"/>
    <xf numFmtId="164" fontId="5" fillId="0" borderId="0" xfId="1" applyNumberFormat="1" applyFont="1" applyBorder="1" applyProtection="1">
      <protection locked="0"/>
    </xf>
    <xf numFmtId="164" fontId="11" fillId="0" borderId="0" xfId="1" applyNumberFormat="1" applyFont="1" applyProtection="1">
      <protection locked="0"/>
    </xf>
    <xf numFmtId="164" fontId="9" fillId="0" borderId="0" xfId="1" applyNumberFormat="1" applyFont="1" applyProtection="1">
      <protection locked="0"/>
    </xf>
    <xf numFmtId="164" fontId="8" fillId="0" borderId="0" xfId="1" applyNumberFormat="1" applyFont="1" applyProtection="1">
      <protection locked="0"/>
    </xf>
    <xf numFmtId="165" fontId="8" fillId="0" borderId="0" xfId="1" applyNumberFormat="1" applyFont="1" applyProtection="1">
      <protection locked="0"/>
    </xf>
    <xf numFmtId="1" fontId="8" fillId="0" borderId="0" xfId="1" applyNumberFormat="1" applyFont="1" applyProtection="1">
      <protection locked="0"/>
    </xf>
    <xf numFmtId="164" fontId="8" fillId="7" borderId="7" xfId="1" applyNumberFormat="1" applyFont="1" applyFill="1" applyBorder="1" applyProtection="1"/>
    <xf numFmtId="164" fontId="8" fillId="7" borderId="8" xfId="1" applyNumberFormat="1" applyFont="1" applyFill="1" applyBorder="1" applyProtection="1"/>
    <xf numFmtId="164" fontId="5" fillId="7" borderId="8" xfId="1" applyNumberFormat="1" applyFont="1" applyFill="1" applyBorder="1" applyProtection="1"/>
    <xf numFmtId="164" fontId="5" fillId="7" borderId="28" xfId="1" applyNumberFormat="1" applyFont="1" applyFill="1" applyBorder="1" applyProtection="1"/>
    <xf numFmtId="165" fontId="21" fillId="7" borderId="39" xfId="1" applyNumberFormat="1" applyFont="1" applyFill="1" applyBorder="1" applyProtection="1"/>
    <xf numFmtId="164" fontId="8" fillId="0" borderId="21" xfId="1" applyNumberFormat="1" applyFont="1" applyBorder="1" applyProtection="1">
      <protection locked="0"/>
    </xf>
    <xf numFmtId="164" fontId="8" fillId="0" borderId="23" xfId="1" applyNumberFormat="1" applyFont="1" applyBorder="1" applyProtection="1">
      <protection locked="0"/>
    </xf>
    <xf numFmtId="164" fontId="8" fillId="0" borderId="40" xfId="1" applyNumberFormat="1" applyFont="1" applyBorder="1" applyProtection="1"/>
    <xf numFmtId="9" fontId="8" fillId="0" borderId="41" xfId="1" applyNumberFormat="1" applyFont="1" applyBorder="1" applyProtection="1"/>
    <xf numFmtId="164" fontId="8" fillId="0" borderId="41" xfId="1" applyNumberFormat="1" applyFont="1" applyBorder="1" applyProtection="1"/>
    <xf numFmtId="164" fontId="8" fillId="0" borderId="42" xfId="1" applyNumberFormat="1" applyFont="1" applyBorder="1" applyProtection="1"/>
    <xf numFmtId="165" fontId="8" fillId="0" borderId="43" xfId="1" applyNumberFormat="1" applyFont="1" applyBorder="1" applyProtection="1"/>
    <xf numFmtId="164" fontId="8" fillId="0" borderId="25" xfId="1" applyNumberFormat="1" applyFont="1" applyBorder="1" applyProtection="1">
      <protection locked="0"/>
    </xf>
    <xf numFmtId="164" fontId="8" fillId="0" borderId="26" xfId="1" applyNumberFormat="1" applyFont="1" applyBorder="1" applyProtection="1">
      <protection locked="0"/>
    </xf>
    <xf numFmtId="164" fontId="8" fillId="8" borderId="7" xfId="1" applyNumberFormat="1" applyFont="1" applyFill="1" applyBorder="1" applyProtection="1"/>
    <xf numFmtId="164" fontId="8" fillId="8" borderId="8" xfId="1" applyNumberFormat="1" applyFont="1" applyFill="1" applyBorder="1" applyProtection="1"/>
    <xf numFmtId="164" fontId="8" fillId="8" borderId="28" xfId="1" applyNumberFormat="1" applyFont="1" applyFill="1" applyBorder="1" applyProtection="1"/>
    <xf numFmtId="165" fontId="8" fillId="8" borderId="39" xfId="1" applyNumberFormat="1" applyFont="1" applyFill="1" applyBorder="1" applyProtection="1"/>
    <xf numFmtId="165" fontId="8" fillId="8" borderId="9" xfId="1" applyNumberFormat="1" applyFont="1" applyFill="1" applyBorder="1" applyProtection="1"/>
    <xf numFmtId="9" fontId="8" fillId="0" borderId="26" xfId="1" applyNumberFormat="1" applyFont="1" applyBorder="1" applyProtection="1">
      <protection locked="0"/>
    </xf>
    <xf numFmtId="164" fontId="5" fillId="0" borderId="26" xfId="1" applyNumberFormat="1" applyFont="1" applyBorder="1" applyProtection="1">
      <protection locked="0"/>
    </xf>
    <xf numFmtId="164" fontId="8" fillId="8" borderId="44" xfId="1" applyNumberFormat="1" applyFont="1" applyFill="1" applyBorder="1" applyProtection="1"/>
    <xf numFmtId="164" fontId="8" fillId="8" borderId="10" xfId="1" applyNumberFormat="1" applyFont="1" applyFill="1" applyBorder="1" applyProtection="1"/>
    <xf numFmtId="164" fontId="8" fillId="8" borderId="45" xfId="1" applyNumberFormat="1" applyFont="1" applyFill="1" applyBorder="1" applyProtection="1"/>
    <xf numFmtId="165" fontId="8" fillId="8" borderId="46" xfId="1" applyNumberFormat="1" applyFont="1" applyFill="1" applyBorder="1" applyProtection="1"/>
    <xf numFmtId="164" fontId="22" fillId="2" borderId="15" xfId="1" applyNumberFormat="1" applyFont="1" applyFill="1" applyBorder="1" applyProtection="1">
      <protection locked="0"/>
    </xf>
    <xf numFmtId="164" fontId="22" fillId="2" borderId="16" xfId="1" applyNumberFormat="1" applyFont="1" applyFill="1" applyBorder="1" applyProtection="1">
      <protection locked="0"/>
    </xf>
    <xf numFmtId="164" fontId="22" fillId="2" borderId="47" xfId="1" applyNumberFormat="1" applyFont="1" applyFill="1" applyBorder="1" applyProtection="1">
      <protection locked="0"/>
    </xf>
    <xf numFmtId="165" fontId="22" fillId="2" borderId="48" xfId="1" applyNumberFormat="1" applyFont="1" applyFill="1" applyBorder="1" applyProtection="1">
      <protection locked="0"/>
    </xf>
    <xf numFmtId="165" fontId="22" fillId="2" borderId="20" xfId="1" applyNumberFormat="1" applyFont="1" applyFill="1" applyBorder="1" applyProtection="1">
      <protection locked="0"/>
    </xf>
    <xf numFmtId="9" fontId="5" fillId="0" borderId="35" xfId="1" applyNumberFormat="1" applyFont="1" applyBorder="1" applyProtection="1">
      <protection locked="0"/>
    </xf>
    <xf numFmtId="164" fontId="22" fillId="2" borderId="49" xfId="1" applyNumberFormat="1" applyFont="1" applyFill="1" applyBorder="1" applyProtection="1">
      <protection locked="0"/>
    </xf>
    <xf numFmtId="9" fontId="22" fillId="2" borderId="50" xfId="1" applyNumberFormat="1" applyFont="1" applyFill="1" applyBorder="1" applyProtection="1"/>
    <xf numFmtId="164" fontId="22" fillId="2" borderId="50" xfId="1" applyNumberFormat="1" applyFont="1" applyFill="1" applyBorder="1" applyProtection="1"/>
    <xf numFmtId="164" fontId="22" fillId="2" borderId="51" xfId="1" applyNumberFormat="1" applyFont="1" applyFill="1" applyBorder="1" applyProtection="1"/>
    <xf numFmtId="165" fontId="22" fillId="2" borderId="52" xfId="1" applyNumberFormat="1" applyFont="1" applyFill="1" applyBorder="1" applyProtection="1"/>
    <xf numFmtId="0" fontId="12" fillId="0" borderId="0" xfId="0" applyFont="1"/>
    <xf numFmtId="0" fontId="5" fillId="0" borderId="0" xfId="0" applyFont="1"/>
    <xf numFmtId="165" fontId="8" fillId="0" borderId="4" xfId="1" applyNumberFormat="1" applyFont="1" applyFill="1" applyBorder="1"/>
    <xf numFmtId="0" fontId="9" fillId="3" borderId="4" xfId="0" applyFont="1" applyFill="1" applyBorder="1"/>
    <xf numFmtId="0" fontId="23" fillId="3" borderId="4" xfId="0" applyFont="1" applyFill="1" applyBorder="1"/>
    <xf numFmtId="0" fontId="23" fillId="3" borderId="5" xfId="0" applyFont="1" applyFill="1" applyBorder="1"/>
    <xf numFmtId="165" fontId="23" fillId="3" borderId="4" xfId="1" applyNumberFormat="1" applyFont="1" applyFill="1" applyBorder="1"/>
    <xf numFmtId="0" fontId="12" fillId="0" borderId="14" xfId="0" applyFont="1" applyBorder="1"/>
    <xf numFmtId="166" fontId="5" fillId="0" borderId="4" xfId="0" applyNumberFormat="1" applyFont="1" applyBorder="1"/>
    <xf numFmtId="1" fontId="5" fillId="0" borderId="4" xfId="0" applyNumberFormat="1" applyFont="1" applyBorder="1"/>
    <xf numFmtId="166" fontId="5" fillId="0" borderId="5" xfId="0" applyNumberFormat="1" applyFont="1" applyBorder="1"/>
    <xf numFmtId="0" fontId="9" fillId="3" borderId="14" xfId="0" applyFont="1" applyFill="1" applyBorder="1"/>
    <xf numFmtId="167" fontId="5" fillId="0" borderId="4" xfId="0" applyNumberFormat="1" applyFont="1" applyBorder="1"/>
    <xf numFmtId="165" fontId="5" fillId="0" borderId="4" xfId="1" applyNumberFormat="1" applyFont="1" applyBorder="1"/>
    <xf numFmtId="0" fontId="9" fillId="0" borderId="14" xfId="0" applyFont="1" applyBorder="1"/>
    <xf numFmtId="0" fontId="5" fillId="0" borderId="4" xfId="0" applyFont="1" applyBorder="1"/>
    <xf numFmtId="0" fontId="12" fillId="0" borderId="53" xfId="0" applyFont="1" applyBorder="1"/>
    <xf numFmtId="166" fontId="5" fillId="0" borderId="54" xfId="0" applyNumberFormat="1" applyFont="1" applyBorder="1"/>
    <xf numFmtId="166" fontId="5" fillId="0" borderId="55" xfId="0" applyNumberFormat="1" applyFont="1" applyBorder="1"/>
    <xf numFmtId="165" fontId="8" fillId="0" borderId="54" xfId="1" applyNumberFormat="1" applyFont="1" applyFill="1" applyBorder="1"/>
    <xf numFmtId="0" fontId="24" fillId="2" borderId="4" xfId="0" applyFont="1" applyFill="1" applyBorder="1"/>
    <xf numFmtId="166" fontId="25" fillId="2" borderId="4" xfId="0" applyNumberFormat="1" applyFont="1" applyFill="1" applyBorder="1"/>
    <xf numFmtId="165" fontId="25" fillId="2" borderId="4" xfId="1" applyNumberFormat="1" applyFont="1" applyFill="1" applyBorder="1"/>
    <xf numFmtId="0" fontId="5" fillId="0" borderId="58" xfId="0" applyFont="1" applyBorder="1"/>
    <xf numFmtId="0" fontId="5" fillId="0" borderId="0" xfId="0" applyFont="1" applyBorder="1"/>
    <xf numFmtId="0" fontId="12" fillId="0" borderId="54" xfId="0" applyFont="1" applyBorder="1"/>
    <xf numFmtId="0" fontId="5" fillId="0" borderId="23" xfId="0" applyFont="1" applyBorder="1"/>
    <xf numFmtId="0" fontId="12" fillId="0" borderId="59" xfId="0" applyFont="1" applyBorder="1"/>
    <xf numFmtId="164" fontId="9" fillId="3" borderId="41" xfId="1" applyNumberFormat="1" applyFont="1" applyFill="1" applyBorder="1" applyProtection="1">
      <protection locked="0"/>
    </xf>
    <xf numFmtId="0" fontId="12" fillId="3" borderId="7" xfId="0" applyFont="1" applyFill="1" applyBorder="1"/>
    <xf numFmtId="14" fontId="12" fillId="0" borderId="41" xfId="0" applyNumberFormat="1" applyFont="1" applyBorder="1"/>
    <xf numFmtId="0" fontId="5" fillId="3" borderId="3" xfId="0" applyFont="1" applyFill="1" applyBorder="1"/>
    <xf numFmtId="0" fontId="5" fillId="3" borderId="0" xfId="0" applyFont="1" applyFill="1" applyBorder="1"/>
    <xf numFmtId="165" fontId="12" fillId="0" borderId="0" xfId="1" applyNumberFormat="1" applyFont="1" applyProtection="1">
      <protection locked="0"/>
    </xf>
    <xf numFmtId="0" fontId="12" fillId="0" borderId="11" xfId="0" applyFont="1" applyBorder="1"/>
    <xf numFmtId="0" fontId="5" fillId="0" borderId="12" xfId="0" applyFont="1" applyBorder="1"/>
    <xf numFmtId="0" fontId="5" fillId="0" borderId="18" xfId="0" applyFont="1" applyBorder="1"/>
    <xf numFmtId="0" fontId="5" fillId="0" borderId="5" xfId="0" applyFont="1" applyBorder="1"/>
    <xf numFmtId="0" fontId="5" fillId="0" borderId="38" xfId="0" applyFont="1" applyBorder="1"/>
    <xf numFmtId="0" fontId="5" fillId="0" borderId="36" xfId="0" applyFont="1" applyBorder="1"/>
    <xf numFmtId="0" fontId="12" fillId="0" borderId="15" xfId="0" applyFont="1" applyBorder="1"/>
    <xf numFmtId="0" fontId="5" fillId="0" borderId="16" xfId="0" applyFont="1" applyBorder="1"/>
    <xf numFmtId="0" fontId="9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24" fillId="2" borderId="7" xfId="0" applyFont="1" applyFill="1" applyBorder="1"/>
    <xf numFmtId="0" fontId="26" fillId="2" borderId="8" xfId="0" applyFont="1" applyFill="1" applyBorder="1"/>
    <xf numFmtId="0" fontId="8" fillId="7" borderId="0" xfId="0" applyFont="1" applyFill="1" applyBorder="1" applyAlignment="1"/>
    <xf numFmtId="0" fontId="12" fillId="0" borderId="55" xfId="0" applyFont="1" applyBorder="1"/>
    <xf numFmtId="164" fontId="9" fillId="3" borderId="39" xfId="1" applyNumberFormat="1" applyFont="1" applyFill="1" applyBorder="1" applyProtection="1">
      <protection locked="0"/>
    </xf>
    <xf numFmtId="0" fontId="12" fillId="0" borderId="0" xfId="0" applyFont="1" applyBorder="1"/>
    <xf numFmtId="164" fontId="9" fillId="3" borderId="59" xfId="1" applyNumberFormat="1" applyFont="1" applyFill="1" applyBorder="1" applyProtection="1">
      <protection locked="0"/>
    </xf>
    <xf numFmtId="164" fontId="9" fillId="3" borderId="0" xfId="1" applyNumberFormat="1" applyFont="1" applyFill="1" applyBorder="1" applyProtection="1">
      <protection locked="0"/>
    </xf>
    <xf numFmtId="0" fontId="12" fillId="0" borderId="4" xfId="0" applyFont="1" applyBorder="1"/>
    <xf numFmtId="0" fontId="5" fillId="0" borderId="54" xfId="0" applyFont="1" applyBorder="1"/>
    <xf numFmtId="0" fontId="26" fillId="2" borderId="0" xfId="0" applyFont="1" applyFill="1" applyBorder="1"/>
    <xf numFmtId="0" fontId="27" fillId="0" borderId="0" xfId="0" applyFont="1" applyBorder="1" applyAlignment="1"/>
    <xf numFmtId="0" fontId="27" fillId="0" borderId="0" xfId="0" applyFont="1" applyBorder="1" applyAlignment="1">
      <alignment wrapText="1"/>
    </xf>
    <xf numFmtId="0" fontId="27" fillId="0" borderId="0" xfId="0" applyFont="1" applyBorder="1" applyAlignment="1">
      <alignment horizontal="right"/>
    </xf>
    <xf numFmtId="3" fontId="5" fillId="0" borderId="0" xfId="0" applyNumberFormat="1" applyFont="1" applyBorder="1"/>
    <xf numFmtId="0" fontId="28" fillId="2" borderId="58" xfId="0" applyFont="1" applyFill="1" applyBorder="1"/>
    <xf numFmtId="0" fontId="0" fillId="0" borderId="11" xfId="0" applyBorder="1"/>
    <xf numFmtId="0" fontId="0" fillId="0" borderId="60" xfId="0" applyBorder="1"/>
    <xf numFmtId="0" fontId="0" fillId="0" borderId="18" xfId="0" applyBorder="1"/>
    <xf numFmtId="164" fontId="0" fillId="0" borderId="60" xfId="1" applyFont="1" applyBorder="1"/>
    <xf numFmtId="164" fontId="0" fillId="0" borderId="18" xfId="0" applyNumberFormat="1" applyBorder="1"/>
    <xf numFmtId="0" fontId="0" fillId="0" borderId="61" xfId="0" applyBorder="1"/>
    <xf numFmtId="0" fontId="0" fillId="0" borderId="14" xfId="0" applyBorder="1"/>
    <xf numFmtId="164" fontId="0" fillId="0" borderId="62" xfId="1" applyFont="1" applyBorder="1"/>
    <xf numFmtId="0" fontId="0" fillId="0" borderId="36" xfId="0" applyBorder="1"/>
    <xf numFmtId="165" fontId="2" fillId="0" borderId="14" xfId="1" applyNumberFormat="1" applyFont="1" applyBorder="1"/>
    <xf numFmtId="165" fontId="2" fillId="0" borderId="62" xfId="1" applyNumberFormat="1" applyFont="1" applyBorder="1"/>
    <xf numFmtId="165" fontId="0" fillId="0" borderId="36" xfId="1" applyNumberFormat="1" applyFont="1" applyBorder="1"/>
    <xf numFmtId="1" fontId="0" fillId="0" borderId="36" xfId="0" applyNumberFormat="1" applyBorder="1"/>
    <xf numFmtId="1" fontId="0" fillId="0" borderId="6" xfId="0" applyNumberFormat="1" applyBorder="1"/>
    <xf numFmtId="1" fontId="0" fillId="0" borderId="62" xfId="0" applyNumberFormat="1" applyBorder="1"/>
    <xf numFmtId="0" fontId="29" fillId="0" borderId="14" xfId="0" applyFont="1" applyBorder="1"/>
    <xf numFmtId="165" fontId="2" fillId="0" borderId="14" xfId="1" quotePrefix="1" applyNumberFormat="1" applyFont="1" applyBorder="1"/>
    <xf numFmtId="9" fontId="0" fillId="0" borderId="36" xfId="2" applyFont="1" applyBorder="1"/>
    <xf numFmtId="165" fontId="0" fillId="0" borderId="62" xfId="1" applyNumberFormat="1" applyFont="1" applyBorder="1"/>
    <xf numFmtId="0" fontId="0" fillId="0" borderId="15" xfId="0" applyBorder="1"/>
    <xf numFmtId="164" fontId="0" fillId="0" borderId="48" xfId="1" applyFont="1" applyBorder="1"/>
    <xf numFmtId="0" fontId="0" fillId="0" borderId="20" xfId="0" applyBorder="1"/>
    <xf numFmtId="165" fontId="0" fillId="0" borderId="48" xfId="1" applyNumberFormat="1" applyFont="1" applyBorder="1"/>
    <xf numFmtId="1" fontId="0" fillId="0" borderId="20" xfId="0" applyNumberFormat="1" applyBorder="1"/>
    <xf numFmtId="1" fontId="0" fillId="0" borderId="63" xfId="0" applyNumberFormat="1" applyBorder="1"/>
    <xf numFmtId="1" fontId="0" fillId="0" borderId="48" xfId="0" applyNumberFormat="1" applyBorder="1"/>
    <xf numFmtId="2" fontId="12" fillId="0" borderId="0" xfId="1" applyNumberFormat="1" applyFont="1" applyProtection="1">
      <protection locked="0"/>
    </xf>
    <xf numFmtId="0" fontId="32" fillId="0" borderId="0" xfId="0" applyFont="1"/>
    <xf numFmtId="0" fontId="33" fillId="0" borderId="0" xfId="0" applyFont="1"/>
    <xf numFmtId="0" fontId="34" fillId="0" borderId="0" xfId="0" applyFont="1"/>
    <xf numFmtId="0" fontId="8" fillId="0" borderId="0" xfId="0" applyFont="1"/>
    <xf numFmtId="0" fontId="34" fillId="0" borderId="0" xfId="0" applyFont="1" applyBorder="1" applyAlignment="1"/>
    <xf numFmtId="164" fontId="35" fillId="0" borderId="0" xfId="0" applyNumberFormat="1" applyFont="1" applyBorder="1" applyAlignment="1">
      <alignment horizontal="left"/>
    </xf>
    <xf numFmtId="164" fontId="35" fillId="0" borderId="0" xfId="0" applyNumberFormat="1" applyFont="1" applyBorder="1" applyAlignment="1">
      <alignment horizontal="center"/>
    </xf>
    <xf numFmtId="0" fontId="34" fillId="0" borderId="0" xfId="0" applyFont="1" applyBorder="1" applyAlignment="1">
      <alignment horizontal="left"/>
    </xf>
    <xf numFmtId="0" fontId="36" fillId="0" borderId="0" xfId="0" applyNumberFormat="1" applyFont="1" applyBorder="1"/>
    <xf numFmtId="3" fontId="5" fillId="0" borderId="0" xfId="0" applyNumberFormat="1" applyFont="1"/>
    <xf numFmtId="2" fontId="35" fillId="0" borderId="0" xfId="0" applyNumberFormat="1" applyFont="1" applyBorder="1" applyAlignment="1">
      <alignment horizontal="left"/>
    </xf>
    <xf numFmtId="0" fontId="18" fillId="0" borderId="0" xfId="0" applyNumberFormat="1" applyFont="1" applyBorder="1"/>
    <xf numFmtId="168" fontId="5" fillId="0" borderId="0" xfId="0" applyNumberFormat="1" applyFont="1" applyBorder="1"/>
    <xf numFmtId="168" fontId="5" fillId="0" borderId="0" xfId="0" applyNumberFormat="1" applyFont="1"/>
    <xf numFmtId="0" fontId="37" fillId="0" borderId="0" xfId="0" applyFont="1" applyBorder="1" applyAlignment="1">
      <alignment wrapText="1"/>
    </xf>
    <xf numFmtId="1" fontId="5" fillId="0" borderId="0" xfId="0" applyNumberFormat="1" applyFont="1" applyBorder="1"/>
    <xf numFmtId="0" fontId="27" fillId="0" borderId="0" xfId="0" applyFont="1" applyBorder="1"/>
    <xf numFmtId="168" fontId="23" fillId="3" borderId="0" xfId="0" applyNumberFormat="1" applyFont="1" applyFill="1" applyBorder="1"/>
    <xf numFmtId="0" fontId="23" fillId="3" borderId="0" xfId="0" applyFont="1" applyFill="1" applyBorder="1"/>
    <xf numFmtId="0" fontId="27" fillId="0" borderId="0" xfId="0" applyFont="1"/>
    <xf numFmtId="49" fontId="5" fillId="0" borderId="0" xfId="0" applyNumberFormat="1" applyFont="1"/>
    <xf numFmtId="0" fontId="5" fillId="0" borderId="0" xfId="0" applyFont="1" applyAlignment="1">
      <alignment wrapText="1"/>
    </xf>
    <xf numFmtId="0" fontId="27" fillId="0" borderId="0" xfId="0" applyFont="1" applyAlignment="1">
      <alignment wrapText="1"/>
    </xf>
    <xf numFmtId="0" fontId="23" fillId="0" borderId="0" xfId="0" applyFont="1"/>
    <xf numFmtId="14" fontId="5" fillId="0" borderId="4" xfId="0" applyNumberFormat="1" applyFont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 wrapText="1"/>
    </xf>
    <xf numFmtId="0" fontId="38" fillId="0" borderId="0" xfId="3" applyAlignment="1">
      <alignment horizontal="left"/>
    </xf>
    <xf numFmtId="0" fontId="5" fillId="0" borderId="0" xfId="0" applyFont="1" applyAlignment="1">
      <alignment horizontal="left"/>
    </xf>
    <xf numFmtId="1" fontId="35" fillId="0" borderId="0" xfId="0" applyNumberFormat="1" applyFont="1" applyBorder="1" applyAlignment="1">
      <alignment horizontal="left"/>
    </xf>
    <xf numFmtId="14" fontId="5" fillId="0" borderId="4" xfId="0" applyNumberFormat="1" applyFont="1" applyBorder="1"/>
    <xf numFmtId="164" fontId="12" fillId="0" borderId="39" xfId="1" applyNumberFormat="1" applyFont="1" applyBorder="1" applyProtection="1">
      <protection locked="0"/>
    </xf>
    <xf numFmtId="0" fontId="22" fillId="2" borderId="20" xfId="1" applyNumberFormat="1" applyFont="1" applyFill="1" applyBorder="1" applyProtection="1">
      <protection locked="0"/>
    </xf>
    <xf numFmtId="2" fontId="5" fillId="0" borderId="4" xfId="0" applyNumberFormat="1" applyFont="1" applyBorder="1"/>
    <xf numFmtId="2" fontId="5" fillId="0" borderId="54" xfId="0" applyNumberFormat="1" applyFont="1" applyBorder="1"/>
    <xf numFmtId="0" fontId="39" fillId="0" borderId="14" xfId="0" applyFont="1" applyBorder="1"/>
    <xf numFmtId="0" fontId="39" fillId="0" borderId="64" xfId="0" applyFont="1" applyBorder="1"/>
    <xf numFmtId="164" fontId="39" fillId="0" borderId="17" xfId="0" applyNumberFormat="1" applyFont="1" applyBorder="1" applyProtection="1">
      <protection locked="0"/>
    </xf>
    <xf numFmtId="0" fontId="27" fillId="0" borderId="0" xfId="0" applyFont="1" applyBorder="1" applyAlignment="1">
      <alignment horizontal="center"/>
    </xf>
    <xf numFmtId="0" fontId="28" fillId="2" borderId="21" xfId="0" applyFont="1" applyFill="1" applyBorder="1" applyAlignment="1">
      <alignment horizontal="center"/>
    </xf>
    <xf numFmtId="0" fontId="28" fillId="2" borderId="23" xfId="0" applyFont="1" applyFill="1" applyBorder="1" applyAlignment="1">
      <alignment horizontal="center"/>
    </xf>
    <xf numFmtId="164" fontId="28" fillId="2" borderId="22" xfId="0" applyNumberFormat="1" applyFont="1" applyFill="1" applyBorder="1" applyAlignment="1">
      <alignment horizontal="center"/>
    </xf>
    <xf numFmtId="164" fontId="28" fillId="2" borderId="23" xfId="0" applyNumberFormat="1" applyFont="1" applyFill="1" applyBorder="1" applyAlignment="1">
      <alignment horizontal="center"/>
    </xf>
    <xf numFmtId="1" fontId="35" fillId="0" borderId="0" xfId="0" applyNumberFormat="1" applyFont="1" applyBorder="1" applyAlignment="1">
      <alignment horizontal="center"/>
    </xf>
    <xf numFmtId="0" fontId="32" fillId="0" borderId="0" xfId="0" applyFont="1" applyBorder="1" applyAlignment="1">
      <alignment wrapText="1"/>
    </xf>
    <xf numFmtId="168" fontId="5" fillId="0" borderId="0" xfId="0" applyNumberFormat="1" applyFont="1" applyBorder="1" applyAlignment="1">
      <alignment horizontal="right"/>
    </xf>
    <xf numFmtId="0" fontId="27" fillId="0" borderId="0" xfId="0" applyFont="1" applyAlignment="1">
      <alignment horizontal="center" wrapText="1"/>
    </xf>
    <xf numFmtId="14" fontId="12" fillId="0" borderId="27" xfId="1" applyNumberFormat="1" applyFont="1" applyBorder="1" applyProtection="1">
      <protection locked="0"/>
    </xf>
    <xf numFmtId="0" fontId="28" fillId="9" borderId="23" xfId="0" applyFont="1" applyFill="1" applyBorder="1"/>
    <xf numFmtId="0" fontId="40" fillId="0" borderId="11" xfId="0" applyFont="1" applyBorder="1"/>
    <xf numFmtId="0" fontId="40" fillId="0" borderId="66" xfId="0" applyFont="1" applyBorder="1"/>
    <xf numFmtId="0" fontId="40" fillId="0" borderId="61" xfId="0" applyFont="1" applyBorder="1"/>
    <xf numFmtId="164" fontId="40" fillId="0" borderId="66" xfId="0" applyNumberFormat="1" applyFont="1" applyBorder="1"/>
    <xf numFmtId="0" fontId="40" fillId="0" borderId="64" xfId="0" applyFont="1" applyBorder="1"/>
    <xf numFmtId="164" fontId="40" fillId="0" borderId="67" xfId="0" applyNumberFormat="1" applyFont="1" applyBorder="1"/>
    <xf numFmtId="165" fontId="41" fillId="0" borderId="29" xfId="0" applyNumberFormat="1" applyFont="1" applyBorder="1"/>
    <xf numFmtId="1" fontId="40" fillId="0" borderId="67" xfId="0" applyNumberFormat="1" applyFont="1" applyBorder="1"/>
    <xf numFmtId="1" fontId="40" fillId="0" borderId="29" xfId="0" applyNumberFormat="1" applyFont="1" applyBorder="1"/>
    <xf numFmtId="0" fontId="42" fillId="0" borderId="64" xfId="0" applyFont="1" applyBorder="1"/>
    <xf numFmtId="9" fontId="40" fillId="0" borderId="67" xfId="0" applyNumberFormat="1" applyFont="1" applyBorder="1"/>
    <xf numFmtId="0" fontId="40" fillId="0" borderId="29" xfId="0" applyFont="1" applyBorder="1"/>
    <xf numFmtId="0" fontId="40" fillId="0" borderId="67" xfId="0" applyFont="1" applyBorder="1"/>
    <xf numFmtId="164" fontId="40" fillId="0" borderId="68" xfId="0" applyNumberFormat="1" applyFont="1" applyBorder="1"/>
    <xf numFmtId="0" fontId="40" fillId="0" borderId="40" xfId="0" applyFont="1" applyBorder="1"/>
    <xf numFmtId="0" fontId="40" fillId="0" borderId="26" xfId="0" applyFont="1" applyBorder="1"/>
    <xf numFmtId="0" fontId="40" fillId="0" borderId="59" xfId="0" applyFont="1" applyBorder="1"/>
    <xf numFmtId="1" fontId="40" fillId="0" borderId="26" xfId="0" applyNumberFormat="1" applyFont="1" applyBorder="1"/>
    <xf numFmtId="1" fontId="40" fillId="0" borderId="59" xfId="0" applyNumberFormat="1" applyFont="1" applyBorder="1"/>
    <xf numFmtId="0" fontId="41" fillId="10" borderId="7" xfId="0" applyFont="1" applyFill="1" applyBorder="1"/>
    <xf numFmtId="164" fontId="41" fillId="10" borderId="69" xfId="0" applyNumberFormat="1" applyFont="1" applyFill="1" applyBorder="1"/>
    <xf numFmtId="164" fontId="41" fillId="10" borderId="3" xfId="0" applyNumberFormat="1" applyFont="1" applyFill="1" applyBorder="1"/>
    <xf numFmtId="0" fontId="41" fillId="10" borderId="33" xfId="0" applyFont="1" applyFill="1" applyBorder="1"/>
    <xf numFmtId="0" fontId="41" fillId="10" borderId="34" xfId="0" applyFont="1" applyFill="1" applyBorder="1"/>
    <xf numFmtId="9" fontId="41" fillId="10" borderId="34" xfId="0" applyNumberFormat="1" applyFont="1" applyFill="1" applyBorder="1"/>
    <xf numFmtId="0" fontId="41" fillId="10" borderId="35" xfId="0" applyFont="1" applyFill="1" applyBorder="1"/>
    <xf numFmtId="0" fontId="28" fillId="2" borderId="21" xfId="0" applyFont="1" applyFill="1" applyBorder="1" applyAlignment="1">
      <alignment horizontal="center"/>
    </xf>
    <xf numFmtId="0" fontId="28" fillId="2" borderId="23" xfId="0" applyFont="1" applyFill="1" applyBorder="1" applyAlignment="1">
      <alignment horizontal="center"/>
    </xf>
    <xf numFmtId="164" fontId="28" fillId="2" borderId="22" xfId="0" applyNumberFormat="1" applyFont="1" applyFill="1" applyBorder="1" applyAlignment="1">
      <alignment horizontal="center"/>
    </xf>
    <xf numFmtId="164" fontId="28" fillId="2" borderId="23" xfId="0" applyNumberFormat="1" applyFont="1" applyFill="1" applyBorder="1" applyAlignment="1">
      <alignment horizontal="center"/>
    </xf>
    <xf numFmtId="0" fontId="27" fillId="0" borderId="0" xfId="0" applyFont="1" applyBorder="1" applyAlignment="1">
      <alignment horizontal="right"/>
    </xf>
    <xf numFmtId="0" fontId="27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wrapText="1"/>
    </xf>
    <xf numFmtId="164" fontId="7" fillId="2" borderId="2" xfId="1" applyNumberFormat="1" applyFont="1" applyFill="1" applyBorder="1" applyAlignment="1" applyProtection="1">
      <alignment horizontal="center"/>
      <protection locked="0"/>
    </xf>
    <xf numFmtId="164" fontId="7" fillId="2" borderId="3" xfId="1" applyNumberFormat="1" applyFont="1" applyFill="1" applyBorder="1" applyAlignment="1" applyProtection="1">
      <alignment horizontal="center"/>
      <protection locked="0"/>
    </xf>
    <xf numFmtId="164" fontId="20" fillId="2" borderId="5" xfId="1" applyNumberFormat="1" applyFont="1" applyFill="1" applyBorder="1" applyAlignment="1" applyProtection="1">
      <alignment horizontal="center"/>
      <protection locked="0"/>
    </xf>
    <xf numFmtId="164" fontId="20" fillId="2" borderId="38" xfId="1" applyNumberFormat="1" applyFont="1" applyFill="1" applyBorder="1" applyAlignment="1" applyProtection="1">
      <alignment horizontal="center"/>
      <protection locked="0"/>
    </xf>
    <xf numFmtId="164" fontId="20" fillId="2" borderId="6" xfId="1" applyNumberFormat="1" applyFont="1" applyFill="1" applyBorder="1" applyAlignment="1" applyProtection="1">
      <alignment horizontal="center"/>
      <protection locked="0"/>
    </xf>
    <xf numFmtId="0" fontId="8" fillId="7" borderId="55" xfId="0" applyFont="1" applyFill="1" applyBorder="1" applyAlignment="1">
      <alignment horizontal="center"/>
    </xf>
    <xf numFmtId="0" fontId="8" fillId="7" borderId="56" xfId="0" applyFont="1" applyFill="1" applyBorder="1" applyAlignment="1">
      <alignment horizontal="center"/>
    </xf>
    <xf numFmtId="0" fontId="8" fillId="7" borderId="57" xfId="0" applyFont="1" applyFill="1" applyBorder="1" applyAlignment="1">
      <alignment horizontal="center"/>
    </xf>
    <xf numFmtId="0" fontId="8" fillId="7" borderId="45" xfId="0" applyFont="1" applyFill="1" applyBorder="1" applyAlignment="1">
      <alignment horizontal="center"/>
    </xf>
    <xf numFmtId="0" fontId="8" fillId="7" borderId="22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8" fillId="3" borderId="0" xfId="0" applyFont="1" applyFill="1" applyBorder="1" applyAlignment="1">
      <alignment horizontal="right"/>
    </xf>
    <xf numFmtId="0" fontId="27" fillId="0" borderId="0" xfId="0" applyFont="1" applyAlignment="1">
      <alignment horizontal="center" wrapText="1"/>
    </xf>
    <xf numFmtId="14" fontId="34" fillId="0" borderId="0" xfId="0" applyNumberFormat="1" applyFont="1" applyAlignment="1">
      <alignment horizontal="center"/>
    </xf>
    <xf numFmtId="0" fontId="34" fillId="0" borderId="0" xfId="0" applyFont="1" applyBorder="1" applyAlignment="1">
      <alignment horizontal="left"/>
    </xf>
    <xf numFmtId="14" fontId="34" fillId="0" borderId="0" xfId="0" applyNumberFormat="1" applyFont="1" applyAlignment="1">
      <alignment horizontal="left"/>
    </xf>
    <xf numFmtId="0" fontId="28" fillId="9" borderId="1" xfId="0" applyFont="1" applyFill="1" applyBorder="1" applyAlignment="1">
      <alignment horizontal="center"/>
    </xf>
    <xf numFmtId="0" fontId="28" fillId="9" borderId="65" xfId="0" applyFont="1" applyFill="1" applyBorder="1" applyAlignment="1">
      <alignment horizontal="center"/>
    </xf>
    <xf numFmtId="164" fontId="28" fillId="9" borderId="1" xfId="0" applyNumberFormat="1" applyFont="1" applyFill="1" applyBorder="1" applyAlignment="1">
      <alignment horizontal="center"/>
    </xf>
    <xf numFmtId="164" fontId="28" fillId="9" borderId="65" xfId="0" applyNumberFormat="1" applyFont="1" applyFill="1" applyBorder="1" applyAlignment="1">
      <alignment horizontal="center"/>
    </xf>
    <xf numFmtId="164" fontId="0" fillId="11" borderId="62" xfId="1" applyFont="1" applyFill="1" applyBorder="1"/>
    <xf numFmtId="0" fontId="5" fillId="0" borderId="0" xfId="1" applyNumberFormat="1" applyFont="1" applyProtection="1">
      <protection locked="0"/>
    </xf>
    <xf numFmtId="0" fontId="40" fillId="0" borderId="67" xfId="0" applyNumberFormat="1" applyFont="1" applyBorder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203200</xdr:colOff>
      <xdr:row>0</xdr:row>
      <xdr:rowOff>76200</xdr:rowOff>
    </xdr:from>
    <xdr:to>
      <xdr:col>0</xdr:col>
      <xdr:colOff>1663700</xdr:colOff>
      <xdr:row>3</xdr:row>
      <xdr:rowOff>152400</xdr:rowOff>
    </xdr:to>
    <xdr:pic>
      <xdr:nvPicPr>
        <xdr:cNvPr id="2" name="Image 1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3200" y="76200"/>
          <a:ext cx="1460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X9WWWR9Y/MATRICE%20DEVIS%20PD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X9WWWR9Y/matrice%202pd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achimgatti/Dropbox/DEVIS%20DRM/MATRICE%20DEVIS%20DR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VISTDN (3)"/>
      <sheetName val="DEVISTDN (2)"/>
      <sheetName val="LIEUX xXX"/>
      <sheetName val="TAB DEVIS TDN"/>
      <sheetName val="TAB DEVIS 2 TDN"/>
      <sheetName val="DEVISTDN"/>
      <sheetName val="TAB DEVIS QUMPER"/>
      <sheetName val="Feuil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 DEV XX  (2)"/>
      <sheetName val="DEV XX (2)"/>
      <sheetName val="TAB DEV XX  (3)"/>
      <sheetName val="DEV XX (3)"/>
      <sheetName val="TAB DEV XX "/>
      <sheetName val="TAB DEVIS "/>
      <sheetName val="TAB DEV XX  (4)"/>
      <sheetName val="DEV XX"/>
      <sheetName val="SYNT 2017"/>
      <sheetName val="TAB DEVIS PDR TDN"/>
      <sheetName val="DEVIS PDR TDN"/>
      <sheetName val="TAB DEVIS BRETAGNE "/>
      <sheetName val="DEVIS QUIMPER "/>
      <sheetName val="DEVIS BREST"/>
      <sheetName val="DEV XX (4)"/>
      <sheetName val="TAB DEV XX  (5)"/>
      <sheetName val="DEV XX (5)"/>
      <sheetName val="TAB DEV XX  (6)"/>
      <sheetName val="DEV XX (6)"/>
      <sheetName val="TAB DEV XX  (7)"/>
      <sheetName val="DEV XX (7)"/>
      <sheetName val="TAB DEV XX  (8)"/>
      <sheetName val="DEV XX (8)"/>
      <sheetName val="TAB DEV XX  (9)"/>
      <sheetName val="DEV XX (9)"/>
      <sheetName val="TAB DEV XX  (10)"/>
      <sheetName val="DEV XX (10)"/>
      <sheetName val="TAB DEV XX  (11)"/>
      <sheetName val="DEV XX (11)"/>
      <sheetName val="Feuil1 (2)"/>
      <sheetName val="TAB DEVIS"/>
      <sheetName val="DEVIS "/>
      <sheetName val="SYNT 20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BUT"/>
      <sheetName val="TAB DRM TERRASSON 2R"/>
      <sheetName val="DEVIS TERRASON "/>
      <sheetName val="DEVIS TERRASON 4R"/>
      <sheetName val="TAB DRM SCENES NOMADES"/>
      <sheetName val="DEVIS SCENES NOMADES"/>
      <sheetName val="TAB ANGOULEME"/>
      <sheetName val="DEVIS ANGOULEME"/>
      <sheetName val="TAB C+C"/>
      <sheetName val="DEVIS C+C"/>
      <sheetName val="TAB MARCHEPRIME"/>
      <sheetName val="DEVIS MARCHEPRIME"/>
      <sheetName val="TAB THOUARS"/>
      <sheetName val="DEVIS THOUARS"/>
      <sheetName val="TAB PESSAC"/>
      <sheetName val="DEVIS PESSAC"/>
      <sheetName val="TAB  NANTERRE"/>
      <sheetName val="DEVIS NANTERRE"/>
      <sheetName val="TAB  EVREUX 6 REP"/>
      <sheetName val="DEVIS EVREUX 6 REP"/>
      <sheetName val="TAB PANTIN 3R"/>
      <sheetName val="DEVIS PANTIN 3REP"/>
      <sheetName val="TAB PANTIN 4R"/>
      <sheetName val="DEVIS PANTIN 4R"/>
      <sheetName val="TAB CANEJAN 3R"/>
      <sheetName val="DEVISCANEJAN3R"/>
      <sheetName val="TAB CANEJAN4R"/>
      <sheetName val="DEVISCANEJAN4R"/>
      <sheetName val="TAB PANTIN 4R (3)"/>
      <sheetName val="DEVIS PANTIN 4R (3)"/>
      <sheetName val="TAB PANTIN 4R (4)"/>
      <sheetName val="DEVIS PANTIN 4R (4)"/>
      <sheetName val="DEVIS X3"/>
      <sheetName val="TAB_TNBA"/>
      <sheetName val="DEVIS_TNBA"/>
      <sheetName val="TAB_AURILX2"/>
      <sheetName val="DEVIS_AURIX2L"/>
      <sheetName val="TAB_AURILX3"/>
      <sheetName val="DEVIS_AURIX3"/>
      <sheetName val="TAB PONT DE CLAIX 2R"/>
      <sheetName val="DEVIS_PONT DE CLAIX 2R"/>
      <sheetName val="TAB PONT DE CLAIX 3R"/>
      <sheetName val="DEVIS_PONT DE CLAIX 3R "/>
      <sheetName val="TAB_A (5)"/>
      <sheetName val="DEVIS_A (5)"/>
      <sheetName val="TAB_A (6)"/>
      <sheetName val="DEVIS_A (6)"/>
      <sheetName val="TAB_A (7)"/>
      <sheetName val="DEVIS_A (7)"/>
      <sheetName val="TAB_A (8)"/>
      <sheetName val="DEVIS_A (8)"/>
      <sheetName val="TAB_A (9)"/>
      <sheetName val="DEVIS_A (9)"/>
      <sheetName val="SYNTHESE 2018"/>
      <sheetName val="DEVIS BIS"/>
      <sheetName val="TAB  EVREUX 6 REP (2)"/>
      <sheetName val="DEVIS EVREUX 6 REP (2)"/>
      <sheetName val="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celine.vaucenat@lapetitefabrique.org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celine.vaucenat@lapetitefabrique.org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5" sqref="D35"/>
    </sheetView>
  </sheetViews>
  <sheetFormatPr baseColWidth="10" defaultRowHeight="15.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FF0000"/>
  </sheetPr>
  <dimension ref="A1:R123"/>
  <sheetViews>
    <sheetView topLeftCell="A97" workbookViewId="0">
      <selection activeCell="F7" sqref="F7"/>
    </sheetView>
  </sheetViews>
  <sheetFormatPr baseColWidth="10" defaultColWidth="10.83203125" defaultRowHeight="15.5"/>
  <cols>
    <col min="1" max="1" width="14.33203125" style="1" bestFit="1" customWidth="1"/>
    <col min="2" max="2" width="18.5" style="20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6" thickBot="1">
      <c r="B1" s="2"/>
    </row>
    <row r="2" spans="1:18" ht="20.5" thickBot="1">
      <c r="B2" s="6" t="s">
        <v>0</v>
      </c>
      <c r="C2" s="303" t="s">
        <v>1</v>
      </c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4"/>
    </row>
    <row r="3" spans="1:18">
      <c r="B3" s="2"/>
    </row>
    <row r="4" spans="1:18">
      <c r="B4" s="2"/>
    </row>
    <row r="5" spans="1:18">
      <c r="B5" s="7" t="s">
        <v>2</v>
      </c>
      <c r="C5" s="8" t="s">
        <v>201</v>
      </c>
      <c r="D5" s="9"/>
    </row>
    <row r="6" spans="1:18">
      <c r="B6" s="10" t="s">
        <v>3</v>
      </c>
      <c r="C6" s="8" t="s">
        <v>202</v>
      </c>
      <c r="D6" s="9"/>
    </row>
    <row r="7" spans="1:18">
      <c r="B7" s="7" t="s">
        <v>4</v>
      </c>
      <c r="C7" s="8" t="s">
        <v>203</v>
      </c>
      <c r="D7" s="9"/>
      <c r="E7" s="3" t="s">
        <v>5</v>
      </c>
      <c r="F7" s="5">
        <v>2018</v>
      </c>
    </row>
    <row r="8" spans="1:18">
      <c r="A8" s="11"/>
      <c r="B8" s="7" t="s">
        <v>7</v>
      </c>
      <c r="C8" s="12">
        <v>2</v>
      </c>
      <c r="D8" s="9"/>
    </row>
    <row r="9" spans="1:18">
      <c r="A9" s="11"/>
      <c r="B9" s="13"/>
      <c r="C9" s="14" t="s">
        <v>8</v>
      </c>
      <c r="D9" s="14">
        <v>2</v>
      </c>
    </row>
    <row r="10" spans="1:18">
      <c r="A10" s="11"/>
      <c r="B10" s="13"/>
      <c r="C10" s="14" t="s">
        <v>9</v>
      </c>
      <c r="D10" s="14"/>
    </row>
    <row r="11" spans="1:18">
      <c r="A11" s="11"/>
      <c r="B11" s="2"/>
    </row>
    <row r="12" spans="1:18" s="17" customFormat="1" ht="16" thickBot="1">
      <c r="A12" s="15"/>
      <c r="B12" s="16"/>
      <c r="P12" s="18"/>
      <c r="R12" s="19"/>
    </row>
    <row r="13" spans="1:18" ht="16" thickBot="1">
      <c r="D13" s="21"/>
      <c r="E13" s="22" t="s">
        <v>10</v>
      </c>
      <c r="F13" s="22" t="s">
        <v>11</v>
      </c>
      <c r="G13" s="22" t="s">
        <v>12</v>
      </c>
      <c r="H13" s="22" t="s">
        <v>13</v>
      </c>
      <c r="I13" s="22" t="s">
        <v>14</v>
      </c>
      <c r="J13" s="22" t="s">
        <v>15</v>
      </c>
      <c r="K13" s="22" t="s">
        <v>16</v>
      </c>
      <c r="L13" s="22" t="s">
        <v>17</v>
      </c>
      <c r="M13" s="22" t="s">
        <v>18</v>
      </c>
      <c r="N13" s="22" t="s">
        <v>19</v>
      </c>
      <c r="O13" s="22" t="s">
        <v>20</v>
      </c>
    </row>
    <row r="14" spans="1:18" ht="16" thickBot="1">
      <c r="C14" s="23" t="s">
        <v>21</v>
      </c>
      <c r="D14" s="23"/>
      <c r="E14" s="24">
        <v>43199</v>
      </c>
      <c r="F14" s="25"/>
      <c r="G14" s="24" t="s">
        <v>22</v>
      </c>
      <c r="H14" s="24" t="s">
        <v>23</v>
      </c>
      <c r="I14" s="24" t="s">
        <v>24</v>
      </c>
      <c r="J14" s="24" t="s">
        <v>25</v>
      </c>
      <c r="K14" s="24" t="s">
        <v>26</v>
      </c>
      <c r="L14" s="24"/>
      <c r="M14" s="24"/>
      <c r="N14" s="24"/>
      <c r="O14" s="24"/>
    </row>
    <row r="15" spans="1:18" s="20" customFormat="1" ht="16" thickBot="1">
      <c r="A15" s="11" t="s">
        <v>27</v>
      </c>
      <c r="B15" s="26">
        <v>180</v>
      </c>
      <c r="C15" s="27" t="s">
        <v>28</v>
      </c>
      <c r="D15" s="28" t="s">
        <v>29</v>
      </c>
      <c r="E15" s="29" t="s">
        <v>30</v>
      </c>
      <c r="F15" s="29" t="s">
        <v>31</v>
      </c>
      <c r="G15" s="29" t="str">
        <f>+A15</f>
        <v>MONTAGE</v>
      </c>
      <c r="H15" s="29" t="str">
        <f>+A18</f>
        <v>2REP+DEMONTAGE</v>
      </c>
      <c r="I15" s="29"/>
      <c r="J15" s="29"/>
      <c r="K15" s="29"/>
      <c r="L15" s="29"/>
      <c r="M15" s="29">
        <v>0</v>
      </c>
      <c r="N15" s="29"/>
      <c r="O15" s="29"/>
      <c r="P15" s="30" t="s">
        <v>32</v>
      </c>
      <c r="R15" s="31"/>
    </row>
    <row r="16" spans="1:18" ht="16" thickBot="1">
      <c r="A16" s="11" t="s">
        <v>33</v>
      </c>
      <c r="B16" s="26">
        <v>180</v>
      </c>
      <c r="D16" s="32"/>
      <c r="E16" s="33">
        <v>2</v>
      </c>
      <c r="F16" s="33"/>
      <c r="G16" s="34"/>
      <c r="H16" s="34"/>
      <c r="I16" s="34"/>
      <c r="J16" s="34"/>
      <c r="K16" s="34"/>
      <c r="L16" s="34"/>
      <c r="M16" s="34"/>
      <c r="N16" s="34"/>
      <c r="O16" s="34"/>
      <c r="P16" s="35"/>
      <c r="R16" s="5" t="s">
        <v>34</v>
      </c>
    </row>
    <row r="17" spans="1:18">
      <c r="A17" s="36" t="s">
        <v>35</v>
      </c>
      <c r="B17" s="26">
        <v>240</v>
      </c>
      <c r="C17" s="37" t="s">
        <v>204</v>
      </c>
      <c r="D17" s="38">
        <f>100+90</f>
        <v>190</v>
      </c>
      <c r="E17" s="39">
        <f>$E$16*12</f>
        <v>24</v>
      </c>
      <c r="F17" s="39"/>
      <c r="G17" s="39">
        <f>IF($G$15="MONTAGE",180,0)</f>
        <v>180</v>
      </c>
      <c r="H17" s="39">
        <f>IF(H15="1rep",180,0)+IF(H15="2rep",220,0)+IF(H15="2rep+demontage",250,0)+IF(H15="1rep+démontage",180,0)</f>
        <v>250</v>
      </c>
      <c r="I17" s="39">
        <f t="shared" ref="I17:N17" si="0">IF(I15="1rep",180,0)+IF(I15="2rep",220,0)+IF(I15="2rep+demontage",250,0)+IF(I15="1rep+démontage",180,0)</f>
        <v>0</v>
      </c>
      <c r="J17" s="39">
        <f t="shared" si="0"/>
        <v>0</v>
      </c>
      <c r="K17" s="39">
        <f t="shared" si="0"/>
        <v>0</v>
      </c>
      <c r="L17" s="39">
        <f t="shared" si="0"/>
        <v>0</v>
      </c>
      <c r="M17" s="39">
        <f t="shared" si="0"/>
        <v>0</v>
      </c>
      <c r="N17" s="39">
        <f t="shared" si="0"/>
        <v>0</v>
      </c>
      <c r="O17" s="39">
        <f t="shared" ref="O17" si="1">IF(O15="1rep",180,0)+IF(O15="2rep",240,0)+IF(O15="2rep+demontage",270,0)</f>
        <v>0</v>
      </c>
      <c r="P17" s="40">
        <f>SUM(D17:O17)</f>
        <v>644</v>
      </c>
      <c r="Q17" s="37" t="s">
        <v>36</v>
      </c>
      <c r="R17" s="5">
        <f>SUM(F20:N20)</f>
        <v>24</v>
      </c>
    </row>
    <row r="18" spans="1:18">
      <c r="A18" s="11" t="s">
        <v>37</v>
      </c>
      <c r="B18" s="26">
        <v>270</v>
      </c>
      <c r="C18" s="41" t="s">
        <v>204</v>
      </c>
      <c r="D18" s="42"/>
      <c r="E18" s="43">
        <f t="shared" ref="E18" si="2">$E$16*12</f>
        <v>24</v>
      </c>
      <c r="F18" s="43"/>
      <c r="G18" s="43">
        <f>IF($G$15="montage",180,0)</f>
        <v>180</v>
      </c>
      <c r="H18" s="43">
        <f>IF(H15="1rep",180,0)+IF(H15="2rep",220,0)+IF(H15="2rep+demontage",250,0)+IF(H16="1rep+démontage",180,0)</f>
        <v>250</v>
      </c>
      <c r="I18" s="43">
        <f t="shared" ref="I18:N18" si="3">IF(I15="1rep",180,0)+IF(I15="2rep",220,0)+IF(I15="2rep+demontage",250,0)+IF(I16="1rep+démontage",180,0)</f>
        <v>0</v>
      </c>
      <c r="J18" s="43">
        <f t="shared" si="3"/>
        <v>0</v>
      </c>
      <c r="K18" s="43">
        <f t="shared" si="3"/>
        <v>0</v>
      </c>
      <c r="L18" s="43">
        <f t="shared" si="3"/>
        <v>0</v>
      </c>
      <c r="M18" s="43">
        <f t="shared" si="3"/>
        <v>0</v>
      </c>
      <c r="N18" s="43">
        <f t="shared" si="3"/>
        <v>0</v>
      </c>
      <c r="O18" s="43">
        <f t="shared" ref="O18" si="4">IF(O15="1rep",180,0)+IF(O15="2rep",240,0)+IF(O15="2rep+demontage",270,0)</f>
        <v>0</v>
      </c>
      <c r="P18" s="40">
        <f>SUM(D18:M18)</f>
        <v>454</v>
      </c>
      <c r="Q18" s="41" t="s">
        <v>38</v>
      </c>
      <c r="R18" s="5">
        <f t="shared" ref="R18" si="5">SUM(F21:N21)</f>
        <v>24</v>
      </c>
    </row>
    <row r="19" spans="1:18" ht="16" thickBot="1">
      <c r="A19" s="11" t="s">
        <v>39</v>
      </c>
      <c r="B19" s="26">
        <v>210</v>
      </c>
      <c r="C19" s="44" t="s">
        <v>40</v>
      </c>
      <c r="D19" s="45">
        <v>180</v>
      </c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0">
        <f>SUM(D19:M19)</f>
        <v>180</v>
      </c>
      <c r="Q19" s="44" t="s">
        <v>40</v>
      </c>
    </row>
    <row r="20" spans="1:18" s="47" customFormat="1">
      <c r="C20" s="48"/>
      <c r="D20" s="49"/>
      <c r="E20" s="49"/>
      <c r="F20" s="49"/>
      <c r="G20" s="50">
        <f t="shared" ref="G20:N21" si="6">IF(G17&gt;1,12,0)</f>
        <v>12</v>
      </c>
      <c r="H20" s="50">
        <f t="shared" si="6"/>
        <v>12</v>
      </c>
      <c r="I20" s="50">
        <f t="shared" si="6"/>
        <v>0</v>
      </c>
      <c r="J20" s="50">
        <f t="shared" si="6"/>
        <v>0</v>
      </c>
      <c r="K20" s="50">
        <f t="shared" si="6"/>
        <v>0</v>
      </c>
      <c r="L20" s="50">
        <f t="shared" si="6"/>
        <v>0</v>
      </c>
      <c r="M20" s="50">
        <f t="shared" si="6"/>
        <v>0</v>
      </c>
      <c r="N20" s="50">
        <f t="shared" si="6"/>
        <v>0</v>
      </c>
      <c r="O20" s="51" t="s">
        <v>41</v>
      </c>
      <c r="P20" s="52">
        <f>SUM(P17:P19)</f>
        <v>1278</v>
      </c>
      <c r="Q20" s="48"/>
      <c r="R20" s="5">
        <f>SUM(R17:R19)</f>
        <v>48</v>
      </c>
    </row>
    <row r="21" spans="1:18" s="47" customFormat="1" ht="16" thickBot="1">
      <c r="C21" s="48"/>
      <c r="D21" s="49"/>
      <c r="E21" s="49"/>
      <c r="F21" s="49"/>
      <c r="G21" s="50">
        <f t="shared" si="6"/>
        <v>12</v>
      </c>
      <c r="H21" s="50">
        <f t="shared" si="6"/>
        <v>12</v>
      </c>
      <c r="I21" s="50">
        <f t="shared" si="6"/>
        <v>0</v>
      </c>
      <c r="J21" s="50">
        <f t="shared" si="6"/>
        <v>0</v>
      </c>
      <c r="K21" s="50">
        <f t="shared" si="6"/>
        <v>0</v>
      </c>
      <c r="L21" s="50">
        <f t="shared" si="6"/>
        <v>0</v>
      </c>
      <c r="M21" s="50">
        <f t="shared" si="6"/>
        <v>0</v>
      </c>
      <c r="N21" s="50">
        <f t="shared" si="6"/>
        <v>0</v>
      </c>
      <c r="O21" s="53" t="s">
        <v>42</v>
      </c>
      <c r="P21" s="54">
        <f>+P17*0.67+P18*0.63+P19*0.63</f>
        <v>830.9</v>
      </c>
      <c r="Q21" s="48"/>
      <c r="R21" s="55"/>
    </row>
    <row r="22" spans="1:18">
      <c r="G22" s="1"/>
      <c r="H22" s="1"/>
      <c r="I22" s="1"/>
      <c r="J22" s="1"/>
      <c r="K22" s="1"/>
      <c r="L22" s="1"/>
      <c r="M22" s="1"/>
      <c r="N22" s="1"/>
      <c r="P22" s="4">
        <f>SUM(P20:P21)</f>
        <v>2108.9</v>
      </c>
      <c r="Q22" s="56"/>
    </row>
    <row r="23" spans="1:18" ht="16" thickBot="1">
      <c r="G23" s="1"/>
      <c r="H23" s="1"/>
      <c r="I23" s="1"/>
      <c r="J23" s="1"/>
      <c r="K23" s="1"/>
      <c r="L23" s="1"/>
      <c r="M23" s="1"/>
      <c r="N23" s="1"/>
      <c r="Q23" s="56"/>
    </row>
    <row r="24" spans="1:18" ht="16" thickBot="1">
      <c r="C24" s="56"/>
      <c r="D24" s="57"/>
      <c r="E24" s="58"/>
      <c r="F24" s="59"/>
      <c r="G24" s="60" t="s">
        <v>12</v>
      </c>
      <c r="H24" s="22" t="s">
        <v>13</v>
      </c>
      <c r="I24" s="22" t="s">
        <v>14</v>
      </c>
      <c r="J24" s="22" t="s">
        <v>15</v>
      </c>
      <c r="K24" s="22" t="s">
        <v>16</v>
      </c>
      <c r="L24" s="22" t="s">
        <v>17</v>
      </c>
      <c r="M24" s="22" t="s">
        <v>18</v>
      </c>
      <c r="N24" s="22" t="s">
        <v>19</v>
      </c>
      <c r="O24" s="22" t="s">
        <v>20</v>
      </c>
      <c r="P24" s="56"/>
      <c r="Q24" s="56"/>
    </row>
    <row r="25" spans="1:18" ht="16" thickBot="1">
      <c r="C25" s="61" t="s">
        <v>21</v>
      </c>
      <c r="D25" s="62"/>
      <c r="E25" s="63"/>
      <c r="F25" s="64" t="s">
        <v>21</v>
      </c>
      <c r="G25" s="65" t="str">
        <f t="shared" ref="G25:O25" si="7">+G14</f>
        <v>mar 10/04</v>
      </c>
      <c r="H25" s="65" t="str">
        <f t="shared" si="7"/>
        <v xml:space="preserve"> mer 11/04/2018</v>
      </c>
      <c r="I25" s="65" t="str">
        <f t="shared" si="7"/>
        <v xml:space="preserve"> jeu 12/04/2018</v>
      </c>
      <c r="J25" s="65" t="str">
        <f t="shared" si="7"/>
        <v xml:space="preserve"> vend 13/04/2018</v>
      </c>
      <c r="K25" s="65" t="str">
        <f t="shared" si="7"/>
        <v xml:space="preserve"> sam 14/04/2018</v>
      </c>
      <c r="L25" s="65">
        <f t="shared" si="7"/>
        <v>0</v>
      </c>
      <c r="M25" s="65">
        <f t="shared" si="7"/>
        <v>0</v>
      </c>
      <c r="N25" s="65">
        <f t="shared" si="7"/>
        <v>0</v>
      </c>
      <c r="O25" s="65">
        <f t="shared" si="7"/>
        <v>0</v>
      </c>
    </row>
    <row r="26" spans="1:18" ht="16" thickBot="1">
      <c r="A26" s="66" t="s">
        <v>43</v>
      </c>
      <c r="B26" s="67">
        <v>60</v>
      </c>
      <c r="C26" s="68" t="s">
        <v>44</v>
      </c>
      <c r="D26" s="62"/>
      <c r="E26" s="63"/>
      <c r="F26" s="69"/>
      <c r="G26" s="70" t="s">
        <v>45</v>
      </c>
      <c r="H26" s="29" t="s">
        <v>35</v>
      </c>
      <c r="I26" s="29"/>
      <c r="J26" s="29"/>
      <c r="K26" s="29"/>
      <c r="L26" s="29"/>
      <c r="M26" s="71">
        <v>0</v>
      </c>
      <c r="N26" s="71"/>
      <c r="O26" s="71">
        <v>1</v>
      </c>
      <c r="P26" s="30" t="s">
        <v>32</v>
      </c>
    </row>
    <row r="27" spans="1:18">
      <c r="A27" s="66" t="s">
        <v>46</v>
      </c>
      <c r="B27" s="67">
        <v>190</v>
      </c>
      <c r="C27" s="72" t="s">
        <v>204</v>
      </c>
      <c r="D27" s="62"/>
      <c r="E27" s="63"/>
      <c r="F27" s="69"/>
      <c r="G27" s="73">
        <f>IF($G$26="raccord",60,0)</f>
        <v>60</v>
      </c>
      <c r="H27" s="74">
        <f>IF(H26="raccord+1rep",190,0)+IF(H26="raccord+2rep",220)+IF(H26="1rep",180,0)+IF(H26="2rep",210)</f>
        <v>210</v>
      </c>
      <c r="I27" s="74">
        <f>IF(I26="raccord+1rep",190,0)+IF(I26="raccord+2rep",220)+IF(I26="1rep",180,0)+IF(I26="2rep",210)</f>
        <v>0</v>
      </c>
      <c r="J27" s="74">
        <f t="shared" ref="J27:O27" si="8">IF(J26="raccord+1rep",190,0)+IF(J26="raccord+2rep",220)+IF(J26="1rep",180,0)+IF(J26="2rep",210)</f>
        <v>0</v>
      </c>
      <c r="K27" s="74">
        <f t="shared" si="8"/>
        <v>0</v>
      </c>
      <c r="L27" s="74">
        <f t="shared" si="8"/>
        <v>0</v>
      </c>
      <c r="M27" s="74">
        <f t="shared" si="8"/>
        <v>0</v>
      </c>
      <c r="N27" s="74"/>
      <c r="O27" s="74">
        <f t="shared" si="8"/>
        <v>0</v>
      </c>
      <c r="P27" s="75">
        <f>SUM(G27:O27)</f>
        <v>270</v>
      </c>
      <c r="Q27" s="72" t="s">
        <v>47</v>
      </c>
      <c r="R27" s="5">
        <f>SUM(G31:N31)</f>
        <v>24</v>
      </c>
    </row>
    <row r="28" spans="1:18">
      <c r="A28" s="66" t="s">
        <v>48</v>
      </c>
      <c r="B28" s="67">
        <v>220</v>
      </c>
      <c r="C28" s="76" t="s">
        <v>204</v>
      </c>
      <c r="D28" s="62"/>
      <c r="E28" s="63"/>
      <c r="F28" s="69"/>
      <c r="G28" s="73">
        <f t="shared" ref="G28:G29" si="9">IF($G$26="raccord",60,0)</f>
        <v>60</v>
      </c>
      <c r="H28" s="74">
        <f>IF(H26="raccord+1rep",190,0)+IF(H26="raccord+2rep",220)+IF(H26="1rep",180,0)+IF(H26="2rep",210)</f>
        <v>210</v>
      </c>
      <c r="I28" s="74">
        <f t="shared" ref="I28:O28" si="10">IF(I26="raccord+1rep",190,0)+IF(I26="raccord+2rep",220)+IF(I26="1rep",180,0)+IF(I26="2rep",210)</f>
        <v>0</v>
      </c>
      <c r="J28" s="74">
        <f t="shared" si="10"/>
        <v>0</v>
      </c>
      <c r="K28" s="74">
        <f t="shared" si="10"/>
        <v>0</v>
      </c>
      <c r="L28" s="74">
        <f t="shared" si="10"/>
        <v>0</v>
      </c>
      <c r="M28" s="74">
        <f t="shared" si="10"/>
        <v>0</v>
      </c>
      <c r="N28" s="74"/>
      <c r="O28" s="74">
        <f t="shared" si="10"/>
        <v>0</v>
      </c>
      <c r="P28" s="75">
        <f t="shared" ref="P28:P29" si="11">SUM(G28:O28)</f>
        <v>270</v>
      </c>
      <c r="Q28" s="76" t="s">
        <v>49</v>
      </c>
      <c r="R28" s="5">
        <f t="shared" ref="R28:R30" si="12">SUM(G32:N32)</f>
        <v>24</v>
      </c>
    </row>
    <row r="29" spans="1:18">
      <c r="A29" s="77" t="s">
        <v>33</v>
      </c>
      <c r="B29" s="26">
        <v>180</v>
      </c>
      <c r="C29" s="76" t="s">
        <v>204</v>
      </c>
      <c r="D29" s="62"/>
      <c r="E29" s="63"/>
      <c r="F29" s="69"/>
      <c r="G29" s="73">
        <f t="shared" si="9"/>
        <v>60</v>
      </c>
      <c r="H29" s="74">
        <f>IF(H26="raccord+1rep",190,0)+IF(H26="raccord+2rep",220)+IF(H26="1rep",180,0)+IF(H26="2rep",210)</f>
        <v>210</v>
      </c>
      <c r="I29" s="74">
        <f t="shared" ref="I29:O29" si="13">IF(I26="raccord+1rep",190,0)+IF(I26="raccord+2rep",220)+IF(I26="1rep",180,0)+IF(I26="2rep",210)</f>
        <v>0</v>
      </c>
      <c r="J29" s="74">
        <f t="shared" si="13"/>
        <v>0</v>
      </c>
      <c r="K29" s="74">
        <f t="shared" si="13"/>
        <v>0</v>
      </c>
      <c r="L29" s="74">
        <f t="shared" si="13"/>
        <v>0</v>
      </c>
      <c r="M29" s="74">
        <f t="shared" si="13"/>
        <v>0</v>
      </c>
      <c r="N29" s="74"/>
      <c r="O29" s="74">
        <f t="shared" si="13"/>
        <v>0</v>
      </c>
      <c r="P29" s="75">
        <f t="shared" si="11"/>
        <v>270</v>
      </c>
      <c r="Q29" s="76" t="s">
        <v>50</v>
      </c>
      <c r="R29" s="5">
        <f t="shared" si="12"/>
        <v>24</v>
      </c>
    </row>
    <row r="30" spans="1:18" ht="16" thickBot="1">
      <c r="A30" s="77" t="s">
        <v>35</v>
      </c>
      <c r="B30" s="26">
        <v>210</v>
      </c>
      <c r="C30" s="76"/>
      <c r="D30" s="78"/>
      <c r="E30" s="79"/>
      <c r="F30" s="80"/>
      <c r="G30" s="81"/>
      <c r="H30" s="74"/>
      <c r="I30" s="74"/>
      <c r="J30" s="74"/>
      <c r="K30" s="74"/>
      <c r="L30" s="74"/>
      <c r="M30" s="74"/>
      <c r="N30" s="74"/>
      <c r="O30" s="74"/>
      <c r="P30" s="75"/>
      <c r="Q30" s="82"/>
      <c r="R30" s="5">
        <f t="shared" si="12"/>
        <v>0</v>
      </c>
    </row>
    <row r="31" spans="1:18">
      <c r="C31" s="56"/>
      <c r="D31" s="83"/>
      <c r="E31" s="83"/>
      <c r="F31" s="83"/>
      <c r="G31" s="50">
        <f>IF(G27&gt;1,12,0)</f>
        <v>12</v>
      </c>
      <c r="H31" s="50">
        <f t="shared" ref="H31:N32" si="14">IF(H27&gt;1,12,0)</f>
        <v>12</v>
      </c>
      <c r="I31" s="50">
        <f t="shared" si="14"/>
        <v>0</v>
      </c>
      <c r="J31" s="50">
        <f t="shared" si="14"/>
        <v>0</v>
      </c>
      <c r="K31" s="50">
        <f t="shared" si="14"/>
        <v>0</v>
      </c>
      <c r="L31" s="50">
        <f t="shared" si="14"/>
        <v>0</v>
      </c>
      <c r="M31" s="50">
        <f t="shared" si="14"/>
        <v>0</v>
      </c>
      <c r="N31" s="50">
        <f t="shared" si="14"/>
        <v>0</v>
      </c>
      <c r="O31" s="84" t="s">
        <v>51</v>
      </c>
      <c r="P31" s="85">
        <f>SUM(P27:P30)</f>
        <v>810</v>
      </c>
      <c r="Q31" s="86"/>
    </row>
    <row r="32" spans="1:18" ht="16" thickBot="1">
      <c r="C32" s="56"/>
      <c r="D32" s="83"/>
      <c r="E32" s="83"/>
      <c r="F32" s="83"/>
      <c r="G32" s="50">
        <f>IF(G28&gt;1,12,0)</f>
        <v>12</v>
      </c>
      <c r="H32" s="50">
        <f t="shared" si="14"/>
        <v>12</v>
      </c>
      <c r="I32" s="50">
        <f t="shared" si="14"/>
        <v>0</v>
      </c>
      <c r="J32" s="50">
        <f t="shared" si="14"/>
        <v>0</v>
      </c>
      <c r="K32" s="50">
        <f t="shared" si="14"/>
        <v>0</v>
      </c>
      <c r="L32" s="50">
        <f t="shared" si="14"/>
        <v>0</v>
      </c>
      <c r="M32" s="50">
        <f t="shared" si="14"/>
        <v>0</v>
      </c>
      <c r="N32" s="50">
        <f t="shared" si="14"/>
        <v>0</v>
      </c>
      <c r="O32" s="87" t="s">
        <v>52</v>
      </c>
      <c r="P32" s="88">
        <f>+(P27+P28+P29)*0.46+P30*0.57</f>
        <v>372.6</v>
      </c>
      <c r="Q32" s="86"/>
      <c r="R32" s="5">
        <f>SUM(R27:R31)</f>
        <v>72</v>
      </c>
    </row>
    <row r="33" spans="1:18">
      <c r="C33" s="56"/>
      <c r="D33" s="83"/>
      <c r="E33" s="83"/>
      <c r="F33" s="83"/>
      <c r="G33" s="50">
        <f t="shared" ref="G33:N34" si="15">IF(G29&gt;1,12,0)</f>
        <v>12</v>
      </c>
      <c r="H33" s="50">
        <f t="shared" si="15"/>
        <v>12</v>
      </c>
      <c r="I33" s="50">
        <f t="shared" si="15"/>
        <v>0</v>
      </c>
      <c r="J33" s="50">
        <f t="shared" si="15"/>
        <v>0</v>
      </c>
      <c r="K33" s="50">
        <f t="shared" si="15"/>
        <v>0</v>
      </c>
      <c r="L33" s="50">
        <f t="shared" si="15"/>
        <v>0</v>
      </c>
      <c r="M33" s="50">
        <f t="shared" si="15"/>
        <v>0</v>
      </c>
      <c r="N33" s="50">
        <f t="shared" si="15"/>
        <v>0</v>
      </c>
      <c r="O33" s="89"/>
      <c r="P33" s="90">
        <f>SUM(P31:P32)</f>
        <v>1182.5999999999999</v>
      </c>
      <c r="Q33" s="86"/>
    </row>
    <row r="34" spans="1:18">
      <c r="C34" s="56"/>
      <c r="D34" s="83"/>
      <c r="E34" s="83"/>
      <c r="F34" s="83"/>
      <c r="G34" s="50">
        <f t="shared" si="15"/>
        <v>0</v>
      </c>
      <c r="H34" s="50">
        <f t="shared" si="15"/>
        <v>0</v>
      </c>
      <c r="I34" s="50">
        <f t="shared" si="15"/>
        <v>0</v>
      </c>
      <c r="J34" s="50">
        <f t="shared" si="15"/>
        <v>0</v>
      </c>
      <c r="K34" s="50">
        <f t="shared" si="15"/>
        <v>0</v>
      </c>
      <c r="L34" s="50">
        <f t="shared" si="15"/>
        <v>0</v>
      </c>
      <c r="M34" s="50">
        <f t="shared" si="15"/>
        <v>0</v>
      </c>
      <c r="N34" s="50">
        <f t="shared" si="15"/>
        <v>0</v>
      </c>
      <c r="O34" s="89"/>
      <c r="P34" s="90"/>
      <c r="Q34" s="86"/>
    </row>
    <row r="35" spans="1:18">
      <c r="C35" s="91"/>
      <c r="D35" s="91"/>
      <c r="E35" s="91"/>
      <c r="F35" s="91"/>
      <c r="G35" s="91"/>
      <c r="H35" s="91"/>
      <c r="I35" s="91"/>
      <c r="J35" s="91"/>
      <c r="K35" s="91"/>
      <c r="L35" s="91"/>
      <c r="R35" s="5">
        <f>+R32+R20</f>
        <v>120</v>
      </c>
    </row>
    <row r="36" spans="1:18" ht="18">
      <c r="C36" s="305" t="s">
        <v>53</v>
      </c>
      <c r="D36" s="306"/>
      <c r="E36" s="306"/>
      <c r="F36" s="306"/>
      <c r="G36" s="306"/>
      <c r="H36" s="306"/>
      <c r="I36" s="306"/>
      <c r="J36" s="307"/>
    </row>
    <row r="37" spans="1:18" s="94" customFormat="1" ht="16" thickBot="1">
      <c r="A37" s="92"/>
      <c r="B37" s="93"/>
      <c r="P37" s="95"/>
      <c r="R37" s="96"/>
    </row>
    <row r="38" spans="1:18" s="94" customFormat="1" ht="18" thickBot="1">
      <c r="A38" s="92"/>
      <c r="B38" s="93"/>
      <c r="C38" s="97" t="s">
        <v>54</v>
      </c>
      <c r="D38" s="98"/>
      <c r="E38" s="99"/>
      <c r="F38" s="99"/>
      <c r="G38" s="99"/>
      <c r="H38" s="99"/>
      <c r="I38" s="100"/>
      <c r="J38" s="101">
        <f>P20+P21+P31+P32</f>
        <v>3291.5</v>
      </c>
      <c r="K38" s="102" t="s">
        <v>55</v>
      </c>
      <c r="L38" s="103"/>
      <c r="P38" s="95"/>
      <c r="R38" s="96"/>
    </row>
    <row r="39" spans="1:18" s="94" customFormat="1" ht="16" thickBot="1">
      <c r="A39" s="92"/>
      <c r="B39" s="93"/>
      <c r="C39" s="104" t="s">
        <v>56</v>
      </c>
      <c r="D39" s="105">
        <v>0.4</v>
      </c>
      <c r="E39" s="106"/>
      <c r="F39" s="106"/>
      <c r="G39" s="106"/>
      <c r="H39" s="106"/>
      <c r="I39" s="107"/>
      <c r="J39" s="108">
        <f>+J38*D39</f>
        <v>1316.6000000000001</v>
      </c>
      <c r="K39" s="109"/>
      <c r="L39" s="110"/>
      <c r="M39" s="94" t="s">
        <v>57</v>
      </c>
      <c r="P39" s="95"/>
      <c r="R39" s="96"/>
    </row>
    <row r="40" spans="1:18" s="94" customFormat="1" ht="16" thickBot="1">
      <c r="A40" s="92"/>
      <c r="B40" s="93"/>
      <c r="C40" s="111" t="s">
        <v>58</v>
      </c>
      <c r="D40" s="112"/>
      <c r="E40" s="112"/>
      <c r="F40" s="112"/>
      <c r="G40" s="112"/>
      <c r="H40" s="112"/>
      <c r="I40" s="113"/>
      <c r="J40" s="114">
        <f>J38+J39</f>
        <v>4608.1000000000004</v>
      </c>
      <c r="K40" s="115">
        <f>+J40/C8</f>
        <v>2304.0500000000002</v>
      </c>
      <c r="L40" s="116">
        <f>+D39</f>
        <v>0.4</v>
      </c>
      <c r="P40" s="95"/>
      <c r="R40" s="96"/>
    </row>
    <row r="41" spans="1:18" ht="16" thickBot="1">
      <c r="C41" s="104" t="s">
        <v>59</v>
      </c>
      <c r="D41" s="105">
        <v>0.3</v>
      </c>
      <c r="E41" s="106"/>
      <c r="F41" s="106"/>
      <c r="G41" s="106"/>
      <c r="H41" s="106"/>
      <c r="I41" s="107"/>
      <c r="J41" s="108">
        <f>+J38*D41</f>
        <v>987.44999999999993</v>
      </c>
      <c r="K41" s="109"/>
      <c r="L41" s="117"/>
      <c r="M41" s="94"/>
      <c r="N41" s="94"/>
      <c r="O41" s="94"/>
    </row>
    <row r="42" spans="1:18" s="94" customFormat="1" ht="16" thickBot="1">
      <c r="A42" s="92"/>
      <c r="B42" s="93"/>
      <c r="C42" s="118" t="s">
        <v>60</v>
      </c>
      <c r="D42" s="119"/>
      <c r="E42" s="119"/>
      <c r="F42" s="119"/>
      <c r="G42" s="119"/>
      <c r="H42" s="119"/>
      <c r="I42" s="120"/>
      <c r="J42" s="121">
        <f>+J41+J38</f>
        <v>4278.95</v>
      </c>
      <c r="K42" s="115">
        <f>+J42/C8</f>
        <v>2139.4749999999999</v>
      </c>
      <c r="L42" s="116">
        <f>+D41</f>
        <v>0.3</v>
      </c>
      <c r="P42" s="95"/>
      <c r="R42" s="96"/>
    </row>
    <row r="43" spans="1:18" ht="17" thickBot="1">
      <c r="C43" s="122" t="s">
        <v>61</v>
      </c>
      <c r="D43" s="123"/>
      <c r="E43" s="123"/>
      <c r="F43" s="123"/>
      <c r="G43" s="123"/>
      <c r="H43" s="123"/>
      <c r="I43" s="124"/>
      <c r="J43" s="125">
        <v>3300</v>
      </c>
      <c r="K43" s="126">
        <f>+J43/C8</f>
        <v>1650</v>
      </c>
      <c r="L43" s="127">
        <f>+D44</f>
        <v>2.5824092359105766E-3</v>
      </c>
    </row>
    <row r="44" spans="1:18" ht="17" thickBot="1">
      <c r="C44" s="128" t="s">
        <v>62</v>
      </c>
      <c r="D44" s="129">
        <f>(+J43/J38)-1</f>
        <v>2.5824092359105766E-3</v>
      </c>
      <c r="E44" s="130"/>
      <c r="F44" s="130"/>
      <c r="G44" s="130"/>
      <c r="H44" s="130"/>
      <c r="I44" s="131"/>
      <c r="J44" s="132">
        <f>J43-J38</f>
        <v>8.5</v>
      </c>
      <c r="K44" s="94"/>
    </row>
    <row r="45" spans="1:18">
      <c r="K45" s="94"/>
    </row>
    <row r="46" spans="1:18" ht="16" thickBot="1"/>
    <row r="47" spans="1:18" ht="20.5" thickBot="1">
      <c r="B47" s="6" t="s">
        <v>63</v>
      </c>
      <c r="C47" s="303" t="s">
        <v>64</v>
      </c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4"/>
      <c r="R47" s="3"/>
    </row>
    <row r="49" spans="1:18">
      <c r="B49" s="133"/>
      <c r="C49" s="134"/>
      <c r="D49" s="134"/>
      <c r="E49" s="134"/>
      <c r="F49" s="134"/>
      <c r="G49" s="135" t="s">
        <v>65</v>
      </c>
      <c r="R49" s="3"/>
    </row>
    <row r="50" spans="1:18">
      <c r="B50" s="136" t="s">
        <v>66</v>
      </c>
      <c r="C50" s="137" t="s">
        <v>67</v>
      </c>
      <c r="D50" s="137" t="s">
        <v>68</v>
      </c>
      <c r="E50" s="137" t="s">
        <v>69</v>
      </c>
      <c r="F50" s="138" t="s">
        <v>70</v>
      </c>
      <c r="G50" s="139">
        <f>SUM(F51:F51)</f>
        <v>216</v>
      </c>
      <c r="R50" s="3"/>
    </row>
    <row r="51" spans="1:18">
      <c r="A51" s="3"/>
      <c r="B51" s="140" t="s">
        <v>71</v>
      </c>
      <c r="C51" s="141">
        <v>60</v>
      </c>
      <c r="D51" s="142">
        <v>3</v>
      </c>
      <c r="E51" s="141">
        <f>C51*D51</f>
        <v>180</v>
      </c>
      <c r="F51" s="143">
        <f>E51*1.2</f>
        <v>216</v>
      </c>
      <c r="G51" s="135"/>
      <c r="P51" s="3"/>
      <c r="R51" s="3"/>
    </row>
    <row r="52" spans="1:18">
      <c r="A52" s="3"/>
      <c r="B52" s="144" t="s">
        <v>72</v>
      </c>
      <c r="C52" s="137" t="s">
        <v>73</v>
      </c>
      <c r="D52" s="137" t="s">
        <v>74</v>
      </c>
      <c r="E52" s="137" t="s">
        <v>75</v>
      </c>
      <c r="F52" s="138"/>
      <c r="G52" s="139">
        <f>SUM(E53:F53)</f>
        <v>136</v>
      </c>
      <c r="P52" s="3"/>
      <c r="R52" s="3"/>
    </row>
    <row r="53" spans="1:18">
      <c r="A53" s="3"/>
      <c r="B53" s="140" t="s">
        <v>76</v>
      </c>
      <c r="C53" s="141">
        <v>400</v>
      </c>
      <c r="D53" s="145">
        <v>0.25</v>
      </c>
      <c r="E53" s="141">
        <v>18</v>
      </c>
      <c r="F53" s="143">
        <f>+C53*D53+E53</f>
        <v>118</v>
      </c>
      <c r="G53" s="146"/>
      <c r="P53" s="3"/>
      <c r="R53" s="3"/>
    </row>
    <row r="54" spans="1:18">
      <c r="A54" s="3"/>
      <c r="B54" s="144" t="s">
        <v>77</v>
      </c>
      <c r="C54" s="137" t="s">
        <v>78</v>
      </c>
      <c r="D54" s="137" t="s">
        <v>79</v>
      </c>
      <c r="E54" s="137" t="s">
        <v>80</v>
      </c>
      <c r="F54" s="138" t="s">
        <v>81</v>
      </c>
      <c r="G54" s="139">
        <f>SUM(C56:F59)</f>
        <v>240</v>
      </c>
      <c r="P54" s="3"/>
      <c r="R54" s="3"/>
    </row>
    <row r="55" spans="1:18">
      <c r="A55" s="3"/>
      <c r="B55" s="147"/>
      <c r="C55" s="141" t="s">
        <v>82</v>
      </c>
      <c r="D55" s="141"/>
      <c r="E55" s="141"/>
      <c r="F55" s="143"/>
      <c r="G55" s="135"/>
      <c r="P55" s="3"/>
      <c r="R55" s="3"/>
    </row>
    <row r="56" spans="1:18">
      <c r="A56" s="3"/>
      <c r="B56" s="72" t="s">
        <v>204</v>
      </c>
      <c r="C56" s="141">
        <v>80</v>
      </c>
      <c r="D56" s="141"/>
      <c r="E56" s="141"/>
      <c r="F56" s="143"/>
      <c r="G56" s="135"/>
      <c r="P56" s="3"/>
      <c r="R56" s="3"/>
    </row>
    <row r="57" spans="1:18">
      <c r="A57" s="3"/>
      <c r="B57" s="76" t="s">
        <v>203</v>
      </c>
      <c r="C57" s="141">
        <v>80</v>
      </c>
      <c r="D57" s="141"/>
      <c r="E57" s="141"/>
      <c r="F57" s="143"/>
      <c r="G57" s="135"/>
      <c r="P57" s="3"/>
      <c r="R57" s="3"/>
    </row>
    <row r="58" spans="1:18">
      <c r="A58" s="3"/>
      <c r="B58" s="76" t="s">
        <v>203</v>
      </c>
      <c r="C58" s="141"/>
      <c r="D58" s="141"/>
      <c r="E58" s="141"/>
      <c r="F58" s="143"/>
      <c r="G58" s="135"/>
      <c r="P58" s="3"/>
      <c r="R58" s="3"/>
    </row>
    <row r="59" spans="1:18">
      <c r="A59" s="3"/>
      <c r="B59" s="140" t="s">
        <v>203</v>
      </c>
      <c r="C59" s="141">
        <v>80</v>
      </c>
      <c r="D59" s="141"/>
      <c r="E59" s="141"/>
      <c r="F59" s="143"/>
      <c r="G59" s="135"/>
      <c r="P59" s="3"/>
    </row>
    <row r="60" spans="1:18">
      <c r="A60" s="3"/>
      <c r="B60" s="144" t="s">
        <v>84</v>
      </c>
      <c r="C60" s="137" t="s">
        <v>73</v>
      </c>
      <c r="D60" s="137" t="s">
        <v>84</v>
      </c>
      <c r="E60" s="137" t="s">
        <v>75</v>
      </c>
      <c r="F60" s="138" t="s">
        <v>69</v>
      </c>
      <c r="G60" s="139">
        <f>SUM(F61:F63)</f>
        <v>210</v>
      </c>
      <c r="P60" s="3"/>
    </row>
    <row r="61" spans="1:18">
      <c r="A61" s="3"/>
      <c r="B61" s="140" t="s">
        <v>203</v>
      </c>
      <c r="C61" s="141">
        <f>250*2</f>
        <v>500</v>
      </c>
      <c r="D61" s="145">
        <v>0.3</v>
      </c>
      <c r="E61" s="141"/>
      <c r="F61" s="143">
        <f>+C61*D61+E61</f>
        <v>150</v>
      </c>
      <c r="G61" s="135"/>
      <c r="P61" s="3"/>
    </row>
    <row r="62" spans="1:18">
      <c r="A62" s="3"/>
      <c r="B62" s="140" t="s">
        <v>203</v>
      </c>
      <c r="C62" s="148">
        <v>100</v>
      </c>
      <c r="D62" s="145">
        <v>0.3</v>
      </c>
      <c r="E62" s="148"/>
      <c r="F62" s="143">
        <f t="shared" ref="F62:F63" si="16">+C62*D62+E62</f>
        <v>30</v>
      </c>
      <c r="G62" s="135"/>
      <c r="P62" s="3"/>
    </row>
    <row r="63" spans="1:18">
      <c r="A63" s="3"/>
      <c r="B63" s="149" t="s">
        <v>204</v>
      </c>
      <c r="C63" s="150">
        <v>100</v>
      </c>
      <c r="D63" s="145">
        <v>0.3</v>
      </c>
      <c r="E63" s="150"/>
      <c r="F63" s="151">
        <f t="shared" si="16"/>
        <v>30</v>
      </c>
      <c r="G63" s="152"/>
      <c r="P63" s="3"/>
    </row>
    <row r="64" spans="1:18">
      <c r="A64" s="3"/>
      <c r="B64" s="153" t="s">
        <v>85</v>
      </c>
      <c r="C64" s="154"/>
      <c r="D64" s="154"/>
      <c r="E64" s="154"/>
      <c r="F64" s="154"/>
      <c r="G64" s="155">
        <f>+G50+G52</f>
        <v>352</v>
      </c>
    </row>
    <row r="65" spans="1:18">
      <c r="A65" s="3"/>
      <c r="B65" s="153" t="s">
        <v>86</v>
      </c>
      <c r="C65" s="154"/>
      <c r="D65" s="154"/>
      <c r="E65" s="154"/>
      <c r="F65" s="154"/>
      <c r="G65" s="155">
        <f>+G54+G60</f>
        <v>450</v>
      </c>
    </row>
    <row r="66" spans="1:18" ht="16" thickBot="1">
      <c r="A66" s="3"/>
    </row>
    <row r="67" spans="1:18" ht="20.5" thickBot="1">
      <c r="A67" s="3"/>
      <c r="B67" s="6" t="s">
        <v>87</v>
      </c>
      <c r="C67" s="303" t="s">
        <v>88</v>
      </c>
      <c r="D67" s="303"/>
      <c r="E67" s="303"/>
      <c r="F67" s="303"/>
      <c r="G67" s="303"/>
      <c r="H67" s="303"/>
      <c r="I67" s="303"/>
      <c r="J67" s="303"/>
      <c r="K67" s="303"/>
      <c r="L67" s="303"/>
      <c r="M67" s="303"/>
      <c r="N67" s="303"/>
      <c r="O67" s="303"/>
      <c r="P67" s="304"/>
    </row>
    <row r="68" spans="1:18" ht="16" thickBot="1"/>
    <row r="69" spans="1:18" ht="16" thickBot="1">
      <c r="A69" s="3"/>
      <c r="B69" s="308" t="s">
        <v>89</v>
      </c>
      <c r="C69" s="309"/>
      <c r="D69" s="309"/>
      <c r="E69" s="309"/>
      <c r="F69" s="309"/>
      <c r="G69" s="309"/>
      <c r="H69" s="309"/>
      <c r="I69" s="309"/>
      <c r="J69" s="309"/>
      <c r="K69" s="309"/>
      <c r="L69" s="310"/>
      <c r="M69" s="156" t="s">
        <v>90</v>
      </c>
      <c r="N69" s="157"/>
    </row>
    <row r="70" spans="1:18" ht="16" thickBot="1">
      <c r="A70" s="3"/>
      <c r="B70" s="158"/>
      <c r="C70" s="22" t="s">
        <v>91</v>
      </c>
      <c r="D70" s="22" t="s">
        <v>11</v>
      </c>
      <c r="E70" s="22" t="s">
        <v>12</v>
      </c>
      <c r="F70" s="22" t="s">
        <v>13</v>
      </c>
      <c r="G70" s="22" t="s">
        <v>14</v>
      </c>
      <c r="H70" s="22" t="s">
        <v>15</v>
      </c>
      <c r="I70" s="22" t="s">
        <v>16</v>
      </c>
      <c r="J70" s="22" t="s">
        <v>17</v>
      </c>
      <c r="K70" s="22" t="s">
        <v>18</v>
      </c>
      <c r="L70" s="22" t="s">
        <v>19</v>
      </c>
      <c r="M70" s="159"/>
      <c r="N70" s="157"/>
    </row>
    <row r="71" spans="1:18" ht="16" thickBot="1">
      <c r="A71" s="3"/>
      <c r="B71" s="160"/>
      <c r="C71" s="161" t="str">
        <f t="shared" ref="C71:K71" si="17">E15</f>
        <v>VOYAGE (nb h)</v>
      </c>
      <c r="D71" s="161" t="str">
        <f t="shared" si="17"/>
        <v>1SERVICE</v>
      </c>
      <c r="E71" s="161" t="str">
        <f t="shared" si="17"/>
        <v>MONTAGE</v>
      </c>
      <c r="F71" s="161" t="str">
        <f t="shared" si="17"/>
        <v>2REP+DEMONTAGE</v>
      </c>
      <c r="G71" s="161">
        <f t="shared" si="17"/>
        <v>0</v>
      </c>
      <c r="H71" s="161">
        <f t="shared" si="17"/>
        <v>0</v>
      </c>
      <c r="I71" s="161">
        <f t="shared" si="17"/>
        <v>0</v>
      </c>
      <c r="J71" s="161">
        <f t="shared" si="17"/>
        <v>0</v>
      </c>
      <c r="K71" s="161">
        <f t="shared" si="17"/>
        <v>0</v>
      </c>
      <c r="L71" s="161">
        <f>O15</f>
        <v>0</v>
      </c>
      <c r="M71" s="159"/>
      <c r="N71" s="157"/>
    </row>
    <row r="72" spans="1:18" s="20" customFormat="1" ht="16" thickBot="1">
      <c r="B72" s="162" t="s">
        <v>92</v>
      </c>
      <c r="C72" s="163">
        <f t="shared" ref="C72:K72" si="18">+E14</f>
        <v>43199</v>
      </c>
      <c r="D72" s="163">
        <f t="shared" si="18"/>
        <v>0</v>
      </c>
      <c r="E72" s="163" t="str">
        <f t="shared" si="18"/>
        <v>mar 10/04</v>
      </c>
      <c r="F72" s="163" t="str">
        <f t="shared" si="18"/>
        <v xml:space="preserve"> mer 11/04/2018</v>
      </c>
      <c r="G72" s="163" t="str">
        <f t="shared" si="18"/>
        <v xml:space="preserve"> jeu 12/04/2018</v>
      </c>
      <c r="H72" s="163" t="str">
        <f t="shared" si="18"/>
        <v xml:space="preserve"> vend 13/04/2018</v>
      </c>
      <c r="I72" s="163" t="str">
        <f t="shared" si="18"/>
        <v xml:space="preserve"> sam 14/04/2018</v>
      </c>
      <c r="J72" s="163">
        <f t="shared" si="18"/>
        <v>0</v>
      </c>
      <c r="K72" s="163">
        <f t="shared" si="18"/>
        <v>0</v>
      </c>
      <c r="L72" s="163">
        <f>+O14</f>
        <v>0</v>
      </c>
      <c r="M72" s="164"/>
      <c r="N72" s="165"/>
      <c r="P72" s="166"/>
      <c r="R72" s="31"/>
    </row>
    <row r="73" spans="1:18">
      <c r="A73" s="3"/>
      <c r="B73" s="167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9"/>
      <c r="N73" s="157"/>
    </row>
    <row r="74" spans="1:18">
      <c r="A74" s="3"/>
      <c r="B74" s="140" t="s">
        <v>203</v>
      </c>
      <c r="C74" s="148">
        <v>1</v>
      </c>
      <c r="D74" s="148"/>
      <c r="E74" s="148">
        <v>2</v>
      </c>
      <c r="F74" s="148">
        <v>2</v>
      </c>
      <c r="G74" s="148">
        <v>1</v>
      </c>
      <c r="H74" s="148"/>
      <c r="I74" s="170"/>
      <c r="J74" s="171"/>
      <c r="K74" s="148"/>
      <c r="L74" s="148"/>
      <c r="M74" s="172">
        <f>SUM(C74:L74)</f>
        <v>6</v>
      </c>
      <c r="N74" s="157"/>
    </row>
    <row r="75" spans="1:18">
      <c r="A75" s="3"/>
      <c r="B75" s="140" t="s">
        <v>203</v>
      </c>
      <c r="C75" s="148">
        <v>1</v>
      </c>
      <c r="D75" s="148"/>
      <c r="E75" s="148">
        <v>2</v>
      </c>
      <c r="F75" s="148">
        <v>2</v>
      </c>
      <c r="G75" s="148">
        <v>1</v>
      </c>
      <c r="H75" s="148"/>
      <c r="I75" s="170"/>
      <c r="J75" s="171"/>
      <c r="K75" s="148"/>
      <c r="L75" s="148"/>
      <c r="M75" s="172">
        <f t="shared" ref="M75:M81" si="19">SUM(C75:L75)</f>
        <v>6</v>
      </c>
      <c r="N75" s="157"/>
    </row>
    <row r="76" spans="1:18">
      <c r="A76" s="3"/>
      <c r="B76" s="140" t="s">
        <v>203</v>
      </c>
      <c r="C76" s="148"/>
      <c r="D76" s="148"/>
      <c r="E76" s="148">
        <v>1</v>
      </c>
      <c r="F76" s="148">
        <v>2</v>
      </c>
      <c r="G76" s="148"/>
      <c r="H76" s="148"/>
      <c r="I76" s="170"/>
      <c r="J76" s="171"/>
      <c r="K76" s="148"/>
      <c r="L76" s="148"/>
      <c r="M76" s="172">
        <f t="shared" si="19"/>
        <v>3</v>
      </c>
      <c r="N76" s="157"/>
    </row>
    <row r="77" spans="1:18">
      <c r="A77" s="3"/>
      <c r="B77" s="140" t="s">
        <v>203</v>
      </c>
      <c r="C77" s="148"/>
      <c r="D77" s="148"/>
      <c r="E77" s="148">
        <v>1</v>
      </c>
      <c r="F77" s="148">
        <v>2</v>
      </c>
      <c r="G77" s="148"/>
      <c r="H77" s="148"/>
      <c r="I77" s="170"/>
      <c r="J77" s="171"/>
      <c r="K77" s="148"/>
      <c r="L77" s="148"/>
      <c r="M77" s="172">
        <f t="shared" si="19"/>
        <v>3</v>
      </c>
      <c r="N77" s="157"/>
    </row>
    <row r="78" spans="1:18">
      <c r="A78" s="3"/>
      <c r="B78" s="140" t="s">
        <v>203</v>
      </c>
      <c r="C78" s="148"/>
      <c r="D78" s="148"/>
      <c r="E78" s="148">
        <v>1</v>
      </c>
      <c r="F78" s="148">
        <v>2</v>
      </c>
      <c r="G78" s="148"/>
      <c r="H78" s="148"/>
      <c r="I78" s="170"/>
      <c r="J78" s="171"/>
      <c r="K78" s="148"/>
      <c r="L78" s="148"/>
      <c r="M78" s="172">
        <f t="shared" si="19"/>
        <v>3</v>
      </c>
      <c r="N78" s="157"/>
    </row>
    <row r="79" spans="1:18">
      <c r="A79" s="3"/>
      <c r="B79" s="140" t="s">
        <v>203</v>
      </c>
      <c r="C79" s="148"/>
      <c r="D79" s="148"/>
      <c r="E79" s="148">
        <v>1</v>
      </c>
      <c r="F79" s="148">
        <v>2</v>
      </c>
      <c r="G79" s="148"/>
      <c r="H79" s="148"/>
      <c r="I79" s="170"/>
      <c r="J79" s="171"/>
      <c r="K79" s="148"/>
      <c r="L79" s="148"/>
      <c r="M79" s="172">
        <f t="shared" si="19"/>
        <v>3</v>
      </c>
      <c r="N79" s="157"/>
      <c r="P79" s="3"/>
    </row>
    <row r="80" spans="1:18">
      <c r="A80" s="3"/>
      <c r="B80" s="140"/>
      <c r="C80" s="148"/>
      <c r="D80" s="148"/>
      <c r="E80" s="148"/>
      <c r="F80" s="148"/>
      <c r="G80" s="148"/>
      <c r="H80" s="148"/>
      <c r="I80" s="148"/>
      <c r="J80" s="148"/>
      <c r="K80" s="148"/>
      <c r="L80" s="148"/>
      <c r="M80" s="172">
        <f t="shared" si="19"/>
        <v>0</v>
      </c>
      <c r="N80" s="157"/>
      <c r="P80" s="3"/>
    </row>
    <row r="81" spans="1:18" ht="16" thickBot="1">
      <c r="A81" s="3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2">
        <f t="shared" si="19"/>
        <v>0</v>
      </c>
      <c r="N81" s="157"/>
      <c r="P81" s="3"/>
    </row>
    <row r="82" spans="1:18" ht="16" thickBot="1">
      <c r="A82" s="3"/>
      <c r="B82" s="175" t="s">
        <v>93</v>
      </c>
      <c r="C82" s="176">
        <f t="shared" ref="C82:L82" si="20">SUM(C74:C81)</f>
        <v>2</v>
      </c>
      <c r="D82" s="176">
        <f t="shared" si="20"/>
        <v>0</v>
      </c>
      <c r="E82" s="176">
        <f t="shared" si="20"/>
        <v>8</v>
      </c>
      <c r="F82" s="176">
        <f t="shared" si="20"/>
        <v>12</v>
      </c>
      <c r="G82" s="176">
        <f t="shared" si="20"/>
        <v>2</v>
      </c>
      <c r="H82" s="176">
        <f t="shared" si="20"/>
        <v>0</v>
      </c>
      <c r="I82" s="176">
        <f t="shared" si="20"/>
        <v>0</v>
      </c>
      <c r="J82" s="176">
        <f t="shared" si="20"/>
        <v>0</v>
      </c>
      <c r="K82" s="176">
        <f t="shared" si="20"/>
        <v>0</v>
      </c>
      <c r="L82" s="176">
        <f t="shared" si="20"/>
        <v>0</v>
      </c>
      <c r="M82" s="177"/>
      <c r="N82" s="157"/>
      <c r="P82" s="3"/>
    </row>
    <row r="83" spans="1:18" ht="16" thickBot="1">
      <c r="A83" s="3"/>
      <c r="B83" s="178" t="s">
        <v>69</v>
      </c>
      <c r="C83" s="179"/>
      <c r="D83" s="179"/>
      <c r="E83" s="179"/>
      <c r="F83" s="179"/>
      <c r="G83" s="179"/>
      <c r="H83" s="179"/>
      <c r="I83" s="179"/>
      <c r="J83" s="179"/>
      <c r="K83" s="179"/>
      <c r="L83" s="179">
        <f>SUM(L74:L81)</f>
        <v>0</v>
      </c>
      <c r="M83" s="179">
        <f>SUM(M74:M81)</f>
        <v>24</v>
      </c>
      <c r="N83" s="3" t="s">
        <v>94</v>
      </c>
      <c r="O83" s="3">
        <v>18.100000000000001</v>
      </c>
      <c r="P83" s="3"/>
    </row>
    <row r="84" spans="1:18" ht="16" thickBot="1">
      <c r="A84" s="3"/>
      <c r="B84" s="311" t="s">
        <v>95</v>
      </c>
      <c r="C84" s="312"/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180"/>
      <c r="P84" s="3"/>
    </row>
    <row r="85" spans="1:18" ht="16" thickBot="1">
      <c r="A85" s="3"/>
      <c r="B85" s="181"/>
      <c r="C85" s="21" t="str">
        <f t="shared" ref="C85:L85" si="21">+C70</f>
        <v>J-X-2</v>
      </c>
      <c r="D85" s="22" t="str">
        <f t="shared" si="21"/>
        <v>J-X- SI SERVICE</v>
      </c>
      <c r="E85" s="22" t="str">
        <f t="shared" si="21"/>
        <v>J-1</v>
      </c>
      <c r="F85" s="22" t="str">
        <f t="shared" si="21"/>
        <v>J</v>
      </c>
      <c r="G85" s="22" t="str">
        <f t="shared" si="21"/>
        <v>J+1</v>
      </c>
      <c r="H85" s="22" t="str">
        <f t="shared" si="21"/>
        <v>J+2</v>
      </c>
      <c r="I85" s="22" t="str">
        <f t="shared" si="21"/>
        <v>J+3</v>
      </c>
      <c r="J85" s="22" t="str">
        <f t="shared" si="21"/>
        <v>J+4</v>
      </c>
      <c r="K85" s="22" t="str">
        <f t="shared" si="21"/>
        <v>J+5</v>
      </c>
      <c r="L85" s="182" t="str">
        <f t="shared" si="21"/>
        <v>J+6</v>
      </c>
      <c r="M85" s="159" t="s">
        <v>90</v>
      </c>
      <c r="N85" s="157"/>
    </row>
    <row r="86" spans="1:18" ht="16" thickBot="1">
      <c r="A86" s="3"/>
      <c r="B86" s="183"/>
      <c r="C86" s="21" t="str">
        <f t="shared" ref="C86:M86" si="22">C71</f>
        <v>VOYAGE (nb h)</v>
      </c>
      <c r="D86" s="22" t="str">
        <f t="shared" si="22"/>
        <v>1SERVICE</v>
      </c>
      <c r="E86" s="22" t="str">
        <f t="shared" si="22"/>
        <v>MONTAGE</v>
      </c>
      <c r="F86" s="22" t="str">
        <f t="shared" si="22"/>
        <v>2REP+DEMONTAGE</v>
      </c>
      <c r="G86" s="22">
        <f t="shared" si="22"/>
        <v>0</v>
      </c>
      <c r="H86" s="22">
        <f t="shared" si="22"/>
        <v>0</v>
      </c>
      <c r="I86" s="22">
        <f t="shared" si="22"/>
        <v>0</v>
      </c>
      <c r="J86" s="22">
        <f t="shared" si="22"/>
        <v>0</v>
      </c>
      <c r="K86" s="22">
        <f t="shared" si="22"/>
        <v>0</v>
      </c>
      <c r="L86" s="182">
        <f t="shared" si="22"/>
        <v>0</v>
      </c>
      <c r="M86" s="184">
        <f t="shared" si="22"/>
        <v>0</v>
      </c>
      <c r="N86" s="185"/>
    </row>
    <row r="87" spans="1:18" s="20" customFormat="1" ht="16" thickBot="1">
      <c r="B87" s="162" t="s">
        <v>92</v>
      </c>
      <c r="C87" s="163">
        <f t="shared" ref="C87:L87" si="23">+C72</f>
        <v>43199</v>
      </c>
      <c r="D87" s="163">
        <f t="shared" si="23"/>
        <v>0</v>
      </c>
      <c r="E87" s="163" t="str">
        <f t="shared" si="23"/>
        <v>mar 10/04</v>
      </c>
      <c r="F87" s="163" t="str">
        <f t="shared" si="23"/>
        <v xml:space="preserve"> mer 11/04/2018</v>
      </c>
      <c r="G87" s="163" t="str">
        <f t="shared" si="23"/>
        <v xml:space="preserve"> jeu 12/04/2018</v>
      </c>
      <c r="H87" s="163" t="str">
        <f t="shared" si="23"/>
        <v xml:space="preserve"> vend 13/04/2018</v>
      </c>
      <c r="I87" s="163" t="str">
        <f t="shared" si="23"/>
        <v xml:space="preserve"> sam 14/04/2018</v>
      </c>
      <c r="J87" s="163">
        <f t="shared" si="23"/>
        <v>0</v>
      </c>
      <c r="K87" s="163">
        <f t="shared" si="23"/>
        <v>0</v>
      </c>
      <c r="L87" s="163">
        <f t="shared" si="23"/>
        <v>0</v>
      </c>
      <c r="M87" s="164"/>
      <c r="N87" s="165"/>
      <c r="P87" s="166"/>
      <c r="R87" s="31"/>
    </row>
    <row r="88" spans="1:18">
      <c r="A88" s="3"/>
      <c r="B88" s="140" t="s">
        <v>203</v>
      </c>
      <c r="C88" s="148">
        <v>1</v>
      </c>
      <c r="D88" s="148"/>
      <c r="E88" s="148">
        <v>1</v>
      </c>
      <c r="F88" s="148">
        <v>1</v>
      </c>
      <c r="G88" s="148"/>
      <c r="H88" s="148"/>
      <c r="I88" s="148"/>
      <c r="J88" s="148"/>
      <c r="K88" s="148"/>
      <c r="L88" s="148"/>
      <c r="M88" s="148">
        <f>SUM(C88:L88)</f>
        <v>3</v>
      </c>
      <c r="N88" s="157"/>
      <c r="P88" s="3"/>
    </row>
    <row r="89" spans="1:18">
      <c r="A89" s="3"/>
      <c r="B89" s="140" t="s">
        <v>203</v>
      </c>
      <c r="C89" s="148">
        <v>1</v>
      </c>
      <c r="D89" s="148"/>
      <c r="E89" s="148">
        <v>1</v>
      </c>
      <c r="F89" s="148">
        <v>1</v>
      </c>
      <c r="G89" s="148"/>
      <c r="H89" s="148"/>
      <c r="I89" s="148"/>
      <c r="J89" s="148"/>
      <c r="K89" s="148"/>
      <c r="L89" s="148"/>
      <c r="M89" s="148">
        <f t="shared" ref="M89:M95" si="24">SUM(C89:L89)</f>
        <v>3</v>
      </c>
      <c r="N89" s="157"/>
      <c r="P89" s="3"/>
      <c r="R89" s="3"/>
    </row>
    <row r="90" spans="1:18">
      <c r="A90" s="3"/>
      <c r="B90" s="140" t="s">
        <v>203</v>
      </c>
      <c r="C90" s="148"/>
      <c r="D90" s="148"/>
      <c r="E90" s="148"/>
      <c r="F90" s="148"/>
      <c r="G90" s="148"/>
      <c r="H90" s="148"/>
      <c r="I90" s="148"/>
      <c r="J90" s="148"/>
      <c r="K90" s="148"/>
      <c r="L90" s="148"/>
      <c r="M90" s="148">
        <f t="shared" si="24"/>
        <v>0</v>
      </c>
      <c r="N90" s="157"/>
      <c r="P90" s="3"/>
      <c r="R90" s="3"/>
    </row>
    <row r="91" spans="1:18">
      <c r="A91" s="3"/>
      <c r="B91" s="140" t="s">
        <v>203</v>
      </c>
      <c r="C91" s="148"/>
      <c r="D91" s="148"/>
      <c r="E91" s="148">
        <v>1</v>
      </c>
      <c r="F91" s="148">
        <v>1</v>
      </c>
      <c r="G91" s="148"/>
      <c r="H91" s="148"/>
      <c r="I91" s="148"/>
      <c r="J91" s="148"/>
      <c r="K91" s="148"/>
      <c r="L91" s="148"/>
      <c r="M91" s="148">
        <f t="shared" si="24"/>
        <v>2</v>
      </c>
      <c r="N91" s="157"/>
      <c r="P91" s="3"/>
      <c r="R91" s="3"/>
    </row>
    <row r="92" spans="1:18">
      <c r="A92" s="3"/>
      <c r="B92" s="140" t="s">
        <v>203</v>
      </c>
      <c r="C92" s="148"/>
      <c r="D92" s="148"/>
      <c r="E92" s="148">
        <v>1</v>
      </c>
      <c r="F92" s="148">
        <v>1</v>
      </c>
      <c r="G92" s="148"/>
      <c r="H92" s="148"/>
      <c r="I92" s="148"/>
      <c r="J92" s="148"/>
      <c r="K92" s="148"/>
      <c r="L92" s="148"/>
      <c r="M92" s="148">
        <f t="shared" si="24"/>
        <v>2</v>
      </c>
      <c r="N92" s="157"/>
      <c r="P92" s="3"/>
      <c r="R92" s="3"/>
    </row>
    <row r="93" spans="1:18">
      <c r="A93" s="3"/>
      <c r="B93" s="140" t="s">
        <v>83</v>
      </c>
      <c r="C93" s="148"/>
      <c r="D93" s="148"/>
      <c r="E93" s="148">
        <v>1</v>
      </c>
      <c r="F93" s="148">
        <v>1</v>
      </c>
      <c r="G93" s="148"/>
      <c r="H93" s="148"/>
      <c r="I93" s="148"/>
      <c r="J93" s="148"/>
      <c r="K93" s="148"/>
      <c r="L93" s="148"/>
      <c r="M93" s="148">
        <f t="shared" si="24"/>
        <v>2</v>
      </c>
      <c r="N93" s="157"/>
      <c r="P93" s="3"/>
      <c r="R93" s="3"/>
    </row>
    <row r="94" spans="1:18">
      <c r="A94" s="3"/>
      <c r="B94" s="186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>
        <f t="shared" si="24"/>
        <v>0</v>
      </c>
      <c r="N94" s="157"/>
      <c r="P94" s="3"/>
      <c r="R94" s="3"/>
    </row>
    <row r="95" spans="1:18" ht="16" thickBot="1">
      <c r="A95" s="3"/>
      <c r="B95" s="158"/>
      <c r="C95" s="187"/>
      <c r="D95" s="187"/>
      <c r="E95" s="187"/>
      <c r="F95" s="187"/>
      <c r="G95" s="187"/>
      <c r="H95" s="187"/>
      <c r="I95" s="187"/>
      <c r="J95" s="187"/>
      <c r="K95" s="187"/>
      <c r="L95" s="187">
        <f>SUM(C95:J95)</f>
        <v>0</v>
      </c>
      <c r="M95" s="148">
        <f t="shared" si="24"/>
        <v>0</v>
      </c>
      <c r="N95" s="157"/>
      <c r="P95" s="3"/>
      <c r="R95" s="3"/>
    </row>
    <row r="96" spans="1:18" ht="16" thickBot="1">
      <c r="A96" s="3"/>
      <c r="B96" s="175" t="s">
        <v>93</v>
      </c>
      <c r="C96" s="176">
        <f>SUM(C88:C95)</f>
        <v>2</v>
      </c>
      <c r="D96" s="176">
        <f t="shared" ref="D96:L96" si="25">SUM(D88:D95)</f>
        <v>0</v>
      </c>
      <c r="E96" s="176">
        <f t="shared" si="25"/>
        <v>5</v>
      </c>
      <c r="F96" s="176">
        <f t="shared" si="25"/>
        <v>5</v>
      </c>
      <c r="G96" s="176">
        <f t="shared" si="25"/>
        <v>0</v>
      </c>
      <c r="H96" s="176">
        <f t="shared" si="25"/>
        <v>0</v>
      </c>
      <c r="I96" s="176">
        <f t="shared" si="25"/>
        <v>0</v>
      </c>
      <c r="J96" s="176">
        <f t="shared" si="25"/>
        <v>0</v>
      </c>
      <c r="K96" s="176">
        <f t="shared" si="25"/>
        <v>0</v>
      </c>
      <c r="L96" s="176">
        <f t="shared" si="25"/>
        <v>0</v>
      </c>
      <c r="M96" s="176"/>
      <c r="N96" s="157"/>
      <c r="P96" s="3"/>
      <c r="R96" s="3"/>
    </row>
    <row r="97" spans="1:18" ht="16" thickBot="1">
      <c r="A97" s="3"/>
      <c r="B97" s="178" t="s">
        <v>69</v>
      </c>
      <c r="C97" s="179"/>
      <c r="D97" s="179"/>
      <c r="E97" s="179"/>
      <c r="F97" s="179"/>
      <c r="G97" s="179"/>
      <c r="H97" s="179"/>
      <c r="I97" s="179"/>
      <c r="J97" s="179"/>
      <c r="K97" s="179"/>
      <c r="L97" s="179">
        <f>SUM(L88:L96)</f>
        <v>0</v>
      </c>
      <c r="M97" s="179">
        <f>SUM(M88:M96)</f>
        <v>12</v>
      </c>
      <c r="N97" s="188"/>
      <c r="P97" s="3"/>
      <c r="R97" s="3"/>
    </row>
    <row r="98" spans="1:18">
      <c r="R98" s="3"/>
    </row>
    <row r="102" spans="1:18">
      <c r="R102" s="3"/>
    </row>
    <row r="104" spans="1:18">
      <c r="A104" s="3"/>
      <c r="B104" s="300" t="s">
        <v>96</v>
      </c>
      <c r="C104" s="300"/>
      <c r="D104" s="3">
        <f>+J43</f>
        <v>3300</v>
      </c>
      <c r="P104" s="3"/>
      <c r="R104" s="3"/>
    </row>
    <row r="105" spans="1:18">
      <c r="A105" s="3"/>
      <c r="B105" s="300" t="s">
        <v>97</v>
      </c>
      <c r="C105" s="300"/>
      <c r="D105" s="3">
        <f>+G64</f>
        <v>352</v>
      </c>
      <c r="P105" s="3"/>
      <c r="R105" s="3"/>
    </row>
    <row r="106" spans="1:18">
      <c r="A106" s="3"/>
      <c r="B106" s="300" t="s">
        <v>98</v>
      </c>
      <c r="C106" s="300"/>
      <c r="D106" s="3">
        <f>+G65</f>
        <v>450</v>
      </c>
      <c r="P106" s="3"/>
      <c r="R106" s="3"/>
    </row>
    <row r="107" spans="1:18">
      <c r="A107" s="3"/>
      <c r="B107" s="301" t="s">
        <v>99</v>
      </c>
      <c r="C107" s="301"/>
      <c r="D107" s="189">
        <f>+L97</f>
        <v>0</v>
      </c>
      <c r="P107" s="3"/>
      <c r="R107" s="3"/>
    </row>
    <row r="108" spans="1:18">
      <c r="A108" s="3"/>
      <c r="B108" s="302" t="s">
        <v>100</v>
      </c>
      <c r="C108" s="302"/>
      <c r="P108" s="3"/>
      <c r="R108" s="3"/>
    </row>
    <row r="109" spans="1:18">
      <c r="A109" s="3"/>
      <c r="B109" s="190"/>
      <c r="C109" s="190"/>
      <c r="D109"/>
      <c r="E109"/>
      <c r="F109"/>
      <c r="G109"/>
      <c r="H109"/>
      <c r="I109"/>
      <c r="P109" s="3"/>
      <c r="R109" s="3"/>
    </row>
    <row r="110" spans="1:18">
      <c r="A110" s="3"/>
      <c r="B110" s="191" t="s">
        <v>101</v>
      </c>
      <c r="C110" s="192" t="e">
        <f>+'[1]TAB DEVIS TDN'!K200</f>
        <v>#REF!</v>
      </c>
      <c r="D110">
        <f>+M97</f>
        <v>12</v>
      </c>
      <c r="E110"/>
      <c r="F110"/>
      <c r="G110"/>
      <c r="H110"/>
      <c r="I110"/>
      <c r="P110" s="3"/>
      <c r="R110" s="3"/>
    </row>
    <row r="111" spans="1:18">
      <c r="P111" s="3"/>
      <c r="R111" s="3"/>
    </row>
    <row r="112" spans="1:18" ht="16" thickBot="1">
      <c r="P112" s="3"/>
      <c r="R112" s="3"/>
    </row>
    <row r="113" spans="1:18" ht="16" thickBot="1">
      <c r="A113" s="3"/>
      <c r="B113" s="296" t="s">
        <v>102</v>
      </c>
      <c r="C113" s="297"/>
      <c r="D113" s="193" t="s">
        <v>34</v>
      </c>
      <c r="E113" s="296" t="s">
        <v>103</v>
      </c>
      <c r="F113" s="297"/>
      <c r="G113" s="193" t="s">
        <v>104</v>
      </c>
      <c r="H113" s="193" t="s">
        <v>105</v>
      </c>
      <c r="I113" s="298" t="s">
        <v>106</v>
      </c>
      <c r="J113" s="299"/>
      <c r="P113" s="3"/>
      <c r="R113" s="3"/>
    </row>
    <row r="114" spans="1:18">
      <c r="A114" s="3"/>
      <c r="B114" s="194" t="s">
        <v>107</v>
      </c>
      <c r="C114" s="195"/>
      <c r="D114" s="196"/>
      <c r="E114" s="194"/>
      <c r="F114" s="197"/>
      <c r="G114" s="198"/>
      <c r="H114" s="196"/>
      <c r="I114" s="199"/>
      <c r="J114" s="195"/>
      <c r="P114" s="3"/>
      <c r="R114" s="3"/>
    </row>
    <row r="115" spans="1:18">
      <c r="A115" s="3"/>
      <c r="B115" s="200" t="s">
        <v>108</v>
      </c>
      <c r="C115" s="324">
        <f>P31</f>
        <v>810</v>
      </c>
      <c r="D115" s="202">
        <f>+R32</f>
        <v>72</v>
      </c>
      <c r="E115" s="203" t="s">
        <v>109</v>
      </c>
      <c r="F115" s="204">
        <f>J43</f>
        <v>3300</v>
      </c>
      <c r="G115" s="205">
        <f>J44</f>
        <v>8.5</v>
      </c>
      <c r="H115" s="206">
        <f>(F115+F116)*0.055</f>
        <v>237.55599999999998</v>
      </c>
      <c r="I115" s="207" t="s">
        <v>110</v>
      </c>
      <c r="J115" s="208">
        <f>+D9</f>
        <v>2</v>
      </c>
      <c r="P115" s="3"/>
      <c r="R115" s="3"/>
    </row>
    <row r="116" spans="1:18">
      <c r="A116" s="3"/>
      <c r="B116" s="209" t="s">
        <v>111</v>
      </c>
      <c r="C116" s="201">
        <f>P29</f>
        <v>270</v>
      </c>
      <c r="D116" s="202">
        <f>+R30</f>
        <v>0</v>
      </c>
      <c r="E116" s="210" t="s">
        <v>112</v>
      </c>
      <c r="F116" s="204">
        <f>G64+G65+(M97*O83)</f>
        <v>1019.2</v>
      </c>
      <c r="G116" s="211">
        <f>D44</f>
        <v>2.5824092359105766E-3</v>
      </c>
      <c r="H116" s="206"/>
      <c r="I116" s="207" t="s">
        <v>113</v>
      </c>
      <c r="J116" s="208">
        <f>+D10</f>
        <v>0</v>
      </c>
      <c r="P116" s="3"/>
      <c r="R116" s="3"/>
    </row>
    <row r="117" spans="1:18">
      <c r="A117" s="3"/>
      <c r="B117" s="200" t="s">
        <v>114</v>
      </c>
      <c r="C117" s="201">
        <f>P20</f>
        <v>1278</v>
      </c>
      <c r="D117" s="202">
        <f>+R20</f>
        <v>48</v>
      </c>
      <c r="E117" s="200" t="s">
        <v>115</v>
      </c>
      <c r="F117" s="212">
        <f>+G64</f>
        <v>352</v>
      </c>
      <c r="G117" s="202"/>
      <c r="H117" s="206"/>
      <c r="I117" s="207"/>
      <c r="J117" s="208"/>
      <c r="P117" s="3"/>
      <c r="R117" s="3"/>
    </row>
    <row r="118" spans="1:18">
      <c r="A118" s="3"/>
      <c r="B118" s="200" t="s">
        <v>52</v>
      </c>
      <c r="C118" s="201">
        <f>P21+P32</f>
        <v>1203.5</v>
      </c>
      <c r="D118" s="202"/>
      <c r="E118" s="200" t="s">
        <v>116</v>
      </c>
      <c r="F118" s="212">
        <f>+G65</f>
        <v>450</v>
      </c>
      <c r="G118" s="202"/>
      <c r="H118" s="206"/>
      <c r="I118" s="207"/>
      <c r="J118" s="208"/>
      <c r="P118" s="3"/>
      <c r="R118" s="3"/>
    </row>
    <row r="119" spans="1:18">
      <c r="A119" s="3"/>
      <c r="B119" s="200"/>
      <c r="C119" s="201"/>
      <c r="D119" s="202"/>
      <c r="E119" s="200" t="s">
        <v>117</v>
      </c>
      <c r="F119" s="212" t="e">
        <f>('[2]TAB DEVIS PDR TDN'!O191*65)</f>
        <v>#REF!</v>
      </c>
      <c r="G119" s="202"/>
      <c r="H119" s="206"/>
      <c r="I119" s="207"/>
      <c r="J119" s="208"/>
    </row>
    <row r="120" spans="1:18" ht="16" thickBot="1">
      <c r="A120" s="3"/>
      <c r="B120" s="213"/>
      <c r="C120" s="214"/>
      <c r="D120" s="215"/>
      <c r="E120" s="213" t="s">
        <v>118</v>
      </c>
      <c r="F120" s="216">
        <f>M97*O83</f>
        <v>217.20000000000002</v>
      </c>
      <c r="G120" s="215"/>
      <c r="H120" s="217"/>
      <c r="I120" s="218"/>
      <c r="J120" s="219"/>
    </row>
    <row r="123" spans="1:18">
      <c r="C123" s="220"/>
      <c r="D123" s="220"/>
    </row>
  </sheetData>
  <mergeCells count="14">
    <mergeCell ref="B84:M84"/>
    <mergeCell ref="C2:P2"/>
    <mergeCell ref="C36:J36"/>
    <mergeCell ref="C47:P47"/>
    <mergeCell ref="C67:P67"/>
    <mergeCell ref="B69:L69"/>
    <mergeCell ref="E113:F113"/>
    <mergeCell ref="I113:J113"/>
    <mergeCell ref="B104:C104"/>
    <mergeCell ref="B105:C105"/>
    <mergeCell ref="B106:C106"/>
    <mergeCell ref="B107:C107"/>
    <mergeCell ref="B108:C108"/>
    <mergeCell ref="B113:C113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rgb="FF3366FF"/>
    <pageSetUpPr fitToPage="1"/>
  </sheetPr>
  <dimension ref="A1:H44"/>
  <sheetViews>
    <sheetView topLeftCell="A17" workbookViewId="0">
      <selection activeCell="C47" sqref="C47"/>
    </sheetView>
  </sheetViews>
  <sheetFormatPr baseColWidth="10" defaultColWidth="10.83203125" defaultRowHeight="15.5"/>
  <cols>
    <col min="1" max="1" width="29.1640625" style="134" customWidth="1"/>
    <col min="2" max="2" width="5.6640625" style="134" customWidth="1"/>
    <col min="3" max="3" width="39.6640625" style="134" customWidth="1"/>
    <col min="4" max="4" width="6.5" style="134" customWidth="1"/>
    <col min="5" max="5" width="23.5" style="134" customWidth="1"/>
    <col min="6" max="6" width="15.6640625" style="134" customWidth="1"/>
    <col min="7" max="16384" width="10.83203125" style="134"/>
  </cols>
  <sheetData>
    <row r="1" spans="1:8">
      <c r="C1" s="221"/>
      <c r="D1" s="221"/>
    </row>
    <row r="3" spans="1:8">
      <c r="E3" s="222"/>
    </row>
    <row r="4" spans="1:8">
      <c r="E4" s="222"/>
    </row>
    <row r="5" spans="1:8">
      <c r="A5" s="223" t="s">
        <v>119</v>
      </c>
      <c r="B5" s="223"/>
      <c r="E5" s="222"/>
    </row>
    <row r="6" spans="1:8">
      <c r="A6" s="223"/>
      <c r="B6" s="223"/>
      <c r="E6" s="222"/>
    </row>
    <row r="7" spans="1:8">
      <c r="A7" s="223" t="s">
        <v>120</v>
      </c>
      <c r="B7" s="317">
        <v>42835</v>
      </c>
      <c r="C7" s="317"/>
      <c r="D7" s="224"/>
    </row>
    <row r="8" spans="1:8">
      <c r="A8" s="223"/>
      <c r="B8" s="223"/>
    </row>
    <row r="9" spans="1:8">
      <c r="A9" s="225" t="s">
        <v>121</v>
      </c>
      <c r="B9" s="225"/>
      <c r="C9" s="226" t="str">
        <f>+'TAB SN'!C5</f>
        <v>x</v>
      </c>
      <c r="D9" s="227"/>
      <c r="E9" s="222"/>
    </row>
    <row r="10" spans="1:8">
      <c r="A10" s="228" t="s">
        <v>122</v>
      </c>
      <c r="B10" s="228"/>
      <c r="C10" s="226" t="s">
        <v>203</v>
      </c>
      <c r="D10" s="227"/>
      <c r="E10" s="222"/>
    </row>
    <row r="11" spans="1:8">
      <c r="A11" s="318" t="s">
        <v>4</v>
      </c>
      <c r="B11" s="318"/>
      <c r="C11" s="226" t="str">
        <f>+'TAB SN'!C7</f>
        <v>x</v>
      </c>
      <c r="D11" s="229"/>
      <c r="H11" s="230"/>
    </row>
    <row r="12" spans="1:8">
      <c r="A12" s="318" t="s">
        <v>123</v>
      </c>
      <c r="B12" s="318"/>
      <c r="C12" s="231">
        <f>+'TAB 2R'!C8</f>
        <v>2</v>
      </c>
      <c r="D12" s="232"/>
    </row>
    <row r="13" spans="1:8">
      <c r="A13" s="221"/>
      <c r="B13" s="221"/>
    </row>
    <row r="14" spans="1:8">
      <c r="A14" s="300" t="s">
        <v>96</v>
      </c>
      <c r="B14" s="300"/>
      <c r="C14" s="233">
        <f>'TAB 2R'!D104</f>
        <v>3300</v>
      </c>
      <c r="D14" s="157" t="s">
        <v>124</v>
      </c>
      <c r="E14" s="234"/>
      <c r="G14" s="234"/>
    </row>
    <row r="15" spans="1:8">
      <c r="A15" s="300" t="s">
        <v>97</v>
      </c>
      <c r="B15" s="300"/>
      <c r="C15" s="233">
        <f>'TAB 2R'!D105</f>
        <v>352</v>
      </c>
      <c r="D15" s="157" t="s">
        <v>124</v>
      </c>
    </row>
    <row r="16" spans="1:8">
      <c r="A16" s="300" t="s">
        <v>98</v>
      </c>
      <c r="B16" s="300"/>
      <c r="C16" s="233">
        <f>'TAB 2R'!D106</f>
        <v>450</v>
      </c>
      <c r="D16" s="157" t="s">
        <v>124</v>
      </c>
    </row>
    <row r="17" spans="1:6">
      <c r="A17" s="191" t="s">
        <v>99</v>
      </c>
      <c r="B17" s="189">
        <f>+'TAB 2R'!M83</f>
        <v>24</v>
      </c>
      <c r="C17" s="233">
        <f>B17*18.1</f>
        <v>434.40000000000003</v>
      </c>
      <c r="D17" s="157" t="s">
        <v>124</v>
      </c>
    </row>
    <row r="18" spans="1:6" ht="31">
      <c r="A18" s="190" t="s">
        <v>100</v>
      </c>
      <c r="B18" s="190"/>
      <c r="C18" s="233"/>
      <c r="D18" s="157"/>
      <c r="E18" s="234"/>
    </row>
    <row r="19" spans="1:6">
      <c r="A19" s="235"/>
      <c r="B19" s="235"/>
      <c r="C19" s="233"/>
      <c r="D19" s="157"/>
      <c r="E19" s="234"/>
    </row>
    <row r="20" spans="1:6">
      <c r="A20" s="191" t="s">
        <v>101</v>
      </c>
      <c r="B20" s="192"/>
      <c r="C20" s="236">
        <f>+'TAB 2R'!M97</f>
        <v>12</v>
      </c>
      <c r="D20" s="157"/>
      <c r="E20" s="234"/>
    </row>
    <row r="21" spans="1:6">
      <c r="A21" s="237"/>
      <c r="B21" s="237"/>
      <c r="C21" s="157"/>
      <c r="D21" s="157"/>
      <c r="E21" s="234"/>
    </row>
    <row r="22" spans="1:6">
      <c r="A22" s="315" t="s">
        <v>125</v>
      </c>
      <c r="B22" s="315"/>
      <c r="C22" s="238">
        <f>C14+C15+C16+C17</f>
        <v>4536.3999999999996</v>
      </c>
      <c r="D22" s="239" t="s">
        <v>124</v>
      </c>
      <c r="F22" s="234"/>
    </row>
    <row r="23" spans="1:6">
      <c r="A23" s="315" t="s">
        <v>126</v>
      </c>
      <c r="B23" s="315"/>
      <c r="C23" s="238">
        <f>C22*1.055</f>
        <v>4785.9019999999991</v>
      </c>
      <c r="D23" s="239" t="s">
        <v>127</v>
      </c>
    </row>
    <row r="24" spans="1:6">
      <c r="A24" s="240"/>
      <c r="B24" s="240"/>
      <c r="E24" s="234"/>
    </row>
    <row r="27" spans="1:6">
      <c r="A27" s="240" t="s">
        <v>128</v>
      </c>
      <c r="B27" s="240"/>
      <c r="C27" s="134" t="s">
        <v>129</v>
      </c>
      <c r="E27" s="241"/>
      <c r="F27" s="241"/>
    </row>
    <row r="28" spans="1:6">
      <c r="A28" s="240"/>
      <c r="B28" s="240"/>
      <c r="C28" s="134" t="s">
        <v>130</v>
      </c>
    </row>
    <row r="29" spans="1:6">
      <c r="A29" s="240"/>
      <c r="B29" s="240"/>
      <c r="C29" s="240" t="s">
        <v>131</v>
      </c>
      <c r="D29" s="240"/>
    </row>
    <row r="30" spans="1:6">
      <c r="A30" s="240"/>
      <c r="B30" s="240"/>
      <c r="C30" s="134" t="s">
        <v>132</v>
      </c>
    </row>
    <row r="31" spans="1:6">
      <c r="A31" s="240"/>
      <c r="B31" s="240"/>
      <c r="C31" s="240"/>
      <c r="D31" s="240"/>
    </row>
    <row r="32" spans="1:6">
      <c r="A32" s="240" t="s">
        <v>133</v>
      </c>
      <c r="B32" s="240"/>
      <c r="C32" s="134" t="s">
        <v>134</v>
      </c>
      <c r="D32" s="134" t="s">
        <v>135</v>
      </c>
      <c r="F32" s="242"/>
    </row>
    <row r="33" spans="1:5">
      <c r="C33" s="240" t="s">
        <v>136</v>
      </c>
      <c r="D33" s="134" t="s">
        <v>137</v>
      </c>
    </row>
    <row r="34" spans="1:5">
      <c r="C34" s="134" t="s">
        <v>138</v>
      </c>
      <c r="D34" s="134" t="s">
        <v>139</v>
      </c>
    </row>
    <row r="36" spans="1:5">
      <c r="A36" s="316" t="s">
        <v>140</v>
      </c>
      <c r="B36" s="316"/>
      <c r="C36" s="316"/>
      <c r="D36" s="316"/>
      <c r="E36" s="316"/>
    </row>
    <row r="37" spans="1:5">
      <c r="A37" s="243"/>
      <c r="D37" s="243"/>
    </row>
    <row r="38" spans="1:5">
      <c r="A38" s="244" t="s">
        <v>141</v>
      </c>
      <c r="C38" s="243"/>
      <c r="D38" s="243"/>
    </row>
    <row r="39" spans="1:5">
      <c r="A39" s="245"/>
      <c r="B39" s="313"/>
      <c r="C39" s="314"/>
    </row>
    <row r="40" spans="1:5">
      <c r="A40" s="245" t="s">
        <v>12</v>
      </c>
      <c r="B40" s="313" t="s">
        <v>142</v>
      </c>
      <c r="C40" s="314"/>
    </row>
    <row r="41" spans="1:5">
      <c r="A41" s="245" t="s">
        <v>13</v>
      </c>
      <c r="B41" s="313" t="s">
        <v>143</v>
      </c>
      <c r="C41" s="314"/>
    </row>
    <row r="42" spans="1:5">
      <c r="A42" s="245"/>
      <c r="B42" s="313"/>
      <c r="C42" s="314"/>
    </row>
    <row r="43" spans="1:5">
      <c r="A43" s="245"/>
      <c r="B43" s="313"/>
      <c r="C43" s="314"/>
    </row>
    <row r="44" spans="1:5">
      <c r="A44" s="246" t="s">
        <v>144</v>
      </c>
      <c r="B44" s="224"/>
    </row>
  </sheetData>
  <mergeCells count="14">
    <mergeCell ref="A16:B16"/>
    <mergeCell ref="B7:C7"/>
    <mergeCell ref="A11:B11"/>
    <mergeCell ref="A12:B12"/>
    <mergeCell ref="A14:B14"/>
    <mergeCell ref="A15:B15"/>
    <mergeCell ref="B42:C42"/>
    <mergeCell ref="B43:C43"/>
    <mergeCell ref="A22:B22"/>
    <mergeCell ref="A23:B23"/>
    <mergeCell ref="A36:E36"/>
    <mergeCell ref="B39:C39"/>
    <mergeCell ref="B40:C40"/>
    <mergeCell ref="B41:C41"/>
  </mergeCells>
  <pageMargins left="0.75" right="0.75" top="1" bottom="1" header="0.5" footer="0.5"/>
  <pageSetup paperSize="9" scale="7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 enableFormatConditionsCalculation="0">
    <pageSetUpPr fitToPage="1"/>
  </sheetPr>
  <dimension ref="A1:H46"/>
  <sheetViews>
    <sheetView topLeftCell="A70" workbookViewId="0">
      <selection activeCell="E29" sqref="E29"/>
    </sheetView>
  </sheetViews>
  <sheetFormatPr baseColWidth="10" defaultColWidth="10.83203125" defaultRowHeight="15.5"/>
  <cols>
    <col min="1" max="1" width="29.1640625" style="134" customWidth="1"/>
    <col min="2" max="2" width="5.6640625" style="134" customWidth="1"/>
    <col min="3" max="3" width="39.6640625" style="134" customWidth="1"/>
    <col min="4" max="4" width="6.5" style="134" customWidth="1"/>
    <col min="5" max="5" width="23.5" style="134" customWidth="1"/>
    <col min="6" max="6" width="15.6640625" style="134" customWidth="1"/>
    <col min="7" max="16384" width="10.83203125" style="134"/>
  </cols>
  <sheetData>
    <row r="1" spans="1:8">
      <c r="C1" s="221"/>
      <c r="D1" s="221"/>
    </row>
    <row r="3" spans="1:8">
      <c r="E3" s="222"/>
    </row>
    <row r="4" spans="1:8">
      <c r="E4" s="222"/>
    </row>
    <row r="5" spans="1:8">
      <c r="A5" s="223" t="s">
        <v>119</v>
      </c>
      <c r="B5" s="223"/>
      <c r="E5" s="222"/>
    </row>
    <row r="6" spans="1:8">
      <c r="A6" s="223"/>
      <c r="B6" s="223"/>
      <c r="E6" s="222"/>
    </row>
    <row r="7" spans="1:8">
      <c r="A7" s="223" t="s">
        <v>120</v>
      </c>
      <c r="B7" s="319">
        <v>43174</v>
      </c>
      <c r="C7" s="319"/>
      <c r="D7" s="224"/>
    </row>
    <row r="8" spans="1:8">
      <c r="A8" s="223"/>
      <c r="B8" s="223"/>
    </row>
    <row r="9" spans="1:8">
      <c r="A9" s="225" t="s">
        <v>121</v>
      </c>
      <c r="B9" s="225"/>
      <c r="C9" s="226" t="str">
        <f>+'TAB SN'!C5</f>
        <v>x</v>
      </c>
      <c r="D9" s="227"/>
      <c r="E9" s="222"/>
    </row>
    <row r="10" spans="1:8">
      <c r="A10" s="228" t="s">
        <v>122</v>
      </c>
      <c r="B10" s="228"/>
      <c r="C10" s="226" t="str">
        <f>+'TAB SN'!C6</f>
        <v>x</v>
      </c>
      <c r="D10" s="227"/>
      <c r="E10" s="222"/>
    </row>
    <row r="11" spans="1:8">
      <c r="A11" s="318" t="s">
        <v>4</v>
      </c>
      <c r="B11" s="318"/>
      <c r="C11" s="226" t="str">
        <f>+'TAB SN'!C7</f>
        <v>x</v>
      </c>
      <c r="D11" s="229"/>
      <c r="H11" s="230"/>
    </row>
    <row r="12" spans="1:8">
      <c r="A12" s="318" t="s">
        <v>123</v>
      </c>
      <c r="B12" s="318"/>
      <c r="C12" s="250">
        <f>+'TAB SN'!C8</f>
        <v>6</v>
      </c>
      <c r="D12" s="232"/>
    </row>
    <row r="13" spans="1:8">
      <c r="A13" s="221"/>
      <c r="B13" s="221"/>
    </row>
    <row r="14" spans="1:8">
      <c r="A14" s="300" t="s">
        <v>96</v>
      </c>
      <c r="B14" s="300"/>
      <c r="C14" s="233">
        <f>+'TAB SN'!D99</f>
        <v>0</v>
      </c>
      <c r="D14" s="157" t="s">
        <v>124</v>
      </c>
      <c r="G14" s="234"/>
    </row>
    <row r="15" spans="1:8">
      <c r="A15" s="300" t="s">
        <v>97</v>
      </c>
      <c r="B15" s="300"/>
      <c r="C15" s="233">
        <f>+'TAB SN'!D100</f>
        <v>640</v>
      </c>
      <c r="D15" s="157" t="s">
        <v>124</v>
      </c>
    </row>
    <row r="16" spans="1:8">
      <c r="A16" s="300" t="s">
        <v>98</v>
      </c>
      <c r="B16" s="300"/>
      <c r="C16" s="233">
        <f>+'TAB SN'!D101</f>
        <v>330</v>
      </c>
      <c r="D16" s="157" t="s">
        <v>124</v>
      </c>
    </row>
    <row r="17" spans="1:6">
      <c r="A17" s="191" t="s">
        <v>99</v>
      </c>
      <c r="B17" s="189">
        <f>+'TAB SN'!M83</f>
        <v>9</v>
      </c>
      <c r="C17" s="233">
        <f>+B17*18.1</f>
        <v>162.9</v>
      </c>
      <c r="D17" s="157" t="s">
        <v>124</v>
      </c>
    </row>
    <row r="18" spans="1:6" ht="31">
      <c r="A18" s="190" t="s">
        <v>100</v>
      </c>
      <c r="B18" s="190"/>
      <c r="C18" s="233"/>
      <c r="D18" s="157"/>
      <c r="E18" s="234"/>
    </row>
    <row r="19" spans="1:6">
      <c r="A19" s="235"/>
      <c r="B19" s="235"/>
      <c r="C19" s="233"/>
      <c r="D19" s="157"/>
      <c r="E19" s="234"/>
    </row>
    <row r="20" spans="1:6">
      <c r="A20" s="191" t="s">
        <v>101</v>
      </c>
      <c r="B20" s="192"/>
      <c r="C20" s="236">
        <f>+'TAB SN'!M95</f>
        <v>21</v>
      </c>
      <c r="D20" s="157"/>
      <c r="E20" s="234"/>
    </row>
    <row r="21" spans="1:6">
      <c r="A21" s="237"/>
      <c r="B21" s="237"/>
      <c r="C21" s="157"/>
      <c r="D21" s="157"/>
      <c r="E21" s="234"/>
    </row>
    <row r="22" spans="1:6">
      <c r="A22" s="315" t="s">
        <v>125</v>
      </c>
      <c r="B22" s="315"/>
      <c r="C22" s="238">
        <f>C14+C15+C16+C17</f>
        <v>1132.9000000000001</v>
      </c>
      <c r="D22" s="239" t="s">
        <v>124</v>
      </c>
      <c r="F22" s="234"/>
    </row>
    <row r="23" spans="1:6">
      <c r="A23" s="315" t="s">
        <v>126</v>
      </c>
      <c r="B23" s="315"/>
      <c r="C23" s="238">
        <f>C22*1.055</f>
        <v>1195.2094999999999</v>
      </c>
      <c r="D23" s="239" t="s">
        <v>127</v>
      </c>
    </row>
    <row r="24" spans="1:6">
      <c r="A24" s="240"/>
      <c r="B24" s="240"/>
      <c r="E24" s="234"/>
    </row>
    <row r="27" spans="1:6">
      <c r="A27" s="240" t="s">
        <v>128</v>
      </c>
      <c r="B27" s="240"/>
      <c r="C27" s="134" t="s">
        <v>148</v>
      </c>
      <c r="E27" s="241"/>
      <c r="F27" s="241"/>
    </row>
    <row r="28" spans="1:6">
      <c r="A28" s="240"/>
      <c r="B28" s="240"/>
      <c r="C28" s="134" t="s">
        <v>130</v>
      </c>
    </row>
    <row r="29" spans="1:6">
      <c r="A29" s="240"/>
      <c r="B29" s="240"/>
      <c r="C29" s="240" t="s">
        <v>131</v>
      </c>
      <c r="D29" s="240"/>
    </row>
    <row r="30" spans="1:6">
      <c r="A30" s="240"/>
      <c r="B30" s="240"/>
      <c r="C30" s="134" t="s">
        <v>132</v>
      </c>
    </row>
    <row r="31" spans="1:6">
      <c r="A31" s="240"/>
      <c r="B31" s="240"/>
      <c r="C31" s="240"/>
      <c r="D31" s="240"/>
    </row>
    <row r="32" spans="1:6">
      <c r="A32" s="240" t="s">
        <v>133</v>
      </c>
      <c r="B32" s="240"/>
      <c r="C32" s="134" t="s">
        <v>134</v>
      </c>
      <c r="D32" s="134" t="s">
        <v>135</v>
      </c>
      <c r="F32" s="242"/>
    </row>
    <row r="33" spans="1:5">
      <c r="C33" s="240" t="s">
        <v>136</v>
      </c>
      <c r="D33" s="134" t="s">
        <v>137</v>
      </c>
    </row>
    <row r="34" spans="1:5">
      <c r="C34" s="134" t="s">
        <v>138</v>
      </c>
      <c r="D34" s="134" t="s">
        <v>139</v>
      </c>
    </row>
    <row r="36" spans="1:5">
      <c r="A36" s="316" t="s">
        <v>140</v>
      </c>
      <c r="B36" s="316"/>
      <c r="C36" s="316"/>
      <c r="D36" s="316"/>
      <c r="E36" s="316"/>
    </row>
    <row r="37" spans="1:5">
      <c r="A37" s="243"/>
      <c r="D37" s="243"/>
    </row>
    <row r="38" spans="1:5">
      <c r="A38" s="244" t="s">
        <v>141</v>
      </c>
      <c r="C38" s="243"/>
      <c r="D38" s="243"/>
    </row>
    <row r="39" spans="1:5">
      <c r="A39" s="251"/>
      <c r="B39" s="313" t="s">
        <v>149</v>
      </c>
      <c r="C39" s="314"/>
    </row>
    <row r="40" spans="1:5">
      <c r="A40" s="251"/>
      <c r="B40" s="313" t="s">
        <v>150</v>
      </c>
      <c r="C40" s="314"/>
    </row>
    <row r="41" spans="1:5">
      <c r="A41" s="251"/>
      <c r="B41" s="313" t="s">
        <v>151</v>
      </c>
      <c r="C41" s="314"/>
    </row>
    <row r="42" spans="1:5">
      <c r="A42" s="251"/>
      <c r="B42" s="313"/>
      <c r="C42" s="314"/>
    </row>
    <row r="43" spans="1:5">
      <c r="A43" s="251"/>
      <c r="B43" s="313"/>
      <c r="C43" s="314"/>
    </row>
    <row r="44" spans="1:5">
      <c r="A44" s="246" t="s">
        <v>144</v>
      </c>
      <c r="B44" s="224"/>
      <c r="C44" s="247" t="s">
        <v>145</v>
      </c>
    </row>
    <row r="45" spans="1:5">
      <c r="C45" s="248" t="s">
        <v>146</v>
      </c>
    </row>
    <row r="46" spans="1:5">
      <c r="C46" s="249" t="s">
        <v>147</v>
      </c>
    </row>
  </sheetData>
  <mergeCells count="14">
    <mergeCell ref="A16:B16"/>
    <mergeCell ref="B7:C7"/>
    <mergeCell ref="A11:B11"/>
    <mergeCell ref="A12:B12"/>
    <mergeCell ref="A14:B14"/>
    <mergeCell ref="A15:B15"/>
    <mergeCell ref="B42:C42"/>
    <mergeCell ref="B43:C43"/>
    <mergeCell ref="A22:B22"/>
    <mergeCell ref="A23:B23"/>
    <mergeCell ref="A36:E36"/>
    <mergeCell ref="B39:C39"/>
    <mergeCell ref="B40:C40"/>
    <mergeCell ref="B41:C41"/>
  </mergeCells>
  <hyperlinks>
    <hyperlink ref="C45" r:id="rId1"/>
  </hyperlinks>
  <pageMargins left="0.75" right="0.75" top="1" bottom="1" header="0.5" footer="0.5"/>
  <pageSetup paperSize="9" scale="77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rgb="FFFF0000"/>
  </sheetPr>
  <dimension ref="A1:Z120"/>
  <sheetViews>
    <sheetView topLeftCell="A109" workbookViewId="0">
      <selection activeCell="G115" sqref="G115"/>
    </sheetView>
  </sheetViews>
  <sheetFormatPr baseColWidth="10" defaultColWidth="10.83203125" defaultRowHeight="15.5"/>
  <cols>
    <col min="1" max="1" width="14.33203125" style="1" bestFit="1" customWidth="1"/>
    <col min="2" max="2" width="18.5" style="20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9" width="16" style="3" customWidth="1"/>
    <col min="10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6" thickBot="1">
      <c r="B1" s="2"/>
    </row>
    <row r="2" spans="1:18" ht="20.5" thickBot="1">
      <c r="B2" s="6" t="s">
        <v>0</v>
      </c>
      <c r="C2" s="303" t="s">
        <v>1</v>
      </c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4"/>
    </row>
    <row r="3" spans="1:18">
      <c r="B3" s="2"/>
    </row>
    <row r="4" spans="1:18">
      <c r="B4" s="2"/>
    </row>
    <row r="5" spans="1:18">
      <c r="B5" s="7" t="s">
        <v>2</v>
      </c>
      <c r="C5" s="8" t="s">
        <v>203</v>
      </c>
      <c r="D5" s="9"/>
    </row>
    <row r="6" spans="1:18">
      <c r="B6" s="10" t="s">
        <v>3</v>
      </c>
      <c r="C6" s="8" t="s">
        <v>203</v>
      </c>
      <c r="D6" s="9"/>
    </row>
    <row r="7" spans="1:18">
      <c r="B7" s="7" t="s">
        <v>4</v>
      </c>
      <c r="C7" s="8" t="s">
        <v>203</v>
      </c>
      <c r="D7" s="9"/>
      <c r="E7" s="3" t="s">
        <v>152</v>
      </c>
      <c r="F7" s="325">
        <v>2019</v>
      </c>
    </row>
    <row r="8" spans="1:18">
      <c r="A8" s="11"/>
      <c r="B8" s="7" t="s">
        <v>7</v>
      </c>
      <c r="C8" s="12">
        <v>6</v>
      </c>
      <c r="D8" s="9"/>
    </row>
    <row r="9" spans="1:18">
      <c r="A9" s="11"/>
      <c r="B9" s="13"/>
      <c r="C9" s="14" t="s">
        <v>8</v>
      </c>
      <c r="D9" s="14">
        <v>5</v>
      </c>
    </row>
    <row r="10" spans="1:18">
      <c r="A10" s="11"/>
      <c r="B10" s="13"/>
      <c r="C10" s="14" t="s">
        <v>9</v>
      </c>
      <c r="D10" s="14">
        <v>1</v>
      </c>
    </row>
    <row r="11" spans="1:18">
      <c r="A11" s="11"/>
      <c r="B11" s="2"/>
    </row>
    <row r="12" spans="1:18" s="17" customFormat="1" ht="16" thickBot="1">
      <c r="A12" s="15"/>
      <c r="B12" s="16"/>
      <c r="P12" s="18"/>
      <c r="R12" s="19"/>
    </row>
    <row r="13" spans="1:18" ht="16" thickBot="1">
      <c r="D13" s="21"/>
      <c r="E13" s="22" t="s">
        <v>153</v>
      </c>
      <c r="F13" s="22" t="s">
        <v>154</v>
      </c>
      <c r="G13" s="22" t="s">
        <v>12</v>
      </c>
      <c r="H13" s="22" t="s">
        <v>13</v>
      </c>
      <c r="I13" s="22" t="s">
        <v>14</v>
      </c>
      <c r="J13" s="22" t="s">
        <v>15</v>
      </c>
      <c r="K13" s="22" t="s">
        <v>16</v>
      </c>
      <c r="L13" s="22" t="s">
        <v>17</v>
      </c>
      <c r="M13" s="22" t="s">
        <v>18</v>
      </c>
      <c r="N13" s="22" t="s">
        <v>18</v>
      </c>
      <c r="O13" s="22" t="s">
        <v>19</v>
      </c>
    </row>
    <row r="14" spans="1:18" ht="16" thickBot="1">
      <c r="C14" s="23" t="s">
        <v>21</v>
      </c>
      <c r="D14" s="23"/>
      <c r="E14" s="24"/>
      <c r="F14" s="25"/>
      <c r="G14" s="24" t="s">
        <v>155</v>
      </c>
      <c r="H14" s="24" t="s">
        <v>156</v>
      </c>
      <c r="I14" s="24" t="s">
        <v>157</v>
      </c>
      <c r="J14" s="24" t="s">
        <v>158</v>
      </c>
      <c r="K14" s="24" t="s">
        <v>159</v>
      </c>
      <c r="L14" s="24"/>
      <c r="M14" s="24"/>
      <c r="N14" s="24"/>
      <c r="O14" s="24"/>
    </row>
    <row r="15" spans="1:18" ht="16" thickBot="1">
      <c r="C15" s="23" t="s">
        <v>160</v>
      </c>
      <c r="D15" s="23"/>
      <c r="E15" s="24"/>
      <c r="F15" s="25"/>
      <c r="G15" s="24"/>
      <c r="H15" s="24"/>
      <c r="I15" s="24"/>
      <c r="J15" s="24"/>
      <c r="K15" s="24"/>
      <c r="L15" s="24"/>
      <c r="M15" s="24"/>
      <c r="N15" s="24"/>
      <c r="O15" s="24"/>
    </row>
    <row r="16" spans="1:18" s="20" customFormat="1" ht="16" thickBot="1">
      <c r="A16" s="11" t="s">
        <v>27</v>
      </c>
      <c r="B16" s="26">
        <v>180</v>
      </c>
      <c r="C16" s="27" t="s">
        <v>28</v>
      </c>
      <c r="D16" s="28"/>
      <c r="E16" s="28" t="s">
        <v>29</v>
      </c>
      <c r="F16" s="29" t="s">
        <v>30</v>
      </c>
      <c r="G16" s="29" t="s">
        <v>27</v>
      </c>
      <c r="H16" s="29" t="str">
        <f>+A17</f>
        <v>1REP</v>
      </c>
      <c r="I16" s="36" t="s">
        <v>35</v>
      </c>
      <c r="J16" s="36" t="s">
        <v>35</v>
      </c>
      <c r="K16" s="11" t="s">
        <v>161</v>
      </c>
      <c r="M16" s="29">
        <v>0</v>
      </c>
      <c r="N16" s="29"/>
      <c r="O16" s="29"/>
      <c r="P16" s="30" t="s">
        <v>32</v>
      </c>
      <c r="R16" s="31"/>
    </row>
    <row r="17" spans="1:18" ht="16" thickBot="1">
      <c r="A17" s="11" t="s">
        <v>33</v>
      </c>
      <c r="B17" s="26">
        <v>180</v>
      </c>
      <c r="D17" s="32"/>
      <c r="E17" s="33">
        <v>4</v>
      </c>
      <c r="F17" s="33"/>
      <c r="G17" s="34"/>
      <c r="H17" s="34"/>
      <c r="I17" s="34"/>
      <c r="J17" s="34"/>
      <c r="K17" s="34"/>
      <c r="L17" s="34"/>
      <c r="M17" s="34"/>
      <c r="N17" s="34"/>
      <c r="O17" s="34"/>
      <c r="P17" s="35"/>
      <c r="R17" s="5" t="s">
        <v>34</v>
      </c>
    </row>
    <row r="18" spans="1:18">
      <c r="A18" s="36" t="s">
        <v>35</v>
      </c>
      <c r="B18" s="26">
        <v>220</v>
      </c>
      <c r="C18" s="37" t="s">
        <v>203</v>
      </c>
      <c r="E18" s="38">
        <f>100+90</f>
        <v>190</v>
      </c>
      <c r="F18" s="39">
        <f>$E$17*12</f>
        <v>48</v>
      </c>
      <c r="G18" s="39">
        <f>IF($G$16="MONTAGE",180,0)</f>
        <v>180</v>
      </c>
      <c r="H18" s="39">
        <f>IF(H16="1rep",180,0)+IF(H16="2rep",220,0)+IF(H16="2rep+démontage",250,0)+IF(H16="1rep+démontage",180,0)</f>
        <v>180</v>
      </c>
      <c r="I18" s="39">
        <f t="shared" ref="I18:L18" si="0">IF(I16="1rep",180,0)+IF(I16="2rep",220,0)+IF(I16="2rep+démontage",250,0)+IF(I16="1rep+démontage",180,0)</f>
        <v>220</v>
      </c>
      <c r="J18" s="39">
        <f t="shared" si="0"/>
        <v>220</v>
      </c>
      <c r="K18" s="39">
        <f t="shared" si="0"/>
        <v>180</v>
      </c>
      <c r="L18" s="39">
        <f t="shared" si="0"/>
        <v>0</v>
      </c>
      <c r="M18" s="39">
        <f t="shared" ref="M18" si="1">IF(M16="1rep",180,0)+IF(M16="2rep",220,0)+IF(M16="2rep+demontage",250,0)+IF(M16="1rep+démontage",180,0)</f>
        <v>0</v>
      </c>
      <c r="N18" s="39">
        <f>IF(N16="1rep",180,0)+IF(N16="2rep",220,0)+IF(N16="2rep+demontage",250,0)+IF(N16="1rep+démontage",180,0)</f>
        <v>0</v>
      </c>
      <c r="O18" s="39">
        <f>IF(O16="1rep",180,0)+IF(O16="2rep",220,0)+IF(O16="2rep+demontage",250,0)+IF(O16="1rep+démontage",180,0)</f>
        <v>0</v>
      </c>
      <c r="P18" s="40">
        <f>SUM(E18:O18)</f>
        <v>1218</v>
      </c>
      <c r="Q18" s="37" t="s">
        <v>36</v>
      </c>
      <c r="R18" s="5">
        <f>SUM(F21:N21)</f>
        <v>60</v>
      </c>
    </row>
    <row r="19" spans="1:18">
      <c r="A19" s="11" t="s">
        <v>162</v>
      </c>
      <c r="B19" s="26">
        <v>250</v>
      </c>
      <c r="C19" s="41" t="s">
        <v>203</v>
      </c>
      <c r="E19" s="42"/>
      <c r="F19" s="43">
        <f t="shared" ref="F19" si="2">$E$17*12</f>
        <v>48</v>
      </c>
      <c r="G19" s="43">
        <f>IF($G$16="montage",180,0)</f>
        <v>180</v>
      </c>
      <c r="H19" s="43">
        <f>IF(H16="1rep",180,0)+IF(H16="2rep",220,0)+IF(H16="2rep+démontage",250,0)+IF(H16="1rep+démontage",180,0)</f>
        <v>180</v>
      </c>
      <c r="I19" s="43">
        <f t="shared" ref="I19:L19" si="3">IF(I16="1rep",180,0)+IF(I16="2rep",220,0)+IF(I16="2rep+démontage",250,0)+IF(I16="1rep+démontage",180,0)</f>
        <v>220</v>
      </c>
      <c r="J19" s="43">
        <f t="shared" si="3"/>
        <v>220</v>
      </c>
      <c r="K19" s="43">
        <f t="shared" si="3"/>
        <v>180</v>
      </c>
      <c r="L19" s="43">
        <f t="shared" si="3"/>
        <v>0</v>
      </c>
      <c r="M19" s="43">
        <f t="shared" ref="M19:N19" si="4">IF(M16="1rep",180,0)+IF(M16="2rep",220,0)+IF(M16="2rep+demontage",250,0)+IF(M17="1rep+démontage",180,0)</f>
        <v>0</v>
      </c>
      <c r="N19" s="43">
        <f t="shared" si="4"/>
        <v>0</v>
      </c>
      <c r="O19" s="43">
        <f t="shared" ref="O19" si="5">IF(O16="1rep",180,0)+IF(O16="2rep",240,0)+IF(O16="2rep+demontage",270,0)</f>
        <v>0</v>
      </c>
      <c r="P19" s="40">
        <f>SUM(E19:M19)</f>
        <v>1028</v>
      </c>
      <c r="Q19" s="41" t="s">
        <v>38</v>
      </c>
      <c r="R19" s="5">
        <f t="shared" ref="R19" si="6">SUM(F22:N22)</f>
        <v>60</v>
      </c>
    </row>
    <row r="20" spans="1:18" ht="16" thickBot="1">
      <c r="A20" s="11" t="s">
        <v>161</v>
      </c>
      <c r="B20" s="26"/>
      <c r="C20" s="44" t="s">
        <v>203</v>
      </c>
      <c r="D20" s="45">
        <v>90</v>
      </c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0">
        <f>SUM(D20:M20)</f>
        <v>90</v>
      </c>
      <c r="Q20" s="44" t="s">
        <v>40</v>
      </c>
    </row>
    <row r="21" spans="1:18" s="47" customFormat="1">
      <c r="C21" s="48" t="s">
        <v>203</v>
      </c>
      <c r="D21" s="49"/>
      <c r="E21" s="49"/>
      <c r="F21" s="49"/>
      <c r="G21" s="50">
        <f t="shared" ref="G21:N22" si="7">IF(G18&gt;1,12,0)</f>
        <v>12</v>
      </c>
      <c r="H21" s="50">
        <f t="shared" si="7"/>
        <v>12</v>
      </c>
      <c r="I21" s="50">
        <f t="shared" si="7"/>
        <v>12</v>
      </c>
      <c r="J21" s="50">
        <f t="shared" si="7"/>
        <v>12</v>
      </c>
      <c r="K21" s="50">
        <f t="shared" si="7"/>
        <v>12</v>
      </c>
      <c r="L21" s="50">
        <f t="shared" si="7"/>
        <v>0</v>
      </c>
      <c r="M21" s="50">
        <f t="shared" si="7"/>
        <v>0</v>
      </c>
      <c r="N21" s="50">
        <f t="shared" si="7"/>
        <v>0</v>
      </c>
      <c r="O21" s="51" t="s">
        <v>41</v>
      </c>
      <c r="P21" s="52">
        <f>SUM(P18:P20)</f>
        <v>2336</v>
      </c>
      <c r="Q21" s="48"/>
      <c r="R21" s="5">
        <f>SUM(R18:R20)</f>
        <v>120</v>
      </c>
    </row>
    <row r="22" spans="1:18" s="47" customFormat="1" ht="16" thickBot="1">
      <c r="C22" s="48"/>
      <c r="D22" s="49"/>
      <c r="E22" s="49"/>
      <c r="F22" s="49"/>
      <c r="G22" s="50">
        <f t="shared" si="7"/>
        <v>12</v>
      </c>
      <c r="H22" s="50">
        <f t="shared" si="7"/>
        <v>12</v>
      </c>
      <c r="I22" s="50">
        <f t="shared" si="7"/>
        <v>12</v>
      </c>
      <c r="J22" s="50">
        <f t="shared" si="7"/>
        <v>12</v>
      </c>
      <c r="K22" s="50">
        <f t="shared" si="7"/>
        <v>12</v>
      </c>
      <c r="L22" s="50">
        <f t="shared" si="7"/>
        <v>0</v>
      </c>
      <c r="M22" s="50">
        <f t="shared" si="7"/>
        <v>0</v>
      </c>
      <c r="N22" s="50">
        <f t="shared" si="7"/>
        <v>0</v>
      </c>
      <c r="O22" s="53" t="s">
        <v>42</v>
      </c>
      <c r="P22" s="54">
        <f>+P18*0.67+P19*0.63+P20*0.63</f>
        <v>1520.4</v>
      </c>
      <c r="Q22" s="48"/>
      <c r="R22" s="55"/>
    </row>
    <row r="23" spans="1:18">
      <c r="G23" s="1"/>
      <c r="H23" s="1"/>
      <c r="I23" s="1"/>
      <c r="J23" s="1"/>
      <c r="K23" s="1"/>
      <c r="L23" s="1"/>
      <c r="M23" s="1"/>
      <c r="N23" s="1"/>
      <c r="Q23" s="56"/>
    </row>
    <row r="24" spans="1:18" ht="16" thickBot="1">
      <c r="G24" s="1"/>
      <c r="H24" s="1"/>
      <c r="I24" s="1"/>
      <c r="J24" s="1"/>
      <c r="K24" s="1"/>
      <c r="L24" s="1"/>
      <c r="M24" s="1"/>
      <c r="N24" s="1"/>
      <c r="Q24" s="56"/>
    </row>
    <row r="25" spans="1:18" ht="16" thickBot="1">
      <c r="C25" s="56"/>
      <c r="D25" s="57"/>
      <c r="E25" s="58"/>
      <c r="F25" s="59"/>
      <c r="G25" s="60" t="s">
        <v>12</v>
      </c>
      <c r="H25" s="22" t="s">
        <v>13</v>
      </c>
      <c r="I25" s="22" t="s">
        <v>14</v>
      </c>
      <c r="J25" s="22" t="s">
        <v>15</v>
      </c>
      <c r="K25" s="22" t="s">
        <v>16</v>
      </c>
      <c r="L25" s="22" t="s">
        <v>17</v>
      </c>
      <c r="M25" s="22" t="s">
        <v>18</v>
      </c>
      <c r="N25" s="22" t="s">
        <v>19</v>
      </c>
      <c r="O25" s="22" t="s">
        <v>20</v>
      </c>
      <c r="P25" s="56"/>
      <c r="Q25" s="56"/>
    </row>
    <row r="26" spans="1:18" ht="16" thickBot="1">
      <c r="C26" s="61" t="s">
        <v>21</v>
      </c>
      <c r="D26" s="62"/>
      <c r="E26" s="63"/>
      <c r="F26" s="64" t="s">
        <v>21</v>
      </c>
      <c r="G26" s="24" t="s">
        <v>155</v>
      </c>
      <c r="H26" s="24" t="s">
        <v>156</v>
      </c>
      <c r="I26" s="24" t="s">
        <v>157</v>
      </c>
      <c r="J26" s="24" t="s">
        <v>158</v>
      </c>
      <c r="K26" s="24" t="s">
        <v>159</v>
      </c>
      <c r="L26" s="65">
        <f t="shared" ref="L26:O26" si="8">+L14</f>
        <v>0</v>
      </c>
      <c r="M26" s="65">
        <f t="shared" si="8"/>
        <v>0</v>
      </c>
      <c r="N26" s="65">
        <f t="shared" si="8"/>
        <v>0</v>
      </c>
      <c r="O26" s="65">
        <f t="shared" si="8"/>
        <v>0</v>
      </c>
    </row>
    <row r="27" spans="1:18" ht="16" thickBot="1">
      <c r="A27" s="77" t="s">
        <v>43</v>
      </c>
      <c r="B27" s="26">
        <v>60</v>
      </c>
      <c r="C27" s="68" t="s">
        <v>44</v>
      </c>
      <c r="D27" s="62"/>
      <c r="E27" s="63"/>
      <c r="F27" s="69"/>
      <c r="G27" s="28"/>
      <c r="H27" s="29" t="str">
        <f>+A28</f>
        <v>RACCORD+1REP</v>
      </c>
      <c r="I27" s="36" t="s">
        <v>35</v>
      </c>
      <c r="J27" s="36" t="s">
        <v>35</v>
      </c>
      <c r="K27" s="77" t="s">
        <v>33</v>
      </c>
      <c r="L27" s="29"/>
      <c r="M27" s="71">
        <v>0</v>
      </c>
      <c r="N27" s="71"/>
      <c r="O27" s="252">
        <v>1</v>
      </c>
      <c r="P27" s="30" t="s">
        <v>32</v>
      </c>
    </row>
    <row r="28" spans="1:18">
      <c r="A28" s="77" t="s">
        <v>46</v>
      </c>
      <c r="B28" s="26">
        <v>190</v>
      </c>
      <c r="C28" s="72" t="s">
        <v>203</v>
      </c>
      <c r="D28" s="62"/>
      <c r="E28" s="63"/>
      <c r="F28" s="69"/>
      <c r="G28" s="73">
        <f>IF($H$27="raccord",60,0)</f>
        <v>0</v>
      </c>
      <c r="H28" s="74">
        <f>IF(H27="raccord+1rep",190,0)+IF(H27="raccord+2rep",220)+IF(H27="1rep",180,0)+IF(H27="2rep",210)</f>
        <v>190</v>
      </c>
      <c r="I28" s="74">
        <f>IF(I27="raccord+1rep",190,0)+IF(I27="raccord+2rep",220)+IF(I27="1rep",180,0)+IF(I27="2rep",210)</f>
        <v>210</v>
      </c>
      <c r="J28" s="74">
        <f t="shared" ref="J28:O28" si="9">IF(J27="raccord+1rep",190,0)+IF(J27="raccord+2rep",220)+IF(J27="1rep",180,0)+IF(J27="2rep",210)</f>
        <v>210</v>
      </c>
      <c r="K28" s="74">
        <f t="shared" si="9"/>
        <v>180</v>
      </c>
      <c r="L28" s="74">
        <f t="shared" si="9"/>
        <v>0</v>
      </c>
      <c r="M28" s="74">
        <f t="shared" si="9"/>
        <v>0</v>
      </c>
      <c r="N28" s="74"/>
      <c r="O28" s="74">
        <f t="shared" si="9"/>
        <v>0</v>
      </c>
      <c r="P28" s="75">
        <f>SUM(G28:O28)</f>
        <v>790</v>
      </c>
      <c r="Q28" s="72" t="s">
        <v>47</v>
      </c>
      <c r="R28" s="5">
        <f>SUM(G32:N32)</f>
        <v>48</v>
      </c>
    </row>
    <row r="29" spans="1:18">
      <c r="A29" s="77" t="s">
        <v>48</v>
      </c>
      <c r="B29" s="26">
        <v>220</v>
      </c>
      <c r="C29" s="76" t="s">
        <v>203</v>
      </c>
      <c r="D29" s="62"/>
      <c r="E29" s="63"/>
      <c r="F29" s="69"/>
      <c r="G29" s="81">
        <f>IF($H$27="raccord",60,0)</f>
        <v>0</v>
      </c>
      <c r="H29" s="74">
        <f>IF(H27="raccord+1rep",190,0)+IF(H27="raccord+2rep",220)+IF(H27="1rep",180,0)+IF(H27="2rep",210)</f>
        <v>190</v>
      </c>
      <c r="I29" s="74">
        <f t="shared" ref="I29:O29" si="10">IF(I27="raccord+1rep",190,0)+IF(I27="raccord+2rep",220)+IF(I27="1rep",180,0)+IF(I27="2rep",210)</f>
        <v>210</v>
      </c>
      <c r="J29" s="74">
        <f t="shared" si="10"/>
        <v>210</v>
      </c>
      <c r="K29" s="74">
        <f t="shared" si="10"/>
        <v>180</v>
      </c>
      <c r="L29" s="74">
        <f t="shared" si="10"/>
        <v>0</v>
      </c>
      <c r="M29" s="74">
        <f t="shared" si="10"/>
        <v>0</v>
      </c>
      <c r="N29" s="74"/>
      <c r="O29" s="74">
        <f t="shared" si="10"/>
        <v>0</v>
      </c>
      <c r="P29" s="75">
        <f t="shared" ref="P29:P30" si="11">SUM(G29:O29)</f>
        <v>790</v>
      </c>
      <c r="Q29" s="76" t="s">
        <v>49</v>
      </c>
      <c r="R29" s="5">
        <f t="shared" ref="R29:R31" si="12">SUM(G33:N33)</f>
        <v>48</v>
      </c>
    </row>
    <row r="30" spans="1:18">
      <c r="A30" s="77" t="s">
        <v>33</v>
      </c>
      <c r="B30" s="26">
        <v>180</v>
      </c>
      <c r="C30" s="76" t="s">
        <v>203</v>
      </c>
      <c r="D30" s="62"/>
      <c r="E30" s="63"/>
      <c r="F30" s="69"/>
      <c r="G30" s="81">
        <f>IF($H$27="raccord",60,0)</f>
        <v>0</v>
      </c>
      <c r="H30" s="74">
        <f>IF(H27="raccord+1rep",190,0)+IF(H27="raccord+2rep",220)+IF(H27="1rep",180,0)+IF(H27="2rep",210)</f>
        <v>190</v>
      </c>
      <c r="I30" s="74">
        <f t="shared" ref="I30:O30" si="13">IF(I27="raccord+1rep",190,0)+IF(I27="raccord+2rep",220)+IF(I27="1rep",180,0)+IF(I27="2rep",210)</f>
        <v>210</v>
      </c>
      <c r="J30" s="74">
        <f t="shared" si="13"/>
        <v>210</v>
      </c>
      <c r="K30" s="74">
        <f t="shared" si="13"/>
        <v>180</v>
      </c>
      <c r="L30" s="74">
        <f t="shared" si="13"/>
        <v>0</v>
      </c>
      <c r="M30" s="74">
        <f t="shared" si="13"/>
        <v>0</v>
      </c>
      <c r="N30" s="74"/>
      <c r="O30" s="74">
        <f t="shared" si="13"/>
        <v>0</v>
      </c>
      <c r="P30" s="75">
        <f t="shared" si="11"/>
        <v>790</v>
      </c>
      <c r="Q30" s="76" t="s">
        <v>163</v>
      </c>
      <c r="R30" s="5">
        <f t="shared" si="12"/>
        <v>48</v>
      </c>
    </row>
    <row r="31" spans="1:18" ht="16" thickBot="1">
      <c r="A31" s="77" t="s">
        <v>35</v>
      </c>
      <c r="B31" s="26">
        <v>210</v>
      </c>
      <c r="C31" s="76" t="s">
        <v>203</v>
      </c>
      <c r="D31" s="78"/>
      <c r="E31" s="79"/>
      <c r="F31" s="80"/>
      <c r="G31" s="81"/>
      <c r="H31" s="74"/>
      <c r="I31" s="74"/>
      <c r="J31" s="74"/>
      <c r="K31" s="74"/>
      <c r="L31" s="74"/>
      <c r="M31" s="74"/>
      <c r="N31" s="74"/>
      <c r="O31" s="74"/>
      <c r="P31" s="75"/>
      <c r="Q31" s="82"/>
      <c r="R31" s="5">
        <f t="shared" si="12"/>
        <v>0</v>
      </c>
    </row>
    <row r="32" spans="1:18">
      <c r="C32" s="56"/>
      <c r="D32" s="83"/>
      <c r="E32" s="83"/>
      <c r="F32" s="83"/>
      <c r="G32" s="50">
        <f>IF(G28&gt;1,12,0)</f>
        <v>0</v>
      </c>
      <c r="H32" s="50">
        <f t="shared" ref="H32:N34" si="14">IF(H28&gt;1,12,0)</f>
        <v>12</v>
      </c>
      <c r="I32" s="50">
        <f t="shared" si="14"/>
        <v>12</v>
      </c>
      <c r="J32" s="50">
        <f t="shared" si="14"/>
        <v>12</v>
      </c>
      <c r="K32" s="50">
        <f t="shared" si="14"/>
        <v>12</v>
      </c>
      <c r="L32" s="50">
        <f t="shared" si="14"/>
        <v>0</v>
      </c>
      <c r="M32" s="50">
        <f t="shared" si="14"/>
        <v>0</v>
      </c>
      <c r="N32" s="50">
        <f t="shared" si="14"/>
        <v>0</v>
      </c>
      <c r="O32" s="84" t="s">
        <v>51</v>
      </c>
      <c r="P32" s="85">
        <f>SUM(P28:P31)</f>
        <v>2370</v>
      </c>
      <c r="Q32" s="86"/>
    </row>
    <row r="33" spans="1:18" ht="16" thickBot="1">
      <c r="C33" s="56"/>
      <c r="D33" s="83"/>
      <c r="E33" s="83"/>
      <c r="F33" s="83"/>
      <c r="G33" s="50">
        <f>IF(G29&gt;1,12,0)</f>
        <v>0</v>
      </c>
      <c r="H33" s="50">
        <f t="shared" si="14"/>
        <v>12</v>
      </c>
      <c r="I33" s="50">
        <f t="shared" si="14"/>
        <v>12</v>
      </c>
      <c r="J33" s="50">
        <f t="shared" si="14"/>
        <v>12</v>
      </c>
      <c r="K33" s="50">
        <f t="shared" si="14"/>
        <v>12</v>
      </c>
      <c r="L33" s="50">
        <f t="shared" si="14"/>
        <v>0</v>
      </c>
      <c r="M33" s="50">
        <f t="shared" si="14"/>
        <v>0</v>
      </c>
      <c r="N33" s="50">
        <f t="shared" si="14"/>
        <v>0</v>
      </c>
      <c r="O33" s="87" t="s">
        <v>52</v>
      </c>
      <c r="P33" s="88">
        <f>+(P28+P29+P30)*0.46+P31*0.57</f>
        <v>1090.2</v>
      </c>
      <c r="Q33" s="86"/>
      <c r="R33" s="5">
        <f>SUM(R28:R32)</f>
        <v>144</v>
      </c>
    </row>
    <row r="34" spans="1:18">
      <c r="C34" s="56"/>
      <c r="D34" s="83"/>
      <c r="E34" s="83"/>
      <c r="F34" s="83"/>
      <c r="G34" s="50">
        <f>IF(G30&gt;1,12,0)</f>
        <v>0</v>
      </c>
      <c r="H34" s="50">
        <f t="shared" si="14"/>
        <v>12</v>
      </c>
      <c r="I34" s="50">
        <f t="shared" si="14"/>
        <v>12</v>
      </c>
      <c r="J34" s="50">
        <f t="shared" si="14"/>
        <v>12</v>
      </c>
      <c r="K34" s="50">
        <f t="shared" si="14"/>
        <v>12</v>
      </c>
      <c r="L34" s="50">
        <f t="shared" si="14"/>
        <v>0</v>
      </c>
      <c r="M34" s="50">
        <f t="shared" si="14"/>
        <v>0</v>
      </c>
      <c r="N34" s="50">
        <f t="shared" si="14"/>
        <v>0</v>
      </c>
      <c r="O34" s="89"/>
      <c r="P34" s="90"/>
      <c r="Q34" s="86"/>
    </row>
    <row r="35" spans="1:18">
      <c r="C35" s="56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9"/>
      <c r="P35" s="90"/>
      <c r="Q35" s="86"/>
    </row>
    <row r="36" spans="1:18">
      <c r="C36" s="91"/>
      <c r="D36" s="91"/>
      <c r="E36" s="91"/>
      <c r="F36" s="91"/>
      <c r="G36" s="91"/>
      <c r="H36" s="91"/>
      <c r="I36" s="91"/>
      <c r="J36" s="91"/>
      <c r="K36" s="91"/>
      <c r="L36" s="91"/>
      <c r="R36" s="5">
        <f>+R33+R21</f>
        <v>264</v>
      </c>
    </row>
    <row r="37" spans="1:18" ht="18">
      <c r="C37" s="305" t="s">
        <v>53</v>
      </c>
      <c r="D37" s="306"/>
      <c r="E37" s="306"/>
      <c r="F37" s="306"/>
      <c r="G37" s="306"/>
      <c r="H37" s="306"/>
      <c r="I37" s="306"/>
      <c r="J37" s="307"/>
    </row>
    <row r="38" spans="1:18" s="94" customFormat="1" ht="16" thickBot="1">
      <c r="A38" s="92"/>
      <c r="B38" s="93"/>
      <c r="P38" s="95"/>
      <c r="R38" s="96"/>
    </row>
    <row r="39" spans="1:18" s="94" customFormat="1" ht="18" thickBot="1">
      <c r="A39" s="92"/>
      <c r="B39" s="93"/>
      <c r="C39" s="97" t="s">
        <v>54</v>
      </c>
      <c r="D39" s="98"/>
      <c r="E39" s="99"/>
      <c r="F39" s="99"/>
      <c r="G39" s="99"/>
      <c r="H39" s="99"/>
      <c r="I39" s="100"/>
      <c r="J39" s="101">
        <f>P21+P22+P32+P33</f>
        <v>7316.5999999999995</v>
      </c>
      <c r="K39" s="102" t="s">
        <v>55</v>
      </c>
      <c r="L39" s="103"/>
      <c r="P39" s="95"/>
      <c r="R39" s="96"/>
    </row>
    <row r="40" spans="1:18" s="94" customFormat="1" ht="16" thickBot="1">
      <c r="A40" s="92"/>
      <c r="B40" s="93"/>
      <c r="C40" s="104" t="s">
        <v>56</v>
      </c>
      <c r="D40" s="105">
        <v>0.4</v>
      </c>
      <c r="E40" s="106"/>
      <c r="F40" s="106"/>
      <c r="G40" s="106"/>
      <c r="H40" s="106"/>
      <c r="I40" s="107"/>
      <c r="J40" s="108">
        <f>+J39*D40</f>
        <v>2926.64</v>
      </c>
      <c r="K40" s="109"/>
      <c r="L40" s="110"/>
      <c r="P40" s="95"/>
      <c r="R40" s="96"/>
    </row>
    <row r="41" spans="1:18" s="94" customFormat="1" ht="16" thickBot="1">
      <c r="A41" s="92"/>
      <c r="B41" s="93"/>
      <c r="C41" s="111" t="s">
        <v>58</v>
      </c>
      <c r="D41" s="112"/>
      <c r="E41" s="112"/>
      <c r="F41" s="112"/>
      <c r="G41" s="112"/>
      <c r="H41" s="112"/>
      <c r="I41" s="113"/>
      <c r="J41" s="114">
        <f>J39+J40</f>
        <v>10243.24</v>
      </c>
      <c r="K41" s="115">
        <f>+J41/C8</f>
        <v>1707.2066666666667</v>
      </c>
      <c r="L41" s="116">
        <f>+D40</f>
        <v>0.4</v>
      </c>
      <c r="P41" s="95"/>
      <c r="R41" s="96"/>
    </row>
    <row r="42" spans="1:18" ht="16" thickBot="1">
      <c r="C42" s="104" t="s">
        <v>59</v>
      </c>
      <c r="D42" s="105">
        <v>0.3</v>
      </c>
      <c r="E42" s="106"/>
      <c r="F42" s="106"/>
      <c r="G42" s="106"/>
      <c r="H42" s="106"/>
      <c r="I42" s="107"/>
      <c r="J42" s="108">
        <f>+J39*D42</f>
        <v>2194.9799999999996</v>
      </c>
      <c r="K42" s="109"/>
      <c r="L42" s="117"/>
      <c r="M42" s="94"/>
      <c r="N42" s="94"/>
      <c r="O42" s="94"/>
    </row>
    <row r="43" spans="1:18" s="94" customFormat="1" ht="16" thickBot="1">
      <c r="A43" s="92"/>
      <c r="B43" s="93"/>
      <c r="C43" s="118" t="s">
        <v>60</v>
      </c>
      <c r="D43" s="119"/>
      <c r="E43" s="119"/>
      <c r="F43" s="119"/>
      <c r="G43" s="119"/>
      <c r="H43" s="119"/>
      <c r="I43" s="120"/>
      <c r="J43" s="121">
        <f>+J42+J39</f>
        <v>9511.5799999999981</v>
      </c>
      <c r="K43" s="115">
        <f>+J43/C8</f>
        <v>1585.2633333333331</v>
      </c>
      <c r="L43" s="116">
        <f>+D42</f>
        <v>0.3</v>
      </c>
      <c r="P43" s="95"/>
      <c r="R43" s="96"/>
    </row>
    <row r="44" spans="1:18" ht="17" thickBot="1">
      <c r="C44" s="122" t="s">
        <v>61</v>
      </c>
      <c r="D44" s="123"/>
      <c r="E44" s="123"/>
      <c r="F44" s="123"/>
      <c r="G44" s="123"/>
      <c r="H44" s="123"/>
      <c r="I44" s="124"/>
      <c r="J44" s="125"/>
      <c r="K44" s="253">
        <f>J44/C8</f>
        <v>0</v>
      </c>
      <c r="L44" s="127">
        <f>+D45</f>
        <v>-1</v>
      </c>
    </row>
    <row r="45" spans="1:18" ht="17" thickBot="1">
      <c r="C45" s="128" t="s">
        <v>62</v>
      </c>
      <c r="D45" s="129">
        <f>(+J44/J39)-1</f>
        <v>-1</v>
      </c>
      <c r="E45" s="130"/>
      <c r="F45" s="130"/>
      <c r="G45" s="130"/>
      <c r="H45" s="130"/>
      <c r="I45" s="131"/>
      <c r="J45" s="132">
        <f>J44-J39</f>
        <v>-7316.5999999999995</v>
      </c>
      <c r="K45" s="94"/>
    </row>
    <row r="46" spans="1:18">
      <c r="K46" s="94"/>
    </row>
    <row r="47" spans="1:18" ht="16" thickBot="1"/>
    <row r="48" spans="1:18" ht="20.5" thickBot="1">
      <c r="B48" s="6" t="s">
        <v>63</v>
      </c>
      <c r="C48" s="303" t="s">
        <v>64</v>
      </c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4"/>
      <c r="R48" s="3"/>
    </row>
    <row r="50" spans="1:18">
      <c r="B50" s="133"/>
      <c r="C50" s="134"/>
      <c r="D50" s="134"/>
      <c r="E50" s="134"/>
      <c r="F50" s="134"/>
      <c r="G50" s="135" t="s">
        <v>65</v>
      </c>
      <c r="R50" s="3"/>
    </row>
    <row r="51" spans="1:18">
      <c r="B51" s="136" t="s">
        <v>66</v>
      </c>
      <c r="C51" s="137" t="s">
        <v>67</v>
      </c>
      <c r="D51" s="137" t="s">
        <v>68</v>
      </c>
      <c r="E51" s="137" t="s">
        <v>69</v>
      </c>
      <c r="F51" s="138" t="s">
        <v>70</v>
      </c>
      <c r="G51" s="139">
        <f>SUM(F52:F52)</f>
        <v>504</v>
      </c>
      <c r="R51" s="3"/>
    </row>
    <row r="52" spans="1:18">
      <c r="B52" s="140" t="s">
        <v>71</v>
      </c>
      <c r="C52" s="141">
        <v>60</v>
      </c>
      <c r="D52" s="142">
        <v>7</v>
      </c>
      <c r="E52" s="141">
        <f>C52*D52</f>
        <v>420</v>
      </c>
      <c r="F52" s="143">
        <f>E52*1.2</f>
        <v>504</v>
      </c>
      <c r="G52" s="135"/>
      <c r="R52" s="3"/>
    </row>
    <row r="53" spans="1:18">
      <c r="A53" s="3"/>
      <c r="B53" s="144" t="s">
        <v>72</v>
      </c>
      <c r="C53" s="137" t="s">
        <v>73</v>
      </c>
      <c r="D53" s="137" t="s">
        <v>74</v>
      </c>
      <c r="E53" s="137" t="s">
        <v>75</v>
      </c>
      <c r="F53" s="138"/>
      <c r="G53" s="139">
        <f>SUM(E54:F54)</f>
        <v>136</v>
      </c>
      <c r="P53" s="3"/>
      <c r="R53" s="3"/>
    </row>
    <row r="54" spans="1:18">
      <c r="A54" s="3"/>
      <c r="B54" s="140" t="s">
        <v>76</v>
      </c>
      <c r="C54" s="141">
        <v>400</v>
      </c>
      <c r="D54" s="145">
        <v>0.25</v>
      </c>
      <c r="E54" s="141">
        <v>18</v>
      </c>
      <c r="F54" s="143">
        <f>+C54*D54+E54</f>
        <v>118</v>
      </c>
      <c r="G54" s="146"/>
      <c r="P54" s="3"/>
      <c r="R54" s="3"/>
    </row>
    <row r="55" spans="1:18">
      <c r="A55" s="3"/>
      <c r="B55" s="144" t="s">
        <v>77</v>
      </c>
      <c r="C55" s="137" t="s">
        <v>78</v>
      </c>
      <c r="D55" s="137" t="s">
        <v>79</v>
      </c>
      <c r="E55" s="137" t="s">
        <v>80</v>
      </c>
      <c r="F55" s="138" t="s">
        <v>81</v>
      </c>
      <c r="G55" s="139">
        <f>SUM(C57:F60)</f>
        <v>270</v>
      </c>
      <c r="P55" s="3"/>
      <c r="R55" s="3"/>
    </row>
    <row r="56" spans="1:18">
      <c r="A56" s="3"/>
      <c r="B56" s="147"/>
      <c r="C56" s="141" t="s">
        <v>164</v>
      </c>
      <c r="D56" s="141"/>
      <c r="E56" s="141"/>
      <c r="F56" s="143"/>
      <c r="G56" s="135"/>
      <c r="P56" s="3"/>
      <c r="R56" s="3"/>
    </row>
    <row r="57" spans="1:18">
      <c r="A57" s="3"/>
      <c r="B57" s="72" t="s">
        <v>203</v>
      </c>
      <c r="C57" s="141">
        <v>90</v>
      </c>
      <c r="D57" s="141"/>
      <c r="E57" s="141"/>
      <c r="F57" s="143"/>
      <c r="G57" s="135"/>
      <c r="P57" s="3"/>
      <c r="R57" s="3"/>
    </row>
    <row r="58" spans="1:18">
      <c r="A58" s="3"/>
      <c r="B58" s="76" t="s">
        <v>203</v>
      </c>
      <c r="C58" s="141">
        <v>90</v>
      </c>
      <c r="D58" s="141"/>
      <c r="E58" s="141"/>
      <c r="F58" s="143"/>
      <c r="G58" s="135"/>
      <c r="P58" s="3"/>
      <c r="R58" s="3"/>
    </row>
    <row r="59" spans="1:18">
      <c r="A59" s="3"/>
      <c r="B59" s="76" t="s">
        <v>203</v>
      </c>
      <c r="C59" s="141"/>
      <c r="D59" s="141"/>
      <c r="E59" s="141"/>
      <c r="F59" s="143"/>
      <c r="G59" s="135"/>
      <c r="P59" s="3"/>
      <c r="R59" s="3"/>
    </row>
    <row r="60" spans="1:18">
      <c r="A60" s="3"/>
      <c r="B60" s="140" t="s">
        <v>203</v>
      </c>
      <c r="C60" s="141">
        <v>90</v>
      </c>
      <c r="D60" s="141"/>
      <c r="E60" s="141"/>
      <c r="F60" s="143"/>
      <c r="G60" s="135"/>
      <c r="P60" s="3"/>
      <c r="R60" s="3"/>
    </row>
    <row r="61" spans="1:18">
      <c r="A61" s="3"/>
      <c r="B61" s="144" t="s">
        <v>84</v>
      </c>
      <c r="C61" s="137" t="s">
        <v>73</v>
      </c>
      <c r="D61" s="137" t="s">
        <v>84</v>
      </c>
      <c r="E61" s="137" t="s">
        <v>75</v>
      </c>
      <c r="F61" s="138" t="s">
        <v>69</v>
      </c>
      <c r="G61" s="139">
        <f>SUM(F62:F64)</f>
        <v>60</v>
      </c>
      <c r="P61" s="3"/>
      <c r="R61" s="3"/>
    </row>
    <row r="62" spans="1:18">
      <c r="A62" s="3"/>
      <c r="B62" s="140" t="s">
        <v>203</v>
      </c>
      <c r="C62" s="254"/>
      <c r="D62" s="145">
        <v>0.3</v>
      </c>
      <c r="E62" s="141"/>
      <c r="F62" s="143">
        <f>+C62*D62+E62</f>
        <v>0</v>
      </c>
      <c r="G62" s="135"/>
      <c r="P62" s="3"/>
      <c r="R62" s="3"/>
    </row>
    <row r="63" spans="1:18">
      <c r="A63" s="3"/>
      <c r="B63" s="140" t="s">
        <v>203</v>
      </c>
      <c r="C63" s="254">
        <v>100</v>
      </c>
      <c r="D63" s="145">
        <v>0.3</v>
      </c>
      <c r="E63" s="148"/>
      <c r="F63" s="143">
        <f t="shared" ref="F63:F64" si="15">+C63*D63+E63</f>
        <v>30</v>
      </c>
      <c r="G63" s="135"/>
      <c r="P63" s="3"/>
      <c r="R63" s="3"/>
    </row>
    <row r="64" spans="1:18">
      <c r="A64" s="3"/>
      <c r="B64" s="149" t="s">
        <v>203</v>
      </c>
      <c r="C64" s="255">
        <v>100</v>
      </c>
      <c r="D64" s="145">
        <v>0.3</v>
      </c>
      <c r="E64" s="150"/>
      <c r="F64" s="151">
        <f t="shared" si="15"/>
        <v>30</v>
      </c>
      <c r="G64" s="152"/>
      <c r="P64" s="3"/>
    </row>
    <row r="65" spans="1:26">
      <c r="A65" s="3"/>
      <c r="B65" s="153" t="s">
        <v>85</v>
      </c>
      <c r="C65" s="154"/>
      <c r="D65" s="154"/>
      <c r="E65" s="154"/>
      <c r="F65" s="154"/>
      <c r="G65" s="155">
        <f>+G51+G53</f>
        <v>640</v>
      </c>
      <c r="P65" s="3"/>
    </row>
    <row r="66" spans="1:26">
      <c r="A66" s="3"/>
      <c r="B66" s="153" t="s">
        <v>86</v>
      </c>
      <c r="C66" s="154"/>
      <c r="D66" s="154"/>
      <c r="E66" s="154"/>
      <c r="F66" s="154"/>
      <c r="G66" s="155">
        <f>+G55+G61</f>
        <v>330</v>
      </c>
      <c r="P66" s="3"/>
    </row>
    <row r="67" spans="1:26" ht="16" thickBot="1">
      <c r="A67" s="3"/>
    </row>
    <row r="68" spans="1:26" ht="20.5" thickBot="1">
      <c r="A68" s="3"/>
      <c r="B68" s="6" t="s">
        <v>87</v>
      </c>
      <c r="C68" s="303" t="s">
        <v>88</v>
      </c>
      <c r="D68" s="303"/>
      <c r="E68" s="303"/>
      <c r="F68" s="303"/>
      <c r="G68" s="303"/>
      <c r="H68" s="303"/>
      <c r="I68" s="303"/>
      <c r="J68" s="303"/>
      <c r="K68" s="303"/>
      <c r="L68" s="303"/>
      <c r="M68" s="303"/>
      <c r="N68" s="303"/>
      <c r="O68" s="303"/>
      <c r="P68" s="304"/>
    </row>
    <row r="69" spans="1:26" ht="16" thickBot="1"/>
    <row r="70" spans="1:26" ht="16" thickBot="1">
      <c r="A70" s="3"/>
      <c r="B70" s="308" t="s">
        <v>165</v>
      </c>
      <c r="C70" s="309"/>
      <c r="D70" s="309"/>
      <c r="E70" s="309"/>
      <c r="F70" s="309"/>
      <c r="G70" s="309"/>
      <c r="H70" s="309"/>
      <c r="I70" s="309"/>
      <c r="J70" s="309"/>
      <c r="K70" s="309"/>
      <c r="L70" s="310"/>
      <c r="M70" s="156" t="s">
        <v>90</v>
      </c>
      <c r="N70" s="157"/>
      <c r="O70" s="308" t="s">
        <v>166</v>
      </c>
      <c r="P70" s="309"/>
      <c r="Q70" s="309"/>
      <c r="R70" s="309"/>
      <c r="S70" s="309"/>
      <c r="T70" s="309"/>
      <c r="U70" s="309"/>
      <c r="V70" s="309"/>
      <c r="W70" s="309"/>
      <c r="X70" s="309"/>
      <c r="Y70" s="310"/>
      <c r="Z70" s="156" t="s">
        <v>90</v>
      </c>
    </row>
    <row r="71" spans="1:26" ht="16" thickBot="1">
      <c r="A71" s="3"/>
      <c r="B71" s="158"/>
      <c r="C71" s="22" t="s">
        <v>167</v>
      </c>
      <c r="D71" s="22" t="s">
        <v>11</v>
      </c>
      <c r="E71" s="22" t="s">
        <v>12</v>
      </c>
      <c r="F71" s="22" t="s">
        <v>13</v>
      </c>
      <c r="G71" s="22" t="s">
        <v>14</v>
      </c>
      <c r="H71" s="22" t="s">
        <v>15</v>
      </c>
      <c r="I71" s="22" t="s">
        <v>16</v>
      </c>
      <c r="J71" s="22" t="s">
        <v>17</v>
      </c>
      <c r="K71" s="22" t="s">
        <v>18</v>
      </c>
      <c r="L71" s="22" t="s">
        <v>19</v>
      </c>
      <c r="M71" s="159"/>
      <c r="N71" s="157"/>
      <c r="O71" s="158"/>
      <c r="P71" s="22" t="s">
        <v>167</v>
      </c>
      <c r="Q71" s="22" t="s">
        <v>11</v>
      </c>
      <c r="R71" s="22" t="s">
        <v>12</v>
      </c>
      <c r="S71" s="22" t="s">
        <v>13</v>
      </c>
      <c r="T71" s="22" t="s">
        <v>14</v>
      </c>
      <c r="U71" s="22" t="s">
        <v>15</v>
      </c>
      <c r="V71" s="22" t="s">
        <v>16</v>
      </c>
      <c r="W71" s="22" t="s">
        <v>17</v>
      </c>
      <c r="X71" s="22" t="s">
        <v>18</v>
      </c>
      <c r="Y71" s="22" t="s">
        <v>19</v>
      </c>
      <c r="Z71" s="159"/>
    </row>
    <row r="72" spans="1:26" ht="16" thickBot="1">
      <c r="A72" s="3"/>
      <c r="B72" s="160"/>
      <c r="C72" s="161" t="str">
        <f t="shared" ref="C72:H72" si="16">E16</f>
        <v>RG /CH-DH DECOR</v>
      </c>
      <c r="D72" s="161" t="str">
        <f t="shared" si="16"/>
        <v>VOYAGE (nb h)</v>
      </c>
      <c r="E72" s="161" t="str">
        <f t="shared" si="16"/>
        <v>MONTAGE</v>
      </c>
      <c r="F72" s="161" t="str">
        <f>H16</f>
        <v>1REP</v>
      </c>
      <c r="G72" s="161" t="str">
        <f t="shared" si="16"/>
        <v>2REP</v>
      </c>
      <c r="H72" s="161" t="str">
        <f t="shared" si="16"/>
        <v>2REP</v>
      </c>
      <c r="I72" s="161" t="s">
        <v>168</v>
      </c>
      <c r="J72" s="161"/>
      <c r="K72" s="161">
        <f>M16</f>
        <v>0</v>
      </c>
      <c r="L72" s="161">
        <f>O16</f>
        <v>0</v>
      </c>
      <c r="M72" s="159"/>
      <c r="N72" s="157"/>
      <c r="O72" s="160"/>
      <c r="P72" s="161">
        <f t="shared" ref="P72:U72" si="17">R16</f>
        <v>0</v>
      </c>
      <c r="Q72" s="161">
        <f t="shared" si="17"/>
        <v>0</v>
      </c>
      <c r="R72" s="161">
        <f t="shared" si="17"/>
        <v>0</v>
      </c>
      <c r="S72" s="161">
        <f t="shared" si="17"/>
        <v>0</v>
      </c>
      <c r="T72" s="161">
        <f t="shared" si="17"/>
        <v>0</v>
      </c>
      <c r="U72" s="161">
        <f t="shared" si="17"/>
        <v>0</v>
      </c>
      <c r="V72" s="161" t="s">
        <v>33</v>
      </c>
      <c r="W72" s="161">
        <f>X16</f>
        <v>0</v>
      </c>
      <c r="X72" s="161">
        <f>Z16</f>
        <v>0</v>
      </c>
      <c r="Y72" s="161">
        <f>AB16</f>
        <v>0</v>
      </c>
      <c r="Z72" s="159"/>
    </row>
    <row r="73" spans="1:26" s="20" customFormat="1" ht="16" thickBot="1">
      <c r="B73" s="162" t="s">
        <v>92</v>
      </c>
      <c r="C73" s="163">
        <f t="shared" ref="C73:K73" si="18">+E14</f>
        <v>0</v>
      </c>
      <c r="D73" s="163">
        <f t="shared" si="18"/>
        <v>0</v>
      </c>
      <c r="E73" s="24" t="s">
        <v>155</v>
      </c>
      <c r="F73" s="24" t="s">
        <v>169</v>
      </c>
      <c r="G73" s="24" t="s">
        <v>170</v>
      </c>
      <c r="H73" s="24" t="s">
        <v>171</v>
      </c>
      <c r="I73" s="24" t="s">
        <v>172</v>
      </c>
      <c r="J73" s="163">
        <f t="shared" si="18"/>
        <v>0</v>
      </c>
      <c r="K73" s="163">
        <f t="shared" si="18"/>
        <v>0</v>
      </c>
      <c r="L73" s="163">
        <f>+O14</f>
        <v>0</v>
      </c>
      <c r="M73" s="164"/>
      <c r="N73" s="165"/>
      <c r="O73" s="162" t="s">
        <v>92</v>
      </c>
      <c r="P73" s="163">
        <f t="shared" ref="P73:Q73" si="19">+R14</f>
        <v>0</v>
      </c>
      <c r="Q73" s="163">
        <f t="shared" si="19"/>
        <v>0</v>
      </c>
      <c r="R73" s="24" t="s">
        <v>155</v>
      </c>
      <c r="S73" s="24" t="s">
        <v>156</v>
      </c>
      <c r="T73" s="24" t="s">
        <v>157</v>
      </c>
      <c r="U73" s="24" t="s">
        <v>158</v>
      </c>
      <c r="V73" s="24" t="s">
        <v>159</v>
      </c>
      <c r="W73" s="163">
        <f t="shared" ref="W73:X73" si="20">+Y14</f>
        <v>0</v>
      </c>
      <c r="X73" s="163">
        <f t="shared" si="20"/>
        <v>0</v>
      </c>
      <c r="Y73" s="163">
        <f>+AB14</f>
        <v>0</v>
      </c>
      <c r="Z73" s="164"/>
    </row>
    <row r="74" spans="1:26">
      <c r="A74" s="3"/>
      <c r="B74" s="167"/>
      <c r="C74" s="168"/>
      <c r="D74" s="168"/>
      <c r="E74" s="168"/>
      <c r="F74" s="168"/>
      <c r="G74" s="168"/>
      <c r="H74" s="168"/>
      <c r="I74" s="168"/>
      <c r="J74" s="168"/>
      <c r="K74" s="168"/>
      <c r="L74" s="168"/>
      <c r="M74" s="169"/>
      <c r="N74" s="157"/>
      <c r="O74" s="167"/>
      <c r="P74" s="168"/>
      <c r="Q74" s="168"/>
      <c r="R74" s="168"/>
      <c r="S74" s="168"/>
      <c r="T74" s="168"/>
      <c r="U74" s="168"/>
      <c r="V74" s="168"/>
      <c r="W74" s="168"/>
      <c r="X74" s="168"/>
      <c r="Y74" s="168"/>
      <c r="Z74" s="169"/>
    </row>
    <row r="75" spans="1:26">
      <c r="A75" s="3"/>
      <c r="B75" s="140" t="s">
        <v>203</v>
      </c>
      <c r="C75" s="148"/>
      <c r="D75" s="148"/>
      <c r="E75" s="148">
        <v>2</v>
      </c>
      <c r="F75" s="148"/>
      <c r="G75" s="148"/>
      <c r="H75" s="148"/>
      <c r="I75" s="148">
        <v>1</v>
      </c>
      <c r="J75" s="171"/>
      <c r="K75" s="148"/>
      <c r="L75" s="148"/>
      <c r="M75" s="172">
        <f>SUM(C75:L75)</f>
        <v>3</v>
      </c>
      <c r="N75" s="157"/>
      <c r="O75" s="140" t="s">
        <v>36</v>
      </c>
      <c r="P75" s="148"/>
      <c r="Q75" s="148"/>
      <c r="R75" s="148"/>
      <c r="S75" s="148">
        <v>2</v>
      </c>
      <c r="T75" s="148">
        <v>2</v>
      </c>
      <c r="U75" s="148">
        <v>2</v>
      </c>
      <c r="V75" s="148">
        <v>2</v>
      </c>
      <c r="W75" s="171">
        <v>1</v>
      </c>
      <c r="X75" s="148"/>
      <c r="Y75" s="148"/>
      <c r="Z75" s="172">
        <f>SUM(P75:Y75)</f>
        <v>9</v>
      </c>
    </row>
    <row r="76" spans="1:26">
      <c r="A76" s="3"/>
      <c r="B76" s="140" t="s">
        <v>203</v>
      </c>
      <c r="C76" s="148"/>
      <c r="D76" s="148"/>
      <c r="E76" s="148">
        <v>2</v>
      </c>
      <c r="F76" s="148"/>
      <c r="G76" s="148"/>
      <c r="H76" s="148"/>
      <c r="I76" s="148">
        <v>1</v>
      </c>
      <c r="J76" s="171"/>
      <c r="K76" s="148"/>
      <c r="L76" s="148"/>
      <c r="M76" s="172">
        <f t="shared" ref="M76:M81" si="21">SUM(C76:L76)</f>
        <v>3</v>
      </c>
      <c r="N76" s="157"/>
      <c r="O76" s="140" t="s">
        <v>38</v>
      </c>
      <c r="P76" s="148"/>
      <c r="Q76" s="148"/>
      <c r="R76" s="148"/>
      <c r="S76" s="148">
        <v>2</v>
      </c>
      <c r="T76" s="148">
        <v>2</v>
      </c>
      <c r="U76" s="148">
        <v>2</v>
      </c>
      <c r="V76" s="148">
        <v>2</v>
      </c>
      <c r="W76" s="171">
        <v>1</v>
      </c>
      <c r="X76" s="148"/>
      <c r="Y76" s="148"/>
      <c r="Z76" s="172">
        <f t="shared" ref="Z76:Z81" si="22">SUM(P76:Y76)</f>
        <v>9</v>
      </c>
    </row>
    <row r="77" spans="1:26">
      <c r="A77" s="3"/>
      <c r="B77" s="72" t="s">
        <v>203</v>
      </c>
      <c r="C77" s="148"/>
      <c r="D77" s="148"/>
      <c r="E77" s="148">
        <v>1</v>
      </c>
      <c r="F77" s="148"/>
      <c r="G77" s="148"/>
      <c r="H77" s="148"/>
      <c r="I77" s="148"/>
      <c r="J77" s="171"/>
      <c r="K77" s="148"/>
      <c r="L77" s="148"/>
      <c r="M77" s="172">
        <f t="shared" si="21"/>
        <v>1</v>
      </c>
      <c r="N77" s="157"/>
      <c r="O77" s="72" t="s">
        <v>47</v>
      </c>
      <c r="P77" s="148"/>
      <c r="Q77" s="148"/>
      <c r="R77" s="148"/>
      <c r="S77" s="148">
        <v>2</v>
      </c>
      <c r="T77" s="148">
        <v>2</v>
      </c>
      <c r="U77" s="148">
        <v>2</v>
      </c>
      <c r="V77" s="148">
        <v>1</v>
      </c>
      <c r="W77" s="171">
        <v>1</v>
      </c>
      <c r="X77" s="148"/>
      <c r="Y77" s="148"/>
      <c r="Z77" s="172">
        <f t="shared" si="22"/>
        <v>8</v>
      </c>
    </row>
    <row r="78" spans="1:26">
      <c r="A78" s="3"/>
      <c r="B78" s="76" t="s">
        <v>203</v>
      </c>
      <c r="C78" s="148"/>
      <c r="D78" s="148"/>
      <c r="E78" s="148">
        <v>1</v>
      </c>
      <c r="F78" s="148"/>
      <c r="G78" s="148"/>
      <c r="H78" s="148"/>
      <c r="I78" s="148"/>
      <c r="J78" s="171"/>
      <c r="K78" s="148"/>
      <c r="L78" s="148"/>
      <c r="M78" s="172">
        <f t="shared" si="21"/>
        <v>1</v>
      </c>
      <c r="N78" s="157"/>
      <c r="O78" s="76" t="s">
        <v>49</v>
      </c>
      <c r="P78" s="148"/>
      <c r="Q78" s="148"/>
      <c r="R78" s="148"/>
      <c r="S78" s="148">
        <v>2</v>
      </c>
      <c r="T78" s="148">
        <v>2</v>
      </c>
      <c r="U78" s="148">
        <v>2</v>
      </c>
      <c r="V78" s="148">
        <v>1</v>
      </c>
      <c r="W78" s="171">
        <v>1</v>
      </c>
      <c r="X78" s="148"/>
      <c r="Y78" s="148"/>
      <c r="Z78" s="172">
        <f t="shared" si="22"/>
        <v>8</v>
      </c>
    </row>
    <row r="79" spans="1:26">
      <c r="A79" s="3"/>
      <c r="B79" s="76" t="s">
        <v>203</v>
      </c>
      <c r="C79" s="148"/>
      <c r="D79" s="148"/>
      <c r="E79" s="148">
        <v>1</v>
      </c>
      <c r="F79" s="148"/>
      <c r="G79" s="148"/>
      <c r="H79" s="148"/>
      <c r="I79" s="148"/>
      <c r="J79" s="171"/>
      <c r="K79" s="148"/>
      <c r="L79" s="148"/>
      <c r="M79" s="172">
        <f t="shared" si="21"/>
        <v>1</v>
      </c>
      <c r="N79" s="157"/>
      <c r="O79" s="76" t="s">
        <v>50</v>
      </c>
      <c r="P79" s="148"/>
      <c r="Q79" s="148"/>
      <c r="R79" s="148"/>
      <c r="S79" s="148">
        <v>2</v>
      </c>
      <c r="T79" s="148">
        <v>2</v>
      </c>
      <c r="U79" s="148">
        <v>2</v>
      </c>
      <c r="V79" s="148">
        <v>1</v>
      </c>
      <c r="W79" s="171">
        <v>1</v>
      </c>
      <c r="X79" s="148"/>
      <c r="Y79" s="148"/>
      <c r="Z79" s="172">
        <f t="shared" si="22"/>
        <v>8</v>
      </c>
    </row>
    <row r="80" spans="1:26">
      <c r="A80" s="3"/>
      <c r="B80" s="140" t="s">
        <v>173</v>
      </c>
      <c r="C80" s="148"/>
      <c r="D80" s="148"/>
      <c r="E80" s="148"/>
      <c r="F80" s="148"/>
      <c r="G80" s="148"/>
      <c r="H80" s="148"/>
      <c r="I80" s="148"/>
      <c r="J80" s="171"/>
      <c r="K80" s="148"/>
      <c r="L80" s="148"/>
      <c r="M80" s="172">
        <f t="shared" si="21"/>
        <v>0</v>
      </c>
      <c r="N80" s="157"/>
      <c r="O80" s="140" t="s">
        <v>173</v>
      </c>
      <c r="P80" s="148"/>
      <c r="Q80" s="148"/>
      <c r="R80" s="148"/>
      <c r="S80" s="148">
        <v>2</v>
      </c>
      <c r="T80" s="148">
        <v>2</v>
      </c>
      <c r="U80" s="148">
        <v>2</v>
      </c>
      <c r="V80" s="148">
        <v>1</v>
      </c>
      <c r="W80" s="171">
        <v>1</v>
      </c>
      <c r="X80" s="148"/>
      <c r="Y80" s="148"/>
      <c r="Z80" s="172">
        <f t="shared" si="22"/>
        <v>8</v>
      </c>
    </row>
    <row r="81" spans="1:26" ht="16" thickBot="1">
      <c r="A81" s="3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174"/>
      <c r="M81" s="172">
        <f t="shared" si="21"/>
        <v>0</v>
      </c>
      <c r="N81" s="157"/>
      <c r="O81" s="173"/>
      <c r="P81" s="174"/>
      <c r="Q81" s="174"/>
      <c r="R81" s="174"/>
      <c r="S81" s="174"/>
      <c r="T81" s="174"/>
      <c r="U81" s="174"/>
      <c r="V81" s="174"/>
      <c r="W81" s="174"/>
      <c r="X81" s="174"/>
      <c r="Y81" s="174"/>
      <c r="Z81" s="172">
        <f t="shared" si="22"/>
        <v>0</v>
      </c>
    </row>
    <row r="82" spans="1:26" ht="16" thickBot="1">
      <c r="A82" s="3"/>
      <c r="B82" s="175" t="s">
        <v>93</v>
      </c>
      <c r="C82" s="176">
        <f t="shared" ref="C82:L82" si="23">SUM(C75:C81)</f>
        <v>0</v>
      </c>
      <c r="D82" s="176">
        <f t="shared" si="23"/>
        <v>0</v>
      </c>
      <c r="E82" s="176">
        <f t="shared" si="23"/>
        <v>7</v>
      </c>
      <c r="F82" s="176">
        <f t="shared" si="23"/>
        <v>0</v>
      </c>
      <c r="G82" s="176">
        <f t="shared" si="23"/>
        <v>0</v>
      </c>
      <c r="H82" s="176">
        <f t="shared" si="23"/>
        <v>0</v>
      </c>
      <c r="I82" s="176">
        <f t="shared" si="23"/>
        <v>2</v>
      </c>
      <c r="J82" s="176">
        <f t="shared" si="23"/>
        <v>0</v>
      </c>
      <c r="K82" s="176">
        <f t="shared" si="23"/>
        <v>0</v>
      </c>
      <c r="L82" s="176">
        <f t="shared" si="23"/>
        <v>0</v>
      </c>
      <c r="M82" s="177"/>
      <c r="N82" s="157"/>
      <c r="O82" s="175" t="s">
        <v>93</v>
      </c>
      <c r="P82" s="176">
        <f t="shared" ref="P82:Y82" si="24">SUM(P75:P81)</f>
        <v>0</v>
      </c>
      <c r="Q82" s="176">
        <f t="shared" si="24"/>
        <v>0</v>
      </c>
      <c r="R82" s="176">
        <f t="shared" si="24"/>
        <v>0</v>
      </c>
      <c r="S82" s="176">
        <f t="shared" si="24"/>
        <v>12</v>
      </c>
      <c r="T82" s="176">
        <f t="shared" si="24"/>
        <v>12</v>
      </c>
      <c r="U82" s="176">
        <f t="shared" si="24"/>
        <v>12</v>
      </c>
      <c r="V82" s="176">
        <f t="shared" si="24"/>
        <v>8</v>
      </c>
      <c r="W82" s="176">
        <f t="shared" si="24"/>
        <v>6</v>
      </c>
      <c r="X82" s="176">
        <f t="shared" si="24"/>
        <v>0</v>
      </c>
      <c r="Y82" s="176">
        <f t="shared" si="24"/>
        <v>0</v>
      </c>
      <c r="Z82" s="177"/>
    </row>
    <row r="83" spans="1:26" ht="16" thickBot="1">
      <c r="A83" s="3"/>
      <c r="B83" s="178" t="s">
        <v>69</v>
      </c>
      <c r="C83" s="179"/>
      <c r="D83" s="179"/>
      <c r="E83" s="179"/>
      <c r="F83" s="179"/>
      <c r="G83" s="179"/>
      <c r="H83" s="179"/>
      <c r="I83" s="179"/>
      <c r="J83" s="179"/>
      <c r="K83" s="179"/>
      <c r="L83" s="179">
        <f>SUM(L75:L81)</f>
        <v>0</v>
      </c>
      <c r="M83" s="179">
        <f>SUM(M75:M81)</f>
        <v>9</v>
      </c>
      <c r="N83" s="188"/>
      <c r="O83" s="178" t="s">
        <v>69</v>
      </c>
      <c r="P83" s="179"/>
      <c r="Q83" s="179"/>
      <c r="R83" s="179"/>
      <c r="S83" s="179"/>
      <c r="T83" s="179"/>
      <c r="U83" s="179"/>
      <c r="V83" s="179"/>
      <c r="W83" s="179"/>
      <c r="X83" s="179"/>
      <c r="Y83" s="179">
        <f>SUM(Y75:Y81)</f>
        <v>0</v>
      </c>
      <c r="Z83" s="179">
        <f>SUM(Z75:Z81)</f>
        <v>50</v>
      </c>
    </row>
    <row r="84" spans="1:26" ht="16" thickBot="1">
      <c r="A84" s="3"/>
      <c r="B84" s="311" t="s">
        <v>95</v>
      </c>
      <c r="C84" s="312"/>
      <c r="D84" s="312"/>
      <c r="E84" s="312"/>
      <c r="F84" s="312"/>
      <c r="G84" s="312"/>
      <c r="H84" s="312"/>
      <c r="I84" s="312"/>
      <c r="J84" s="312"/>
      <c r="K84" s="312"/>
      <c r="L84" s="312"/>
      <c r="M84" s="312"/>
      <c r="N84" s="180"/>
      <c r="P84" s="3"/>
    </row>
    <row r="85" spans="1:26" ht="16" thickBot="1">
      <c r="A85" s="3"/>
      <c r="B85" s="181"/>
      <c r="C85" s="21" t="str">
        <f t="shared" ref="C85:L85" si="25">+C71</f>
        <v>J-2-voyage</v>
      </c>
      <c r="D85" s="22" t="str">
        <f t="shared" si="25"/>
        <v>J-X- SI SERVICE</v>
      </c>
      <c r="E85" s="22" t="str">
        <f t="shared" si="25"/>
        <v>J-1</v>
      </c>
      <c r="F85" s="22" t="str">
        <f t="shared" si="25"/>
        <v>J</v>
      </c>
      <c r="G85" s="22" t="str">
        <f t="shared" si="25"/>
        <v>J+1</v>
      </c>
      <c r="H85" s="22" t="str">
        <f t="shared" si="25"/>
        <v>J+2</v>
      </c>
      <c r="I85" s="22" t="str">
        <f t="shared" si="25"/>
        <v>J+3</v>
      </c>
      <c r="J85" s="22" t="str">
        <f t="shared" si="25"/>
        <v>J+4</v>
      </c>
      <c r="K85" s="22" t="str">
        <f t="shared" si="25"/>
        <v>J+5</v>
      </c>
      <c r="L85" s="182" t="str">
        <f t="shared" si="25"/>
        <v>J+6</v>
      </c>
      <c r="M85" s="159" t="s">
        <v>90</v>
      </c>
      <c r="N85" s="157"/>
    </row>
    <row r="86" spans="1:26" ht="16" thickBot="1">
      <c r="A86" s="3"/>
      <c r="B86" s="183"/>
      <c r="C86" s="21" t="str">
        <f t="shared" ref="C86:M86" si="26">C72</f>
        <v>RG /CH-DH DECOR</v>
      </c>
      <c r="D86" s="22" t="str">
        <f t="shared" si="26"/>
        <v>VOYAGE (nb h)</v>
      </c>
      <c r="E86" s="22" t="str">
        <f t="shared" si="26"/>
        <v>MONTAGE</v>
      </c>
      <c r="F86" s="22" t="str">
        <f t="shared" si="26"/>
        <v>1REP</v>
      </c>
      <c r="G86" s="22" t="str">
        <f t="shared" si="26"/>
        <v>2REP</v>
      </c>
      <c r="H86" s="22" t="str">
        <f t="shared" si="26"/>
        <v>2REP</v>
      </c>
      <c r="I86" s="22" t="str">
        <f t="shared" si="26"/>
        <v>1REP+DEMONT</v>
      </c>
      <c r="J86" s="22">
        <f t="shared" si="26"/>
        <v>0</v>
      </c>
      <c r="K86" s="22">
        <f t="shared" si="26"/>
        <v>0</v>
      </c>
      <c r="L86" s="182">
        <f t="shared" si="26"/>
        <v>0</v>
      </c>
      <c r="M86" s="184">
        <f t="shared" si="26"/>
        <v>0</v>
      </c>
      <c r="N86" s="185"/>
    </row>
    <row r="87" spans="1:26" s="20" customFormat="1" ht="16" thickBot="1">
      <c r="B87" s="162" t="s">
        <v>92</v>
      </c>
      <c r="C87" s="163">
        <f t="shared" ref="C87:L87" si="27">+C73</f>
        <v>0</v>
      </c>
      <c r="D87" s="163">
        <f t="shared" si="27"/>
        <v>0</v>
      </c>
      <c r="E87" s="24" t="s">
        <v>155</v>
      </c>
      <c r="F87" s="24" t="s">
        <v>156</v>
      </c>
      <c r="G87" s="24" t="s">
        <v>157</v>
      </c>
      <c r="H87" s="24" t="s">
        <v>158</v>
      </c>
      <c r="I87" s="24" t="s">
        <v>159</v>
      </c>
      <c r="J87" s="163">
        <f t="shared" si="27"/>
        <v>0</v>
      </c>
      <c r="K87" s="163">
        <f t="shared" si="27"/>
        <v>0</v>
      </c>
      <c r="L87" s="163">
        <f t="shared" si="27"/>
        <v>0</v>
      </c>
      <c r="M87" s="164"/>
      <c r="N87" s="165"/>
      <c r="P87" s="166"/>
      <c r="R87" s="31"/>
    </row>
    <row r="88" spans="1:26">
      <c r="A88" s="3"/>
      <c r="B88" s="256" t="s">
        <v>203</v>
      </c>
      <c r="C88" s="148">
        <v>1</v>
      </c>
      <c r="D88" s="148"/>
      <c r="E88" s="148">
        <v>1</v>
      </c>
      <c r="F88" s="148">
        <v>1</v>
      </c>
      <c r="G88" s="148">
        <v>1</v>
      </c>
      <c r="H88" s="148">
        <v>1</v>
      </c>
      <c r="I88" s="148"/>
      <c r="J88" s="148"/>
      <c r="K88" s="148"/>
      <c r="L88" s="148"/>
      <c r="M88" s="148">
        <f>SUM(C88:L88)</f>
        <v>5</v>
      </c>
      <c r="N88" s="157"/>
      <c r="P88" s="3"/>
    </row>
    <row r="89" spans="1:26">
      <c r="A89" s="3"/>
      <c r="B89" s="256" t="s">
        <v>203</v>
      </c>
      <c r="C89" s="148">
        <v>1</v>
      </c>
      <c r="D89" s="148"/>
      <c r="E89" s="148">
        <v>1</v>
      </c>
      <c r="F89" s="148">
        <v>1</v>
      </c>
      <c r="G89" s="148">
        <v>1</v>
      </c>
      <c r="H89" s="148">
        <v>1</v>
      </c>
      <c r="I89" s="148"/>
      <c r="J89" s="148"/>
      <c r="K89" s="148"/>
      <c r="L89" s="148"/>
      <c r="M89" s="148">
        <f t="shared" ref="M89:M93" si="28">SUM(C89:L89)</f>
        <v>5</v>
      </c>
      <c r="N89" s="157"/>
      <c r="P89" s="3"/>
      <c r="R89" s="3"/>
    </row>
    <row r="90" spans="1:26">
      <c r="A90" s="3"/>
      <c r="B90" s="256" t="s">
        <v>203</v>
      </c>
      <c r="C90" s="148"/>
      <c r="D90" s="148"/>
      <c r="E90" s="148">
        <v>1</v>
      </c>
      <c r="F90" s="148">
        <v>1</v>
      </c>
      <c r="G90" s="148">
        <v>1</v>
      </c>
      <c r="H90" s="148">
        <v>1</v>
      </c>
      <c r="I90" s="148"/>
      <c r="J90" s="148"/>
      <c r="K90" s="148"/>
      <c r="L90" s="148"/>
      <c r="M90" s="148">
        <f t="shared" si="28"/>
        <v>4</v>
      </c>
      <c r="N90" s="157"/>
      <c r="P90" s="3"/>
      <c r="R90" s="3"/>
    </row>
    <row r="91" spans="1:26">
      <c r="A91" s="3"/>
      <c r="B91" s="256" t="s">
        <v>203</v>
      </c>
      <c r="C91" s="148"/>
      <c r="D91" s="148"/>
      <c r="E91" s="148">
        <v>1</v>
      </c>
      <c r="F91" s="148">
        <v>1</v>
      </c>
      <c r="G91" s="148">
        <v>1</v>
      </c>
      <c r="H91" s="148">
        <v>1</v>
      </c>
      <c r="I91" s="148"/>
      <c r="J91" s="148"/>
      <c r="K91" s="148"/>
      <c r="L91" s="148"/>
      <c r="M91" s="148">
        <f t="shared" si="28"/>
        <v>4</v>
      </c>
      <c r="N91" s="157"/>
      <c r="P91" s="3"/>
      <c r="R91" s="3"/>
    </row>
    <row r="92" spans="1:26">
      <c r="A92" s="3"/>
      <c r="B92" s="256" t="s">
        <v>203</v>
      </c>
      <c r="C92" s="148"/>
      <c r="D92" s="148"/>
      <c r="E92" s="148"/>
      <c r="F92" s="148"/>
      <c r="G92" s="148"/>
      <c r="H92" s="148"/>
      <c r="I92" s="148"/>
      <c r="J92" s="148"/>
      <c r="K92" s="148"/>
      <c r="L92" s="148"/>
      <c r="M92" s="148">
        <f t="shared" si="28"/>
        <v>0</v>
      </c>
      <c r="N92" s="157"/>
      <c r="P92" s="3"/>
      <c r="R92" s="3"/>
    </row>
    <row r="93" spans="1:26" ht="16" thickBot="1">
      <c r="A93" s="3"/>
      <c r="B93" s="256" t="s">
        <v>203</v>
      </c>
      <c r="C93" s="148"/>
      <c r="D93" s="148"/>
      <c r="E93" s="148"/>
      <c r="F93" s="148">
        <v>1</v>
      </c>
      <c r="G93" s="148">
        <v>1</v>
      </c>
      <c r="H93" s="148">
        <v>1</v>
      </c>
      <c r="I93" s="148"/>
      <c r="J93" s="148"/>
      <c r="K93" s="148"/>
      <c r="L93" s="148"/>
      <c r="M93" s="148">
        <f t="shared" si="28"/>
        <v>3</v>
      </c>
      <c r="N93" s="157"/>
      <c r="P93" s="3"/>
      <c r="R93" s="3"/>
    </row>
    <row r="94" spans="1:26" ht="16" thickBot="1">
      <c r="A94" s="3"/>
      <c r="B94" s="175" t="s">
        <v>93</v>
      </c>
      <c r="C94" s="176">
        <f t="shared" ref="C94:L94" si="29">SUM(C88:C93)</f>
        <v>2</v>
      </c>
      <c r="D94" s="176">
        <f t="shared" si="29"/>
        <v>0</v>
      </c>
      <c r="E94" s="176">
        <f t="shared" si="29"/>
        <v>4</v>
      </c>
      <c r="F94" s="176">
        <f t="shared" si="29"/>
        <v>5</v>
      </c>
      <c r="G94" s="176">
        <f t="shared" si="29"/>
        <v>5</v>
      </c>
      <c r="H94" s="176">
        <f t="shared" si="29"/>
        <v>5</v>
      </c>
      <c r="I94" s="176">
        <f t="shared" si="29"/>
        <v>0</v>
      </c>
      <c r="J94" s="176">
        <f t="shared" si="29"/>
        <v>0</v>
      </c>
      <c r="K94" s="176">
        <f t="shared" si="29"/>
        <v>0</v>
      </c>
      <c r="L94" s="176">
        <f t="shared" si="29"/>
        <v>0</v>
      </c>
      <c r="M94" s="176"/>
      <c r="N94" s="157"/>
      <c r="P94" s="3"/>
      <c r="R94" s="3"/>
    </row>
    <row r="95" spans="1:26" ht="16" thickBot="1">
      <c r="A95" s="3"/>
      <c r="B95" s="178" t="s">
        <v>69</v>
      </c>
      <c r="C95" s="179"/>
      <c r="D95" s="179"/>
      <c r="E95" s="179"/>
      <c r="F95" s="179"/>
      <c r="G95" s="179"/>
      <c r="H95" s="179"/>
      <c r="I95" s="179"/>
      <c r="J95" s="179"/>
      <c r="K95" s="179"/>
      <c r="L95" s="179">
        <f>SUM(L88:L94)</f>
        <v>0</v>
      </c>
      <c r="M95" s="179">
        <f>SUM(M88:M94)</f>
        <v>21</v>
      </c>
      <c r="N95" s="188"/>
      <c r="P95" s="3"/>
      <c r="R95" s="3"/>
    </row>
    <row r="96" spans="1:26">
      <c r="L96" s="3" t="s">
        <v>94</v>
      </c>
      <c r="M96" s="3">
        <v>18.399999999999999</v>
      </c>
      <c r="R96" s="3"/>
    </row>
    <row r="99" spans="1:18">
      <c r="B99" s="191" t="s">
        <v>96</v>
      </c>
      <c r="C99" s="191"/>
      <c r="D99" s="3">
        <f>+J44</f>
        <v>0</v>
      </c>
    </row>
    <row r="100" spans="1:18">
      <c r="B100" s="191" t="s">
        <v>97</v>
      </c>
      <c r="C100" s="191"/>
      <c r="D100" s="3">
        <f>+G65</f>
        <v>640</v>
      </c>
      <c r="R100" s="3"/>
    </row>
    <row r="101" spans="1:18">
      <c r="B101" s="191" t="s">
        <v>98</v>
      </c>
      <c r="C101" s="191"/>
      <c r="D101" s="3">
        <f>+G66</f>
        <v>330</v>
      </c>
    </row>
    <row r="102" spans="1:18">
      <c r="A102" s="3"/>
      <c r="B102" s="259" t="s">
        <v>99</v>
      </c>
      <c r="C102" s="259"/>
      <c r="D102" s="189">
        <f>+M83</f>
        <v>9</v>
      </c>
      <c r="P102" s="3"/>
      <c r="R102" s="3"/>
    </row>
    <row r="103" spans="1:18">
      <c r="A103" s="3"/>
      <c r="B103" s="302" t="s">
        <v>100</v>
      </c>
      <c r="C103" s="302"/>
      <c r="P103" s="3"/>
      <c r="R103" s="3"/>
    </row>
    <row r="104" spans="1:18">
      <c r="A104" s="3"/>
      <c r="B104" s="190"/>
      <c r="C104" s="190"/>
      <c r="D104"/>
      <c r="P104" s="3"/>
      <c r="R104" s="3"/>
    </row>
    <row r="105" spans="1:18">
      <c r="A105" s="3"/>
      <c r="B105" s="191" t="s">
        <v>101</v>
      </c>
      <c r="C105" s="192" t="e">
        <f>+'[1]TAB DEVIS TDN'!K200</f>
        <v>#REF!</v>
      </c>
      <c r="D105">
        <f>+M95</f>
        <v>21</v>
      </c>
      <c r="P105" s="3"/>
      <c r="R105" s="3"/>
    </row>
    <row r="106" spans="1:18">
      <c r="A106" s="3"/>
      <c r="P106" s="3"/>
      <c r="R106" s="3"/>
    </row>
    <row r="107" spans="1:18">
      <c r="A107" s="3"/>
      <c r="P107" s="3"/>
      <c r="R107" s="3"/>
    </row>
    <row r="108" spans="1:18">
      <c r="A108" s="3"/>
      <c r="P108" s="3"/>
      <c r="R108" s="3"/>
    </row>
    <row r="109" spans="1:18">
      <c r="A109" s="3"/>
      <c r="P109" s="3"/>
      <c r="R109" s="3"/>
    </row>
    <row r="110" spans="1:18">
      <c r="A110" s="3"/>
      <c r="P110" s="3"/>
      <c r="R110" s="3"/>
    </row>
    <row r="111" spans="1:18">
      <c r="A111" s="3"/>
      <c r="P111" s="3"/>
      <c r="R111" s="3"/>
    </row>
    <row r="112" spans="1:18" ht="16" thickBot="1">
      <c r="A112" s="3"/>
      <c r="P112" s="3"/>
      <c r="R112" s="3"/>
    </row>
    <row r="113" spans="1:18" ht="16" thickBot="1">
      <c r="A113" s="3"/>
      <c r="B113" s="260" t="s">
        <v>102</v>
      </c>
      <c r="C113" s="261"/>
      <c r="D113" s="193" t="s">
        <v>34</v>
      </c>
      <c r="E113" s="260" t="s">
        <v>103</v>
      </c>
      <c r="F113" s="261"/>
      <c r="G113" s="193" t="s">
        <v>104</v>
      </c>
      <c r="H113" s="193" t="s">
        <v>105</v>
      </c>
      <c r="I113" s="262" t="s">
        <v>106</v>
      </c>
      <c r="J113" s="263"/>
      <c r="P113" s="3"/>
      <c r="R113" s="3"/>
    </row>
    <row r="114" spans="1:18">
      <c r="A114" s="3"/>
      <c r="B114" s="194" t="s">
        <v>107</v>
      </c>
      <c r="C114" s="195"/>
      <c r="D114" s="196"/>
      <c r="E114" s="194"/>
      <c r="F114" s="197"/>
      <c r="G114" s="198"/>
      <c r="H114" s="196"/>
      <c r="I114" s="199"/>
      <c r="J114" s="195"/>
      <c r="P114" s="3"/>
      <c r="R114" s="3"/>
    </row>
    <row r="115" spans="1:18">
      <c r="A115" s="3"/>
      <c r="B115" s="200" t="s">
        <v>108</v>
      </c>
      <c r="C115" s="201">
        <f>P32</f>
        <v>2370</v>
      </c>
      <c r="D115" s="202">
        <f>+R33</f>
        <v>144</v>
      </c>
      <c r="E115" s="203" t="s">
        <v>109</v>
      </c>
      <c r="F115" s="204">
        <f>J44</f>
        <v>0</v>
      </c>
      <c r="G115" s="205">
        <f>J45</f>
        <v>-7316.5999999999995</v>
      </c>
      <c r="H115" s="206" t="e">
        <f>(F115+F116)*0.055</f>
        <v>#REF!</v>
      </c>
      <c r="I115" s="207" t="s">
        <v>110</v>
      </c>
      <c r="J115" s="208">
        <f>+D9</f>
        <v>5</v>
      </c>
      <c r="P115" s="3"/>
      <c r="R115" s="3"/>
    </row>
    <row r="116" spans="1:18">
      <c r="A116" s="3"/>
      <c r="B116" s="209" t="s">
        <v>111</v>
      </c>
      <c r="C116" s="201">
        <f>+P30</f>
        <v>790</v>
      </c>
      <c r="D116" s="206">
        <f>+R30</f>
        <v>48</v>
      </c>
      <c r="E116" s="210" t="s">
        <v>112</v>
      </c>
      <c r="F116" s="204" t="e">
        <f>#REF!+#REF!+(M95*M96)</f>
        <v>#REF!</v>
      </c>
      <c r="G116" s="211">
        <f>D45</f>
        <v>-1</v>
      </c>
      <c r="H116" s="206"/>
      <c r="I116" s="207" t="s">
        <v>113</v>
      </c>
      <c r="J116" s="208">
        <f>+D10</f>
        <v>1</v>
      </c>
      <c r="P116" s="3"/>
      <c r="R116" s="3"/>
    </row>
    <row r="117" spans="1:18">
      <c r="B117" s="200" t="s">
        <v>114</v>
      </c>
      <c r="C117" s="201">
        <f>P21</f>
        <v>2336</v>
      </c>
      <c r="D117" s="202">
        <f>+R21</f>
        <v>120</v>
      </c>
      <c r="E117" s="200" t="s">
        <v>115</v>
      </c>
      <c r="F117" s="212" t="e">
        <f>+#REF!</f>
        <v>#REF!</v>
      </c>
      <c r="G117" s="202"/>
      <c r="H117" s="206"/>
      <c r="I117" s="207"/>
      <c r="J117" s="208"/>
    </row>
    <row r="118" spans="1:18">
      <c r="B118" s="200" t="s">
        <v>52</v>
      </c>
      <c r="C118" s="201">
        <f>P22+P33</f>
        <v>2610.6000000000004</v>
      </c>
      <c r="D118" s="202"/>
      <c r="E118" s="200" t="s">
        <v>116</v>
      </c>
      <c r="F118" s="212" t="e">
        <f>+#REF!</f>
        <v>#REF!</v>
      </c>
      <c r="G118" s="202"/>
      <c r="H118" s="206"/>
      <c r="I118" s="207"/>
      <c r="J118" s="208"/>
    </row>
    <row r="119" spans="1:18">
      <c r="B119" s="200"/>
      <c r="C119" s="201"/>
      <c r="D119" s="202"/>
      <c r="E119" s="200" t="s">
        <v>117</v>
      </c>
      <c r="F119" s="212" t="e">
        <f>('[2]TAB DEVIS PDR TDN'!O191*65)</f>
        <v>#REF!</v>
      </c>
      <c r="G119" s="202"/>
      <c r="H119" s="206"/>
      <c r="I119" s="207"/>
      <c r="J119" s="208"/>
    </row>
    <row r="120" spans="1:18" ht="16" thickBot="1">
      <c r="B120" s="213"/>
      <c r="C120" s="214"/>
      <c r="D120" s="215"/>
      <c r="E120" s="213" t="s">
        <v>118</v>
      </c>
      <c r="F120" s="216">
        <f>M95*M96</f>
        <v>386.4</v>
      </c>
      <c r="G120" s="215"/>
      <c r="H120" s="217"/>
      <c r="I120" s="218"/>
      <c r="J120" s="219"/>
    </row>
  </sheetData>
  <mergeCells count="8">
    <mergeCell ref="B84:M84"/>
    <mergeCell ref="B103:C103"/>
    <mergeCell ref="C2:P2"/>
    <mergeCell ref="C37:J37"/>
    <mergeCell ref="C48:P48"/>
    <mergeCell ref="C68:P68"/>
    <mergeCell ref="B70:L70"/>
    <mergeCell ref="O70:Y70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rgb="FF3366FF"/>
    <pageSetUpPr fitToPage="1"/>
  </sheetPr>
  <dimension ref="A1:H47"/>
  <sheetViews>
    <sheetView topLeftCell="A10" workbookViewId="0">
      <selection activeCell="E42" sqref="E42"/>
    </sheetView>
  </sheetViews>
  <sheetFormatPr baseColWidth="10" defaultColWidth="10.83203125" defaultRowHeight="15.5"/>
  <cols>
    <col min="1" max="1" width="29.1640625" style="134" customWidth="1"/>
    <col min="2" max="2" width="5.6640625" style="134" customWidth="1"/>
    <col min="3" max="3" width="39.6640625" style="134" customWidth="1"/>
    <col min="4" max="4" width="6.5" style="134" customWidth="1"/>
    <col min="5" max="5" width="23.5" style="134" customWidth="1"/>
    <col min="6" max="6" width="15.6640625" style="134" customWidth="1"/>
    <col min="7" max="16384" width="10.83203125" style="134"/>
  </cols>
  <sheetData>
    <row r="1" spans="1:8">
      <c r="C1" s="221"/>
      <c r="D1" s="221"/>
    </row>
    <row r="3" spans="1:8">
      <c r="E3" s="222"/>
    </row>
    <row r="4" spans="1:8">
      <c r="E4" s="222"/>
    </row>
    <row r="5" spans="1:8">
      <c r="A5" s="223" t="s">
        <v>119</v>
      </c>
      <c r="B5" s="223"/>
      <c r="E5" s="222"/>
    </row>
    <row r="6" spans="1:8">
      <c r="A6" s="223"/>
      <c r="B6" s="223"/>
      <c r="E6" s="222"/>
    </row>
    <row r="7" spans="1:8">
      <c r="A7" s="223" t="s">
        <v>120</v>
      </c>
      <c r="B7" s="319">
        <v>43061</v>
      </c>
      <c r="C7" s="319"/>
      <c r="D7" s="224"/>
    </row>
    <row r="8" spans="1:8">
      <c r="A8" s="223"/>
      <c r="B8" s="223"/>
    </row>
    <row r="9" spans="1:8">
      <c r="A9" s="225" t="s">
        <v>121</v>
      </c>
      <c r="B9" s="225"/>
      <c r="C9" s="226" t="str">
        <f>+'TAB SN'!C5</f>
        <v>x</v>
      </c>
      <c r="D9" s="227"/>
      <c r="E9" s="222"/>
    </row>
    <row r="10" spans="1:8">
      <c r="A10" s="228" t="s">
        <v>122</v>
      </c>
      <c r="B10" s="228"/>
      <c r="C10" s="226" t="str">
        <f>+'TAB SN'!C6</f>
        <v>x</v>
      </c>
      <c r="D10" s="227"/>
      <c r="E10" s="222"/>
    </row>
    <row r="11" spans="1:8">
      <c r="A11" s="318" t="s">
        <v>4</v>
      </c>
      <c r="B11" s="318"/>
      <c r="C11" s="226" t="s">
        <v>174</v>
      </c>
      <c r="D11" s="229"/>
      <c r="H11" s="230"/>
    </row>
    <row r="12" spans="1:8">
      <c r="A12" s="318" t="s">
        <v>123</v>
      </c>
      <c r="B12" s="318"/>
      <c r="C12" s="264">
        <f>+'TAB SN'!C8</f>
        <v>6</v>
      </c>
      <c r="D12" s="232"/>
    </row>
    <row r="13" spans="1:8">
      <c r="A13" s="221"/>
      <c r="B13" s="221"/>
    </row>
    <row r="14" spans="1:8">
      <c r="A14" s="300" t="s">
        <v>96</v>
      </c>
      <c r="B14" s="300"/>
      <c r="C14" s="233">
        <f>+'TAB SN'!D99</f>
        <v>0</v>
      </c>
      <c r="D14" s="157" t="s">
        <v>124</v>
      </c>
      <c r="G14" s="234"/>
    </row>
    <row r="15" spans="1:8">
      <c r="A15" s="300" t="s">
        <v>97</v>
      </c>
      <c r="B15" s="300"/>
      <c r="C15" s="233">
        <f>+'TAB SN'!D100</f>
        <v>640</v>
      </c>
      <c r="D15" s="157" t="s">
        <v>124</v>
      </c>
    </row>
    <row r="16" spans="1:8">
      <c r="A16" s="300" t="s">
        <v>98</v>
      </c>
      <c r="B16" s="300"/>
      <c r="C16" s="233">
        <f>+'TAB SN'!D101</f>
        <v>330</v>
      </c>
      <c r="D16" s="157" t="s">
        <v>124</v>
      </c>
    </row>
    <row r="17" spans="1:6">
      <c r="A17" s="191" t="s">
        <v>99</v>
      </c>
      <c r="B17" s="189">
        <f>+'TAB SN'!D102</f>
        <v>9</v>
      </c>
      <c r="C17" s="233">
        <f>+B17*18.4</f>
        <v>165.6</v>
      </c>
      <c r="D17" s="157" t="s">
        <v>124</v>
      </c>
    </row>
    <row r="18" spans="1:6" ht="28.5">
      <c r="A18" s="265" t="s">
        <v>100</v>
      </c>
      <c r="B18" s="190"/>
      <c r="C18" s="266" t="s">
        <v>175</v>
      </c>
      <c r="D18" s="157"/>
      <c r="E18" s="234"/>
    </row>
    <row r="19" spans="1:6">
      <c r="A19" s="235"/>
      <c r="B19" s="235"/>
      <c r="C19" s="233"/>
      <c r="D19" s="157"/>
      <c r="E19" s="234"/>
    </row>
    <row r="20" spans="1:6">
      <c r="A20" s="191" t="s">
        <v>101</v>
      </c>
      <c r="B20" s="192"/>
      <c r="C20" s="236">
        <f>+'TAB SN'!M95</f>
        <v>21</v>
      </c>
      <c r="D20" s="157"/>
      <c r="E20" s="234"/>
    </row>
    <row r="21" spans="1:6">
      <c r="A21" s="237"/>
      <c r="B21" s="237"/>
      <c r="C21" s="157"/>
      <c r="D21" s="157"/>
      <c r="E21" s="234"/>
    </row>
    <row r="22" spans="1:6">
      <c r="A22" s="315" t="s">
        <v>125</v>
      </c>
      <c r="B22" s="315"/>
      <c r="C22" s="238">
        <f>C14+C15+C16+C17</f>
        <v>1135.5999999999999</v>
      </c>
      <c r="D22" s="239" t="s">
        <v>124</v>
      </c>
      <c r="F22" s="234"/>
    </row>
    <row r="23" spans="1:6">
      <c r="A23" s="315" t="s">
        <v>126</v>
      </c>
      <c r="B23" s="315"/>
      <c r="C23" s="238">
        <f>C22*1.055</f>
        <v>1198.0579999999998</v>
      </c>
      <c r="D23" s="239" t="s">
        <v>127</v>
      </c>
    </row>
    <row r="24" spans="1:6">
      <c r="A24" s="240"/>
      <c r="B24" s="240"/>
      <c r="E24" s="234"/>
    </row>
    <row r="27" spans="1:6">
      <c r="A27" s="240" t="s">
        <v>128</v>
      </c>
      <c r="B27" s="240"/>
      <c r="C27" s="134" t="s">
        <v>129</v>
      </c>
      <c r="E27" s="241"/>
      <c r="F27" s="241"/>
    </row>
    <row r="28" spans="1:6">
      <c r="A28" s="240"/>
      <c r="B28" s="240"/>
      <c r="C28" s="134" t="s">
        <v>130</v>
      </c>
    </row>
    <row r="29" spans="1:6">
      <c r="A29" s="240"/>
      <c r="B29" s="240"/>
      <c r="C29" s="240" t="s">
        <v>131</v>
      </c>
      <c r="D29" s="240"/>
    </row>
    <row r="30" spans="1:6">
      <c r="A30" s="240"/>
      <c r="B30" s="240"/>
      <c r="C30" s="134" t="s">
        <v>132</v>
      </c>
    </row>
    <row r="31" spans="1:6">
      <c r="A31" s="240"/>
      <c r="B31" s="240"/>
      <c r="C31" s="240"/>
      <c r="D31" s="240"/>
    </row>
    <row r="32" spans="1:6">
      <c r="A32" s="240" t="s">
        <v>133</v>
      </c>
      <c r="B32" s="240"/>
      <c r="C32" s="134" t="s">
        <v>134</v>
      </c>
      <c r="D32" s="134" t="s">
        <v>12</v>
      </c>
      <c r="F32" s="242"/>
    </row>
    <row r="33" spans="1:5">
      <c r="C33" s="240" t="s">
        <v>136</v>
      </c>
      <c r="D33" s="134" t="s">
        <v>12</v>
      </c>
    </row>
    <row r="34" spans="1:5">
      <c r="C34" s="134" t="s">
        <v>138</v>
      </c>
      <c r="D34" s="134" t="s">
        <v>139</v>
      </c>
    </row>
    <row r="36" spans="1:5">
      <c r="A36" s="244" t="s">
        <v>176</v>
      </c>
      <c r="C36" s="243"/>
    </row>
    <row r="37" spans="1:5" ht="17" customHeight="1">
      <c r="A37" s="251" t="s">
        <v>177</v>
      </c>
      <c r="B37" s="313" t="s">
        <v>178</v>
      </c>
      <c r="C37" s="314"/>
      <c r="D37" s="267"/>
      <c r="E37" s="267"/>
    </row>
    <row r="38" spans="1:5">
      <c r="A38" s="251" t="s">
        <v>179</v>
      </c>
      <c r="B38" s="313" t="s">
        <v>180</v>
      </c>
      <c r="C38" s="314"/>
    </row>
    <row r="39" spans="1:5">
      <c r="A39" s="251" t="s">
        <v>181</v>
      </c>
      <c r="B39" s="313" t="s">
        <v>182</v>
      </c>
      <c r="C39" s="314"/>
    </row>
    <row r="40" spans="1:5">
      <c r="A40" s="251" t="s">
        <v>183</v>
      </c>
      <c r="B40" s="313" t="s">
        <v>184</v>
      </c>
      <c r="C40" s="314"/>
    </row>
    <row r="41" spans="1:5">
      <c r="A41" s="251" t="s">
        <v>185</v>
      </c>
      <c r="B41" s="313" t="s">
        <v>186</v>
      </c>
      <c r="C41" s="314"/>
    </row>
    <row r="43" spans="1:5" ht="42" customHeight="1">
      <c r="A43" s="316" t="s">
        <v>140</v>
      </c>
      <c r="B43" s="316"/>
      <c r="C43" s="316"/>
    </row>
    <row r="44" spans="1:5" ht="42" customHeight="1">
      <c r="A44" s="267"/>
      <c r="B44" s="267"/>
      <c r="C44" s="267"/>
    </row>
    <row r="45" spans="1:5">
      <c r="A45" s="246" t="s">
        <v>144</v>
      </c>
      <c r="B45" s="224"/>
      <c r="C45" s="247" t="s">
        <v>187</v>
      </c>
    </row>
    <row r="46" spans="1:5">
      <c r="C46" s="248" t="s">
        <v>146</v>
      </c>
    </row>
    <row r="47" spans="1:5">
      <c r="C47" s="249" t="s">
        <v>188</v>
      </c>
    </row>
  </sheetData>
  <mergeCells count="14">
    <mergeCell ref="A16:B16"/>
    <mergeCell ref="B7:C7"/>
    <mergeCell ref="A11:B11"/>
    <mergeCell ref="A12:B12"/>
    <mergeCell ref="A14:B14"/>
    <mergeCell ref="A15:B15"/>
    <mergeCell ref="B41:C41"/>
    <mergeCell ref="A43:C43"/>
    <mergeCell ref="A22:B22"/>
    <mergeCell ref="A23:B23"/>
    <mergeCell ref="B37:C37"/>
    <mergeCell ref="B38:C38"/>
    <mergeCell ref="B39:C39"/>
    <mergeCell ref="B40:C40"/>
  </mergeCells>
  <hyperlinks>
    <hyperlink ref="C46" r:id="rId1"/>
  </hyperlinks>
  <pageMargins left="0.75" right="0.75" top="1" bottom="1" header="0.5" footer="0.5"/>
  <pageSetup paperSize="9" scale="77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rgb="FFFF0000"/>
  </sheetPr>
  <dimension ref="A1:R120"/>
  <sheetViews>
    <sheetView topLeftCell="A109" workbookViewId="0">
      <selection activeCell="G115" sqref="G115"/>
    </sheetView>
  </sheetViews>
  <sheetFormatPr baseColWidth="10" defaultColWidth="10.83203125" defaultRowHeight="15.5"/>
  <cols>
    <col min="1" max="1" width="14.33203125" style="1" bestFit="1" customWidth="1"/>
    <col min="2" max="2" width="18.5" style="20" bestFit="1" customWidth="1"/>
    <col min="3" max="3" width="13.83203125" style="3" customWidth="1"/>
    <col min="4" max="4" width="17" style="3" customWidth="1"/>
    <col min="5" max="6" width="14.83203125" style="3" customWidth="1"/>
    <col min="7" max="7" width="14.5" style="3" customWidth="1"/>
    <col min="8" max="8" width="15.33203125" style="3" bestFit="1" customWidth="1"/>
    <col min="9" max="9" width="16" style="3" customWidth="1"/>
    <col min="10" max="10" width="13.83203125" style="3" bestFit="1" customWidth="1"/>
    <col min="11" max="11" width="17.6640625" style="3" customWidth="1"/>
    <col min="12" max="12" width="14.1640625" style="3" customWidth="1"/>
    <col min="13" max="15" width="17.1640625" style="3" customWidth="1"/>
    <col min="16" max="16" width="14" style="4" customWidth="1"/>
    <col min="17" max="17" width="14" style="3" customWidth="1"/>
    <col min="18" max="18" width="6.6640625" style="5" bestFit="1" customWidth="1"/>
    <col min="19" max="16384" width="10.83203125" style="3"/>
  </cols>
  <sheetData>
    <row r="1" spans="1:18" ht="16" thickBot="1">
      <c r="B1" s="2"/>
    </row>
    <row r="2" spans="1:18" ht="20.5" thickBot="1">
      <c r="B2" s="6" t="s">
        <v>0</v>
      </c>
      <c r="C2" s="303" t="s">
        <v>1</v>
      </c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4"/>
    </row>
    <row r="3" spans="1:18">
      <c r="B3" s="2"/>
    </row>
    <row r="4" spans="1:18">
      <c r="B4" s="2"/>
    </row>
    <row r="5" spans="1:18">
      <c r="B5" s="7" t="s">
        <v>2</v>
      </c>
      <c r="C5" s="8" t="s">
        <v>205</v>
      </c>
      <c r="D5" s="9"/>
    </row>
    <row r="6" spans="1:18">
      <c r="B6" s="10" t="s">
        <v>3</v>
      </c>
      <c r="C6" s="8" t="s">
        <v>205</v>
      </c>
      <c r="D6" s="9"/>
    </row>
    <row r="7" spans="1:18">
      <c r="B7" s="7" t="s">
        <v>4</v>
      </c>
      <c r="C7" s="8" t="s">
        <v>205</v>
      </c>
      <c r="D7" s="9"/>
      <c r="E7" s="3" t="s">
        <v>207</v>
      </c>
      <c r="F7" s="325">
        <v>2018</v>
      </c>
    </row>
    <row r="8" spans="1:18">
      <c r="A8" s="11"/>
      <c r="B8" s="7" t="s">
        <v>7</v>
      </c>
      <c r="C8" s="12" t="s">
        <v>205</v>
      </c>
      <c r="D8" s="9"/>
    </row>
    <row r="9" spans="1:18">
      <c r="A9" s="11"/>
      <c r="B9" s="13"/>
      <c r="C9" s="14" t="s">
        <v>8</v>
      </c>
      <c r="D9" s="14">
        <v>2</v>
      </c>
    </row>
    <row r="10" spans="1:18">
      <c r="A10" s="11"/>
      <c r="B10" s="13"/>
      <c r="C10" s="14" t="s">
        <v>9</v>
      </c>
      <c r="D10" s="14">
        <v>1</v>
      </c>
    </row>
    <row r="11" spans="1:18">
      <c r="A11" s="11"/>
      <c r="B11" s="2"/>
    </row>
    <row r="12" spans="1:18" s="17" customFormat="1" ht="16" thickBot="1">
      <c r="A12" s="15"/>
      <c r="B12" s="16"/>
      <c r="P12" s="18"/>
      <c r="R12" s="19"/>
    </row>
    <row r="13" spans="1:18" ht="16" thickBot="1">
      <c r="D13" s="21"/>
      <c r="E13" s="22" t="s">
        <v>189</v>
      </c>
      <c r="F13" s="22" t="s">
        <v>154</v>
      </c>
      <c r="G13" s="22" t="s">
        <v>12</v>
      </c>
      <c r="H13" s="22" t="s">
        <v>13</v>
      </c>
      <c r="I13" s="22" t="s">
        <v>13</v>
      </c>
      <c r="J13" s="22" t="s">
        <v>14</v>
      </c>
      <c r="K13" s="22" t="s">
        <v>15</v>
      </c>
      <c r="L13" s="22" t="s">
        <v>16</v>
      </c>
      <c r="M13" s="22" t="s">
        <v>17</v>
      </c>
      <c r="N13" s="22" t="s">
        <v>18</v>
      </c>
      <c r="O13" s="22" t="s">
        <v>19</v>
      </c>
    </row>
    <row r="14" spans="1:18" ht="16" thickBot="1">
      <c r="C14" s="23" t="s">
        <v>21</v>
      </c>
      <c r="D14" s="23"/>
      <c r="E14" s="24"/>
      <c r="F14" s="25"/>
      <c r="G14" s="24">
        <v>43171</v>
      </c>
      <c r="H14" s="24">
        <v>43172</v>
      </c>
      <c r="I14" s="24">
        <v>43173</v>
      </c>
      <c r="J14" s="24">
        <v>43174</v>
      </c>
      <c r="K14" s="24">
        <v>43175</v>
      </c>
      <c r="L14" s="24">
        <v>43176</v>
      </c>
      <c r="M14" s="24">
        <v>43177</v>
      </c>
      <c r="N14" s="24"/>
      <c r="O14" s="24"/>
    </row>
    <row r="15" spans="1:18" ht="16" thickBot="1">
      <c r="C15" s="23" t="s">
        <v>160</v>
      </c>
      <c r="D15" s="23"/>
      <c r="E15" s="24"/>
      <c r="F15" s="25"/>
      <c r="G15" s="24" t="s">
        <v>190</v>
      </c>
      <c r="H15" s="24" t="s">
        <v>191</v>
      </c>
      <c r="I15" s="24" t="s">
        <v>192</v>
      </c>
      <c r="J15" s="24" t="s">
        <v>193</v>
      </c>
      <c r="K15" s="24" t="s">
        <v>194</v>
      </c>
      <c r="L15" s="24"/>
      <c r="M15" s="24"/>
      <c r="N15" s="24"/>
      <c r="O15" s="24"/>
    </row>
    <row r="16" spans="1:18" s="20" customFormat="1" ht="16" thickBot="1">
      <c r="A16" s="11" t="s">
        <v>27</v>
      </c>
      <c r="B16" s="26">
        <v>180</v>
      </c>
      <c r="C16" s="27" t="s">
        <v>28</v>
      </c>
      <c r="D16" s="28" t="s">
        <v>195</v>
      </c>
      <c r="E16" s="29"/>
      <c r="F16" s="29"/>
      <c r="G16" s="29" t="s">
        <v>27</v>
      </c>
      <c r="H16" s="29" t="s">
        <v>196</v>
      </c>
      <c r="I16" s="29" t="s">
        <v>197</v>
      </c>
      <c r="J16" s="29"/>
      <c r="K16" s="29"/>
      <c r="L16" s="29"/>
      <c r="M16" s="29">
        <v>0</v>
      </c>
      <c r="N16" s="29"/>
      <c r="O16" s="29"/>
      <c r="P16" s="30" t="s">
        <v>32</v>
      </c>
      <c r="R16" s="31"/>
    </row>
    <row r="17" spans="1:18" ht="16" thickBot="1">
      <c r="A17" s="11" t="s">
        <v>33</v>
      </c>
      <c r="B17" s="26">
        <v>180</v>
      </c>
      <c r="D17" s="32"/>
      <c r="E17" s="33">
        <v>1.5</v>
      </c>
      <c r="F17" s="33"/>
      <c r="G17" s="34"/>
      <c r="H17" s="34"/>
      <c r="I17" s="34"/>
      <c r="J17" s="34"/>
      <c r="K17" s="34"/>
      <c r="L17" s="34"/>
      <c r="M17" s="34"/>
      <c r="N17" s="34"/>
      <c r="O17" s="34"/>
      <c r="P17" s="35"/>
      <c r="R17" s="5" t="s">
        <v>34</v>
      </c>
    </row>
    <row r="18" spans="1:18">
      <c r="A18" s="36" t="s">
        <v>35</v>
      </c>
      <c r="B18" s="26">
        <v>220</v>
      </c>
      <c r="C18" s="37" t="s">
        <v>205</v>
      </c>
      <c r="D18" s="38">
        <f>100+90</f>
        <v>190</v>
      </c>
      <c r="E18" s="39">
        <f>$E$17*12</f>
        <v>18</v>
      </c>
      <c r="F18" s="39">
        <f>IF($G$16="1SERVICE",90,0)</f>
        <v>0</v>
      </c>
      <c r="G18" s="39">
        <f>IF($G$16="MONTAGE",180,0)</f>
        <v>180</v>
      </c>
      <c r="H18" s="39">
        <f>IF(H16="1rep",180,0)+IF(H16="2rep",220,0)+IF(H16="2rep+demontage",250,0)+IF(H16="1rep+démontage",180,0)</f>
        <v>220</v>
      </c>
      <c r="I18" s="39">
        <f t="shared" ref="I18:N18" si="0">IF(I16="1rep",180,0)+IF(I16="2rep",220,0)+IF(I16="2rep+demontage",250,0)+IF(I16="1rep+démontage",180,0)</f>
        <v>180</v>
      </c>
      <c r="J18" s="39">
        <f t="shared" si="0"/>
        <v>0</v>
      </c>
      <c r="K18" s="39">
        <f t="shared" si="0"/>
        <v>0</v>
      </c>
      <c r="L18" s="39">
        <f t="shared" si="0"/>
        <v>0</v>
      </c>
      <c r="M18" s="39">
        <f t="shared" si="0"/>
        <v>0</v>
      </c>
      <c r="N18" s="39">
        <f t="shared" si="0"/>
        <v>0</v>
      </c>
      <c r="O18" s="39">
        <f>IF(O16="1rep",180,0)+IF(O16="2rep",220,0)+IF(O16="2rep+demontage",250,0)+IF(O16="1rep+démontage",180,0)</f>
        <v>0</v>
      </c>
      <c r="P18" s="40">
        <f>SUM(D18:O18)</f>
        <v>788</v>
      </c>
      <c r="Q18" s="37" t="s">
        <v>36</v>
      </c>
      <c r="R18" s="5">
        <f>SUM(F21:N21)</f>
        <v>36</v>
      </c>
    </row>
    <row r="19" spans="1:18">
      <c r="A19" s="11" t="s">
        <v>37</v>
      </c>
      <c r="B19" s="26">
        <v>250</v>
      </c>
      <c r="C19" s="41" t="s">
        <v>205</v>
      </c>
      <c r="D19" s="42"/>
      <c r="E19" s="43">
        <f t="shared" ref="E19" si="1">$E$17*12</f>
        <v>18</v>
      </c>
      <c r="F19" s="43">
        <f t="shared" ref="F19" si="2">IF($G$16="1SERVICE",90,0)</f>
        <v>0</v>
      </c>
      <c r="G19" s="43">
        <f>IF($G$16="montage",180,0)</f>
        <v>180</v>
      </c>
      <c r="H19" s="43">
        <f>IF(H16="1rep",180,0)+IF(H16="2rep",220,0)+IF(H16="2rep+demontage",250,0)+IF(H17="1rep+démontage",180,0)</f>
        <v>220</v>
      </c>
      <c r="I19" s="43">
        <f t="shared" ref="I19:N19" si="3">IF(I16="1rep",180,0)+IF(I16="2rep",220,0)+IF(I16="2rep+demontage",250,0)+IF(I17="1rep+démontage",180,0)</f>
        <v>180</v>
      </c>
      <c r="J19" s="43">
        <f t="shared" si="3"/>
        <v>0</v>
      </c>
      <c r="K19" s="43">
        <f t="shared" si="3"/>
        <v>0</v>
      </c>
      <c r="L19" s="43">
        <f t="shared" si="3"/>
        <v>0</v>
      </c>
      <c r="M19" s="43">
        <f t="shared" si="3"/>
        <v>0</v>
      </c>
      <c r="N19" s="43">
        <f t="shared" si="3"/>
        <v>0</v>
      </c>
      <c r="O19" s="43">
        <f>IF(O17="1rep",180,0)+IF(O17="2rep",220,0)+IF(O17="2rep+demontage",250,0)+IF(O17="1rep+démontage",180,0)</f>
        <v>0</v>
      </c>
      <c r="P19" s="40">
        <f>SUM(D19:M19)</f>
        <v>598</v>
      </c>
      <c r="Q19" s="41" t="s">
        <v>38</v>
      </c>
      <c r="R19" s="5">
        <f t="shared" ref="R19" si="4">SUM(F22:N22)</f>
        <v>36</v>
      </c>
    </row>
    <row r="20" spans="1:18" ht="16" thickBot="1">
      <c r="A20" s="11" t="s">
        <v>39</v>
      </c>
      <c r="B20" s="26"/>
      <c r="C20" s="44" t="s">
        <v>205</v>
      </c>
      <c r="D20" s="45">
        <v>90</v>
      </c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0">
        <f>SUM(D20:M20)</f>
        <v>90</v>
      </c>
      <c r="Q20" s="44" t="s">
        <v>40</v>
      </c>
    </row>
    <row r="21" spans="1:18" s="47" customFormat="1">
      <c r="C21" s="48"/>
      <c r="D21" s="49"/>
      <c r="E21" s="49"/>
      <c r="F21" s="49"/>
      <c r="G21" s="50">
        <f t="shared" ref="G21:N22" si="5">IF(G18&gt;1,12,0)</f>
        <v>12</v>
      </c>
      <c r="H21" s="50">
        <f t="shared" si="5"/>
        <v>12</v>
      </c>
      <c r="I21" s="50">
        <f t="shared" si="5"/>
        <v>12</v>
      </c>
      <c r="J21" s="50">
        <f t="shared" si="5"/>
        <v>0</v>
      </c>
      <c r="K21" s="50">
        <f t="shared" si="5"/>
        <v>0</v>
      </c>
      <c r="L21" s="50">
        <f t="shared" si="5"/>
        <v>0</v>
      </c>
      <c r="M21" s="50">
        <f t="shared" si="5"/>
        <v>0</v>
      </c>
      <c r="N21" s="50">
        <f t="shared" si="5"/>
        <v>0</v>
      </c>
      <c r="O21" s="51" t="s">
        <v>41</v>
      </c>
      <c r="P21" s="52">
        <f>SUM(P18:P20)</f>
        <v>1476</v>
      </c>
      <c r="Q21" s="48"/>
      <c r="R21" s="5">
        <f>SUM(R18:R20)</f>
        <v>72</v>
      </c>
    </row>
    <row r="22" spans="1:18" s="47" customFormat="1" ht="16" thickBot="1">
      <c r="C22" s="48"/>
      <c r="D22" s="49"/>
      <c r="E22" s="49"/>
      <c r="F22" s="49"/>
      <c r="G22" s="50">
        <f t="shared" si="5"/>
        <v>12</v>
      </c>
      <c r="H22" s="50">
        <f t="shared" si="5"/>
        <v>12</v>
      </c>
      <c r="I22" s="50">
        <f t="shared" si="5"/>
        <v>12</v>
      </c>
      <c r="J22" s="50">
        <f t="shared" si="5"/>
        <v>0</v>
      </c>
      <c r="K22" s="50">
        <f t="shared" si="5"/>
        <v>0</v>
      </c>
      <c r="L22" s="50">
        <f t="shared" si="5"/>
        <v>0</v>
      </c>
      <c r="M22" s="50">
        <f t="shared" si="5"/>
        <v>0</v>
      </c>
      <c r="N22" s="50">
        <f t="shared" si="5"/>
        <v>0</v>
      </c>
      <c r="O22" s="53" t="s">
        <v>42</v>
      </c>
      <c r="P22" s="54">
        <f>+P18*0.67+P19*0.63+P20*0.63</f>
        <v>961.40000000000009</v>
      </c>
      <c r="Q22" s="48"/>
      <c r="R22" s="55"/>
    </row>
    <row r="23" spans="1:18">
      <c r="G23" s="1"/>
      <c r="H23" s="1"/>
      <c r="I23" s="1"/>
      <c r="J23" s="1"/>
      <c r="K23" s="1"/>
      <c r="L23" s="1"/>
      <c r="M23" s="1"/>
      <c r="N23" s="1"/>
      <c r="Q23" s="56"/>
    </row>
    <row r="24" spans="1:18" ht="16" thickBot="1">
      <c r="G24" s="1"/>
      <c r="H24" s="1"/>
      <c r="I24" s="1"/>
      <c r="J24" s="1"/>
      <c r="K24" s="1"/>
      <c r="L24" s="1"/>
      <c r="M24" s="1"/>
      <c r="N24" s="1"/>
      <c r="Q24" s="56"/>
    </row>
    <row r="25" spans="1:18" ht="16" thickBot="1">
      <c r="C25" s="56"/>
      <c r="D25" s="57"/>
      <c r="E25" s="58"/>
      <c r="F25" s="59"/>
      <c r="G25" s="60" t="s">
        <v>12</v>
      </c>
      <c r="H25" s="22" t="s">
        <v>13</v>
      </c>
      <c r="I25" s="22" t="s">
        <v>14</v>
      </c>
      <c r="J25" s="22" t="s">
        <v>15</v>
      </c>
      <c r="K25" s="22" t="s">
        <v>16</v>
      </c>
      <c r="L25" s="22" t="s">
        <v>17</v>
      </c>
      <c r="M25" s="22" t="s">
        <v>18</v>
      </c>
      <c r="N25" s="22" t="s">
        <v>19</v>
      </c>
      <c r="O25" s="22" t="s">
        <v>20</v>
      </c>
      <c r="P25" s="56"/>
      <c r="Q25" s="56"/>
    </row>
    <row r="26" spans="1:18" ht="16" thickBot="1">
      <c r="C26" s="61" t="s">
        <v>21</v>
      </c>
      <c r="D26" s="62"/>
      <c r="E26" s="63"/>
      <c r="F26" s="64" t="s">
        <v>21</v>
      </c>
      <c r="G26" s="65">
        <f>+G14</f>
        <v>43171</v>
      </c>
      <c r="H26" s="65">
        <v>43171</v>
      </c>
      <c r="I26" s="65">
        <f t="shared" ref="I26:O26" si="6">+I14</f>
        <v>43173</v>
      </c>
      <c r="J26" s="65">
        <f t="shared" si="6"/>
        <v>43174</v>
      </c>
      <c r="K26" s="65">
        <f t="shared" si="6"/>
        <v>43175</v>
      </c>
      <c r="L26" s="65">
        <f t="shared" si="6"/>
        <v>43176</v>
      </c>
      <c r="M26" s="65">
        <f t="shared" si="6"/>
        <v>43177</v>
      </c>
      <c r="N26" s="65">
        <f t="shared" si="6"/>
        <v>0</v>
      </c>
      <c r="O26" s="65">
        <f t="shared" si="6"/>
        <v>0</v>
      </c>
    </row>
    <row r="27" spans="1:18" ht="16" thickBot="1">
      <c r="A27" s="77" t="s">
        <v>43</v>
      </c>
      <c r="B27" s="26">
        <v>60</v>
      </c>
      <c r="C27" s="68" t="s">
        <v>44</v>
      </c>
      <c r="D27" s="62"/>
      <c r="E27" s="63"/>
      <c r="F27" s="23"/>
      <c r="G27" s="268"/>
      <c r="H27" s="268" t="s">
        <v>196</v>
      </c>
      <c r="I27" s="268" t="s">
        <v>197</v>
      </c>
      <c r="J27" s="268"/>
      <c r="K27" s="268"/>
      <c r="L27" s="268"/>
      <c r="M27" s="268"/>
      <c r="N27" s="268"/>
      <c r="O27" s="71">
        <v>1</v>
      </c>
      <c r="P27" s="30" t="s">
        <v>32</v>
      </c>
    </row>
    <row r="28" spans="1:18">
      <c r="A28" s="77" t="s">
        <v>46</v>
      </c>
      <c r="B28" s="26">
        <v>190</v>
      </c>
      <c r="C28" s="72" t="s">
        <v>205</v>
      </c>
      <c r="D28" s="62"/>
      <c r="E28" s="63"/>
      <c r="F28" s="69"/>
      <c r="G28" s="73">
        <f>IF($H$27="raccord",60,0)</f>
        <v>0</v>
      </c>
      <c r="H28" s="74">
        <f>IF(H27="raccord+1rep",190,0)+IF(H27="raccord+2rep",220)+IF(H27="1rep",180,0)+IF(H27="2rep",210)</f>
        <v>210</v>
      </c>
      <c r="I28" s="74">
        <f>IF(I27="raccord+1rep",190,0)+IF(I27="raccord+2rep",220)+IF(I27="1rep",180,0)+IF(I27="2rep",210)</f>
        <v>180</v>
      </c>
      <c r="J28" s="74">
        <f t="shared" ref="J28:M28" si="7">IF(J27="raccord+1rep",190,0)+IF(J27="raccord+2rep",220)+IF(J27="1rep",180,0)+IF(J27="2rep",210)</f>
        <v>0</v>
      </c>
      <c r="K28" s="74">
        <f t="shared" si="7"/>
        <v>0</v>
      </c>
      <c r="L28" s="74">
        <f t="shared" si="7"/>
        <v>0</v>
      </c>
      <c r="M28" s="74">
        <f t="shared" si="7"/>
        <v>0</v>
      </c>
      <c r="N28" s="74"/>
      <c r="O28" s="74"/>
      <c r="P28" s="75">
        <f>SUM(G28:O28)</f>
        <v>390</v>
      </c>
      <c r="Q28" s="72" t="s">
        <v>47</v>
      </c>
      <c r="R28" s="5">
        <f>SUM(G32:N32)</f>
        <v>24</v>
      </c>
    </row>
    <row r="29" spans="1:18">
      <c r="A29" s="77" t="s">
        <v>48</v>
      </c>
      <c r="B29" s="26">
        <v>220</v>
      </c>
      <c r="C29" s="76" t="s">
        <v>205</v>
      </c>
      <c r="D29" s="62"/>
      <c r="E29" s="63"/>
      <c r="F29" s="69"/>
      <c r="G29" s="81">
        <f>IF($H$27="raccord",60,0)</f>
        <v>0</v>
      </c>
      <c r="H29" s="74">
        <f>IF(H27="raccord+1rep",190,0)+IF(H27="raccord+2rep",220)+IF(H27="1rep",180,0)+IF(H27="2rep",210)</f>
        <v>210</v>
      </c>
      <c r="I29" s="74">
        <f t="shared" ref="I29:M29" si="8">IF(I27="raccord+1rep",190,0)+IF(I27="raccord+2rep",220)+IF(I27="1rep",180,0)+IF(I27="2rep",210)</f>
        <v>180</v>
      </c>
      <c r="J29" s="74">
        <f t="shared" si="8"/>
        <v>0</v>
      </c>
      <c r="K29" s="74">
        <f t="shared" si="8"/>
        <v>0</v>
      </c>
      <c r="L29" s="74">
        <f t="shared" si="8"/>
        <v>0</v>
      </c>
      <c r="M29" s="74">
        <f t="shared" si="8"/>
        <v>0</v>
      </c>
      <c r="N29" s="74"/>
      <c r="O29" s="74"/>
      <c r="P29" s="75">
        <f t="shared" ref="P29:P30" si="9">SUM(G29:O29)</f>
        <v>390</v>
      </c>
      <c r="Q29" s="76" t="s">
        <v>49</v>
      </c>
      <c r="R29" s="5">
        <f t="shared" ref="R29:R31" si="10">SUM(G33:N33)</f>
        <v>24</v>
      </c>
    </row>
    <row r="30" spans="1:18">
      <c r="A30" s="77" t="s">
        <v>33</v>
      </c>
      <c r="B30" s="26">
        <v>180</v>
      </c>
      <c r="C30" s="76" t="s">
        <v>205</v>
      </c>
      <c r="D30" s="62"/>
      <c r="E30" s="63"/>
      <c r="F30" s="69"/>
      <c r="G30" s="81">
        <f>IF($H$27="raccord",60,0)</f>
        <v>0</v>
      </c>
      <c r="H30" s="74">
        <f>IF(H27="raccord+1rep",190,0)+IF(H27="raccord+2rep",220)+IF(H27="1rep",180,0)+IF(H27="2rep",210)</f>
        <v>210</v>
      </c>
      <c r="I30" s="74">
        <f t="shared" ref="I30:M30" si="11">IF(I27="raccord+1rep",190,0)+IF(I27="raccord+2rep",220)+IF(I27="1rep",180,0)+IF(I27="2rep",210)</f>
        <v>180</v>
      </c>
      <c r="J30" s="74">
        <f t="shared" si="11"/>
        <v>0</v>
      </c>
      <c r="K30" s="74">
        <f t="shared" si="11"/>
        <v>0</v>
      </c>
      <c r="L30" s="74">
        <f t="shared" si="11"/>
        <v>0</v>
      </c>
      <c r="M30" s="74">
        <f t="shared" si="11"/>
        <v>0</v>
      </c>
      <c r="N30" s="74"/>
      <c r="O30" s="74"/>
      <c r="P30" s="75">
        <f t="shared" si="9"/>
        <v>390</v>
      </c>
      <c r="Q30" s="76" t="s">
        <v>163</v>
      </c>
      <c r="R30" s="5">
        <f t="shared" si="10"/>
        <v>24</v>
      </c>
    </row>
    <row r="31" spans="1:18" ht="16" thickBot="1">
      <c r="A31" s="77" t="s">
        <v>35</v>
      </c>
      <c r="B31" s="26">
        <v>210</v>
      </c>
      <c r="C31" s="76"/>
      <c r="D31" s="78"/>
      <c r="E31" s="79"/>
      <c r="F31" s="80"/>
      <c r="G31" s="81"/>
      <c r="H31" s="74"/>
      <c r="I31" s="74"/>
      <c r="J31" s="74"/>
      <c r="K31" s="74"/>
      <c r="L31" s="74"/>
      <c r="M31" s="74"/>
      <c r="N31" s="74"/>
      <c r="O31" s="74"/>
      <c r="P31" s="75"/>
      <c r="Q31" s="82"/>
      <c r="R31" s="5">
        <f t="shared" si="10"/>
        <v>0</v>
      </c>
    </row>
    <row r="32" spans="1:18">
      <c r="C32" s="56"/>
      <c r="D32" s="83"/>
      <c r="E32" s="83"/>
      <c r="F32" s="83"/>
      <c r="G32" s="50">
        <f>IF(G28&gt;1,12,0)</f>
        <v>0</v>
      </c>
      <c r="H32" s="50">
        <f t="shared" ref="H32:N34" si="12">IF(H28&gt;1,12,0)</f>
        <v>12</v>
      </c>
      <c r="I32" s="50">
        <f t="shared" si="12"/>
        <v>12</v>
      </c>
      <c r="J32" s="50">
        <f t="shared" si="12"/>
        <v>0</v>
      </c>
      <c r="K32" s="50">
        <f t="shared" si="12"/>
        <v>0</v>
      </c>
      <c r="L32" s="50">
        <f t="shared" si="12"/>
        <v>0</v>
      </c>
      <c r="M32" s="50">
        <f t="shared" si="12"/>
        <v>0</v>
      </c>
      <c r="N32" s="50">
        <f t="shared" si="12"/>
        <v>0</v>
      </c>
      <c r="O32" s="84" t="s">
        <v>51</v>
      </c>
      <c r="P32" s="85">
        <f>SUM(P28:P31)</f>
        <v>1170</v>
      </c>
      <c r="Q32" s="86"/>
    </row>
    <row r="33" spans="1:18" ht="16" thickBot="1">
      <c r="C33" s="56"/>
      <c r="D33" s="83"/>
      <c r="E33" s="83"/>
      <c r="F33" s="83"/>
      <c r="G33" s="50">
        <f>IF(G29&gt;1,12,0)</f>
        <v>0</v>
      </c>
      <c r="H33" s="50">
        <f t="shared" si="12"/>
        <v>12</v>
      </c>
      <c r="I33" s="50">
        <f t="shared" si="12"/>
        <v>12</v>
      </c>
      <c r="J33" s="50">
        <f t="shared" si="12"/>
        <v>0</v>
      </c>
      <c r="K33" s="50">
        <f t="shared" si="12"/>
        <v>0</v>
      </c>
      <c r="L33" s="50">
        <f t="shared" si="12"/>
        <v>0</v>
      </c>
      <c r="M33" s="50">
        <f t="shared" si="12"/>
        <v>0</v>
      </c>
      <c r="N33" s="50">
        <f t="shared" si="12"/>
        <v>0</v>
      </c>
      <c r="O33" s="87" t="s">
        <v>52</v>
      </c>
      <c r="P33" s="88">
        <f>+(P28+P29+P30)*0.46+P31*0.57</f>
        <v>538.20000000000005</v>
      </c>
      <c r="Q33" s="86"/>
      <c r="R33" s="5">
        <f>SUM(R28:R32)</f>
        <v>72</v>
      </c>
    </row>
    <row r="34" spans="1:18">
      <c r="C34" s="56"/>
      <c r="D34" s="83"/>
      <c r="E34" s="83"/>
      <c r="F34" s="83"/>
      <c r="G34" s="50">
        <f>IF(G30&gt;1,12,0)</f>
        <v>0</v>
      </c>
      <c r="H34" s="50">
        <f t="shared" si="12"/>
        <v>12</v>
      </c>
      <c r="I34" s="50">
        <f t="shared" si="12"/>
        <v>12</v>
      </c>
      <c r="J34" s="50">
        <f t="shared" si="12"/>
        <v>0</v>
      </c>
      <c r="K34" s="50">
        <f t="shared" si="12"/>
        <v>0</v>
      </c>
      <c r="L34" s="50">
        <f t="shared" si="12"/>
        <v>0</v>
      </c>
      <c r="M34" s="50">
        <f t="shared" si="12"/>
        <v>0</v>
      </c>
      <c r="N34" s="50">
        <f t="shared" si="12"/>
        <v>0</v>
      </c>
      <c r="O34" s="89"/>
      <c r="P34" s="90"/>
      <c r="Q34" s="86"/>
    </row>
    <row r="35" spans="1:18">
      <c r="C35" s="56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9"/>
      <c r="P35" s="90"/>
      <c r="Q35" s="86"/>
    </row>
    <row r="36" spans="1:18">
      <c r="C36" s="91"/>
      <c r="D36" s="91"/>
      <c r="E36" s="91"/>
      <c r="F36" s="91"/>
      <c r="G36" s="91"/>
      <c r="H36" s="91"/>
      <c r="I36" s="91"/>
      <c r="J36" s="91"/>
      <c r="K36" s="91"/>
      <c r="L36" s="91"/>
      <c r="R36" s="5">
        <f>+R33+R21</f>
        <v>144</v>
      </c>
    </row>
    <row r="37" spans="1:18" ht="18">
      <c r="C37" s="305" t="s">
        <v>53</v>
      </c>
      <c r="D37" s="306"/>
      <c r="E37" s="306"/>
      <c r="F37" s="306"/>
      <c r="G37" s="306"/>
      <c r="H37" s="306"/>
      <c r="I37" s="306"/>
      <c r="J37" s="307"/>
    </row>
    <row r="38" spans="1:18" s="94" customFormat="1" ht="16" thickBot="1">
      <c r="A38" s="92"/>
      <c r="B38" s="93"/>
      <c r="P38" s="95"/>
      <c r="R38" s="96"/>
    </row>
    <row r="39" spans="1:18" s="94" customFormat="1" ht="18" thickBot="1">
      <c r="A39" s="92"/>
      <c r="B39" s="93"/>
      <c r="C39" s="97" t="s">
        <v>54</v>
      </c>
      <c r="D39" s="98"/>
      <c r="E39" s="99"/>
      <c r="F39" s="99"/>
      <c r="G39" s="99"/>
      <c r="H39" s="99"/>
      <c r="I39" s="100"/>
      <c r="J39" s="101">
        <f>P21+P22+P32+P33</f>
        <v>4145.6000000000004</v>
      </c>
      <c r="K39" s="102" t="s">
        <v>55</v>
      </c>
      <c r="L39" s="103"/>
      <c r="M39" s="94" t="s">
        <v>198</v>
      </c>
      <c r="P39" s="95"/>
      <c r="R39" s="96"/>
    </row>
    <row r="40" spans="1:18" s="94" customFormat="1" ht="16" thickBot="1">
      <c r="A40" s="92"/>
      <c r="B40" s="93"/>
      <c r="C40" s="104" t="s">
        <v>56</v>
      </c>
      <c r="D40" s="105">
        <v>0.4</v>
      </c>
      <c r="E40" s="106"/>
      <c r="F40" s="106"/>
      <c r="G40" s="106"/>
      <c r="H40" s="106"/>
      <c r="I40" s="107"/>
      <c r="J40" s="108">
        <f>+J39*D40</f>
        <v>1658.2400000000002</v>
      </c>
      <c r="K40" s="109"/>
      <c r="L40" s="110"/>
      <c r="M40" s="94" t="s">
        <v>199</v>
      </c>
      <c r="P40" s="95"/>
      <c r="R40" s="96"/>
    </row>
    <row r="41" spans="1:18" s="94" customFormat="1" ht="16" thickBot="1">
      <c r="A41" s="92"/>
      <c r="B41" s="93"/>
      <c r="C41" s="111" t="s">
        <v>58</v>
      </c>
      <c r="D41" s="112"/>
      <c r="E41" s="112"/>
      <c r="F41" s="112"/>
      <c r="G41" s="112"/>
      <c r="H41" s="112"/>
      <c r="I41" s="113"/>
      <c r="J41" s="114">
        <f>J39+J40</f>
        <v>5803.84</v>
      </c>
      <c r="K41" s="115" t="e">
        <f>+J41/C8</f>
        <v>#VALUE!</v>
      </c>
      <c r="L41" s="116">
        <f>+D40</f>
        <v>0.4</v>
      </c>
      <c r="P41" s="95"/>
      <c r="R41" s="96"/>
    </row>
    <row r="42" spans="1:18" ht="16" thickBot="1">
      <c r="C42" s="104" t="s">
        <v>59</v>
      </c>
      <c r="D42" s="105">
        <v>0.3</v>
      </c>
      <c r="E42" s="106"/>
      <c r="F42" s="106"/>
      <c r="G42" s="106"/>
      <c r="H42" s="106"/>
      <c r="I42" s="107"/>
      <c r="J42" s="108">
        <f>+J39*D42</f>
        <v>1243.68</v>
      </c>
      <c r="K42" s="109"/>
      <c r="L42" s="117"/>
      <c r="M42" s="94"/>
      <c r="N42" s="94"/>
      <c r="O42" s="94"/>
    </row>
    <row r="43" spans="1:18" s="94" customFormat="1" ht="16" thickBot="1">
      <c r="A43" s="92"/>
      <c r="B43" s="93"/>
      <c r="C43" s="118" t="s">
        <v>60</v>
      </c>
      <c r="D43" s="119"/>
      <c r="E43" s="119"/>
      <c r="F43" s="119"/>
      <c r="G43" s="119"/>
      <c r="H43" s="119"/>
      <c r="I43" s="120"/>
      <c r="J43" s="121">
        <f>+J42+J39</f>
        <v>5389.2800000000007</v>
      </c>
      <c r="K43" s="115" t="e">
        <f>+J43/C8</f>
        <v>#VALUE!</v>
      </c>
      <c r="L43" s="116">
        <f>+D42</f>
        <v>0.3</v>
      </c>
      <c r="P43" s="95"/>
      <c r="R43" s="96"/>
    </row>
    <row r="44" spans="1:18" ht="17" thickBot="1">
      <c r="C44" s="122" t="s">
        <v>61</v>
      </c>
      <c r="D44" s="123"/>
      <c r="E44" s="123"/>
      <c r="F44" s="123"/>
      <c r="G44" s="123"/>
      <c r="H44" s="123"/>
      <c r="I44" s="124"/>
      <c r="J44" s="125">
        <v>5800</v>
      </c>
      <c r="K44" s="126" t="e">
        <f>+J44/C8</f>
        <v>#VALUE!</v>
      </c>
      <c r="L44" s="127">
        <f>+D45</f>
        <v>0.39907371671169423</v>
      </c>
    </row>
    <row r="45" spans="1:18" ht="17" thickBot="1">
      <c r="C45" s="128" t="s">
        <v>62</v>
      </c>
      <c r="D45" s="129">
        <f>(+J44/J39)-1</f>
        <v>0.39907371671169423</v>
      </c>
      <c r="E45" s="130"/>
      <c r="F45" s="130"/>
      <c r="G45" s="130"/>
      <c r="H45" s="130"/>
      <c r="I45" s="131"/>
      <c r="J45" s="132">
        <f>J44-J39</f>
        <v>1654.3999999999996</v>
      </c>
      <c r="K45" s="94"/>
    </row>
    <row r="46" spans="1:18">
      <c r="K46" s="94"/>
    </row>
    <row r="47" spans="1:18" ht="16" thickBot="1"/>
    <row r="48" spans="1:18" ht="20.5" thickBot="1">
      <c r="B48" s="6" t="s">
        <v>63</v>
      </c>
      <c r="C48" s="303" t="s">
        <v>64</v>
      </c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4"/>
      <c r="R48" s="3"/>
    </row>
    <row r="50" spans="1:18">
      <c r="B50" s="133"/>
      <c r="C50" s="134"/>
      <c r="D50" s="134"/>
      <c r="E50" s="134"/>
      <c r="F50" s="134"/>
      <c r="G50" s="135" t="s">
        <v>65</v>
      </c>
      <c r="R50" s="3"/>
    </row>
    <row r="51" spans="1:18">
      <c r="B51" s="136" t="s">
        <v>66</v>
      </c>
      <c r="C51" s="137" t="s">
        <v>67</v>
      </c>
      <c r="D51" s="137" t="s">
        <v>68</v>
      </c>
      <c r="E51" s="137" t="s">
        <v>69</v>
      </c>
      <c r="F51" s="138" t="s">
        <v>70</v>
      </c>
      <c r="G51" s="139">
        <f>SUM(F52:F52)</f>
        <v>0</v>
      </c>
      <c r="R51" s="3"/>
    </row>
    <row r="52" spans="1:18">
      <c r="B52" s="140" t="s">
        <v>71</v>
      </c>
      <c r="C52" s="141">
        <v>60</v>
      </c>
      <c r="D52" s="142"/>
      <c r="E52" s="141">
        <f>C52*D52</f>
        <v>0</v>
      </c>
      <c r="F52" s="143">
        <f>E52*1.2</f>
        <v>0</v>
      </c>
      <c r="G52" s="135"/>
      <c r="R52" s="3"/>
    </row>
    <row r="53" spans="1:18">
      <c r="A53" s="3"/>
      <c r="B53" s="144" t="s">
        <v>72</v>
      </c>
      <c r="C53" s="137" t="s">
        <v>73</v>
      </c>
      <c r="D53" s="137" t="s">
        <v>74</v>
      </c>
      <c r="E53" s="137" t="s">
        <v>75</v>
      </c>
      <c r="F53" s="138"/>
      <c r="G53" s="139">
        <f>SUM(E54:F54)</f>
        <v>0</v>
      </c>
      <c r="P53" s="3"/>
      <c r="R53" s="3"/>
    </row>
    <row r="54" spans="1:18">
      <c r="A54" s="3"/>
      <c r="B54" s="140" t="s">
        <v>76</v>
      </c>
      <c r="C54" s="141"/>
      <c r="D54" s="145">
        <v>0.25</v>
      </c>
      <c r="E54" s="141"/>
      <c r="F54" s="143">
        <f>+C54*D54+E54</f>
        <v>0</v>
      </c>
      <c r="G54" s="146"/>
      <c r="P54" s="3"/>
      <c r="R54" s="3"/>
    </row>
    <row r="55" spans="1:18">
      <c r="A55" s="3"/>
      <c r="B55" s="144" t="s">
        <v>77</v>
      </c>
      <c r="C55" s="137" t="s">
        <v>78</v>
      </c>
      <c r="D55" s="137" t="s">
        <v>79</v>
      </c>
      <c r="E55" s="137" t="s">
        <v>80</v>
      </c>
      <c r="F55" s="138" t="s">
        <v>81</v>
      </c>
      <c r="G55" s="139">
        <f>SUM(C57:F60)</f>
        <v>0</v>
      </c>
      <c r="P55" s="3"/>
      <c r="R55" s="3"/>
    </row>
    <row r="56" spans="1:18">
      <c r="A56" s="3"/>
      <c r="B56" s="147"/>
      <c r="C56" s="141"/>
      <c r="D56" s="141"/>
      <c r="E56" s="141"/>
      <c r="F56" s="143"/>
      <c r="G56" s="135"/>
      <c r="P56" s="3"/>
      <c r="R56" s="3"/>
    </row>
    <row r="57" spans="1:18">
      <c r="A57" s="3"/>
      <c r="B57" s="72" t="s">
        <v>205</v>
      </c>
      <c r="C57" s="141"/>
      <c r="D57" s="141"/>
      <c r="E57" s="141"/>
      <c r="F57" s="143"/>
      <c r="G57" s="135"/>
      <c r="P57" s="3"/>
      <c r="R57" s="3"/>
    </row>
    <row r="58" spans="1:18">
      <c r="A58" s="3"/>
      <c r="B58" s="76" t="s">
        <v>205</v>
      </c>
      <c r="C58" s="141"/>
      <c r="D58" s="141"/>
      <c r="E58" s="141"/>
      <c r="F58" s="143"/>
      <c r="G58" s="135"/>
      <c r="P58" s="3"/>
      <c r="R58" s="3"/>
    </row>
    <row r="59" spans="1:18">
      <c r="A59" s="3"/>
      <c r="B59" s="76" t="s">
        <v>205</v>
      </c>
      <c r="C59" s="141"/>
      <c r="D59" s="141"/>
      <c r="E59" s="141"/>
      <c r="F59" s="143"/>
      <c r="G59" s="135"/>
      <c r="P59" s="3"/>
      <c r="R59" s="3"/>
    </row>
    <row r="60" spans="1:18">
      <c r="A60" s="3"/>
      <c r="B60" s="140" t="s">
        <v>205</v>
      </c>
      <c r="C60" s="141"/>
      <c r="D60" s="141"/>
      <c r="E60" s="141"/>
      <c r="F60" s="143"/>
      <c r="G60" s="135"/>
      <c r="P60" s="3"/>
      <c r="R60" s="3"/>
    </row>
    <row r="61" spans="1:18">
      <c r="A61" s="3"/>
      <c r="B61" s="144" t="s">
        <v>84</v>
      </c>
      <c r="C61" s="137" t="s">
        <v>73</v>
      </c>
      <c r="D61" s="137" t="s">
        <v>84</v>
      </c>
      <c r="E61" s="137" t="s">
        <v>75</v>
      </c>
      <c r="F61" s="138" t="s">
        <v>69</v>
      </c>
      <c r="G61" s="139">
        <f>SUM(F62:F64)</f>
        <v>0</v>
      </c>
      <c r="P61" s="3"/>
      <c r="R61" s="3"/>
    </row>
    <row r="62" spans="1:18">
      <c r="A62" s="3"/>
      <c r="B62" s="140" t="s">
        <v>50</v>
      </c>
      <c r="C62" s="254"/>
      <c r="D62" s="145">
        <v>0.3</v>
      </c>
      <c r="E62" s="141"/>
      <c r="F62" s="143">
        <f>+C62*D62+E62</f>
        <v>0</v>
      </c>
      <c r="G62" s="135"/>
      <c r="P62" s="3"/>
      <c r="R62" s="3"/>
    </row>
    <row r="63" spans="1:18">
      <c r="A63" s="3"/>
      <c r="B63" s="140" t="s">
        <v>38</v>
      </c>
      <c r="C63" s="254"/>
      <c r="D63" s="145">
        <v>0.3</v>
      </c>
      <c r="E63" s="148"/>
      <c r="F63" s="143">
        <f t="shared" ref="F63:F64" si="13">+C63*D63+E63</f>
        <v>0</v>
      </c>
      <c r="G63" s="135"/>
      <c r="P63" s="3"/>
      <c r="R63" s="3"/>
    </row>
    <row r="64" spans="1:18">
      <c r="A64" s="3"/>
      <c r="B64" s="149" t="s">
        <v>36</v>
      </c>
      <c r="C64" s="255"/>
      <c r="D64" s="145">
        <v>0.3</v>
      </c>
      <c r="E64" s="150"/>
      <c r="F64" s="151">
        <f t="shared" si="13"/>
        <v>0</v>
      </c>
      <c r="G64" s="152"/>
      <c r="P64" s="3"/>
    </row>
    <row r="65" spans="1:18">
      <c r="A65" s="3"/>
      <c r="B65" s="153" t="s">
        <v>85</v>
      </c>
      <c r="C65" s="154"/>
      <c r="D65" s="154"/>
      <c r="E65" s="154"/>
      <c r="F65" s="154"/>
      <c r="G65" s="155">
        <f>+G51+G53</f>
        <v>0</v>
      </c>
      <c r="P65" s="3"/>
    </row>
    <row r="66" spans="1:18">
      <c r="A66" s="3"/>
      <c r="B66" s="153" t="s">
        <v>86</v>
      </c>
      <c r="C66" s="154"/>
      <c r="D66" s="154"/>
      <c r="E66" s="154"/>
      <c r="F66" s="154"/>
      <c r="G66" s="155">
        <f>+G55+G61</f>
        <v>0</v>
      </c>
      <c r="P66" s="3"/>
    </row>
    <row r="67" spans="1:18">
      <c r="A67" s="3"/>
      <c r="B67" s="140" t="s">
        <v>38</v>
      </c>
      <c r="C67" s="148"/>
      <c r="D67" s="145">
        <v>0.4</v>
      </c>
      <c r="E67" s="148"/>
      <c r="F67" s="143">
        <f t="shared" ref="F67:F68" si="14">+C67*D67+E67</f>
        <v>0</v>
      </c>
      <c r="G67" s="135"/>
      <c r="P67" s="3"/>
    </row>
    <row r="68" spans="1:18">
      <c r="A68" s="3"/>
      <c r="B68" s="149" t="s">
        <v>36</v>
      </c>
      <c r="C68" s="150"/>
      <c r="D68" s="145">
        <v>0.4</v>
      </c>
      <c r="E68" s="150"/>
      <c r="F68" s="151">
        <f t="shared" si="14"/>
        <v>0</v>
      </c>
      <c r="G68" s="152"/>
      <c r="P68" s="3"/>
    </row>
    <row r="69" spans="1:18">
      <c r="A69" s="3"/>
      <c r="B69" s="153" t="s">
        <v>85</v>
      </c>
      <c r="C69" s="154"/>
      <c r="D69" s="154"/>
      <c r="E69" s="154"/>
      <c r="F69" s="154"/>
      <c r="G69" s="155">
        <f>+G51+G54</f>
        <v>0</v>
      </c>
    </row>
    <row r="70" spans="1:18">
      <c r="A70" s="3"/>
      <c r="B70" s="153" t="s">
        <v>86</v>
      </c>
      <c r="C70" s="154"/>
      <c r="D70" s="154"/>
      <c r="E70" s="154"/>
      <c r="F70" s="154"/>
      <c r="G70" s="155">
        <f>+G55+G61</f>
        <v>0</v>
      </c>
    </row>
    <row r="71" spans="1:18" ht="16" thickBot="1">
      <c r="A71" s="3"/>
    </row>
    <row r="72" spans="1:18" ht="20.5" thickBot="1">
      <c r="A72" s="3"/>
      <c r="B72" s="6" t="s">
        <v>87</v>
      </c>
      <c r="C72" s="303" t="s">
        <v>88</v>
      </c>
      <c r="D72" s="303"/>
      <c r="E72" s="303"/>
      <c r="F72" s="303"/>
      <c r="G72" s="303"/>
      <c r="H72" s="303"/>
      <c r="I72" s="303"/>
      <c r="J72" s="303"/>
      <c r="K72" s="303"/>
      <c r="L72" s="303"/>
      <c r="M72" s="303"/>
      <c r="N72" s="303"/>
      <c r="O72" s="303"/>
      <c r="P72" s="304"/>
    </row>
    <row r="73" spans="1:18" ht="16" thickBot="1"/>
    <row r="74" spans="1:18" ht="16" thickBot="1">
      <c r="A74" s="3"/>
      <c r="B74" s="308" t="s">
        <v>89</v>
      </c>
      <c r="C74" s="309"/>
      <c r="D74" s="309"/>
      <c r="E74" s="309"/>
      <c r="F74" s="309"/>
      <c r="G74" s="309"/>
      <c r="H74" s="309"/>
      <c r="I74" s="309"/>
      <c r="J74" s="309"/>
      <c r="K74" s="309"/>
      <c r="L74" s="310"/>
      <c r="M74" s="156" t="s">
        <v>90</v>
      </c>
      <c r="N74" s="157"/>
    </row>
    <row r="75" spans="1:18" ht="16" thickBot="1">
      <c r="A75" s="3"/>
      <c r="B75" s="158"/>
      <c r="C75" s="22" t="s">
        <v>167</v>
      </c>
      <c r="D75" s="22" t="s">
        <v>11</v>
      </c>
      <c r="E75" s="22" t="s">
        <v>12</v>
      </c>
      <c r="F75" s="22" t="s">
        <v>13</v>
      </c>
      <c r="G75" s="22" t="s">
        <v>14</v>
      </c>
      <c r="H75" s="22" t="s">
        <v>15</v>
      </c>
      <c r="I75" s="22" t="s">
        <v>16</v>
      </c>
      <c r="J75" s="22" t="s">
        <v>17</v>
      </c>
      <c r="K75" s="22" t="s">
        <v>18</v>
      </c>
      <c r="L75" s="22" t="s">
        <v>19</v>
      </c>
      <c r="M75" s="159"/>
      <c r="N75" s="157"/>
    </row>
    <row r="76" spans="1:18" ht="16" thickBot="1">
      <c r="A76" s="3"/>
      <c r="B76" s="160"/>
      <c r="C76" s="161">
        <f t="shared" ref="C76:K76" si="15">E16</f>
        <v>0</v>
      </c>
      <c r="D76" s="161">
        <f t="shared" si="15"/>
        <v>0</v>
      </c>
      <c r="E76" s="161" t="str">
        <f t="shared" si="15"/>
        <v>MONTAGE</v>
      </c>
      <c r="F76" s="161" t="str">
        <f t="shared" si="15"/>
        <v>2rep</v>
      </c>
      <c r="G76" s="161" t="str">
        <f t="shared" si="15"/>
        <v>1rep</v>
      </c>
      <c r="H76" s="161">
        <f t="shared" si="15"/>
        <v>0</v>
      </c>
      <c r="I76" s="161">
        <f t="shared" si="15"/>
        <v>0</v>
      </c>
      <c r="J76" s="161">
        <f t="shared" si="15"/>
        <v>0</v>
      </c>
      <c r="K76" s="161">
        <f t="shared" si="15"/>
        <v>0</v>
      </c>
      <c r="L76" s="161">
        <f>O16</f>
        <v>0</v>
      </c>
      <c r="M76" s="159"/>
      <c r="N76" s="157"/>
    </row>
    <row r="77" spans="1:18" s="20" customFormat="1" ht="16" thickBot="1">
      <c r="B77" s="162" t="s">
        <v>92</v>
      </c>
      <c r="C77" s="163">
        <f t="shared" ref="C77:K77" si="16">+E14</f>
        <v>0</v>
      </c>
      <c r="D77" s="163">
        <f t="shared" si="16"/>
        <v>0</v>
      </c>
      <c r="E77" s="163">
        <f t="shared" si="16"/>
        <v>43171</v>
      </c>
      <c r="F77" s="163">
        <f t="shared" si="16"/>
        <v>43172</v>
      </c>
      <c r="G77" s="163">
        <f t="shared" si="16"/>
        <v>43173</v>
      </c>
      <c r="H77" s="163">
        <f t="shared" si="16"/>
        <v>43174</v>
      </c>
      <c r="I77" s="163">
        <f t="shared" si="16"/>
        <v>43175</v>
      </c>
      <c r="J77" s="163">
        <f t="shared" si="16"/>
        <v>43176</v>
      </c>
      <c r="K77" s="163">
        <f t="shared" si="16"/>
        <v>43177</v>
      </c>
      <c r="L77" s="163">
        <f>+O14</f>
        <v>0</v>
      </c>
      <c r="M77" s="164"/>
      <c r="N77" s="165"/>
      <c r="P77" s="166"/>
      <c r="R77" s="31"/>
    </row>
    <row r="78" spans="1:18">
      <c r="A78" s="3"/>
      <c r="B78" s="167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9"/>
      <c r="N78" s="157"/>
    </row>
    <row r="79" spans="1:18">
      <c r="A79" s="3"/>
      <c r="B79" s="140" t="s">
        <v>205</v>
      </c>
      <c r="C79" s="148"/>
      <c r="D79" s="148"/>
      <c r="E79" s="148"/>
      <c r="F79" s="148"/>
      <c r="G79" s="148"/>
      <c r="H79" s="148"/>
      <c r="I79" s="148"/>
      <c r="J79" s="171"/>
      <c r="K79" s="148"/>
      <c r="L79" s="148"/>
      <c r="M79" s="172">
        <f>SUM(C79:L79)</f>
        <v>0</v>
      </c>
      <c r="N79" s="157"/>
    </row>
    <row r="80" spans="1:18">
      <c r="A80" s="3"/>
      <c r="B80" s="140" t="s">
        <v>205</v>
      </c>
      <c r="C80" s="148"/>
      <c r="D80" s="148"/>
      <c r="E80" s="148"/>
      <c r="F80" s="148"/>
      <c r="G80" s="148"/>
      <c r="H80" s="148"/>
      <c r="I80" s="148"/>
      <c r="J80" s="171"/>
      <c r="K80" s="148"/>
      <c r="L80" s="148"/>
      <c r="M80" s="172">
        <f t="shared" ref="M80:M85" si="17">SUM(C80:L80)</f>
        <v>0</v>
      </c>
      <c r="N80" s="157"/>
    </row>
    <row r="81" spans="2:18" s="3" customFormat="1">
      <c r="B81" s="72" t="s">
        <v>205</v>
      </c>
      <c r="C81" s="148"/>
      <c r="D81" s="148"/>
      <c r="E81" s="148"/>
      <c r="F81" s="148"/>
      <c r="G81" s="148"/>
      <c r="H81" s="148"/>
      <c r="I81" s="148"/>
      <c r="J81" s="171"/>
      <c r="K81" s="148"/>
      <c r="L81" s="148"/>
      <c r="M81" s="172">
        <f t="shared" si="17"/>
        <v>0</v>
      </c>
      <c r="N81" s="157"/>
      <c r="P81" s="4"/>
      <c r="R81" s="5"/>
    </row>
    <row r="82" spans="2:18" s="3" customFormat="1">
      <c r="B82" s="76" t="s">
        <v>205</v>
      </c>
      <c r="C82" s="148"/>
      <c r="D82" s="148"/>
      <c r="E82" s="148"/>
      <c r="F82" s="148"/>
      <c r="G82" s="148"/>
      <c r="H82" s="148"/>
      <c r="I82" s="148"/>
      <c r="J82" s="171"/>
      <c r="K82" s="148"/>
      <c r="L82" s="148"/>
      <c r="M82" s="172">
        <f t="shared" si="17"/>
        <v>0</v>
      </c>
      <c r="N82" s="157"/>
      <c r="P82" s="4"/>
      <c r="R82" s="5"/>
    </row>
    <row r="83" spans="2:18" s="3" customFormat="1">
      <c r="B83" s="76" t="s">
        <v>205</v>
      </c>
      <c r="C83" s="148"/>
      <c r="D83" s="148"/>
      <c r="E83" s="148"/>
      <c r="F83" s="148"/>
      <c r="G83" s="148"/>
      <c r="H83" s="148"/>
      <c r="I83" s="148"/>
      <c r="J83" s="171"/>
      <c r="K83" s="148"/>
      <c r="L83" s="148"/>
      <c r="M83" s="172">
        <f t="shared" si="17"/>
        <v>0</v>
      </c>
      <c r="N83" s="157"/>
      <c r="P83" s="4"/>
      <c r="R83" s="5"/>
    </row>
    <row r="84" spans="2:18" s="3" customFormat="1">
      <c r="B84" s="140" t="s">
        <v>205</v>
      </c>
      <c r="C84" s="148"/>
      <c r="D84" s="148"/>
      <c r="E84" s="148"/>
      <c r="F84" s="148"/>
      <c r="G84" s="148"/>
      <c r="H84" s="148"/>
      <c r="I84" s="148"/>
      <c r="J84" s="171"/>
      <c r="K84" s="148"/>
      <c r="L84" s="148"/>
      <c r="M84" s="172">
        <f t="shared" si="17"/>
        <v>0</v>
      </c>
      <c r="N84" s="157"/>
      <c r="P84" s="4"/>
      <c r="R84" s="5"/>
    </row>
    <row r="85" spans="2:18" s="3" customFormat="1" ht="16" thickBot="1">
      <c r="B85" s="173"/>
      <c r="C85" s="174"/>
      <c r="D85" s="174"/>
      <c r="E85" s="174"/>
      <c r="F85" s="174"/>
      <c r="G85" s="174"/>
      <c r="H85" s="174"/>
      <c r="I85" s="174"/>
      <c r="J85" s="174"/>
      <c r="K85" s="174"/>
      <c r="L85" s="174"/>
      <c r="M85" s="172">
        <f t="shared" si="17"/>
        <v>0</v>
      </c>
      <c r="N85" s="157"/>
      <c r="R85" s="5"/>
    </row>
    <row r="86" spans="2:18" s="3" customFormat="1" ht="16" thickBot="1">
      <c r="B86" s="175" t="s">
        <v>93</v>
      </c>
      <c r="C86" s="176">
        <f t="shared" ref="C86:L86" si="18">SUM(C79:C85)</f>
        <v>0</v>
      </c>
      <c r="D86" s="176">
        <f t="shared" si="18"/>
        <v>0</v>
      </c>
      <c r="E86" s="176">
        <f t="shared" si="18"/>
        <v>0</v>
      </c>
      <c r="F86" s="176">
        <f t="shared" si="18"/>
        <v>0</v>
      </c>
      <c r="G86" s="176">
        <f t="shared" si="18"/>
        <v>0</v>
      </c>
      <c r="H86" s="176">
        <f t="shared" si="18"/>
        <v>0</v>
      </c>
      <c r="I86" s="176">
        <f t="shared" si="18"/>
        <v>0</v>
      </c>
      <c r="J86" s="176">
        <f t="shared" si="18"/>
        <v>0</v>
      </c>
      <c r="K86" s="176">
        <f t="shared" si="18"/>
        <v>0</v>
      </c>
      <c r="L86" s="176">
        <f t="shared" si="18"/>
        <v>0</v>
      </c>
      <c r="M86" s="177"/>
      <c r="N86" s="157"/>
      <c r="R86" s="5"/>
    </row>
    <row r="87" spans="2:18" s="3" customFormat="1" ht="16" thickBot="1">
      <c r="B87" s="178" t="s">
        <v>69</v>
      </c>
      <c r="C87" s="179"/>
      <c r="D87" s="179"/>
      <c r="E87" s="179"/>
      <c r="F87" s="179"/>
      <c r="G87" s="179"/>
      <c r="H87" s="179"/>
      <c r="I87" s="179"/>
      <c r="J87" s="179"/>
      <c r="K87" s="179"/>
      <c r="L87" s="179">
        <f>SUM(L79:L85)</f>
        <v>0</v>
      </c>
      <c r="M87" s="179">
        <f>SUM(M79:M85)</f>
        <v>0</v>
      </c>
      <c r="N87" s="188"/>
      <c r="R87" s="5"/>
    </row>
    <row r="88" spans="2:18" s="3" customFormat="1" ht="16" thickBot="1">
      <c r="B88" s="311" t="s">
        <v>95</v>
      </c>
      <c r="C88" s="312"/>
      <c r="D88" s="312"/>
      <c r="E88" s="312"/>
      <c r="F88" s="312"/>
      <c r="G88" s="312"/>
      <c r="H88" s="312"/>
      <c r="I88" s="312"/>
      <c r="J88" s="312"/>
      <c r="K88" s="312"/>
      <c r="L88" s="312"/>
      <c r="M88" s="312"/>
      <c r="N88" s="180"/>
      <c r="R88" s="5"/>
    </row>
    <row r="89" spans="2:18" s="3" customFormat="1" ht="16" thickBot="1">
      <c r="B89" s="181"/>
      <c r="C89" s="21" t="str">
        <f t="shared" ref="C89:L89" si="19">+C75</f>
        <v>J-2-voyage</v>
      </c>
      <c r="D89" s="22" t="str">
        <f t="shared" si="19"/>
        <v>J-X- SI SERVICE</v>
      </c>
      <c r="E89" s="22" t="str">
        <f t="shared" si="19"/>
        <v>J-1</v>
      </c>
      <c r="F89" s="22" t="str">
        <f t="shared" si="19"/>
        <v>J</v>
      </c>
      <c r="G89" s="22" t="str">
        <f t="shared" si="19"/>
        <v>J+1</v>
      </c>
      <c r="H89" s="22" t="str">
        <f t="shared" si="19"/>
        <v>J+2</v>
      </c>
      <c r="I89" s="22" t="str">
        <f t="shared" si="19"/>
        <v>J+3</v>
      </c>
      <c r="J89" s="22" t="str">
        <f t="shared" si="19"/>
        <v>J+4</v>
      </c>
      <c r="K89" s="22" t="str">
        <f t="shared" si="19"/>
        <v>J+5</v>
      </c>
      <c r="L89" s="182" t="str">
        <f t="shared" si="19"/>
        <v>J+6</v>
      </c>
      <c r="M89" s="159" t="s">
        <v>90</v>
      </c>
      <c r="N89" s="157"/>
      <c r="P89" s="4"/>
      <c r="R89" s="5"/>
    </row>
    <row r="90" spans="2:18" s="3" customFormat="1" ht="16" thickBot="1">
      <c r="B90" s="183"/>
      <c r="C90" s="21">
        <f t="shared" ref="C90:M90" si="20">C76</f>
        <v>0</v>
      </c>
      <c r="D90" s="22">
        <f t="shared" si="20"/>
        <v>0</v>
      </c>
      <c r="E90" s="22" t="str">
        <f t="shared" si="20"/>
        <v>MONTAGE</v>
      </c>
      <c r="F90" s="22" t="str">
        <f t="shared" si="20"/>
        <v>2rep</v>
      </c>
      <c r="G90" s="22" t="str">
        <f t="shared" si="20"/>
        <v>1rep</v>
      </c>
      <c r="H90" s="22">
        <f t="shared" si="20"/>
        <v>0</v>
      </c>
      <c r="I90" s="22">
        <f t="shared" si="20"/>
        <v>0</v>
      </c>
      <c r="J90" s="22">
        <f t="shared" si="20"/>
        <v>0</v>
      </c>
      <c r="K90" s="22">
        <f t="shared" si="20"/>
        <v>0</v>
      </c>
      <c r="L90" s="182">
        <f t="shared" si="20"/>
        <v>0</v>
      </c>
      <c r="M90" s="184">
        <f t="shared" si="20"/>
        <v>0</v>
      </c>
      <c r="N90" s="185"/>
      <c r="P90" s="4"/>
      <c r="R90" s="5"/>
    </row>
    <row r="91" spans="2:18" s="20" customFormat="1" ht="16" thickBot="1">
      <c r="B91" s="162" t="s">
        <v>92</v>
      </c>
      <c r="C91" s="163">
        <f t="shared" ref="C91:L91" si="21">+C77</f>
        <v>0</v>
      </c>
      <c r="D91" s="163">
        <f t="shared" si="21"/>
        <v>0</v>
      </c>
      <c r="E91" s="163">
        <f t="shared" si="21"/>
        <v>43171</v>
      </c>
      <c r="F91" s="163">
        <f t="shared" si="21"/>
        <v>43172</v>
      </c>
      <c r="G91" s="163">
        <f t="shared" si="21"/>
        <v>43173</v>
      </c>
      <c r="H91" s="163">
        <f t="shared" si="21"/>
        <v>43174</v>
      </c>
      <c r="I91" s="163">
        <f t="shared" si="21"/>
        <v>43175</v>
      </c>
      <c r="J91" s="163">
        <f t="shared" si="21"/>
        <v>43176</v>
      </c>
      <c r="K91" s="163">
        <f t="shared" si="21"/>
        <v>43177</v>
      </c>
      <c r="L91" s="163">
        <f t="shared" si="21"/>
        <v>0</v>
      </c>
      <c r="M91" s="164"/>
      <c r="N91" s="165"/>
      <c r="P91" s="166"/>
      <c r="R91" s="31"/>
    </row>
    <row r="92" spans="2:18" s="3" customFormat="1">
      <c r="B92" s="256" t="s">
        <v>205</v>
      </c>
      <c r="C92" s="148"/>
      <c r="D92" s="148"/>
      <c r="E92" s="148"/>
      <c r="F92" s="148"/>
      <c r="G92" s="148"/>
      <c r="H92" s="148"/>
      <c r="I92" s="148"/>
      <c r="J92" s="148"/>
      <c r="K92" s="148"/>
      <c r="L92" s="148"/>
      <c r="M92" s="148">
        <f>SUM(C92:L92)</f>
        <v>0</v>
      </c>
      <c r="N92" s="157"/>
      <c r="R92" s="5"/>
    </row>
    <row r="93" spans="2:18" s="3" customFormat="1">
      <c r="B93" s="257" t="s">
        <v>205</v>
      </c>
      <c r="C93" s="148"/>
      <c r="D93" s="148"/>
      <c r="E93" s="148"/>
      <c r="F93" s="148"/>
      <c r="G93" s="148"/>
      <c r="H93" s="148"/>
      <c r="I93" s="148"/>
      <c r="J93" s="148"/>
      <c r="K93" s="148"/>
      <c r="L93" s="148"/>
      <c r="M93" s="148">
        <f t="shared" ref="M93:M97" si="22">SUM(C93:L93)</f>
        <v>0</v>
      </c>
      <c r="N93" s="157"/>
    </row>
    <row r="94" spans="2:18" s="3" customFormat="1">
      <c r="B94" s="258" t="s">
        <v>205</v>
      </c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>
        <f t="shared" si="22"/>
        <v>0</v>
      </c>
      <c r="N94" s="157"/>
    </row>
    <row r="95" spans="2:18" s="3" customFormat="1">
      <c r="B95" s="258" t="s">
        <v>205</v>
      </c>
      <c r="C95" s="148"/>
      <c r="D95" s="148"/>
      <c r="E95" s="148"/>
      <c r="F95" s="148"/>
      <c r="G95" s="148"/>
      <c r="H95" s="148"/>
      <c r="I95" s="148"/>
      <c r="J95" s="148"/>
      <c r="K95" s="148"/>
      <c r="L95" s="148"/>
      <c r="M95" s="148">
        <f t="shared" si="22"/>
        <v>0</v>
      </c>
      <c r="N95" s="157"/>
    </row>
    <row r="96" spans="2:18" s="3" customFormat="1">
      <c r="B96" s="258" t="s">
        <v>206</v>
      </c>
      <c r="C96" s="148"/>
      <c r="D96" s="148"/>
      <c r="E96" s="148"/>
      <c r="F96" s="148"/>
      <c r="G96" s="148"/>
      <c r="H96" s="148"/>
      <c r="I96" s="148"/>
      <c r="J96" s="148"/>
      <c r="K96" s="148"/>
      <c r="L96" s="148"/>
      <c r="M96" s="148">
        <f t="shared" si="22"/>
        <v>0</v>
      </c>
      <c r="N96" s="157"/>
    </row>
    <row r="97" spans="1:16" s="3" customFormat="1" ht="16" thickBot="1">
      <c r="B97" s="257" t="s">
        <v>205</v>
      </c>
      <c r="C97" s="148"/>
      <c r="D97" s="148"/>
      <c r="E97" s="148"/>
      <c r="F97" s="148"/>
      <c r="G97" s="148"/>
      <c r="H97" s="148"/>
      <c r="I97" s="148"/>
      <c r="J97" s="148"/>
      <c r="K97" s="148"/>
      <c r="L97" s="148"/>
      <c r="M97" s="148">
        <f t="shared" si="22"/>
        <v>0</v>
      </c>
      <c r="N97" s="157"/>
    </row>
    <row r="98" spans="1:16" s="3" customFormat="1" ht="16" thickBot="1">
      <c r="B98" s="175" t="s">
        <v>93</v>
      </c>
      <c r="C98" s="176">
        <f t="shared" ref="C98:L98" si="23">SUM(C92:C97)</f>
        <v>0</v>
      </c>
      <c r="D98" s="176">
        <f t="shared" si="23"/>
        <v>0</v>
      </c>
      <c r="E98" s="176">
        <f t="shared" si="23"/>
        <v>0</v>
      </c>
      <c r="F98" s="176">
        <f t="shared" si="23"/>
        <v>0</v>
      </c>
      <c r="G98" s="176">
        <f t="shared" si="23"/>
        <v>0</v>
      </c>
      <c r="H98" s="176">
        <f t="shared" si="23"/>
        <v>0</v>
      </c>
      <c r="I98" s="176">
        <f t="shared" si="23"/>
        <v>0</v>
      </c>
      <c r="J98" s="176">
        <f t="shared" si="23"/>
        <v>0</v>
      </c>
      <c r="K98" s="176">
        <f t="shared" si="23"/>
        <v>0</v>
      </c>
      <c r="L98" s="176">
        <f t="shared" si="23"/>
        <v>0</v>
      </c>
      <c r="M98" s="176"/>
      <c r="N98" s="157"/>
    </row>
    <row r="99" spans="1:16" s="3" customFormat="1" ht="16" thickBot="1">
      <c r="B99" s="178" t="s">
        <v>69</v>
      </c>
      <c r="C99" s="179"/>
      <c r="D99" s="179"/>
      <c r="E99" s="179"/>
      <c r="F99" s="179"/>
      <c r="G99" s="179"/>
      <c r="H99" s="179"/>
      <c r="I99" s="179"/>
      <c r="J99" s="179"/>
      <c r="K99" s="179"/>
      <c r="L99" s="179">
        <f>SUM(L92:L98)</f>
        <v>0</v>
      </c>
      <c r="M99" s="179">
        <f>SUM(M92:M98)</f>
        <v>0</v>
      </c>
      <c r="N99" s="188"/>
    </row>
    <row r="100" spans="1:16" s="3" customFormat="1">
      <c r="A100" s="1"/>
      <c r="B100" s="20"/>
      <c r="L100" s="3" t="s">
        <v>94</v>
      </c>
      <c r="M100" s="3">
        <v>18.100000000000001</v>
      </c>
      <c r="P100" s="4"/>
    </row>
    <row r="104" spans="1:16" s="3" customFormat="1">
      <c r="A104" s="1"/>
      <c r="B104" s="20"/>
      <c r="P104" s="4"/>
    </row>
    <row r="106" spans="1:16" s="3" customFormat="1">
      <c r="B106" s="300" t="s">
        <v>96</v>
      </c>
      <c r="C106" s="300"/>
      <c r="D106" s="3">
        <f>+J44</f>
        <v>5800</v>
      </c>
    </row>
    <row r="107" spans="1:16" s="3" customFormat="1">
      <c r="B107" s="300" t="s">
        <v>97</v>
      </c>
      <c r="C107" s="300"/>
      <c r="D107" s="3">
        <f>+G69</f>
        <v>0</v>
      </c>
    </row>
    <row r="108" spans="1:16" s="3" customFormat="1">
      <c r="B108" s="300" t="s">
        <v>98</v>
      </c>
      <c r="C108" s="300"/>
      <c r="D108" s="3">
        <f>+G70</f>
        <v>0</v>
      </c>
    </row>
    <row r="109" spans="1:16" s="3" customFormat="1">
      <c r="B109" s="301" t="s">
        <v>99</v>
      </c>
      <c r="C109" s="301"/>
      <c r="D109" s="189">
        <f>+M87</f>
        <v>0</v>
      </c>
    </row>
    <row r="110" spans="1:16" s="3" customFormat="1">
      <c r="B110" s="302" t="s">
        <v>100</v>
      </c>
      <c r="C110" s="302"/>
    </row>
    <row r="111" spans="1:16" s="3" customFormat="1">
      <c r="B111" s="190"/>
      <c r="C111" s="190"/>
      <c r="D111"/>
      <c r="E111"/>
      <c r="F111"/>
      <c r="G111"/>
      <c r="H111"/>
      <c r="I111"/>
    </row>
    <row r="112" spans="1:16" s="3" customFormat="1" ht="16" thickBot="1">
      <c r="B112" s="191" t="s">
        <v>101</v>
      </c>
      <c r="C112" s="192" t="e">
        <f>+'[1]TAB DEVIS TDN'!K200</f>
        <v>#REF!</v>
      </c>
      <c r="D112">
        <f>+M87</f>
        <v>0</v>
      </c>
      <c r="E112"/>
      <c r="F112"/>
      <c r="G112"/>
      <c r="H112"/>
      <c r="I112"/>
    </row>
    <row r="113" spans="2:10" s="3" customFormat="1" ht="16" thickBot="1">
      <c r="B113" s="296" t="s">
        <v>102</v>
      </c>
      <c r="C113" s="297"/>
      <c r="D113" s="193" t="s">
        <v>34</v>
      </c>
      <c r="E113" s="296" t="s">
        <v>103</v>
      </c>
      <c r="F113" s="297"/>
      <c r="G113" s="193" t="s">
        <v>104</v>
      </c>
      <c r="H113" s="193" t="s">
        <v>105</v>
      </c>
      <c r="I113" s="298" t="s">
        <v>106</v>
      </c>
      <c r="J113" s="299"/>
    </row>
    <row r="114" spans="2:10" s="3" customFormat="1">
      <c r="B114" s="194" t="s">
        <v>6</v>
      </c>
      <c r="C114" s="195"/>
      <c r="D114" s="196"/>
      <c r="E114" s="194"/>
      <c r="F114" s="197"/>
      <c r="G114" s="198"/>
      <c r="H114" s="196"/>
      <c r="I114" s="199"/>
      <c r="J114" s="195"/>
    </row>
    <row r="115" spans="2:10" s="3" customFormat="1">
      <c r="B115" s="200" t="s">
        <v>108</v>
      </c>
      <c r="C115" s="201">
        <f>P32</f>
        <v>1170</v>
      </c>
      <c r="D115" s="202">
        <f>+R33</f>
        <v>72</v>
      </c>
      <c r="E115" s="203" t="s">
        <v>109</v>
      </c>
      <c r="F115" s="204">
        <f>J44</f>
        <v>5800</v>
      </c>
      <c r="G115" s="205">
        <f>J45</f>
        <v>1654.3999999999996</v>
      </c>
      <c r="H115" s="206">
        <f>(F115+F116)*0.055</f>
        <v>319</v>
      </c>
      <c r="I115" s="207" t="s">
        <v>110</v>
      </c>
      <c r="J115" s="208">
        <f>+D9</f>
        <v>2</v>
      </c>
    </row>
    <row r="116" spans="2:10" s="3" customFormat="1">
      <c r="B116" s="209" t="s">
        <v>111</v>
      </c>
      <c r="C116" s="201">
        <f>P30</f>
        <v>390</v>
      </c>
      <c r="D116" s="202">
        <f>+R31</f>
        <v>0</v>
      </c>
      <c r="E116" s="210" t="s">
        <v>112</v>
      </c>
      <c r="F116" s="204">
        <f>G69+G70+(M99*M100)</f>
        <v>0</v>
      </c>
      <c r="G116" s="211">
        <f>D45</f>
        <v>0.39907371671169423</v>
      </c>
      <c r="H116" s="206"/>
      <c r="I116" s="207" t="s">
        <v>113</v>
      </c>
      <c r="J116" s="208">
        <f>+D10</f>
        <v>1</v>
      </c>
    </row>
    <row r="117" spans="2:10" s="3" customFormat="1">
      <c r="B117" s="200" t="s">
        <v>114</v>
      </c>
      <c r="C117" s="201">
        <f>P21</f>
        <v>1476</v>
      </c>
      <c r="D117" s="202">
        <f>+R21</f>
        <v>72</v>
      </c>
      <c r="E117" s="200" t="s">
        <v>115</v>
      </c>
      <c r="F117" s="212">
        <f>+G69</f>
        <v>0</v>
      </c>
      <c r="G117" s="202"/>
      <c r="H117" s="206"/>
      <c r="I117" s="207"/>
      <c r="J117" s="208"/>
    </row>
    <row r="118" spans="2:10" s="3" customFormat="1">
      <c r="B118" s="200" t="s">
        <v>52</v>
      </c>
      <c r="C118" s="201">
        <f>P22+P33</f>
        <v>1499.6000000000001</v>
      </c>
      <c r="D118" s="202"/>
      <c r="E118" s="200" t="s">
        <v>116</v>
      </c>
      <c r="F118" s="212">
        <f>+G70</f>
        <v>0</v>
      </c>
      <c r="G118" s="202"/>
      <c r="H118" s="206"/>
      <c r="I118" s="207"/>
      <c r="J118" s="208"/>
    </row>
    <row r="119" spans="2:10" s="3" customFormat="1">
      <c r="B119" s="200"/>
      <c r="C119" s="201"/>
      <c r="D119" s="202"/>
      <c r="E119" s="200" t="s">
        <v>117</v>
      </c>
      <c r="F119" s="212" t="e">
        <f>('[2]TAB DEVIS PDR TDN'!O191*65)</f>
        <v>#REF!</v>
      </c>
      <c r="G119" s="202"/>
      <c r="H119" s="206"/>
      <c r="I119" s="207"/>
      <c r="J119" s="208"/>
    </row>
    <row r="120" spans="2:10" s="3" customFormat="1" ht="16" thickBot="1">
      <c r="B120" s="213"/>
      <c r="C120" s="214"/>
      <c r="D120" s="215"/>
      <c r="E120" s="213" t="s">
        <v>118</v>
      </c>
      <c r="F120" s="216">
        <f>M99*M100</f>
        <v>0</v>
      </c>
      <c r="G120" s="215"/>
      <c r="H120" s="217"/>
      <c r="I120" s="218"/>
      <c r="J120" s="219"/>
    </row>
  </sheetData>
  <mergeCells count="14">
    <mergeCell ref="B88:M88"/>
    <mergeCell ref="C2:P2"/>
    <mergeCell ref="C37:J37"/>
    <mergeCell ref="C48:P48"/>
    <mergeCell ref="C72:P72"/>
    <mergeCell ref="B74:L74"/>
    <mergeCell ref="E113:F113"/>
    <mergeCell ref="I113:J113"/>
    <mergeCell ref="B106:C106"/>
    <mergeCell ref="B107:C107"/>
    <mergeCell ref="B108:C108"/>
    <mergeCell ref="B109:C109"/>
    <mergeCell ref="B110:C110"/>
    <mergeCell ref="B113:C113"/>
  </mergeCells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rgb="FF3366FF"/>
    <pageSetUpPr fitToPage="1"/>
  </sheetPr>
  <dimension ref="A1:H44"/>
  <sheetViews>
    <sheetView topLeftCell="A49" workbookViewId="0">
      <selection activeCell="C48" sqref="C44:C48"/>
    </sheetView>
  </sheetViews>
  <sheetFormatPr baseColWidth="10" defaultColWidth="10.83203125" defaultRowHeight="15.5"/>
  <cols>
    <col min="1" max="1" width="29.1640625" style="134" customWidth="1"/>
    <col min="2" max="2" width="5.6640625" style="134" customWidth="1"/>
    <col min="3" max="3" width="39.6640625" style="134" customWidth="1"/>
    <col min="4" max="4" width="6.5" style="134" customWidth="1"/>
    <col min="5" max="5" width="23.5" style="134" customWidth="1"/>
    <col min="6" max="6" width="15.6640625" style="134" customWidth="1"/>
    <col min="7" max="16384" width="10.83203125" style="134"/>
  </cols>
  <sheetData>
    <row r="1" spans="1:8">
      <c r="C1" s="221"/>
      <c r="D1" s="221"/>
    </row>
    <row r="3" spans="1:8">
      <c r="E3" s="222"/>
    </row>
    <row r="4" spans="1:8">
      <c r="E4" s="222"/>
    </row>
    <row r="5" spans="1:8">
      <c r="A5" s="223" t="s">
        <v>119</v>
      </c>
      <c r="B5" s="223"/>
      <c r="E5" s="222"/>
    </row>
    <row r="6" spans="1:8">
      <c r="A6" s="223"/>
      <c r="B6" s="223"/>
      <c r="E6" s="222"/>
    </row>
    <row r="7" spans="1:8">
      <c r="A7" s="223" t="s">
        <v>120</v>
      </c>
      <c r="B7" s="319">
        <v>43174</v>
      </c>
      <c r="C7" s="319"/>
      <c r="D7" s="224"/>
    </row>
    <row r="8" spans="1:8">
      <c r="A8" s="223"/>
      <c r="B8" s="223"/>
    </row>
    <row r="9" spans="1:8">
      <c r="A9" s="225" t="s">
        <v>121</v>
      </c>
      <c r="B9" s="225"/>
      <c r="C9" s="226" t="str">
        <f>+TABXX!C5</f>
        <v>X</v>
      </c>
      <c r="D9" s="227"/>
      <c r="E9" s="222"/>
    </row>
    <row r="10" spans="1:8">
      <c r="A10" s="228" t="s">
        <v>122</v>
      </c>
      <c r="B10" s="228"/>
      <c r="C10" s="226" t="str">
        <f>+TABXX!C6</f>
        <v>X</v>
      </c>
      <c r="D10" s="227"/>
      <c r="E10" s="222"/>
    </row>
    <row r="11" spans="1:8">
      <c r="A11" s="318" t="s">
        <v>4</v>
      </c>
      <c r="B11" s="318"/>
      <c r="C11" s="226" t="str">
        <f>+TABXX!C7</f>
        <v>X</v>
      </c>
      <c r="D11" s="229"/>
      <c r="H11" s="230"/>
    </row>
    <row r="12" spans="1:8">
      <c r="A12" s="318" t="s">
        <v>123</v>
      </c>
      <c r="B12" s="318"/>
      <c r="C12" s="250" t="str">
        <f>+TABXX!C8</f>
        <v>X</v>
      </c>
      <c r="D12" s="232"/>
    </row>
    <row r="13" spans="1:8">
      <c r="A13" s="221"/>
      <c r="B13" s="221"/>
    </row>
    <row r="14" spans="1:8">
      <c r="A14" s="300" t="s">
        <v>96</v>
      </c>
      <c r="B14" s="300"/>
      <c r="C14" s="233">
        <f>+TABXX!D106</f>
        <v>5800</v>
      </c>
      <c r="D14" s="157" t="s">
        <v>124</v>
      </c>
      <c r="G14" s="234"/>
    </row>
    <row r="15" spans="1:8">
      <c r="A15" s="300" t="s">
        <v>97</v>
      </c>
      <c r="B15" s="300"/>
      <c r="C15" s="233">
        <f>+TABXX!D107</f>
        <v>0</v>
      </c>
      <c r="D15" s="157" t="s">
        <v>124</v>
      </c>
    </row>
    <row r="16" spans="1:8">
      <c r="A16" s="300" t="s">
        <v>98</v>
      </c>
      <c r="B16" s="300"/>
      <c r="C16" s="233">
        <f>+TABXX!D108</f>
        <v>0</v>
      </c>
      <c r="D16" s="157" t="s">
        <v>124</v>
      </c>
    </row>
    <row r="17" spans="1:6">
      <c r="A17" s="191" t="s">
        <v>99</v>
      </c>
      <c r="B17" s="189"/>
      <c r="C17" s="233">
        <f>+B17*18.1</f>
        <v>0</v>
      </c>
      <c r="D17" s="157" t="s">
        <v>124</v>
      </c>
    </row>
    <row r="18" spans="1:6" ht="31">
      <c r="A18" s="190" t="s">
        <v>100</v>
      </c>
      <c r="B18" s="190"/>
      <c r="C18" s="233">
        <v>38</v>
      </c>
      <c r="D18" s="157"/>
      <c r="E18" s="234"/>
    </row>
    <row r="19" spans="1:6">
      <c r="A19" s="235"/>
      <c r="B19" s="235"/>
      <c r="C19" s="233"/>
      <c r="D19" s="157"/>
      <c r="E19" s="234"/>
    </row>
    <row r="20" spans="1:6">
      <c r="A20" s="191" t="s">
        <v>101</v>
      </c>
      <c r="B20" s="192"/>
      <c r="C20" s="236">
        <f>+TABXX!M99</f>
        <v>0</v>
      </c>
      <c r="D20" s="157"/>
      <c r="E20" s="234"/>
    </row>
    <row r="21" spans="1:6">
      <c r="A21" s="237"/>
      <c r="B21" s="237"/>
      <c r="C21" s="157"/>
      <c r="D21" s="157"/>
      <c r="E21" s="234"/>
    </row>
    <row r="22" spans="1:6">
      <c r="A22" s="315" t="s">
        <v>125</v>
      </c>
      <c r="B22" s="315"/>
      <c r="C22" s="238">
        <f>C14+C15+C16+C17</f>
        <v>5800</v>
      </c>
      <c r="D22" s="239" t="s">
        <v>124</v>
      </c>
      <c r="F22" s="234"/>
    </row>
    <row r="23" spans="1:6">
      <c r="A23" s="315" t="s">
        <v>126</v>
      </c>
      <c r="B23" s="315"/>
      <c r="C23" s="238">
        <f>C22*1.055</f>
        <v>6119</v>
      </c>
      <c r="D23" s="239" t="s">
        <v>127</v>
      </c>
    </row>
    <row r="24" spans="1:6">
      <c r="A24" s="240"/>
      <c r="B24" s="240"/>
      <c r="E24" s="234"/>
    </row>
    <row r="27" spans="1:6">
      <c r="A27" s="240" t="s">
        <v>128</v>
      </c>
      <c r="B27" s="240"/>
      <c r="C27" s="134" t="s">
        <v>148</v>
      </c>
      <c r="E27" s="241"/>
      <c r="F27" s="241"/>
    </row>
    <row r="28" spans="1:6">
      <c r="A28" s="240"/>
      <c r="B28" s="240"/>
      <c r="C28" s="134" t="s">
        <v>130</v>
      </c>
    </row>
    <row r="29" spans="1:6">
      <c r="A29" s="240"/>
      <c r="B29" s="240"/>
      <c r="C29" s="240" t="s">
        <v>131</v>
      </c>
      <c r="D29" s="240"/>
    </row>
    <row r="30" spans="1:6">
      <c r="A30" s="240"/>
      <c r="B30" s="240"/>
      <c r="C30" s="134" t="s">
        <v>132</v>
      </c>
    </row>
    <row r="31" spans="1:6">
      <c r="A31" s="240"/>
      <c r="B31" s="240"/>
      <c r="C31" s="240"/>
      <c r="D31" s="240"/>
    </row>
    <row r="32" spans="1:6">
      <c r="A32" s="240" t="s">
        <v>133</v>
      </c>
      <c r="B32" s="240"/>
      <c r="C32" s="134" t="s">
        <v>134</v>
      </c>
      <c r="D32" s="134" t="s">
        <v>135</v>
      </c>
      <c r="F32" s="242"/>
    </row>
    <row r="33" spans="1:5">
      <c r="C33" s="240" t="s">
        <v>136</v>
      </c>
      <c r="D33" s="134" t="s">
        <v>137</v>
      </c>
    </row>
    <row r="34" spans="1:5">
      <c r="C34" s="134" t="s">
        <v>138</v>
      </c>
      <c r="D34" s="134" t="s">
        <v>139</v>
      </c>
    </row>
    <row r="36" spans="1:5">
      <c r="A36" s="316" t="s">
        <v>140</v>
      </c>
      <c r="B36" s="316"/>
      <c r="C36" s="316"/>
      <c r="D36" s="316"/>
      <c r="E36" s="316"/>
    </row>
    <row r="37" spans="1:5">
      <c r="A37" s="243"/>
      <c r="D37" s="243"/>
    </row>
    <row r="38" spans="1:5">
      <c r="A38" s="244" t="s">
        <v>141</v>
      </c>
      <c r="C38" s="243"/>
      <c r="D38" s="243"/>
    </row>
    <row r="39" spans="1:5">
      <c r="A39" s="251"/>
      <c r="B39" s="313" t="s">
        <v>149</v>
      </c>
      <c r="C39" s="314"/>
    </row>
    <row r="40" spans="1:5">
      <c r="A40" s="251"/>
      <c r="B40" s="313" t="s">
        <v>150</v>
      </c>
      <c r="C40" s="314"/>
    </row>
    <row r="41" spans="1:5">
      <c r="A41" s="251"/>
      <c r="B41" s="313" t="s">
        <v>200</v>
      </c>
      <c r="C41" s="314"/>
    </row>
    <row r="42" spans="1:5">
      <c r="A42" s="251"/>
      <c r="B42" s="313"/>
      <c r="C42" s="314"/>
    </row>
    <row r="43" spans="1:5">
      <c r="A43" s="251"/>
      <c r="B43" s="313"/>
      <c r="C43" s="314"/>
    </row>
    <row r="44" spans="1:5">
      <c r="A44" s="246" t="s">
        <v>144</v>
      </c>
      <c r="B44" s="224"/>
    </row>
  </sheetData>
  <mergeCells count="14">
    <mergeCell ref="A16:B16"/>
    <mergeCell ref="B7:C7"/>
    <mergeCell ref="A11:B11"/>
    <mergeCell ref="A12:B12"/>
    <mergeCell ref="A14:B14"/>
    <mergeCell ref="A15:B15"/>
    <mergeCell ref="B42:C42"/>
    <mergeCell ref="B43:C43"/>
    <mergeCell ref="A22:B22"/>
    <mergeCell ref="A23:B23"/>
    <mergeCell ref="A36:E36"/>
    <mergeCell ref="B39:C39"/>
    <mergeCell ref="B40:C40"/>
    <mergeCell ref="B41:C41"/>
  </mergeCells>
  <pageMargins left="0.75" right="0.75" top="1" bottom="1" header="0.5" footer="0.5"/>
  <pageSetup paperSize="9" scale="7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 enableFormatConditionsCalculation="0"/>
  <dimension ref="A1:M15"/>
  <sheetViews>
    <sheetView tabSelected="1" workbookViewId="0">
      <selection activeCell="L14" sqref="L14"/>
    </sheetView>
  </sheetViews>
  <sheetFormatPr baseColWidth="10" defaultRowHeight="15.5"/>
  <cols>
    <col min="1" max="1" width="17.33203125" customWidth="1"/>
    <col min="2" max="2" width="14" customWidth="1"/>
    <col min="4" max="4" width="15.5" customWidth="1"/>
  </cols>
  <sheetData>
    <row r="1" spans="1:13">
      <c r="B1" t="s">
        <v>221</v>
      </c>
      <c r="M1" t="s">
        <v>215</v>
      </c>
    </row>
    <row r="2" spans="1:13">
      <c r="A2" t="s">
        <v>218</v>
      </c>
      <c r="B2">
        <v>2018</v>
      </c>
      <c r="C2" s="326">
        <f ca="1">SUMPRODUCT(COUNTIF(INDIRECT("'"&amp;M1:M3&amp;"'!f7"),B2))</f>
        <v>2</v>
      </c>
      <c r="D2" t="s">
        <v>222</v>
      </c>
      <c r="M2" t="s">
        <v>216</v>
      </c>
    </row>
    <row r="3" spans="1:13" ht="16" thickBot="1">
      <c r="M3" t="s">
        <v>217</v>
      </c>
    </row>
    <row r="4" spans="1:13" ht="16" thickBot="1">
      <c r="A4" s="320" t="s">
        <v>102</v>
      </c>
      <c r="B4" s="321"/>
      <c r="C4" s="269" t="s">
        <v>219</v>
      </c>
      <c r="D4" s="320" t="s">
        <v>103</v>
      </c>
      <c r="E4" s="321"/>
      <c r="F4" s="269" t="s">
        <v>104</v>
      </c>
      <c r="G4" s="269" t="s">
        <v>105</v>
      </c>
      <c r="H4" s="322" t="s">
        <v>208</v>
      </c>
      <c r="I4" s="323"/>
    </row>
    <row r="5" spans="1:13">
      <c r="A5" s="270"/>
      <c r="B5" s="271"/>
      <c r="C5" s="271"/>
      <c r="D5" s="272"/>
      <c r="E5" s="273" t="s">
        <v>209</v>
      </c>
      <c r="F5" s="273"/>
      <c r="G5" s="271"/>
      <c r="H5" s="272"/>
      <c r="I5" s="271"/>
    </row>
    <row r="6" spans="1:13">
      <c r="A6" s="274" t="s">
        <v>108</v>
      </c>
      <c r="B6" s="275">
        <f ca="1">SUMPRODUCT(SUMIF(INDIRECT("'"&amp;M1:M3&amp;"'!f7"),B2,INDIRECT("'"&amp;M1:M3&amp;"'!c115")))</f>
        <v>1980</v>
      </c>
      <c r="C6" s="275">
        <f ca="1">B6/C2</f>
        <v>990</v>
      </c>
      <c r="D6" s="276" t="s">
        <v>210</v>
      </c>
      <c r="E6" s="275"/>
      <c r="F6" s="275">
        <f>+'[3]TAB DRM TERRASSON 2R'!G114+'[3]TAB DRM SCENES NOMADES'!G110+'[3]TAB ANGOULEME'!G114+'[3]TAB C+C'!G114+'[3]TAB MARCHEPRIME'!G114+'[3]TAB THOUARS'!G114+'[3]TAB PESSAC'!G114+'[3]TAB  NANTERRE'!G110+'[3]TAB  EVREUX 6 REP'!G101</f>
        <v>0</v>
      </c>
      <c r="G6" s="277">
        <v>0</v>
      </c>
      <c r="H6" s="278" t="s">
        <v>211</v>
      </c>
      <c r="I6" s="275"/>
    </row>
    <row r="7" spans="1:13">
      <c r="A7" s="279" t="s">
        <v>111</v>
      </c>
      <c r="B7" s="275"/>
      <c r="C7" s="275"/>
      <c r="D7" s="276" t="s">
        <v>212</v>
      </c>
      <c r="E7" s="275"/>
      <c r="F7" s="280"/>
      <c r="G7" s="277">
        <v>0</v>
      </c>
      <c r="H7" s="278" t="s">
        <v>213</v>
      </c>
      <c r="I7" s="275"/>
    </row>
    <row r="8" spans="1:13">
      <c r="A8" s="274" t="s">
        <v>114</v>
      </c>
      <c r="B8" s="275"/>
      <c r="C8" s="275"/>
      <c r="D8" s="281" t="s">
        <v>115</v>
      </c>
      <c r="E8" s="275"/>
      <c r="F8" s="282"/>
      <c r="G8" s="277"/>
      <c r="H8" s="278"/>
      <c r="I8" s="277"/>
    </row>
    <row r="9" spans="1:13">
      <c r="A9" s="274" t="s">
        <v>52</v>
      </c>
      <c r="B9" s="275"/>
      <c r="C9" s="283"/>
      <c r="D9" s="281" t="s">
        <v>116</v>
      </c>
      <c r="E9" s="275"/>
      <c r="F9" s="282"/>
      <c r="G9" s="277"/>
      <c r="H9" s="278"/>
      <c r="I9" s="277"/>
    </row>
    <row r="10" spans="1:13">
      <c r="A10" s="274"/>
      <c r="B10" s="275"/>
      <c r="C10" s="282">
        <v>0</v>
      </c>
      <c r="D10" s="281" t="s">
        <v>117</v>
      </c>
      <c r="E10" s="275"/>
      <c r="F10" s="282"/>
      <c r="G10" s="277"/>
      <c r="H10" s="278"/>
      <c r="I10" s="277"/>
    </row>
    <row r="11" spans="1:13" ht="16" thickBot="1">
      <c r="A11" s="284"/>
      <c r="B11" s="275"/>
      <c r="C11" s="285">
        <v>0</v>
      </c>
      <c r="D11" s="286" t="s">
        <v>118</v>
      </c>
      <c r="E11" s="275"/>
      <c r="F11" s="285"/>
      <c r="G11" s="287"/>
      <c r="H11" s="288"/>
      <c r="I11" s="287"/>
    </row>
    <row r="12" spans="1:13" ht="16" thickBot="1">
      <c r="A12" s="289" t="s">
        <v>214</v>
      </c>
      <c r="B12" s="290"/>
      <c r="C12" s="290"/>
      <c r="D12" s="290"/>
      <c r="E12" s="290"/>
      <c r="F12" s="290"/>
      <c r="G12" s="290" t="s">
        <v>209</v>
      </c>
      <c r="H12" s="290"/>
      <c r="I12" s="291">
        <f>+I6+I7</f>
        <v>0</v>
      </c>
    </row>
    <row r="13" spans="1:13" ht="16" thickBot="1">
      <c r="A13" s="292"/>
      <c r="B13" s="293"/>
      <c r="C13" s="293"/>
      <c r="D13" s="293"/>
      <c r="E13" s="293"/>
      <c r="F13" s="294">
        <v>0</v>
      </c>
      <c r="G13" s="293"/>
      <c r="H13" s="293"/>
      <c r="I13" s="295"/>
    </row>
    <row r="15" spans="1:13">
      <c r="B15" t="s">
        <v>220</v>
      </c>
    </row>
  </sheetData>
  <mergeCells count="3">
    <mergeCell ref="A4:B4"/>
    <mergeCell ref="D4:E4"/>
    <mergeCell ref="H4:I4"/>
  </mergeCells>
  <dataValidations count="1">
    <dataValidation type="list" allowBlank="1" showInputMessage="1" showErrorMessage="1" sqref="B2">
      <formula1>"2017,2018,2019"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41" sqref="G41"/>
    </sheetView>
  </sheetViews>
  <sheetFormatPr baseColWidth="10" defaultRowHeight="15.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DEBUT</vt:lpstr>
      <vt:lpstr>TAB 2R</vt:lpstr>
      <vt:lpstr>DEVIS 2R</vt:lpstr>
      <vt:lpstr>DEVIS2R</vt:lpstr>
      <vt:lpstr>TAB SN</vt:lpstr>
      <vt:lpstr>DEVIS SN</vt:lpstr>
      <vt:lpstr>TABXX</vt:lpstr>
      <vt:lpstr>DEVISXX</vt:lpstr>
      <vt:lpstr>SYNTHESE</vt:lpstr>
      <vt:lpstr>FIN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Gatti</dc:creator>
  <cp:lastModifiedBy>tulipe</cp:lastModifiedBy>
  <dcterms:created xsi:type="dcterms:W3CDTF">2017-12-23T07:53:11Z</dcterms:created>
  <dcterms:modified xsi:type="dcterms:W3CDTF">2017-12-23T09:57:29Z</dcterms:modified>
</cp:coreProperties>
</file>