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5360" windowHeight="9200" activeTab="1"/>
  </bookViews>
  <sheets>
    <sheet name="Recap" sheetId="1" r:id="rId1"/>
    <sheet name="L-Arginine" sheetId="3" r:id="rId2"/>
    <sheet name="Extrait sec" sheetId="2" r:id="rId3"/>
    <sheet name="ID Labo" sheetId="8" r:id="rId4"/>
    <sheet name="Feuil3" sheetId="11" r:id="rId5"/>
    <sheet name="Main d'oeuvre et autre frais" sheetId="7" r:id="rId6"/>
  </sheets>
  <definedNames>
    <definedName name="_xlnm._FilterDatabase" localSheetId="2" hidden="1">'Extrait sec'!$E$2:$G$2</definedName>
    <definedName name="_xlnm._FilterDatabase" localSheetId="3" hidden="1">'ID Labo'!$A$1:$D$33</definedName>
    <definedName name="_xlnm._FilterDatabase" localSheetId="1" hidden="1">'L-Arginine'!$B$3:$G$30</definedName>
    <definedName name="Extrait_sec">'Extrait sec'!$B$3:$B$93</definedName>
    <definedName name="extrait_sec2">OFFSET(Extrait_sec,,,,3)</definedName>
    <definedName name="fin">'L-Arginine'!$A$5</definedName>
    <definedName name="frais">'Main d''oeuvre et autre frais'!$A$2:$A$4</definedName>
    <definedName name="PLANTES">'Extrait sec'!$K$3:$K$128</definedName>
    <definedName name="PRODUITS">'Extrait sec'!$A$3:$A$10</definedName>
    <definedName name="SIPF">'Extrait sec'!$H$3:$H$8</definedName>
    <definedName name="tisane">'Main d''oeuvre et autre frais'!$D$2:$D$4</definedName>
    <definedName name="TM">'Extrait sec'!$E$3:$E$79</definedName>
    <definedName name="TMf">'Main d''oeuvre et autre frais'!$F$2</definedName>
  </definedNames>
  <calcPr calcId="124519" iterateCount="26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3"/>
  <c r="D5"/>
  <c r="C6"/>
  <c r="D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F30" l="1"/>
  <c r="E4" i="7"/>
  <c r="E3"/>
  <c r="E2"/>
  <c r="C2"/>
  <c r="D4" i="3"/>
  <c r="C4"/>
  <c r="X304" i="2"/>
  <c r="X318"/>
  <c r="X329"/>
  <c r="X345"/>
  <c r="X361"/>
  <c r="X377"/>
  <c r="X393"/>
  <c r="X407"/>
  <c r="X421"/>
  <c r="X437"/>
  <c r="X453"/>
  <c r="X469"/>
  <c r="X483"/>
  <c r="X499"/>
  <c r="X515"/>
  <c r="X531"/>
  <c r="X547"/>
  <c r="X563"/>
  <c r="X579"/>
  <c r="X595"/>
  <c r="X438"/>
  <c r="X305"/>
  <c r="X321"/>
  <c r="X340"/>
  <c r="X356"/>
  <c r="X372"/>
  <c r="X400"/>
  <c r="X416"/>
  <c r="X430"/>
  <c r="X454"/>
  <c r="X478"/>
  <c r="X311"/>
  <c r="X330"/>
  <c r="X346"/>
  <c r="X362"/>
  <c r="X378"/>
  <c r="X394"/>
  <c r="X410"/>
  <c r="X432"/>
  <c r="X448"/>
  <c r="X464"/>
  <c r="X476"/>
  <c r="X492"/>
  <c r="X508"/>
  <c r="X524"/>
  <c r="X540"/>
  <c r="X556"/>
  <c r="X572"/>
  <c r="X588"/>
  <c r="X352"/>
  <c r="X314"/>
  <c r="X333"/>
  <c r="X349"/>
  <c r="X365"/>
  <c r="X381"/>
  <c r="X395"/>
  <c r="X411"/>
  <c r="X425"/>
  <c r="X441"/>
  <c r="X457"/>
  <c r="X473"/>
  <c r="X487"/>
  <c r="X503"/>
  <c r="X519"/>
  <c r="X535"/>
  <c r="X551"/>
  <c r="X567"/>
  <c r="X583"/>
  <c r="X599"/>
  <c r="X360"/>
  <c r="X309"/>
  <c r="X325"/>
  <c r="X335"/>
  <c r="X387"/>
  <c r="X419"/>
  <c r="X451"/>
  <c r="X477"/>
  <c r="X505"/>
  <c r="X518"/>
  <c r="X565"/>
  <c r="X578"/>
  <c r="X436"/>
  <c r="X561"/>
  <c r="X496"/>
  <c r="X336"/>
  <c r="X371"/>
  <c r="X406"/>
  <c r="X452"/>
  <c r="X488"/>
  <c r="X497"/>
  <c r="X544"/>
  <c r="X574"/>
  <c r="X308"/>
  <c r="X343"/>
  <c r="X383"/>
  <c r="X423"/>
  <c r="X455"/>
  <c r="X498"/>
  <c r="X536"/>
  <c r="X553"/>
  <c r="X566"/>
  <c r="X597"/>
  <c r="X418"/>
  <c r="X560"/>
  <c r="X323"/>
  <c r="X351"/>
  <c r="X384"/>
  <c r="X412"/>
  <c r="X442"/>
  <c r="X474"/>
  <c r="X494"/>
  <c r="X541"/>
  <c r="X554"/>
  <c r="X434"/>
  <c r="X324"/>
  <c r="X366"/>
  <c r="X397"/>
  <c r="X427"/>
  <c r="X459"/>
  <c r="X490"/>
  <c r="X533"/>
  <c r="X546"/>
  <c r="X584"/>
  <c r="X392"/>
  <c r="X586"/>
  <c r="X367"/>
  <c r="X390"/>
  <c r="X414"/>
  <c r="X444"/>
  <c r="X480"/>
  <c r="X525"/>
  <c r="X538"/>
  <c r="X576"/>
  <c r="X593"/>
  <c r="X376"/>
  <c r="X466"/>
  <c r="X513"/>
  <c r="X573"/>
  <c r="X347"/>
  <c r="X391"/>
  <c r="X431"/>
  <c r="X463"/>
  <c r="X504"/>
  <c r="X521"/>
  <c r="X534"/>
  <c r="X581"/>
  <c r="X594"/>
  <c r="X334"/>
  <c r="X310"/>
  <c r="X326"/>
  <c r="X337"/>
  <c r="X353"/>
  <c r="X369"/>
  <c r="X385"/>
  <c r="X399"/>
  <c r="X415"/>
  <c r="X429"/>
  <c r="X445"/>
  <c r="X461"/>
  <c r="X475"/>
  <c r="X491"/>
  <c r="X507"/>
  <c r="X523"/>
  <c r="X539"/>
  <c r="X555"/>
  <c r="X571"/>
  <c r="X587"/>
  <c r="X380"/>
  <c r="X462"/>
  <c r="X313"/>
  <c r="X332"/>
  <c r="X348"/>
  <c r="X364"/>
  <c r="X388"/>
  <c r="X408"/>
  <c r="X422"/>
  <c r="X446"/>
  <c r="X470"/>
  <c r="X486"/>
  <c r="X319"/>
  <c r="X338"/>
  <c r="X354"/>
  <c r="X370"/>
  <c r="X386"/>
  <c r="X402"/>
  <c r="X424"/>
  <c r="X440"/>
  <c r="X456"/>
  <c r="X472"/>
  <c r="X484"/>
  <c r="X500"/>
  <c r="X516"/>
  <c r="X532"/>
  <c r="X548"/>
  <c r="X564"/>
  <c r="X580"/>
  <c r="X596"/>
  <c r="X306"/>
  <c r="X322"/>
  <c r="X341"/>
  <c r="X357"/>
  <c r="X373"/>
  <c r="X389"/>
  <c r="X403"/>
  <c r="X417"/>
  <c r="X433"/>
  <c r="X449"/>
  <c r="X465"/>
  <c r="X479"/>
  <c r="X495"/>
  <c r="X511"/>
  <c r="X527"/>
  <c r="X543"/>
  <c r="X559"/>
  <c r="X575"/>
  <c r="X591"/>
  <c r="X344"/>
  <c r="X368"/>
  <c r="X317"/>
  <c r="X328"/>
  <c r="X363"/>
  <c r="X405"/>
  <c r="X435"/>
  <c r="X467"/>
  <c r="X501"/>
  <c r="X514"/>
  <c r="X552"/>
  <c r="X569"/>
  <c r="X582"/>
  <c r="X510"/>
  <c r="X570"/>
  <c r="X307"/>
  <c r="X342"/>
  <c r="X382"/>
  <c r="X420"/>
  <c r="X468"/>
  <c r="X493"/>
  <c r="X506"/>
  <c r="X557"/>
  <c r="X577"/>
  <c r="X315"/>
  <c r="X350"/>
  <c r="X409"/>
  <c r="X439"/>
  <c r="X471"/>
  <c r="X502"/>
  <c r="X549"/>
  <c r="X562"/>
  <c r="X592"/>
  <c r="X355"/>
  <c r="X522"/>
  <c r="X316"/>
  <c r="X331"/>
  <c r="X358"/>
  <c r="X396"/>
  <c r="X426"/>
  <c r="X458"/>
  <c r="X489"/>
  <c r="X528"/>
  <c r="X545"/>
  <c r="X558"/>
  <c r="X590"/>
  <c r="X359"/>
  <c r="X379"/>
  <c r="X413"/>
  <c r="X443"/>
  <c r="X485"/>
  <c r="X520"/>
  <c r="X537"/>
  <c r="X550"/>
  <c r="X320"/>
  <c r="X509"/>
  <c r="X339"/>
  <c r="X374"/>
  <c r="X398"/>
  <c r="X428"/>
  <c r="X460"/>
  <c r="X512"/>
  <c r="X529"/>
  <c r="X542"/>
  <c r="X589"/>
  <c r="X327"/>
  <c r="X404"/>
  <c r="X482"/>
  <c r="X526"/>
  <c r="X312"/>
  <c r="X375"/>
  <c r="X401"/>
  <c r="X447"/>
  <c r="X481"/>
  <c r="X517"/>
  <c r="X530"/>
  <c r="X568"/>
  <c r="X585"/>
  <c r="X598"/>
  <c r="X450"/>
  <c r="Y334" l="1"/>
  <c r="Z334"/>
  <c r="Z598"/>
  <c r="Y598"/>
  <c r="Z594"/>
  <c r="Y594"/>
  <c r="Y585"/>
  <c r="Z585"/>
  <c r="Z581"/>
  <c r="Y581"/>
  <c r="Y568"/>
  <c r="Z568"/>
  <c r="Z534"/>
  <c r="Y534"/>
  <c r="Z530"/>
  <c r="Y530"/>
  <c r="Y521"/>
  <c r="Z521"/>
  <c r="Z517"/>
  <c r="Y517"/>
  <c r="Y504"/>
  <c r="Z504"/>
  <c r="Y481"/>
  <c r="Z481"/>
  <c r="Y391"/>
  <c r="Z391"/>
  <c r="Y375"/>
  <c r="Z375"/>
  <c r="Z347"/>
  <c r="Y347"/>
  <c r="Z312"/>
  <c r="Y312"/>
  <c r="Z573"/>
  <c r="Y573"/>
  <c r="Z526"/>
  <c r="Y526"/>
  <c r="Y513"/>
  <c r="Z513"/>
  <c r="Y482"/>
  <c r="Z482"/>
  <c r="Y376"/>
  <c r="Z376"/>
  <c r="Y327"/>
  <c r="Z327"/>
  <c r="Y593"/>
  <c r="Z593"/>
  <c r="Z589"/>
  <c r="Y589"/>
  <c r="Y576"/>
  <c r="Z576"/>
  <c r="Z542"/>
  <c r="Y542"/>
  <c r="Z538"/>
  <c r="Y538"/>
  <c r="Y529"/>
  <c r="Z529"/>
  <c r="Z525"/>
  <c r="Y525"/>
  <c r="Y512"/>
  <c r="Z512"/>
  <c r="Y480"/>
  <c r="Z480"/>
  <c r="Y390"/>
  <c r="Z390"/>
  <c r="Y374"/>
  <c r="Z374"/>
  <c r="Y367"/>
  <c r="Z367"/>
  <c r="Z339"/>
  <c r="Y339"/>
  <c r="Y586"/>
  <c r="Z586"/>
  <c r="Z509"/>
  <c r="Y509"/>
  <c r="Y392"/>
  <c r="Z392"/>
  <c r="Z320"/>
  <c r="Y320"/>
  <c r="Y584"/>
  <c r="Z584"/>
  <c r="Z550"/>
  <c r="Y550"/>
  <c r="Y546"/>
  <c r="Z546"/>
  <c r="Y537"/>
  <c r="Z537"/>
  <c r="Z533"/>
  <c r="Y533"/>
  <c r="Y520"/>
  <c r="Z520"/>
  <c r="Y490"/>
  <c r="Z490"/>
  <c r="Z485"/>
  <c r="Y485"/>
  <c r="Z379"/>
  <c r="Y379"/>
  <c r="Y366"/>
  <c r="Z366"/>
  <c r="Y359"/>
  <c r="Z359"/>
  <c r="Y324"/>
  <c r="Z324"/>
  <c r="Z590"/>
  <c r="Y590"/>
  <c r="Z558"/>
  <c r="Y558"/>
  <c r="Y554"/>
  <c r="Z554"/>
  <c r="Y545"/>
  <c r="Z545"/>
  <c r="Z541"/>
  <c r="Y541"/>
  <c r="Y528"/>
  <c r="Z528"/>
  <c r="Z494"/>
  <c r="Y494"/>
  <c r="Y489"/>
  <c r="Z489"/>
  <c r="Y474"/>
  <c r="Z474"/>
  <c r="Y384"/>
  <c r="Z384"/>
  <c r="Y358"/>
  <c r="Z358"/>
  <c r="Y351"/>
  <c r="Z351"/>
  <c r="Z331"/>
  <c r="Y331"/>
  <c r="Y323"/>
  <c r="Z323"/>
  <c r="Y316"/>
  <c r="Z316"/>
  <c r="Y560"/>
  <c r="Z560"/>
  <c r="Y522"/>
  <c r="Z522"/>
  <c r="Z355"/>
  <c r="Y355"/>
  <c r="Z597"/>
  <c r="Y597"/>
  <c r="Y592"/>
  <c r="Z592"/>
  <c r="Z566"/>
  <c r="Y566"/>
  <c r="Y562"/>
  <c r="Z562"/>
  <c r="Y553"/>
  <c r="Z553"/>
  <c r="Z549"/>
  <c r="Y549"/>
  <c r="Y536"/>
  <c r="Z536"/>
  <c r="Z502"/>
  <c r="Y502"/>
  <c r="Y498"/>
  <c r="Z498"/>
  <c r="Y383"/>
  <c r="Z383"/>
  <c r="Y350"/>
  <c r="Z350"/>
  <c r="Y343"/>
  <c r="Z343"/>
  <c r="Y315"/>
  <c r="Z315"/>
  <c r="Y308"/>
  <c r="Z308"/>
  <c r="Y577"/>
  <c r="Z577"/>
  <c r="Z574"/>
  <c r="Y574"/>
  <c r="Z557"/>
  <c r="Y557"/>
  <c r="Y544"/>
  <c r="Z544"/>
  <c r="Y506"/>
  <c r="Z506"/>
  <c r="Y497"/>
  <c r="Z497"/>
  <c r="Z493"/>
  <c r="Y493"/>
  <c r="Y488"/>
  <c r="Z488"/>
  <c r="Y382"/>
  <c r="Z382"/>
  <c r="Z371"/>
  <c r="Y371"/>
  <c r="Y342"/>
  <c r="Z342"/>
  <c r="Y336"/>
  <c r="Z336"/>
  <c r="Y307"/>
  <c r="Z307"/>
  <c r="Y496"/>
  <c r="Z496"/>
  <c r="Y570"/>
  <c r="Z570"/>
  <c r="Y561"/>
  <c r="Z561"/>
  <c r="Z510"/>
  <c r="Y510"/>
  <c r="Z582"/>
  <c r="Y582"/>
  <c r="Y578"/>
  <c r="Z578"/>
  <c r="Y569"/>
  <c r="Z569"/>
  <c r="Z565"/>
  <c r="Y565"/>
  <c r="Y552"/>
  <c r="Z552"/>
  <c r="Z518"/>
  <c r="Y518"/>
  <c r="Y514"/>
  <c r="Z514"/>
  <c r="Y505"/>
  <c r="Z505"/>
  <c r="Z501"/>
  <c r="Y501"/>
  <c r="Z477"/>
  <c r="Y477"/>
  <c r="Z387"/>
  <c r="Y387"/>
  <c r="Z363"/>
  <c r="Y363"/>
  <c r="Y335"/>
  <c r="Z335"/>
  <c r="Y328"/>
  <c r="Z328"/>
  <c r="Y325"/>
  <c r="Z325"/>
  <c r="Y317"/>
  <c r="Z317"/>
  <c r="Y309"/>
  <c r="Z309"/>
  <c r="Z368"/>
  <c r="Y368"/>
  <c r="Y360"/>
  <c r="Z360"/>
  <c r="Y344"/>
  <c r="Z344"/>
  <c r="Y591"/>
  <c r="Z591"/>
  <c r="Y583"/>
  <c r="Z583"/>
  <c r="Y575"/>
  <c r="Z575"/>
  <c r="Y567"/>
  <c r="Z567"/>
  <c r="Y559"/>
  <c r="Z559"/>
  <c r="Z551"/>
  <c r="Y551"/>
  <c r="Z543"/>
  <c r="Y543"/>
  <c r="Y535"/>
  <c r="Z535"/>
  <c r="Y527"/>
  <c r="Z527"/>
  <c r="Y519"/>
  <c r="Z519"/>
  <c r="Y511"/>
  <c r="Z511"/>
  <c r="Y503"/>
  <c r="Z503"/>
  <c r="Y495"/>
  <c r="Z495"/>
  <c r="Z487"/>
  <c r="Y487"/>
  <c r="Y479"/>
  <c r="Z479"/>
  <c r="Y389"/>
  <c r="Z389"/>
  <c r="Z381"/>
  <c r="Y381"/>
  <c r="Y373"/>
  <c r="Z373"/>
  <c r="Y365"/>
  <c r="Z365"/>
  <c r="Y357"/>
  <c r="Z357"/>
  <c r="Y349"/>
  <c r="Z349"/>
  <c r="Y341"/>
  <c r="Z341"/>
  <c r="Y333"/>
  <c r="Z333"/>
  <c r="Y322"/>
  <c r="Z322"/>
  <c r="Y314"/>
  <c r="Z314"/>
  <c r="Y306"/>
  <c r="Z306"/>
  <c r="Y352"/>
  <c r="Z352"/>
  <c r="Y596"/>
  <c r="Z596"/>
  <c r="Y588"/>
  <c r="Z588"/>
  <c r="Y580"/>
  <c r="Z580"/>
  <c r="Y572"/>
  <c r="Z572"/>
  <c r="Y564"/>
  <c r="Z564"/>
  <c r="Y556"/>
  <c r="Z556"/>
  <c r="Y548"/>
  <c r="Z548"/>
  <c r="Y540"/>
  <c r="Z540"/>
  <c r="Y532"/>
  <c r="Z532"/>
  <c r="Y524"/>
  <c r="Z524"/>
  <c r="Y516"/>
  <c r="Z516"/>
  <c r="Y508"/>
  <c r="Z508"/>
  <c r="Y500"/>
  <c r="Z500"/>
  <c r="Y492"/>
  <c r="Z492"/>
  <c r="Y484"/>
  <c r="Z484"/>
  <c r="Y476"/>
  <c r="Z476"/>
  <c r="Y386"/>
  <c r="Z386"/>
  <c r="Y378"/>
  <c r="Z378"/>
  <c r="Z370"/>
  <c r="Y370"/>
  <c r="Y362"/>
  <c r="Z362"/>
  <c r="Y354"/>
  <c r="Z354"/>
  <c r="Z346"/>
  <c r="Y346"/>
  <c r="Z338"/>
  <c r="Y338"/>
  <c r="Y330"/>
  <c r="Z330"/>
  <c r="Y319"/>
  <c r="Z319"/>
  <c r="Y311"/>
  <c r="Z311"/>
  <c r="Z486"/>
  <c r="Y486"/>
  <c r="Z478"/>
  <c r="Y478"/>
  <c r="Z416"/>
  <c r="Y416"/>
  <c r="Z388"/>
  <c r="Y388"/>
  <c r="Z372"/>
  <c r="Y372"/>
  <c r="Z364"/>
  <c r="Y364"/>
  <c r="Z356"/>
  <c r="Y356"/>
  <c r="Z348"/>
  <c r="Y348"/>
  <c r="Z340"/>
  <c r="Y340"/>
  <c r="Z332"/>
  <c r="Y332"/>
  <c r="Z321"/>
  <c r="Y321"/>
  <c r="Z313"/>
  <c r="Y313"/>
  <c r="Y305"/>
  <c r="Z305"/>
  <c r="Z380"/>
  <c r="Y380"/>
  <c r="Y595"/>
  <c r="Z595"/>
  <c r="Y587"/>
  <c r="Z587"/>
  <c r="Y579"/>
  <c r="Z579"/>
  <c r="Y571"/>
  <c r="Z571"/>
  <c r="Y563"/>
  <c r="Z563"/>
  <c r="Z555"/>
  <c r="Y555"/>
  <c r="Z547"/>
  <c r="Y547"/>
  <c r="Y539"/>
  <c r="Z539"/>
  <c r="Y531"/>
  <c r="Z531"/>
  <c r="Y523"/>
  <c r="Z523"/>
  <c r="Y515"/>
  <c r="Z515"/>
  <c r="Y507"/>
  <c r="Z507"/>
  <c r="Y499"/>
  <c r="Z499"/>
  <c r="Y491"/>
  <c r="Z491"/>
  <c r="Y483"/>
  <c r="Z483"/>
  <c r="Y475"/>
  <c r="Z475"/>
  <c r="Y393"/>
  <c r="Z393"/>
  <c r="Y385"/>
  <c r="Z385"/>
  <c r="Y377"/>
  <c r="Z377"/>
  <c r="Y369"/>
  <c r="Z369"/>
  <c r="Y361"/>
  <c r="Z361"/>
  <c r="Y353"/>
  <c r="Z353"/>
  <c r="Y345"/>
  <c r="Z345"/>
  <c r="Y337"/>
  <c r="Z337"/>
  <c r="Y329"/>
  <c r="Z329"/>
  <c r="Y326"/>
  <c r="Y318"/>
  <c r="Z318"/>
  <c r="Y310"/>
  <c r="Z310"/>
  <c r="Y304"/>
  <c r="Z304"/>
  <c r="D25" l="1"/>
  <c r="Z326" s="1"/>
  <c r="I8" l="1"/>
  <c r="Y473" s="1"/>
  <c r="I7"/>
  <c r="Y472" s="1"/>
  <c r="I6"/>
  <c r="Y471" s="1"/>
  <c r="I5"/>
  <c r="Y470" s="1"/>
  <c r="I4"/>
  <c r="Y469" s="1"/>
  <c r="I3"/>
  <c r="Y468" s="1"/>
  <c r="J5" l="1"/>
  <c r="Z470" s="1"/>
  <c r="J7"/>
  <c r="Z472" s="1"/>
  <c r="J3"/>
  <c r="Z468" s="1"/>
  <c r="J4"/>
  <c r="Z469" s="1"/>
  <c r="J6"/>
  <c r="Z471" s="1"/>
  <c r="J8"/>
  <c r="Z473" s="1"/>
  <c r="F76"/>
  <c r="G76" s="1"/>
  <c r="F75"/>
  <c r="Y466" s="1"/>
  <c r="F74"/>
  <c r="Y465" s="1"/>
  <c r="F73"/>
  <c r="Y464" s="1"/>
  <c r="F72"/>
  <c r="Y463" s="1"/>
  <c r="F71"/>
  <c r="Y462" s="1"/>
  <c r="F70"/>
  <c r="Y461" s="1"/>
  <c r="F69"/>
  <c r="Y460" s="1"/>
  <c r="F68"/>
  <c r="Y459" s="1"/>
  <c r="F67"/>
  <c r="Y458" s="1"/>
  <c r="F66"/>
  <c r="Y457" s="1"/>
  <c r="F65"/>
  <c r="Y456" s="1"/>
  <c r="F64"/>
  <c r="Y455" s="1"/>
  <c r="F63"/>
  <c r="Y454" s="1"/>
  <c r="F62"/>
  <c r="Y453" s="1"/>
  <c r="F61"/>
  <c r="Y452" s="1"/>
  <c r="F60"/>
  <c r="Y451" s="1"/>
  <c r="F59"/>
  <c r="Y450" s="1"/>
  <c r="F58"/>
  <c r="Y449" s="1"/>
  <c r="F57"/>
  <c r="Y448" s="1"/>
  <c r="F56"/>
  <c r="Y447" s="1"/>
  <c r="F55"/>
  <c r="Y446" s="1"/>
  <c r="F54"/>
  <c r="Y445" s="1"/>
  <c r="F53"/>
  <c r="Y444" s="1"/>
  <c r="F52"/>
  <c r="Y443" s="1"/>
  <c r="F51"/>
  <c r="Y442" s="1"/>
  <c r="F50"/>
  <c r="Y441" s="1"/>
  <c r="F49"/>
  <c r="Y440" s="1"/>
  <c r="F48"/>
  <c r="Y439" s="1"/>
  <c r="F47"/>
  <c r="Y438" s="1"/>
  <c r="F46"/>
  <c r="Y437" s="1"/>
  <c r="F45"/>
  <c r="Y436" s="1"/>
  <c r="F44"/>
  <c r="Y435" s="1"/>
  <c r="F43"/>
  <c r="Y434" s="1"/>
  <c r="F42"/>
  <c r="Y433" s="1"/>
  <c r="F41"/>
  <c r="Y432" s="1"/>
  <c r="F40"/>
  <c r="Y431" s="1"/>
  <c r="F39"/>
  <c r="Y430" s="1"/>
  <c r="F38"/>
  <c r="Y429" s="1"/>
  <c r="F37"/>
  <c r="Y428" s="1"/>
  <c r="F36"/>
  <c r="Y427" s="1"/>
  <c r="F35"/>
  <c r="Y426" s="1"/>
  <c r="F34"/>
  <c r="Y425" s="1"/>
  <c r="F33"/>
  <c r="Y424" s="1"/>
  <c r="F32"/>
  <c r="Y423" s="1"/>
  <c r="F31"/>
  <c r="Y422" s="1"/>
  <c r="F30"/>
  <c r="Y421" s="1"/>
  <c r="F29"/>
  <c r="Y420" s="1"/>
  <c r="F28"/>
  <c r="Y419" s="1"/>
  <c r="F27"/>
  <c r="Y418" s="1"/>
  <c r="F26"/>
  <c r="Y417" s="1"/>
  <c r="F24"/>
  <c r="Y415" s="1"/>
  <c r="F23"/>
  <c r="Y414" s="1"/>
  <c r="F22"/>
  <c r="Y413" s="1"/>
  <c r="F21"/>
  <c r="Y412" s="1"/>
  <c r="F20"/>
  <c r="Y411" s="1"/>
  <c r="F19"/>
  <c r="Y410" s="1"/>
  <c r="F18"/>
  <c r="Y409" s="1"/>
  <c r="F17"/>
  <c r="Y408" s="1"/>
  <c r="F16"/>
  <c r="Y407" s="1"/>
  <c r="F15"/>
  <c r="Y406" s="1"/>
  <c r="F14"/>
  <c r="Y405" s="1"/>
  <c r="F13"/>
  <c r="Y404" s="1"/>
  <c r="F12"/>
  <c r="Y403" s="1"/>
  <c r="F11"/>
  <c r="Y402" s="1"/>
  <c r="F10"/>
  <c r="Y401" s="1"/>
  <c r="F9"/>
  <c r="Y400" s="1"/>
  <c r="F8"/>
  <c r="Y399" s="1"/>
  <c r="F7"/>
  <c r="Y398" s="1"/>
  <c r="F6"/>
  <c r="Y397" s="1"/>
  <c r="F5"/>
  <c r="Y396" s="1"/>
  <c r="F4"/>
  <c r="Y395" s="1"/>
  <c r="F3"/>
  <c r="Y394" s="1"/>
  <c r="F77"/>
  <c r="Y467" s="1"/>
  <c r="G8" l="1"/>
  <c r="Z399" s="1"/>
  <c r="G16"/>
  <c r="Z407" s="1"/>
  <c r="G24"/>
  <c r="Z415" s="1"/>
  <c r="G33"/>
  <c r="Z424" s="1"/>
  <c r="G41"/>
  <c r="Z432" s="1"/>
  <c r="G49"/>
  <c r="Z440" s="1"/>
  <c r="G57"/>
  <c r="Z448" s="1"/>
  <c r="G65"/>
  <c r="Z456" s="1"/>
  <c r="G73"/>
  <c r="Z464" s="1"/>
  <c r="G34"/>
  <c r="Z425" s="1"/>
  <c r="G42"/>
  <c r="Z433" s="1"/>
  <c r="G50"/>
  <c r="Z441" s="1"/>
  <c r="G58"/>
  <c r="Z449" s="1"/>
  <c r="G66"/>
  <c r="Z457" s="1"/>
  <c r="G74"/>
  <c r="Z465" s="1"/>
  <c r="G10"/>
  <c r="Z401" s="1"/>
  <c r="G18"/>
  <c r="Z409" s="1"/>
  <c r="G27"/>
  <c r="Z418" s="1"/>
  <c r="G35"/>
  <c r="Z426" s="1"/>
  <c r="G43"/>
  <c r="Z434" s="1"/>
  <c r="G51"/>
  <c r="Z442" s="1"/>
  <c r="G59"/>
  <c r="Z450" s="1"/>
  <c r="G67"/>
  <c r="Z458" s="1"/>
  <c r="G75"/>
  <c r="Z466" s="1"/>
  <c r="G11"/>
  <c r="Z402" s="1"/>
  <c r="G28"/>
  <c r="Z419" s="1"/>
  <c r="G36"/>
  <c r="Z427" s="1"/>
  <c r="G44"/>
  <c r="Z435" s="1"/>
  <c r="G52"/>
  <c r="Z443" s="1"/>
  <c r="G60"/>
  <c r="Z451" s="1"/>
  <c r="G68"/>
  <c r="Z459" s="1"/>
  <c r="G17"/>
  <c r="Z408" s="1"/>
  <c r="G77"/>
  <c r="Z467" s="1"/>
  <c r="G12"/>
  <c r="Z403" s="1"/>
  <c r="G20"/>
  <c r="Z411" s="1"/>
  <c r="G29"/>
  <c r="Z420" s="1"/>
  <c r="G37"/>
  <c r="Z428" s="1"/>
  <c r="G45"/>
  <c r="Z436" s="1"/>
  <c r="G53"/>
  <c r="Z444" s="1"/>
  <c r="G61"/>
  <c r="Z452" s="1"/>
  <c r="G69"/>
  <c r="Z460" s="1"/>
  <c r="G9"/>
  <c r="Z400" s="1"/>
  <c r="G19"/>
  <c r="Z410" s="1"/>
  <c r="G21"/>
  <c r="Z412" s="1"/>
  <c r="G38"/>
  <c r="Z429" s="1"/>
  <c r="G46"/>
  <c r="Z437" s="1"/>
  <c r="G54"/>
  <c r="Z445" s="1"/>
  <c r="G62"/>
  <c r="Z453" s="1"/>
  <c r="G70"/>
  <c r="Z461" s="1"/>
  <c r="G26"/>
  <c r="Z417" s="1"/>
  <c r="G4"/>
  <c r="Z395" s="1"/>
  <c r="G5"/>
  <c r="Z396" s="1"/>
  <c r="G13"/>
  <c r="Z404" s="1"/>
  <c r="G30"/>
  <c r="Z421" s="1"/>
  <c r="G6"/>
  <c r="Z397" s="1"/>
  <c r="G14"/>
  <c r="Z405" s="1"/>
  <c r="G22"/>
  <c r="Z413" s="1"/>
  <c r="G31"/>
  <c r="Z422" s="1"/>
  <c r="G39"/>
  <c r="Z430" s="1"/>
  <c r="G47"/>
  <c r="Z438" s="1"/>
  <c r="G55"/>
  <c r="Z446" s="1"/>
  <c r="G63"/>
  <c r="Z454" s="1"/>
  <c r="G71"/>
  <c r="Z462" s="1"/>
  <c r="G3"/>
  <c r="Z394" s="1"/>
  <c r="G7"/>
  <c r="Z398" s="1"/>
  <c r="G15"/>
  <c r="Z406" s="1"/>
  <c r="G23"/>
  <c r="Z414" s="1"/>
  <c r="G32"/>
  <c r="Z423" s="1"/>
  <c r="G40"/>
  <c r="Z431" s="1"/>
  <c r="G48"/>
  <c r="Z439" s="1"/>
  <c r="G56"/>
  <c r="Z447" s="1"/>
  <c r="G64"/>
  <c r="Z455" s="1"/>
  <c r="G72"/>
  <c r="Z463" s="1"/>
  <c r="C56" i="8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D37" s="1"/>
  <c r="B36"/>
  <c r="C36" s="1"/>
  <c r="D36" s="1"/>
  <c r="B35"/>
  <c r="C35" s="1"/>
  <c r="D35" s="1"/>
  <c r="C34"/>
  <c r="D34" s="1"/>
  <c r="B34"/>
  <c r="C33"/>
  <c r="D33" s="1"/>
  <c r="B33"/>
  <c r="B32"/>
  <c r="C32" s="1"/>
  <c r="D32" s="1"/>
  <c r="B31"/>
  <c r="C31" s="1"/>
  <c r="D31" s="1"/>
  <c r="D29"/>
  <c r="C29"/>
  <c r="B29"/>
  <c r="B27"/>
  <c r="C27" s="1"/>
  <c r="D27" s="1"/>
  <c r="B25"/>
  <c r="C25" s="1"/>
  <c r="D25" s="1"/>
  <c r="B24"/>
  <c r="C24" s="1"/>
  <c r="D24" s="1"/>
  <c r="C23"/>
  <c r="D23" s="1"/>
  <c r="B23"/>
  <c r="C22"/>
  <c r="D22" s="1"/>
  <c r="B22"/>
  <c r="B21"/>
  <c r="C21" s="1"/>
  <c r="D21" s="1"/>
  <c r="B20"/>
  <c r="C20" s="1"/>
  <c r="D20" s="1"/>
  <c r="C19"/>
  <c r="D19" s="1"/>
  <c r="B19"/>
  <c r="B18"/>
  <c r="C18" s="1"/>
  <c r="D18" s="1"/>
  <c r="B17"/>
  <c r="C17" s="1"/>
  <c r="D17" s="1"/>
  <c r="B16"/>
  <c r="C16" s="1"/>
  <c r="D16" s="1"/>
  <c r="C15"/>
  <c r="D15" s="1"/>
  <c r="B15"/>
  <c r="B14"/>
  <c r="C14" s="1"/>
  <c r="D14" s="1"/>
  <c r="B13"/>
  <c r="C13" s="1"/>
  <c r="D13" s="1"/>
  <c r="B12"/>
  <c r="C12" s="1"/>
  <c r="D12" s="1"/>
  <c r="C11"/>
  <c r="D11" s="1"/>
  <c r="B11"/>
  <c r="B10"/>
  <c r="C10" s="1"/>
  <c r="D10" s="1"/>
  <c r="B9"/>
  <c r="C9" s="1"/>
  <c r="D9" s="1"/>
  <c r="B8"/>
  <c r="C8" s="1"/>
  <c r="D8" s="1"/>
  <c r="C7"/>
  <c r="D7" s="1"/>
  <c r="B7"/>
  <c r="B6"/>
  <c r="C6" s="1"/>
  <c r="D6" s="1"/>
  <c r="B5"/>
  <c r="C5" s="1"/>
  <c r="D5" s="1"/>
  <c r="B4"/>
  <c r="C4" s="1"/>
  <c r="D4" s="1"/>
  <c r="C3"/>
  <c r="D3" s="1"/>
  <c r="B3"/>
  <c r="B2"/>
  <c r="C2" s="1"/>
  <c r="D2" s="1"/>
  <c r="G7" i="3" l="1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6"/>
  <c r="G5"/>
  <c r="G30"/>
  <c r="G4" l="1"/>
  <c r="G33" s="1"/>
  <c r="C3" i="1" s="1"/>
  <c r="F4" i="3"/>
  <c r="B3" i="1" l="1"/>
  <c r="F3" s="1"/>
  <c r="E3" s="1"/>
</calcChain>
</file>

<file path=xl/connections.xml><?xml version="1.0" encoding="utf-8"?>
<connections xmlns="http://schemas.openxmlformats.org/spreadsheetml/2006/main">
  <connection id="1" keepAlive="1" name="Requête - Feuil1" description="Connexion à la requête « Feuil1 » dans le classeur." type="5" refreshedVersion="0" background="1">
    <dbPr connection="Provider=Microsoft.Mashup.OleDb.1;Data Source=$Workbook$;Location=Feuil1;Extended Properties=&quot;&quot;" command="SELECT * FROM [Feuil1]"/>
  </connection>
</connections>
</file>

<file path=xl/sharedStrings.xml><?xml version="1.0" encoding="utf-8"?>
<sst xmlns="http://schemas.openxmlformats.org/spreadsheetml/2006/main" count="460" uniqueCount="421">
  <si>
    <t>Acide folique 25 g</t>
  </si>
  <si>
    <t>Ail ES 250 g</t>
  </si>
  <si>
    <t>Alchemille 100 g</t>
  </si>
  <si>
    <t>Aloe ES 250 g</t>
  </si>
  <si>
    <t>Arginin-L inf 1 kg</t>
  </si>
  <si>
    <t>Artichaut feuilles ES 250 g</t>
  </si>
  <si>
    <t>Bardane racine ES 250 g</t>
  </si>
  <si>
    <t>Beurre de karite 100gr</t>
  </si>
  <si>
    <t>Biotine VIT HI 1 g</t>
  </si>
  <si>
    <t>Boldo 250g</t>
  </si>
  <si>
    <t>Boswellia Serrata 100 g</t>
  </si>
  <si>
    <t>Calcium citrate 250g</t>
  </si>
  <si>
    <t>Carnitine fumarate L 250 g</t>
  </si>
  <si>
    <t>Carnitine-L 200gr</t>
  </si>
  <si>
    <t>Cassis feuille ES 250 g</t>
  </si>
  <si>
    <t>Chardon marie semence ES 250 g</t>
  </si>
  <si>
    <t>Choline citrate 250 g</t>
  </si>
  <si>
    <t>Chrome 2000 levures 100gr</t>
  </si>
  <si>
    <t>Chrome III Chloride 250g</t>
  </si>
  <si>
    <t>Cranberry canneberge ES 250 g</t>
  </si>
  <si>
    <t>Creatine 250 g</t>
  </si>
  <si>
    <t>Curcuma ES purifié 250 g</t>
  </si>
  <si>
    <t>Curcuma ES purifié 95% 50 g</t>
  </si>
  <si>
    <t> </t>
  </si>
  <si>
    <t>Cysteine L chlte 100 g</t>
  </si>
  <si>
    <t>Desmodium ES 250 g</t>
  </si>
  <si>
    <t>DHEA poudre 100 g</t>
  </si>
  <si>
    <t>Eleutherocoque rac ES 100 g</t>
  </si>
  <si>
    <t>Eschscholtzia ES 100 g</t>
  </si>
  <si>
    <t>Fer orotate 250 g</t>
  </si>
  <si>
    <t>Fucus thalle ES 100 g</t>
  </si>
  <si>
    <t>Garcinia ES 250g</t>
  </si>
  <si>
    <t>Gattilier fruit ES 100 g</t>
  </si>
  <si>
    <t>Gel de jojoba 1000gr</t>
  </si>
  <si>
    <t>Gingko biloba ES 100 g</t>
  </si>
  <si>
    <t>Glutamine L 100 g</t>
  </si>
  <si>
    <t>Glycérophosphate de magnésium 250g</t>
  </si>
  <si>
    <t>Glycine 100 g</t>
  </si>
  <si>
    <t>Griffonia ES 30% 250 g</t>
  </si>
  <si>
    <t>Griffonia SIM extract 98% 1 kg</t>
  </si>
  <si>
    <t>Guarana 250g</t>
  </si>
  <si>
    <t>Hamamelis feuille ES 250 g</t>
  </si>
  <si>
    <t>Harpagophytum ES 250 g</t>
  </si>
  <si>
    <t>Histidine 100 g</t>
  </si>
  <si>
    <t>Houblon cone ES 250 g</t>
  </si>
  <si>
    <t>Inositol 100 g</t>
  </si>
  <si>
    <t>Isoleucine L 100 g</t>
  </si>
  <si>
    <t>Jojoba gel 1kg</t>
  </si>
  <si>
    <t>Kudzu ES 1 kg</t>
  </si>
  <si>
    <t>Kudzu ES 250 g</t>
  </si>
  <si>
    <t>Leucine L 250 g</t>
  </si>
  <si>
    <t>Lithium orotate monohydrate 250 g</t>
  </si>
  <si>
    <t>Lysine L mono CHLTE 100 g</t>
  </si>
  <si>
    <t>Magnesium citrate anhydre 250 g</t>
  </si>
  <si>
    <t>Magnesium orotate 2H2O 1 K</t>
  </si>
  <si>
    <t>Marron indes ES 250 g</t>
  </si>
  <si>
    <t>Melatonine 25 g</t>
  </si>
  <si>
    <t>Melilot 250gr</t>
  </si>
  <si>
    <t>Methionin-L 250 g</t>
  </si>
  <si>
    <t>Minoxidine 50 g</t>
  </si>
  <si>
    <t>Molybdate Natrium 250gr</t>
  </si>
  <si>
    <t>N-Acetylcysteine 100 g</t>
  </si>
  <si>
    <t>Nystatin 5 g</t>
  </si>
  <si>
    <t>Orthosiphon feuilles ES 100 g</t>
  </si>
  <si>
    <t>Passiflore ES 100 g</t>
  </si>
  <si>
    <t>Petit houx rhizomes ES 250 g</t>
  </si>
  <si>
    <t>Phenylalanine L 100 g</t>
  </si>
  <si>
    <t>Phenylalanin-L ing 100 g</t>
  </si>
  <si>
    <t>Pissenlit racine ES 100 g</t>
  </si>
  <si>
    <t>Potassium citrate 250 g</t>
  </si>
  <si>
    <t>Prele ES 100 g</t>
  </si>
  <si>
    <t>Progesteron mikronisiert 25 g</t>
  </si>
  <si>
    <t>Quercetine 100gr</t>
  </si>
  <si>
    <t>Radis noir 250gr</t>
  </si>
  <si>
    <t>Rhodiola ES 250 g</t>
  </si>
  <si>
    <t>Romarin feuille ES 50 g</t>
  </si>
  <si>
    <t>Rutine Rutoside 100gr</t>
  </si>
  <si>
    <t>Taurine 100 g</t>
  </si>
  <si>
    <t>Thé vert feuille ES 250 g</t>
  </si>
  <si>
    <t>Tretinoin 250 mg</t>
  </si>
  <si>
    <t>0.0836 -&gt;1mg</t>
  </si>
  <si>
    <t>0.1672-&gt;1mg</t>
  </si>
  <si>
    <t>Tribulus terrest 250gr</t>
  </si>
  <si>
    <t>Tryptophan-L</t>
  </si>
  <si>
    <t>Tyrosine-L 100 g</t>
  </si>
  <si>
    <t>Vigne rouge feuille ES 100 g</t>
  </si>
  <si>
    <t>Vitamine B6 50 g</t>
  </si>
  <si>
    <t>Yam rhizome 250 g</t>
  </si>
  <si>
    <t>Zeolite super smart 250 g</t>
  </si>
  <si>
    <t>Zinc orotate</t>
  </si>
  <si>
    <t>Preparation</t>
  </si>
  <si>
    <t>L-Arginine</t>
  </si>
  <si>
    <t>Prix GoldenGate</t>
  </si>
  <si>
    <t>Marge %</t>
  </si>
  <si>
    <t>Marge CHF</t>
  </si>
  <si>
    <t>Cout de revient</t>
  </si>
  <si>
    <t>Matiere premiere</t>
  </si>
  <si>
    <t>Nom de la Preparation</t>
  </si>
  <si>
    <t>Qt par gelule en G</t>
  </si>
  <si>
    <t>Qt total en G</t>
  </si>
  <si>
    <t>Total de vente</t>
  </si>
  <si>
    <t>Prix de vente theorique</t>
  </si>
  <si>
    <t>Prix vente</t>
  </si>
  <si>
    <t xml:space="preserve">Total de cout </t>
  </si>
  <si>
    <t>Contenant</t>
  </si>
  <si>
    <t>pilulier (NU) PET AMBRE 50ml</t>
  </si>
  <si>
    <t>pilulier (NU) PET AMBRE 90/100ml</t>
  </si>
  <si>
    <t>pilulier(NU) PET AMBRE 150 ml</t>
  </si>
  <si>
    <t>pilulier (NU) PET AMBRE 200ml</t>
  </si>
  <si>
    <t>pilulier (NU) PET AMBRE 250ml</t>
  </si>
  <si>
    <t>Couvercle blanc pilulier diam.43</t>
  </si>
  <si>
    <t>Flacon verre jaune 20 ml DIN 18</t>
  </si>
  <si>
    <t xml:space="preserve">Flacon verre jaune 30ml DIN 18 </t>
  </si>
  <si>
    <t>CODI-GOUTTES NOIR DIN 18 (HE) Inviolable</t>
  </si>
  <si>
    <t>Pompe buccal + Pompe pour flacon. DIN18</t>
  </si>
  <si>
    <t>Pompe externe pour flacon DIN 18</t>
  </si>
  <si>
    <t>Flacon VERRE Jaune 30ml OBUS (bague 28)</t>
  </si>
  <si>
    <t>Flacon VERRE Jaune 60ml OBUS (bague28)</t>
  </si>
  <si>
    <t>Flacon VERRE Jaune 100ml ONUS (bague28)</t>
  </si>
  <si>
    <t>Flacon VERRE Jaune 150ml OBUS (bague28)</t>
  </si>
  <si>
    <t>Flacon VERRE Jaune 200ml OBUS (bague28)</t>
  </si>
  <si>
    <t>Flacon VERRE Jaune 250ml OBUS (bague28)</t>
  </si>
  <si>
    <t>Flacon VERRE Jaune 300ml OBUS (bague28)</t>
  </si>
  <si>
    <t>Capsule inviolable Bague naturelle</t>
  </si>
  <si>
    <t xml:space="preserve">Gelule Vegetal N°0 CLEAR </t>
  </si>
  <si>
    <t>Gelule Vegetal N°00 CLEAR</t>
  </si>
  <si>
    <t xml:space="preserve">Gelule Vegetale N°1 Blanc </t>
  </si>
  <si>
    <t xml:space="preserve">Gelule N°00 Clear </t>
  </si>
  <si>
    <t>Gelule N°0 Clear</t>
  </si>
  <si>
    <t>Gelule N°2 Clear</t>
  </si>
  <si>
    <t>Gelule N°4 Clear</t>
  </si>
  <si>
    <t>Pac de 6 Suppo 2grs</t>
  </si>
  <si>
    <t>Etui pour 1 pac suppo 1 ou 2 gr</t>
  </si>
  <si>
    <t>Etui pour 2 pacs suppo 1 ou 2 gr</t>
  </si>
  <si>
    <t>Pac de 6 ovules + plaque d'obturqtion</t>
  </si>
  <si>
    <t>Etui pour pac 6 ovules</t>
  </si>
  <si>
    <t>Pot TAMPER Tainer 350ml (pot seul)</t>
  </si>
  <si>
    <t>Designation</t>
  </si>
  <si>
    <t>Prix vente TTC</t>
  </si>
  <si>
    <t>Prix achat TTC CHF</t>
  </si>
  <si>
    <t>Qt</t>
  </si>
  <si>
    <t>PV unit.</t>
  </si>
  <si>
    <t>PV Tot.</t>
  </si>
  <si>
    <t>PA unit.</t>
  </si>
  <si>
    <t>PA Total</t>
  </si>
  <si>
    <t>Cout par minute</t>
  </si>
  <si>
    <t>TM</t>
  </si>
  <si>
    <t>ACHILLEA MILLEFOLIUM</t>
  </si>
  <si>
    <t>AESCULUS HIPPOCASTANUM</t>
  </si>
  <si>
    <t>ALCHEMILLE VULGARIS</t>
  </si>
  <si>
    <t>ARCTIUM RADIX</t>
  </si>
  <si>
    <t>ARCTOSTAPHYLOS UVA-URSI</t>
  </si>
  <si>
    <t>ARTHEMISIA ABSINTHIUM</t>
  </si>
  <si>
    <t>ARTHEMISIA VULGARIS</t>
  </si>
  <si>
    <t>AVENA SATIVA</t>
  </si>
  <si>
    <t>BETULA PENDULA E FOLIIS</t>
  </si>
  <si>
    <t>CALENDULA OFF</t>
  </si>
  <si>
    <t>CARDIOSPERMUM HALICACABUM</t>
  </si>
  <si>
    <t>CENTAURIUM</t>
  </si>
  <si>
    <t>CETRATRIA ISLANDICA</t>
  </si>
  <si>
    <t>CIMICIFUGA RACEMOSA</t>
  </si>
  <si>
    <t>CRATAEGUS E FOL. E FLO</t>
  </si>
  <si>
    <t>CURCUMA LONGA D1</t>
  </si>
  <si>
    <t>CYNARA SCOLYMU</t>
  </si>
  <si>
    <t>ECHINACEA PURPURE</t>
  </si>
  <si>
    <t>ELEUTHEROCOCCUS SENTICOSUS</t>
  </si>
  <si>
    <t>EQUISETUM ARVENSE</t>
  </si>
  <si>
    <t>EUCALYPTUS GLOBULUS D1</t>
  </si>
  <si>
    <t>EUPATORIUM PERFOLIATUM</t>
  </si>
  <si>
    <t>GINKGO BILOBA</t>
  </si>
  <si>
    <t>HAMAMELIS VIRG. E FOLII</t>
  </si>
  <si>
    <t>HARPAGOPHYTUM PROCUM</t>
  </si>
  <si>
    <t>HEDERA HELIX</t>
  </si>
  <si>
    <t>MELISSA OFFICINALIS</t>
  </si>
  <si>
    <t>MENTHA PIPERITA</t>
  </si>
  <si>
    <t>OLEA EUROPEA</t>
  </si>
  <si>
    <t>PASSIFLORE INCARNATA</t>
  </si>
  <si>
    <t>PELARGONIUM SIDOIDES</t>
  </si>
  <si>
    <t>PHYTOLACCA AMERICANA</t>
  </si>
  <si>
    <t>PICEA ABIES E TURIONES</t>
  </si>
  <si>
    <t>PINUS SYLVESTRIS</t>
  </si>
  <si>
    <t>POTENTILLA ERECTA</t>
  </si>
  <si>
    <t>PRIMULA VERIS</t>
  </si>
  <si>
    <t>PROPOLIS TINKTUR</t>
  </si>
  <si>
    <t>RHODIOLA ROSEA</t>
  </si>
  <si>
    <t>RIBES NIGRUM</t>
  </si>
  <si>
    <t>RUSCUS ACULEATUS</t>
  </si>
  <si>
    <t>SALIX PURPUREA</t>
  </si>
  <si>
    <t>SALVIA OFFICINALIS</t>
  </si>
  <si>
    <t>SERENOA REPENS</t>
  </si>
  <si>
    <t>SILYBUM MARIANUM</t>
  </si>
  <si>
    <t>SOLIDAGO VIRGAURE</t>
  </si>
  <si>
    <t>SPILANTHES OLERACEA</t>
  </si>
  <si>
    <t>SYMPHYTUM OFF. AD USUM EXT.NOR</t>
  </si>
  <si>
    <t>TARAXACUM</t>
  </si>
  <si>
    <t>THUJA OCCIDENTALIS</t>
  </si>
  <si>
    <t>THYMUS VULGARIS</t>
  </si>
  <si>
    <t>TROPAEOLUM MAJUS</t>
  </si>
  <si>
    <t>URTICA URENS</t>
  </si>
  <si>
    <t>VALERIANE OFFICINALIS</t>
  </si>
  <si>
    <t>VISCUM ALBUM</t>
  </si>
  <si>
    <t>VITEX AGNUS CASTUS</t>
  </si>
  <si>
    <t>ZINGIBERUM OFFICINALE</t>
  </si>
  <si>
    <t>Acerola _ES_250 g</t>
  </si>
  <si>
    <t>Acetylcarnitine_L_250 g</t>
  </si>
  <si>
    <t>Acetylcysteine_100g</t>
  </si>
  <si>
    <t>Gelule N°1 (anwender)</t>
  </si>
  <si>
    <t>Gelule N°3 (anwender)</t>
  </si>
  <si>
    <t>Gelule N°5 (anwender)</t>
  </si>
  <si>
    <t>Seringue homeopathique</t>
  </si>
  <si>
    <t>Flacon en verre compte goutte 50 ml</t>
  </si>
  <si>
    <t>Flacon en verre rond avec bouchon rouge 50 ml</t>
  </si>
  <si>
    <t>Flacon en verre rond avec bouchon rouge 100 ml</t>
  </si>
  <si>
    <t>Flacon en verre rond avec bouchon rouge 150ml</t>
  </si>
  <si>
    <t>Flacon en verre rond avec bouchon rouge 200 ml</t>
  </si>
  <si>
    <t>Flacon en verre rond avec bouchon rouge 250 ml</t>
  </si>
  <si>
    <t>Flacon en verre rond avec bouchon rouge 300 ml</t>
  </si>
  <si>
    <t>Flacon en plastique brun 100 ml</t>
  </si>
  <si>
    <t>Flacon en verre + goulot compte goutte 10 ml</t>
  </si>
  <si>
    <t>Flacon en verre + goulot compte goutte 100 ml</t>
  </si>
  <si>
    <t>Flacon en verre + goulot compte goutte 50 ml</t>
  </si>
  <si>
    <t>Nebulisateur pour spray bucal blanc /50 ml</t>
  </si>
  <si>
    <t>Nebuliseur pour spray nasal blanc 30 ml</t>
  </si>
  <si>
    <t>Embout nébilisateur buccal pivotable</t>
  </si>
  <si>
    <t>Goulot verseur une pièce</t>
  </si>
  <si>
    <t>Pipette en verre avec bouchon rouge 10/15 ml</t>
  </si>
  <si>
    <t>Pipette en verre avec bouchon rouge 30 ml</t>
  </si>
  <si>
    <t>Poudrier en verre avec capsules 50ml</t>
  </si>
  <si>
    <t>Poudrier en verre avec capsules 100ml</t>
  </si>
  <si>
    <t>Prix achat  chf</t>
  </si>
  <si>
    <t>ARNICA</t>
  </si>
  <si>
    <t>ARNICA MONTANA EX PLANTA</t>
  </si>
  <si>
    <t>CALLUMNA VULGARIS</t>
  </si>
  <si>
    <t>DIOSCOREA VILLOSA</t>
  </si>
  <si>
    <t>FOENICULUM VULGARIS</t>
  </si>
  <si>
    <t>FUMARIA OFFICINALIS (0.125L)</t>
  </si>
  <si>
    <t>HIERACIUM PILOSELLA</t>
  </si>
  <si>
    <t>HYPERICUM PERFORTUM</t>
  </si>
  <si>
    <t>MARUBE (0.125L)</t>
  </si>
  <si>
    <t>PAPAVER 1 DH (0.125L)</t>
  </si>
  <si>
    <t>PELARGONIUM</t>
  </si>
  <si>
    <t>TILIA (0.125L)</t>
  </si>
  <si>
    <t>VITIS VINIFERA E FOLIA RUBRA</t>
  </si>
  <si>
    <t>SIPF</t>
  </si>
  <si>
    <t>Trigonella foenumgraceum</t>
  </si>
  <si>
    <t>HUMULUS LUPUS</t>
  </si>
  <si>
    <t>ARTICHAUT BIO</t>
  </si>
  <si>
    <t>CASSIS</t>
  </si>
  <si>
    <t>FUCUS</t>
  </si>
  <si>
    <t>MARRON D'INDE</t>
  </si>
  <si>
    <t>PISSENLIT</t>
  </si>
  <si>
    <t>PRELE</t>
  </si>
  <si>
    <r>
      <t xml:space="preserve">CENTELLA ASIATICA </t>
    </r>
    <r>
      <rPr>
        <sz val="11"/>
        <color theme="1"/>
        <rFont val="Calibri"/>
        <family val="2"/>
        <scheme val="minor"/>
      </rPr>
      <t>D1</t>
    </r>
  </si>
  <si>
    <r>
      <t xml:space="preserve">RUSCUS ACULEATUS </t>
    </r>
    <r>
      <rPr>
        <sz val="11"/>
        <color theme="1"/>
        <rFont val="Calibri"/>
        <family val="2"/>
        <scheme val="minor"/>
      </rPr>
      <t>D1</t>
    </r>
  </si>
  <si>
    <t>Dixa absinthe herbe coupé 500 g</t>
  </si>
  <si>
    <t>Dixa acore vrai rhizome 1 kg</t>
  </si>
  <si>
    <t>Dixa airelle baies 500g</t>
  </si>
  <si>
    <t>Dixa airelle rouge feuilles coupées 1 kg</t>
  </si>
  <si>
    <t>Dixa alchemille vulg herbe conc 500 g</t>
  </si>
  <si>
    <t>Dixa alchemille vulg herbe coupée 300 g</t>
  </si>
  <si>
    <t>Dixa alchemille vulg parties aériennes 1 kg</t>
  </si>
  <si>
    <t>Dixa aneth semences entières nettoyées 1 kg</t>
  </si>
  <si>
    <t>Dixa angelique archangelique racines coupées 1 kg</t>
  </si>
  <si>
    <t>Dixa anis étoile entier 500 g</t>
  </si>
  <si>
    <t>Dixa anis vert concassé 1 kg</t>
  </si>
  <si>
    <t>Dixa anis vert LMB moulu 1 kg</t>
  </si>
  <si>
    <t>Dixa anserine herbe coupées 300 g</t>
  </si>
  <si>
    <t>Dixa armoise herbe coupée 1 kg</t>
  </si>
  <si>
    <t>Dixa aronia noire baies entières 1 kg</t>
  </si>
  <si>
    <t>Dixa artichaut feuilles coupées 1 kg</t>
  </si>
  <si>
    <t>Dixa aubépines  feuilles/fleurs coupées 1 kg</t>
  </si>
  <si>
    <t>Dixa aunee officinales racines coupées 1 kg</t>
  </si>
  <si>
    <t>Dixa avoine paille coupée 1 kg</t>
  </si>
  <si>
    <t>Dixa basilic feuilles coupes 1 kg</t>
  </si>
  <si>
    <t>Dixa boldo feuilles coupées 1 kg</t>
  </si>
  <si>
    <t>Dixa bouillon blanc fleurs coupées 1 kg</t>
  </si>
  <si>
    <t>Dixa bouleau verruqueux feuilles couipées 1 kg</t>
  </si>
  <si>
    <t>Dixa bourdaine écorce coupée 1 kg</t>
  </si>
  <si>
    <t>Dixa bourse à pasteur parties aériennes coupée 1 kg</t>
  </si>
  <si>
    <t>Dixa bruyere herbe avec fleurs coupée 500 g</t>
  </si>
  <si>
    <t>Dixa camomille fleurs entières 1 kg</t>
  </si>
  <si>
    <t>Dixa camomille matricaire fleurs entières 1 kg</t>
  </si>
  <si>
    <t>Dixa cannelle de ceylan écorce coupée 1 kg</t>
  </si>
  <si>
    <t>Dixa cardamome sans écale entière 1 kg</t>
  </si>
  <si>
    <t>Dixa cassis feuilles coupées 1 kg</t>
  </si>
  <si>
    <t>Dixa centaurée coupée 500 g</t>
  </si>
  <si>
    <t>Dixa chardon marie herbe coupée 1 kg</t>
  </si>
  <si>
    <t>Dixa chardon marie herbe coupée 1 kg BIO</t>
  </si>
  <si>
    <t>Dixa cimicifuga racines coupées 1 kg</t>
  </si>
  <si>
    <t>Dixa citronelle coupée 500 g</t>
  </si>
  <si>
    <t>Dixa coquelicot fleurs coupées 1 kg</t>
  </si>
  <si>
    <t>Dixa coriandre concassée 1 kg</t>
  </si>
  <si>
    <t>Dixa cumin des près (carvi) concassé 1 kg</t>
  </si>
  <si>
    <t>Dixa cumin entier 1 kg</t>
  </si>
  <si>
    <t>Dixa cumin moulu LMB 1 kg</t>
  </si>
  <si>
    <t>Dixa cynorrhodon avec semences coupé 1 kg</t>
  </si>
  <si>
    <t>Dixa damiana feuilles coupées 1 kg</t>
  </si>
  <si>
    <t>Dixa dent-de-lion herbe coupée 1 kg</t>
  </si>
  <si>
    <t>Dixa dent-de-lion racines coupées 500 g</t>
  </si>
  <si>
    <t>Dixa echinacée pourpre parties aérinne coupés 1 kg</t>
  </si>
  <si>
    <t>Dixa échinacée pourpre racines coupées 500g</t>
  </si>
  <si>
    <t>Dixa épilobe fleurs parties aériennes coupées 1 kg</t>
  </si>
  <si>
    <t>Dixa epine vinette écorce coupée 1 kg</t>
  </si>
  <si>
    <t>Dixa eschscholtzia parties aériennes coupées 1 kg</t>
  </si>
  <si>
    <t>Dixa étoilée concassé 500 g</t>
  </si>
  <si>
    <t>Dixa eucalyptus feuilles coupées 1 kg</t>
  </si>
  <si>
    <t>Dixa euphraise parties aériennes coupées 1 kg</t>
  </si>
  <si>
    <t>Dixa fenouil doux 1 kg</t>
  </si>
  <si>
    <t>Dixa fenouil doux concassé 1 kg</t>
  </si>
  <si>
    <t>Dixa fenouil doux entier 1 kg</t>
  </si>
  <si>
    <t>Dixa fénugrec semences entières 1 kg</t>
  </si>
  <si>
    <t>Dixa framboisier feuilles coupées 1 kg</t>
  </si>
  <si>
    <t>Dixa frene feuilles coupées 1 kg</t>
  </si>
  <si>
    <t>Dixa fumeterre parties aériennes 1 kg</t>
  </si>
  <si>
    <t>Dixa gattilier fruits entiers 1 kg</t>
  </si>
  <si>
    <t>Dixa gentiane jaune racines coupées 1 kg</t>
  </si>
  <si>
    <t>Dixa gingembre coupé 1 kg</t>
  </si>
  <si>
    <t>Dixa guimauve racines coupées 1 kg</t>
  </si>
  <si>
    <t>Dixa hamamelis feuilles coupées 1 kg</t>
  </si>
  <si>
    <t>Dixa harpagophyton (griffes du diable) racines coupées 1 kg</t>
  </si>
  <si>
    <t>Dixa ice tea 1 kg</t>
  </si>
  <si>
    <t>Dixa lavandes fleurs entières 1 kg</t>
  </si>
  <si>
    <t>Dixa lierre commun feuilles coupées 1 kg</t>
  </si>
  <si>
    <t>Dixa lin semences moulues 1 kg</t>
  </si>
  <si>
    <t>Dixa livéche racines coupées 500 g</t>
  </si>
  <si>
    <t>Dixa lotier cornicule parties aériennes coupées 1 kg</t>
  </si>
  <si>
    <t>Dixa marjolaine parties aériennes coupées 1 kg</t>
  </si>
  <si>
    <t>Dixa marron d'inde concasse 1 kg</t>
  </si>
  <si>
    <t>Dixa mate feuilles coupées 1 kg</t>
  </si>
  <si>
    <t>Dixa mauve fleurs bleues entières 1 kg</t>
  </si>
  <si>
    <t>Dixa mauves feuilles coupees 1 kg</t>
  </si>
  <si>
    <t>Dixa melilot officinal parties aériennes coup 1 kg</t>
  </si>
  <si>
    <t>Dixa melisse feuilles coupées 1 kg</t>
  </si>
  <si>
    <t>Dixa menthe poivrée 1 kg</t>
  </si>
  <si>
    <t>Dixa mille-feuille herbe+Fleurs coupés 500 g</t>
  </si>
  <si>
    <t>Dixa millepertuis parties aérinnes coupées 1 kg</t>
  </si>
  <si>
    <t>Dixa myrte feuilles coupées 1 kg</t>
  </si>
  <si>
    <t>Dixa myrtille feuilles 500 g</t>
  </si>
  <si>
    <t>Dixa olivier feuilles coupées 1 kg</t>
  </si>
  <si>
    <t>Dixa oranger pétales entières 1 kg</t>
  </si>
  <si>
    <t>Dixa origan vulg. Parties aériennes coupées 500 g</t>
  </si>
  <si>
    <t>Dixa ortie feuilles coupées 1 kg</t>
  </si>
  <si>
    <t>Dixa ortie racines coupées 1 kg</t>
  </si>
  <si>
    <t>Dixa ortosiphon: thé de java 500 g</t>
  </si>
  <si>
    <t>Dixa passiflore herbe coupée 1 kg</t>
  </si>
  <si>
    <t>Dixa pensée sauvage herbe coupée 1 kg</t>
  </si>
  <si>
    <t>Dixa pétales de fleur d'oranger 1 kg</t>
  </si>
  <si>
    <t>Dixa piloselle herbe coupée 500 g</t>
  </si>
  <si>
    <t>Dixa pissenlit racines coupées 1 kg</t>
  </si>
  <si>
    <t>Dixa plantain lancéole feuilles coupées 1 kg</t>
  </si>
  <si>
    <t>Dixa prele des champs herbe coupée 1 kg</t>
  </si>
  <si>
    <t>Dixa prele tige coupées 1 kg</t>
  </si>
  <si>
    <t>Dixa primevere fleurs avec calices entières 500 g</t>
  </si>
  <si>
    <t>Dixa queue de cerises coupées 1 kg</t>
  </si>
  <si>
    <t>Dixa raisin d'ours feuilles 1 kg</t>
  </si>
  <si>
    <t>Dixa réglisse jus en bâton de 50g, 1kg</t>
  </si>
  <si>
    <t>Dixa réglisse racines coupées 1 kg</t>
  </si>
  <si>
    <t>Dixa réglisse racines entières 1 kg</t>
  </si>
  <si>
    <t>Dixa reine des près fleurs 1 kg</t>
  </si>
  <si>
    <t>Dixa romarins feuilles coupées 1 kg</t>
  </si>
  <si>
    <t>Dixa sariette herbe LMB coupées 1 kg</t>
  </si>
  <si>
    <t>Dixa sauge feuilles coupées 500 g</t>
  </si>
  <si>
    <t>Dixa sauge herbes bio coupée 1 kg</t>
  </si>
  <si>
    <t>Dixa saule écorce coupée 1 kg</t>
  </si>
  <si>
    <t>Dixa sene feuilles coupées 500 g</t>
  </si>
  <si>
    <t>Dixa solidage verge d'or parties aériennes 1 kg</t>
  </si>
  <si>
    <t>Dixa souci pétales entières 1 kg</t>
  </si>
  <si>
    <t>Dixa sureau noir fleurs modées 1 kg</t>
  </si>
  <si>
    <t>Dixa thé vert sencha 1 kg</t>
  </si>
  <si>
    <t>Dixa thym feuilles coupées 1 kg</t>
  </si>
  <si>
    <t>Dixa thym feuilles moulues 500 g</t>
  </si>
  <si>
    <t>Dixa tilleul fleurs entières 1 kg</t>
  </si>
  <si>
    <t>Dixa tussilage fleurs entières 500 g</t>
  </si>
  <si>
    <t>Dixa valériane racines coupées 1 kg</t>
  </si>
  <si>
    <t>Dixa véronique herbe coupée 1 kg</t>
  </si>
  <si>
    <t>Dixa verveine odorante bio feuilles coupée 1 kg</t>
  </si>
  <si>
    <t>Dixa verveine odorante bio feuilles entières 1 kg</t>
  </si>
  <si>
    <t>Dixa vigne rouge feuilles coupées 1 kg</t>
  </si>
  <si>
    <t>ixa moringa feuilles coupées 500 g</t>
  </si>
  <si>
    <t>Frais par serie gelule</t>
  </si>
  <si>
    <t>petit sachet</t>
  </si>
  <si>
    <t>moyen sachet</t>
  </si>
  <si>
    <t>grand sachet</t>
  </si>
  <si>
    <t>BMG</t>
  </si>
  <si>
    <t>EPS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</si>
  <si>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</si>
  <si>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</si>
  <si>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</si>
  <si>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</si>
  <si>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</si>
  <si>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</si>
  <si>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</si>
  <si>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</si>
  <si>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</si>
  <si>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</si>
  <si>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</si>
  <si>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</si>
  <si>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</si>
  <si>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</si>
  <si>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</si>
  <si>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</si>
  <si>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</si>
  <si>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</si>
  <si>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</si>
  <si>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</si>
  <si>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</si>
  <si>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Coenzyme Q10</t>
  </si>
  <si>
    <t>Produits</t>
  </si>
  <si>
    <t>EXTRAIT SEC</t>
  </si>
  <si>
    <t>TEINTURE MERE</t>
  </si>
  <si>
    <t>PLANTES</t>
  </si>
  <si>
    <t>SPAGYRIE</t>
  </si>
  <si>
    <t>Nom</t>
  </si>
  <si>
    <t>PA</t>
  </si>
  <si>
    <t>PV</t>
  </si>
  <si>
    <t>extrait_sec</t>
  </si>
  <si>
    <t>Gelules</t>
  </si>
  <si>
    <t>tisane</t>
  </si>
  <si>
    <t>Frais preparation</t>
  </si>
  <si>
    <t>TMf</t>
  </si>
  <si>
    <t xml:space="preserve">PA </t>
  </si>
</sst>
</file>

<file path=xl/styles.xml><?xml version="1.0" encoding="utf-8"?>
<styleSheet xmlns="http://schemas.openxmlformats.org/spreadsheetml/2006/main">
  <numFmts count="2">
    <numFmt numFmtId="164" formatCode="_-* #,##0.00\ _f_r_._-;\-* #,##0.00\ _f_r_._-;_-* &quot;-&quot;??\ _f_r_._-;_-@_-"/>
    <numFmt numFmtId="165" formatCode="0.00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9"/>
      <name val="Calibri"/>
      <family val="2"/>
      <scheme val="minor"/>
    </font>
    <font>
      <sz val="11"/>
      <color theme="1"/>
      <name val="Gloucester MT Extra Condensed"/>
      <family val="1"/>
    </font>
    <font>
      <sz val="11"/>
      <color rgb="FF000000"/>
      <name val="Calibri"/>
      <family val="2"/>
      <charset val="1"/>
      <scheme val="minor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8497B0"/>
        <bgColor rgb="FF000000"/>
      </patternFill>
    </fill>
    <fill>
      <patternFill patternType="solid">
        <fgColor rgb="FFED7D31"/>
        <bgColor rgb="FF000000"/>
      </patternFill>
    </fill>
    <fill>
      <patternFill patternType="solid">
        <fgColor rgb="FFD6DCE4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9CC2E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rgb="FF000000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8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wrapText="1"/>
    </xf>
    <xf numFmtId="0" fontId="2" fillId="3" borderId="3" xfId="0" applyFont="1" applyFill="1" applyBorder="1" applyAlignment="1">
      <alignment wrapText="1"/>
    </xf>
    <xf numFmtId="0" fontId="2" fillId="4" borderId="4" xfId="0" applyFont="1" applyFill="1" applyBorder="1" applyAlignment="1">
      <alignment wrapText="1"/>
    </xf>
    <xf numFmtId="0" fontId="2" fillId="5" borderId="5" xfId="0" applyFont="1" applyFill="1" applyBorder="1" applyAlignment="1">
      <alignment wrapText="1"/>
    </xf>
    <xf numFmtId="0" fontId="2" fillId="5" borderId="7" xfId="0" applyFont="1" applyFill="1" applyBorder="1" applyAlignment="1">
      <alignment wrapText="1"/>
    </xf>
    <xf numFmtId="0" fontId="2" fillId="6" borderId="8" xfId="0" applyFont="1" applyFill="1" applyBorder="1" applyAlignment="1">
      <alignment wrapText="1"/>
    </xf>
    <xf numFmtId="0" fontId="2" fillId="7" borderId="5" xfId="0" applyFont="1" applyFill="1" applyBorder="1" applyAlignment="1">
      <alignment wrapText="1"/>
    </xf>
    <xf numFmtId="0" fontId="2" fillId="7" borderId="7" xfId="0" applyFont="1" applyFill="1" applyBorder="1" applyAlignment="1">
      <alignment wrapText="1"/>
    </xf>
    <xf numFmtId="0" fontId="2" fillId="7" borderId="8" xfId="0" applyFont="1" applyFill="1" applyBorder="1" applyAlignment="1">
      <alignment wrapText="1"/>
    </xf>
    <xf numFmtId="0" fontId="3" fillId="0" borderId="5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2" fillId="7" borderId="1" xfId="0" applyFont="1" applyFill="1" applyBorder="1" applyAlignment="1">
      <alignment wrapText="1"/>
    </xf>
    <xf numFmtId="0" fontId="2" fillId="6" borderId="8" xfId="0" applyFont="1" applyFill="1" applyBorder="1" applyAlignment="1">
      <alignment horizontal="right" wrapText="1"/>
    </xf>
    <xf numFmtId="0" fontId="3" fillId="0" borderId="9" xfId="0" applyFont="1" applyFill="1" applyBorder="1"/>
    <xf numFmtId="0" fontId="3" fillId="0" borderId="0" xfId="0" applyFont="1" applyFill="1" applyBorder="1"/>
    <xf numFmtId="0" fontId="3" fillId="0" borderId="11" xfId="0" applyFont="1" applyFill="1" applyBorder="1"/>
    <xf numFmtId="0" fontId="2" fillId="5" borderId="1" xfId="0" applyFont="1" applyFill="1" applyBorder="1" applyAlignment="1">
      <alignment wrapText="1"/>
    </xf>
    <xf numFmtId="0" fontId="2" fillId="6" borderId="1" xfId="0" applyFont="1" applyFill="1" applyBorder="1" applyAlignment="1">
      <alignment wrapText="1"/>
    </xf>
    <xf numFmtId="0" fontId="3" fillId="0" borderId="1" xfId="0" applyFont="1" applyFill="1" applyBorder="1"/>
    <xf numFmtId="0" fontId="4" fillId="0" borderId="0" xfId="2"/>
    <xf numFmtId="0" fontId="5" fillId="0" borderId="0" xfId="0" applyFont="1"/>
    <xf numFmtId="0" fontId="6" fillId="0" borderId="0" xfId="0" applyFont="1"/>
    <xf numFmtId="0" fontId="0" fillId="0" borderId="12" xfId="0" applyBorder="1"/>
    <xf numFmtId="0" fontId="0" fillId="0" borderId="0" xfId="0" quotePrefix="1"/>
    <xf numFmtId="0" fontId="0" fillId="0" borderId="16" xfId="0" applyBorder="1" applyAlignment="1"/>
    <xf numFmtId="0" fontId="0" fillId="0" borderId="1" xfId="0" applyBorder="1" applyAlignment="1">
      <alignment horizontal="center" vertical="center"/>
    </xf>
    <xf numFmtId="164" fontId="0" fillId="8" borderId="1" xfId="1" applyFont="1" applyFill="1" applyBorder="1" applyAlignment="1"/>
    <xf numFmtId="0" fontId="7" fillId="8" borderId="1" xfId="0" applyFont="1" applyFill="1" applyBorder="1"/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/>
    </xf>
    <xf numFmtId="0" fontId="8" fillId="9" borderId="1" xfId="0" applyFont="1" applyFill="1" applyBorder="1" applyAlignment="1">
      <alignment horizontal="right" wrapText="1"/>
    </xf>
    <xf numFmtId="0" fontId="9" fillId="9" borderId="1" xfId="0" applyFont="1" applyFill="1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8" fillId="9" borderId="1" xfId="0" applyFont="1" applyFill="1" applyBorder="1" applyAlignment="1">
      <alignment horizontal="left" wrapText="1"/>
    </xf>
    <xf numFmtId="0" fontId="10" fillId="10" borderId="13" xfId="0" applyFont="1" applyFill="1" applyBorder="1" applyAlignment="1">
      <alignment wrapText="1"/>
    </xf>
    <xf numFmtId="0" fontId="10" fillId="10" borderId="17" xfId="0" applyFont="1" applyFill="1" applyBorder="1" applyAlignment="1">
      <alignment wrapText="1"/>
    </xf>
    <xf numFmtId="0" fontId="8" fillId="0" borderId="6" xfId="0" applyFont="1" applyBorder="1" applyAlignment="1">
      <alignment wrapText="1"/>
    </xf>
    <xf numFmtId="0" fontId="11" fillId="0" borderId="6" xfId="0" applyFont="1" applyBorder="1" applyAlignment="1">
      <alignment wrapText="1"/>
    </xf>
    <xf numFmtId="0" fontId="11" fillId="0" borderId="18" xfId="0" applyFont="1" applyBorder="1" applyAlignment="1">
      <alignment wrapText="1"/>
    </xf>
    <xf numFmtId="0" fontId="11" fillId="0" borderId="10" xfId="0" applyFont="1" applyBorder="1" applyAlignment="1">
      <alignment wrapText="1"/>
    </xf>
    <xf numFmtId="0" fontId="11" fillId="0" borderId="2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10" fillId="10" borderId="0" xfId="0" applyFont="1" applyFill="1" applyBorder="1" applyAlignment="1">
      <alignment wrapText="1"/>
    </xf>
    <xf numFmtId="0" fontId="13" fillId="9" borderId="8" xfId="0" applyFont="1" applyFill="1" applyBorder="1" applyAlignment="1">
      <alignment wrapText="1"/>
    </xf>
    <xf numFmtId="0" fontId="8" fillId="9" borderId="6" xfId="0" applyFont="1" applyFill="1" applyBorder="1" applyAlignment="1">
      <alignment wrapText="1"/>
    </xf>
    <xf numFmtId="0" fontId="8" fillId="9" borderId="10" xfId="0" applyFont="1" applyFill="1" applyBorder="1" applyAlignment="1">
      <alignment wrapText="1"/>
    </xf>
    <xf numFmtId="0" fontId="11" fillId="0" borderId="19" xfId="0" applyFont="1" applyBorder="1" applyAlignment="1">
      <alignment wrapText="1"/>
    </xf>
    <xf numFmtId="0" fontId="0" fillId="0" borderId="8" xfId="0" applyFont="1" applyFill="1" applyBorder="1" applyAlignment="1">
      <alignment wrapText="1"/>
    </xf>
    <xf numFmtId="0" fontId="0" fillId="0" borderId="6" xfId="0" applyBorder="1"/>
    <xf numFmtId="0" fontId="8" fillId="0" borderId="19" xfId="0" applyFont="1" applyBorder="1" applyAlignment="1">
      <alignment wrapText="1"/>
    </xf>
    <xf numFmtId="0" fontId="0" fillId="0" borderId="10" xfId="0" applyBorder="1"/>
    <xf numFmtId="0" fontId="8" fillId="9" borderId="7" xfId="0" applyFont="1" applyFill="1" applyBorder="1" applyAlignment="1">
      <alignment wrapText="1"/>
    </xf>
    <xf numFmtId="0" fontId="11" fillId="0" borderId="0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12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14" fillId="9" borderId="8" xfId="0" applyFont="1" applyFill="1" applyBorder="1" applyAlignment="1">
      <alignment wrapText="1"/>
    </xf>
    <xf numFmtId="0" fontId="15" fillId="9" borderId="8" xfId="0" applyFont="1" applyFill="1" applyBorder="1" applyAlignment="1">
      <alignment wrapText="1"/>
    </xf>
    <xf numFmtId="0" fontId="8" fillId="0" borderId="8" xfId="0" applyFont="1" applyBorder="1" applyAlignment="1">
      <alignment wrapText="1"/>
    </xf>
    <xf numFmtId="0" fontId="8" fillId="9" borderId="8" xfId="0" applyFont="1" applyFill="1" applyBorder="1" applyAlignment="1">
      <alignment wrapText="1"/>
    </xf>
    <xf numFmtId="0" fontId="16" fillId="9" borderId="8" xfId="0" applyFont="1" applyFill="1" applyBorder="1" applyAlignment="1">
      <alignment wrapText="1"/>
    </xf>
    <xf numFmtId="0" fontId="11" fillId="9" borderId="8" xfId="0" applyFont="1" applyFill="1" applyBorder="1" applyAlignment="1">
      <alignment wrapText="1"/>
    </xf>
    <xf numFmtId="0" fontId="11" fillId="0" borderId="8" xfId="0" applyFont="1" applyBorder="1" applyAlignment="1">
      <alignment wrapText="1"/>
    </xf>
    <xf numFmtId="0" fontId="11" fillId="0" borderId="4" xfId="0" applyFont="1" applyBorder="1" applyAlignment="1">
      <alignment wrapText="1"/>
    </xf>
    <xf numFmtId="0" fontId="11" fillId="0" borderId="11" xfId="0" applyFont="1" applyBorder="1" applyAlignment="1">
      <alignment wrapText="1"/>
    </xf>
    <xf numFmtId="0" fontId="11" fillId="0" borderId="5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5" fillId="0" borderId="5" xfId="0" applyFont="1" applyBorder="1" applyAlignment="1">
      <alignment wrapText="1"/>
    </xf>
    <xf numFmtId="0" fontId="11" fillId="11" borderId="1" xfId="0" applyFont="1" applyFill="1" applyBorder="1" applyAlignment="1">
      <alignment wrapText="1"/>
    </xf>
    <xf numFmtId="0" fontId="8" fillId="12" borderId="1" xfId="0" applyFont="1" applyFill="1" applyBorder="1" applyAlignment="1">
      <alignment wrapText="1"/>
    </xf>
    <xf numFmtId="0" fontId="17" fillId="12" borderId="1" xfId="0" applyFont="1" applyFill="1" applyBorder="1" applyAlignment="1">
      <alignment wrapText="1"/>
    </xf>
    <xf numFmtId="0" fontId="8" fillId="13" borderId="1" xfId="0" applyFont="1" applyFill="1" applyBorder="1" applyAlignment="1">
      <alignment wrapText="1"/>
    </xf>
    <xf numFmtId="0" fontId="8" fillId="14" borderId="1" xfId="0" applyFont="1" applyFill="1" applyBorder="1" applyAlignment="1">
      <alignment wrapText="1"/>
    </xf>
    <xf numFmtId="0" fontId="17" fillId="14" borderId="1" xfId="0" applyFont="1" applyFill="1" applyBorder="1" applyAlignment="1">
      <alignment wrapText="1"/>
    </xf>
    <xf numFmtId="0" fontId="8" fillId="13" borderId="0" xfId="0" applyFont="1" applyFill="1" applyBorder="1" applyAlignment="1">
      <alignment wrapText="1"/>
    </xf>
    <xf numFmtId="0" fontId="8" fillId="14" borderId="0" xfId="0" applyFont="1" applyFill="1" applyBorder="1" applyAlignment="1">
      <alignment wrapText="1"/>
    </xf>
    <xf numFmtId="0" fontId="17" fillId="14" borderId="0" xfId="0" applyFont="1" applyFill="1" applyBorder="1" applyAlignment="1">
      <alignment wrapText="1"/>
    </xf>
    <xf numFmtId="0" fontId="0" fillId="0" borderId="21" xfId="0" applyBorder="1" applyAlignment="1"/>
    <xf numFmtId="0" fontId="0" fillId="15" borderId="7" xfId="0" applyFont="1" applyFill="1" applyBorder="1"/>
    <xf numFmtId="0" fontId="2" fillId="16" borderId="5" xfId="0" applyFont="1" applyFill="1" applyBorder="1" applyAlignment="1">
      <alignment wrapText="1"/>
    </xf>
    <xf numFmtId="0" fontId="2" fillId="16" borderId="7" xfId="0" applyFont="1" applyFill="1" applyBorder="1" applyAlignment="1">
      <alignment wrapText="1"/>
    </xf>
    <xf numFmtId="0" fontId="2" fillId="16" borderId="8" xfId="0" applyFont="1" applyFill="1" applyBorder="1" applyAlignment="1">
      <alignment wrapText="1"/>
    </xf>
    <xf numFmtId="0" fontId="0" fillId="0" borderId="0" xfId="0" applyBorder="1"/>
    <xf numFmtId="0" fontId="0" fillId="0" borderId="1" xfId="0" applyFill="1" applyBorder="1" applyAlignment="1"/>
    <xf numFmtId="0" fontId="0" fillId="0" borderId="23" xfId="0" applyBorder="1" applyAlignment="1"/>
    <xf numFmtId="0" fontId="0" fillId="0" borderId="1" xfId="0" applyFill="1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"/>
  <sheetViews>
    <sheetView workbookViewId="0">
      <selection activeCell="B3" sqref="B3"/>
    </sheetView>
  </sheetViews>
  <sheetFormatPr baseColWidth="10" defaultRowHeight="14.5"/>
  <cols>
    <col min="1" max="1" width="21" customWidth="1"/>
    <col min="2" max="2" width="16.1796875" customWidth="1"/>
    <col min="3" max="3" width="21.7265625" customWidth="1"/>
    <col min="4" max="4" width="16.7265625" customWidth="1"/>
  </cols>
  <sheetData>
    <row r="2" spans="1:6">
      <c r="A2" t="s">
        <v>90</v>
      </c>
      <c r="B2" t="s">
        <v>95</v>
      </c>
      <c r="C2" t="s">
        <v>101</v>
      </c>
      <c r="D2" t="s">
        <v>92</v>
      </c>
      <c r="E2" t="s">
        <v>93</v>
      </c>
      <c r="F2" t="s">
        <v>94</v>
      </c>
    </row>
    <row r="3" spans="1:6">
      <c r="A3" s="22" t="s">
        <v>91</v>
      </c>
      <c r="B3" s="26">
        <f>'L-Arginine'!G34:G34</f>
        <v>0</v>
      </c>
      <c r="C3" s="26" t="e">
        <f ca="1">'L-Arginine'!G33</f>
        <v>#N/A</v>
      </c>
      <c r="D3">
        <v>26.5</v>
      </c>
      <c r="E3" t="e">
        <f>F3/B3*100</f>
        <v>#DIV/0!</v>
      </c>
      <c r="F3">
        <f>D3-B3</f>
        <v>26.5</v>
      </c>
    </row>
  </sheetData>
  <hyperlinks>
    <hyperlink ref="A3" location="'L-Arginine'!A1" display="L-Arginine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4"/>
  <sheetViews>
    <sheetView tabSelected="1" zoomScale="85" zoomScaleNormal="85" workbookViewId="0">
      <selection activeCell="K6" sqref="K6"/>
    </sheetView>
  </sheetViews>
  <sheetFormatPr baseColWidth="10" defaultRowHeight="14.5"/>
  <cols>
    <col min="2" max="2" width="33.7265625" customWidth="1"/>
    <col min="3" max="3" width="17.1796875" customWidth="1"/>
    <col min="4" max="4" width="10.54296875" customWidth="1"/>
    <col min="5" max="5" width="10.453125" customWidth="1"/>
    <col min="6" max="6" width="8.7265625" customWidth="1"/>
    <col min="7" max="7" width="7" customWidth="1"/>
  </cols>
  <sheetData>
    <row r="1" spans="1:7" ht="21">
      <c r="B1" s="23" t="s">
        <v>97</v>
      </c>
      <c r="C1" s="24" t="s">
        <v>91</v>
      </c>
      <c r="D1" s="24"/>
    </row>
    <row r="3" spans="1:7">
      <c r="B3" s="30" t="s">
        <v>96</v>
      </c>
      <c r="C3" s="30" t="s">
        <v>420</v>
      </c>
      <c r="D3" s="30" t="s">
        <v>414</v>
      </c>
      <c r="E3" s="30" t="s">
        <v>98</v>
      </c>
      <c r="F3" s="30" t="s">
        <v>99</v>
      </c>
      <c r="G3" s="30" t="s">
        <v>102</v>
      </c>
    </row>
    <row r="4" spans="1:7">
      <c r="A4" t="s">
        <v>146</v>
      </c>
      <c r="B4" s="1" t="s">
        <v>147</v>
      </c>
      <c r="C4" s="1">
        <f ca="1">IFERROR(VLOOKUP($B4,OFFSET(INDIRECT($A4),,,,3),2,0),"")</f>
        <v>4.752E-2</v>
      </c>
      <c r="D4" s="1">
        <f ca="1">IFERROR(VLOOKUP($B4,OFFSET(INDIRECT($A4),,,,3),3,0),"")</f>
        <v>9.5039999999999999E-2</v>
      </c>
      <c r="E4" s="1">
        <v>0.5</v>
      </c>
      <c r="F4" s="1">
        <f>0.5*60</f>
        <v>30</v>
      </c>
      <c r="G4" s="1">
        <f ca="1">F4*D4</f>
        <v>2.8512</v>
      </c>
    </row>
    <row r="5" spans="1:7">
      <c r="B5" s="1"/>
      <c r="C5" s="1" t="str">
        <f t="shared" ref="C5:C28" ca="1" si="0">IFERROR(VLOOKUP($B5,OFFSET(INDIRECT($A5),,,,3),2,0),"")</f>
        <v/>
      </c>
      <c r="D5" s="1" t="str">
        <f t="shared" ref="D5:D28" ca="1" si="1">IFERROR(VLOOKUP($B5,OFFSET(INDIRECT($A5),,,,3),3,0),"")</f>
        <v/>
      </c>
      <c r="E5" s="1"/>
      <c r="F5" s="1"/>
      <c r="G5" s="1" t="str">
        <f ca="1">IF(ISERROR(F5*D5),"",F5*D5)</f>
        <v/>
      </c>
    </row>
    <row r="6" spans="1:7">
      <c r="B6" s="1"/>
      <c r="C6" s="1" t="str">
        <f t="shared" ca="1" si="0"/>
        <v/>
      </c>
      <c r="D6" s="1" t="str">
        <f t="shared" ca="1" si="1"/>
        <v/>
      </c>
      <c r="E6" s="1"/>
      <c r="F6" s="1"/>
      <c r="G6" s="1" t="str">
        <f ca="1">IF(ISERROR(F6*D6),"",F6*D6)</f>
        <v/>
      </c>
    </row>
    <row r="7" spans="1:7">
      <c r="B7" s="1"/>
      <c r="C7" s="1" t="str">
        <f t="shared" ca="1" si="0"/>
        <v/>
      </c>
      <c r="D7" s="1" t="str">
        <f t="shared" ca="1" si="1"/>
        <v/>
      </c>
      <c r="E7" s="1"/>
      <c r="F7" s="1"/>
      <c r="G7" s="1" t="str">
        <f t="shared" ref="G7:G28" ca="1" si="2">IF(ISERROR(F7*D7),"",F7*D7)</f>
        <v/>
      </c>
    </row>
    <row r="8" spans="1:7" ht="15.75" customHeight="1">
      <c r="B8" s="1"/>
      <c r="C8" s="1" t="str">
        <f t="shared" ca="1" si="0"/>
        <v/>
      </c>
      <c r="D8" s="1" t="str">
        <f t="shared" ca="1" si="1"/>
        <v/>
      </c>
      <c r="E8" s="1"/>
      <c r="F8" s="1"/>
      <c r="G8" s="1" t="str">
        <f t="shared" ca="1" si="2"/>
        <v/>
      </c>
    </row>
    <row r="9" spans="1:7">
      <c r="B9" s="1"/>
      <c r="C9" s="1" t="str">
        <f t="shared" ca="1" si="0"/>
        <v/>
      </c>
      <c r="D9" s="1" t="str">
        <f t="shared" ca="1" si="1"/>
        <v/>
      </c>
      <c r="E9" s="1"/>
      <c r="F9" s="1"/>
      <c r="G9" s="1" t="str">
        <f t="shared" ca="1" si="2"/>
        <v/>
      </c>
    </row>
    <row r="10" spans="1:7">
      <c r="B10" s="1"/>
      <c r="C10" s="1" t="str">
        <f t="shared" ca="1" si="0"/>
        <v/>
      </c>
      <c r="D10" s="1" t="str">
        <f t="shared" ca="1" si="1"/>
        <v/>
      </c>
      <c r="E10" s="1"/>
      <c r="F10" s="1"/>
      <c r="G10" s="1" t="str">
        <f t="shared" ca="1" si="2"/>
        <v/>
      </c>
    </row>
    <row r="11" spans="1:7">
      <c r="B11" s="1"/>
      <c r="C11" s="1" t="str">
        <f t="shared" ca="1" si="0"/>
        <v/>
      </c>
      <c r="D11" s="1" t="str">
        <f t="shared" ca="1" si="1"/>
        <v/>
      </c>
      <c r="E11" s="1"/>
      <c r="F11" s="1"/>
      <c r="G11" s="1" t="str">
        <f t="shared" ca="1" si="2"/>
        <v/>
      </c>
    </row>
    <row r="12" spans="1:7">
      <c r="B12" s="1"/>
      <c r="C12" s="1" t="str">
        <f t="shared" ca="1" si="0"/>
        <v/>
      </c>
      <c r="D12" s="1" t="str">
        <f t="shared" ca="1" si="1"/>
        <v/>
      </c>
      <c r="E12" s="1"/>
      <c r="F12" s="1"/>
      <c r="G12" s="1" t="str">
        <f t="shared" ca="1" si="2"/>
        <v/>
      </c>
    </row>
    <row r="13" spans="1:7">
      <c r="B13" s="1"/>
      <c r="C13" s="1" t="str">
        <f t="shared" ca="1" si="0"/>
        <v/>
      </c>
      <c r="D13" s="1" t="str">
        <f t="shared" ca="1" si="1"/>
        <v/>
      </c>
      <c r="E13" s="1"/>
      <c r="F13" s="1"/>
      <c r="G13" s="1" t="str">
        <f t="shared" ca="1" si="2"/>
        <v/>
      </c>
    </row>
    <row r="14" spans="1:7">
      <c r="B14" s="1"/>
      <c r="C14" s="1" t="str">
        <f t="shared" ca="1" si="0"/>
        <v/>
      </c>
      <c r="D14" s="1" t="str">
        <f t="shared" ca="1" si="1"/>
        <v/>
      </c>
      <c r="E14" s="1"/>
      <c r="F14" s="1"/>
      <c r="G14" s="1" t="str">
        <f t="shared" ca="1" si="2"/>
        <v/>
      </c>
    </row>
    <row r="15" spans="1:7">
      <c r="B15" s="1"/>
      <c r="C15" s="1" t="str">
        <f t="shared" ca="1" si="0"/>
        <v/>
      </c>
      <c r="D15" s="1" t="str">
        <f t="shared" ca="1" si="1"/>
        <v/>
      </c>
      <c r="E15" s="1"/>
      <c r="F15" s="1"/>
      <c r="G15" s="1" t="str">
        <f t="shared" ca="1" si="2"/>
        <v/>
      </c>
    </row>
    <row r="16" spans="1:7">
      <c r="B16" s="1"/>
      <c r="C16" s="1" t="str">
        <f t="shared" ca="1" si="0"/>
        <v/>
      </c>
      <c r="D16" s="1" t="str">
        <f t="shared" ca="1" si="1"/>
        <v/>
      </c>
      <c r="E16" s="1"/>
      <c r="F16" s="1"/>
      <c r="G16" s="1" t="str">
        <f t="shared" ca="1" si="2"/>
        <v/>
      </c>
    </row>
    <row r="17" spans="1:7">
      <c r="B17" s="1"/>
      <c r="C17" s="1" t="str">
        <f t="shared" ca="1" si="0"/>
        <v/>
      </c>
      <c r="D17" s="1" t="str">
        <f t="shared" ca="1" si="1"/>
        <v/>
      </c>
      <c r="E17" s="1"/>
      <c r="F17" s="1"/>
      <c r="G17" s="1" t="str">
        <f t="shared" ca="1" si="2"/>
        <v/>
      </c>
    </row>
    <row r="18" spans="1:7">
      <c r="B18" s="1"/>
      <c r="C18" s="1" t="str">
        <f t="shared" ca="1" si="0"/>
        <v/>
      </c>
      <c r="D18" s="1" t="str">
        <f t="shared" ca="1" si="1"/>
        <v/>
      </c>
      <c r="E18" s="1"/>
      <c r="F18" s="1"/>
      <c r="G18" s="1" t="str">
        <f t="shared" ca="1" si="2"/>
        <v/>
      </c>
    </row>
    <row r="19" spans="1:7">
      <c r="B19" s="1"/>
      <c r="C19" s="1" t="str">
        <f t="shared" ca="1" si="0"/>
        <v/>
      </c>
      <c r="D19" s="1" t="str">
        <f t="shared" ca="1" si="1"/>
        <v/>
      </c>
      <c r="E19" s="1"/>
      <c r="F19" s="1"/>
      <c r="G19" s="1" t="str">
        <f t="shared" ca="1" si="2"/>
        <v/>
      </c>
    </row>
    <row r="20" spans="1:7">
      <c r="B20" s="1"/>
      <c r="C20" s="1" t="str">
        <f t="shared" ca="1" si="0"/>
        <v/>
      </c>
      <c r="D20" s="1" t="str">
        <f t="shared" ca="1" si="1"/>
        <v/>
      </c>
      <c r="E20" s="1"/>
      <c r="F20" s="1"/>
      <c r="G20" s="1" t="str">
        <f t="shared" ca="1" si="2"/>
        <v/>
      </c>
    </row>
    <row r="21" spans="1:7">
      <c r="B21" s="1"/>
      <c r="C21" s="1" t="str">
        <f t="shared" ca="1" si="0"/>
        <v/>
      </c>
      <c r="D21" s="1" t="str">
        <f t="shared" ca="1" si="1"/>
        <v/>
      </c>
      <c r="E21" s="1"/>
      <c r="F21" s="1"/>
      <c r="G21" s="1" t="str">
        <f t="shared" ca="1" si="2"/>
        <v/>
      </c>
    </row>
    <row r="22" spans="1:7">
      <c r="B22" s="1"/>
      <c r="C22" s="1" t="str">
        <f t="shared" ca="1" si="0"/>
        <v/>
      </c>
      <c r="D22" s="1" t="str">
        <f t="shared" ca="1" si="1"/>
        <v/>
      </c>
      <c r="E22" s="1"/>
      <c r="F22" s="1"/>
      <c r="G22" s="1" t="str">
        <f t="shared" ca="1" si="2"/>
        <v/>
      </c>
    </row>
    <row r="23" spans="1:7">
      <c r="B23" s="1"/>
      <c r="C23" s="1" t="str">
        <f t="shared" ca="1" si="0"/>
        <v/>
      </c>
      <c r="D23" s="1" t="str">
        <f t="shared" ca="1" si="1"/>
        <v/>
      </c>
      <c r="E23" s="1"/>
      <c r="F23" s="1"/>
      <c r="G23" s="1" t="str">
        <f t="shared" ca="1" si="2"/>
        <v/>
      </c>
    </row>
    <row r="24" spans="1:7">
      <c r="B24" s="1"/>
      <c r="C24" s="1" t="str">
        <f t="shared" ca="1" si="0"/>
        <v/>
      </c>
      <c r="D24" s="1" t="str">
        <f t="shared" ca="1" si="1"/>
        <v/>
      </c>
      <c r="E24" s="1"/>
      <c r="F24" s="1"/>
      <c r="G24" s="1" t="str">
        <f t="shared" ca="1" si="2"/>
        <v/>
      </c>
    </row>
    <row r="25" spans="1:7">
      <c r="B25" s="1"/>
      <c r="C25" s="1" t="str">
        <f t="shared" ca="1" si="0"/>
        <v/>
      </c>
      <c r="D25" s="1" t="str">
        <f t="shared" ca="1" si="1"/>
        <v/>
      </c>
      <c r="E25" s="1"/>
      <c r="F25" s="1"/>
      <c r="G25" s="1" t="str">
        <f t="shared" ca="1" si="2"/>
        <v/>
      </c>
    </row>
    <row r="26" spans="1:7">
      <c r="B26" s="1"/>
      <c r="C26" s="1" t="str">
        <f t="shared" ca="1" si="0"/>
        <v/>
      </c>
      <c r="D26" s="1" t="str">
        <f t="shared" ca="1" si="1"/>
        <v/>
      </c>
      <c r="E26" s="1"/>
      <c r="F26" s="1"/>
      <c r="G26" s="1" t="str">
        <f t="shared" ca="1" si="2"/>
        <v/>
      </c>
    </row>
    <row r="27" spans="1:7">
      <c r="B27" s="1"/>
      <c r="C27" s="1" t="str">
        <f t="shared" ca="1" si="0"/>
        <v/>
      </c>
      <c r="D27" s="1" t="str">
        <f t="shared" ca="1" si="1"/>
        <v/>
      </c>
      <c r="E27" s="1"/>
      <c r="F27" s="1"/>
      <c r="G27" s="1" t="str">
        <f t="shared" ca="1" si="2"/>
        <v/>
      </c>
    </row>
    <row r="28" spans="1:7">
      <c r="B28" s="1"/>
      <c r="C28" s="1" t="str">
        <f t="shared" ca="1" si="0"/>
        <v/>
      </c>
      <c r="D28" s="1" t="str">
        <f t="shared" ca="1" si="1"/>
        <v/>
      </c>
      <c r="E28" s="1"/>
      <c r="F28" s="1"/>
      <c r="G28" s="1" t="str">
        <f t="shared" ca="1" si="2"/>
        <v/>
      </c>
    </row>
    <row r="29" spans="1:7">
      <c r="B29" s="29" t="s">
        <v>104</v>
      </c>
      <c r="C29" s="29" t="s">
        <v>140</v>
      </c>
      <c r="D29" s="29" t="s">
        <v>143</v>
      </c>
      <c r="E29" s="29" t="s">
        <v>144</v>
      </c>
      <c r="F29" s="29" t="s">
        <v>141</v>
      </c>
      <c r="G29" s="29" t="s">
        <v>142</v>
      </c>
    </row>
    <row r="30" spans="1:7">
      <c r="A30" t="s">
        <v>419</v>
      </c>
      <c r="B30" s="1" t="s">
        <v>418</v>
      </c>
      <c r="C30" s="25">
        <v>1</v>
      </c>
      <c r="D30" s="1"/>
      <c r="E30" s="1"/>
      <c r="F30" s="1" t="e">
        <f>LOOKUP(B30,tisane,'Main d''oeuvre et autre frais'!E1:E4)</f>
        <v>#N/A</v>
      </c>
      <c r="G30" s="25" t="e">
        <f>F30*C30</f>
        <v>#N/A</v>
      </c>
    </row>
    <row r="31" spans="1:7">
      <c r="B31" s="1"/>
      <c r="C31" s="25"/>
      <c r="D31" s="1"/>
      <c r="E31" s="1"/>
      <c r="F31" s="1"/>
      <c r="G31" s="25"/>
    </row>
    <row r="32" spans="1:7">
      <c r="B32" s="1"/>
      <c r="C32" s="25"/>
      <c r="D32" s="1"/>
      <c r="E32" s="1"/>
      <c r="F32" s="1"/>
      <c r="G32" s="25"/>
    </row>
    <row r="33" spans="5:7">
      <c r="E33" s="92" t="s">
        <v>100</v>
      </c>
      <c r="F33" s="93"/>
      <c r="G33" s="81" t="e">
        <f ca="1">SUM(G4:G32)</f>
        <v>#N/A</v>
      </c>
    </row>
    <row r="34" spans="5:7" ht="15" thickBot="1">
      <c r="E34" s="90" t="s">
        <v>103</v>
      </c>
      <c r="F34" s="91"/>
      <c r="G34" s="27"/>
    </row>
  </sheetData>
  <mergeCells count="2">
    <mergeCell ref="E34:F34"/>
    <mergeCell ref="E33:F33"/>
  </mergeCells>
  <dataValidations count="4">
    <dataValidation type="list" allowBlank="1" showInputMessage="1" showErrorMessage="1" sqref="A4:A28">
      <formula1>PRODUITS</formula1>
    </dataValidation>
    <dataValidation type="list" allowBlank="1" showInputMessage="1" showErrorMessage="1" sqref="B4:B28">
      <formula1>INDIRECT($A4)</formula1>
    </dataValidation>
    <dataValidation type="list" allowBlank="1" showInputMessage="1" showErrorMessage="1" sqref="A30:A32">
      <formula1>frais</formula1>
    </dataValidation>
    <dataValidation type="list" showInputMessage="1" showErrorMessage="1" sqref="B30">
      <formula1>INDIRECT($A$30)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'ID Labo'!$A$2:$A$34</xm:f>
          </x14:formula1>
          <xm:sqref>B31:B32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Z599"/>
  <sheetViews>
    <sheetView zoomScale="70" zoomScaleNormal="70" workbookViewId="0">
      <selection activeCell="B3" sqref="B3"/>
    </sheetView>
  </sheetViews>
  <sheetFormatPr baseColWidth="10" defaultRowHeight="14.5"/>
  <cols>
    <col min="2" max="2" width="28.1796875" customWidth="1"/>
    <col min="3" max="3" width="13.81640625" customWidth="1"/>
    <col min="4" max="4" width="14.1796875" customWidth="1"/>
    <col min="5" max="5" width="40.26953125" customWidth="1"/>
    <col min="6" max="6" width="10.1796875" customWidth="1"/>
    <col min="7" max="7" width="11.7265625" customWidth="1"/>
    <col min="8" max="8" width="16.54296875" customWidth="1"/>
    <col min="9" max="9" width="7.54296875" customWidth="1"/>
    <col min="10" max="10" width="16.1796875" customWidth="1"/>
    <col min="11" max="11" width="29.54296875" customWidth="1"/>
    <col min="23" max="23" width="7" customWidth="1"/>
    <col min="24" max="24" width="27.26953125" customWidth="1"/>
  </cols>
  <sheetData>
    <row r="1" spans="1:22" ht="15" thickBot="1">
      <c r="A1" t="s">
        <v>407</v>
      </c>
      <c r="B1" s="94" t="s">
        <v>408</v>
      </c>
      <c r="C1" s="94"/>
      <c r="D1" s="94"/>
      <c r="E1" s="95" t="s">
        <v>409</v>
      </c>
      <c r="F1" s="95"/>
      <c r="G1" s="95"/>
      <c r="H1" s="96" t="s">
        <v>243</v>
      </c>
      <c r="I1" s="96"/>
      <c r="J1" s="96"/>
      <c r="K1" s="94" t="s">
        <v>410</v>
      </c>
      <c r="L1" s="94"/>
      <c r="M1" s="94"/>
      <c r="N1" s="94" t="s">
        <v>383</v>
      </c>
      <c r="O1" s="94"/>
      <c r="P1" s="94"/>
      <c r="Q1" s="94" t="s">
        <v>411</v>
      </c>
      <c r="R1" s="94"/>
      <c r="S1" s="94"/>
      <c r="T1" s="94" t="s">
        <v>384</v>
      </c>
      <c r="U1" s="94"/>
      <c r="V1" s="94"/>
    </row>
    <row r="2" spans="1:22" ht="15" thickBot="1">
      <c r="B2" s="2" t="s">
        <v>412</v>
      </c>
      <c r="C2" s="3" t="s">
        <v>413</v>
      </c>
      <c r="D2" s="4" t="s">
        <v>414</v>
      </c>
      <c r="E2" s="38" t="s">
        <v>412</v>
      </c>
      <c r="F2" s="39" t="s">
        <v>413</v>
      </c>
      <c r="G2" s="39" t="s">
        <v>414</v>
      </c>
      <c r="H2" s="46" t="s">
        <v>412</v>
      </c>
      <c r="I2" s="46" t="s">
        <v>413</v>
      </c>
      <c r="J2" s="46" t="s">
        <v>414</v>
      </c>
      <c r="K2" s="72" t="s">
        <v>412</v>
      </c>
      <c r="L2" s="73" t="s">
        <v>413</v>
      </c>
      <c r="M2" s="74" t="s">
        <v>414</v>
      </c>
      <c r="N2" s="1" t="s">
        <v>412</v>
      </c>
      <c r="O2" s="1" t="s">
        <v>413</v>
      </c>
      <c r="P2" s="1" t="s">
        <v>414</v>
      </c>
      <c r="Q2" s="1" t="s">
        <v>412</v>
      </c>
      <c r="R2" s="1" t="s">
        <v>413</v>
      </c>
      <c r="S2" s="1" t="s">
        <v>414</v>
      </c>
      <c r="T2" s="1" t="s">
        <v>412</v>
      </c>
      <c r="U2" s="1" t="s">
        <v>413</v>
      </c>
      <c r="V2" s="1" t="s">
        <v>414</v>
      </c>
    </row>
    <row r="3" spans="1:22" ht="16.5" customHeight="1">
      <c r="A3" t="s">
        <v>415</v>
      </c>
      <c r="B3" s="5" t="s">
        <v>203</v>
      </c>
      <c r="C3" s="6">
        <v>0.23</v>
      </c>
      <c r="D3" s="7">
        <v>0.45</v>
      </c>
      <c r="E3" s="62" t="s">
        <v>147</v>
      </c>
      <c r="F3" s="40">
        <f>(44*1.08)/1000</f>
        <v>4.752E-2</v>
      </c>
      <c r="G3" s="40">
        <f t="shared" ref="G3:G35" si="0">F3*2</f>
        <v>9.5039999999999999E-2</v>
      </c>
      <c r="H3" s="58" t="s">
        <v>246</v>
      </c>
      <c r="I3" s="1">
        <f>(59.69*1.1*1.025)/1000</f>
        <v>6.7300475000000012E-2</v>
      </c>
      <c r="J3" s="59">
        <f>I3*2</f>
        <v>0.13460095000000002</v>
      </c>
      <c r="K3" s="75" t="s">
        <v>254</v>
      </c>
      <c r="L3" s="76">
        <v>1.4999999999999999E-2</v>
      </c>
      <c r="M3" s="77">
        <v>2.7E-2</v>
      </c>
      <c r="N3" s="1" t="s">
        <v>385</v>
      </c>
      <c r="O3" s="1"/>
      <c r="P3" s="1"/>
      <c r="Q3" s="1" t="s">
        <v>392</v>
      </c>
      <c r="R3" s="1"/>
      <c r="S3" s="1"/>
      <c r="T3" s="1" t="s">
        <v>399</v>
      </c>
      <c r="U3" s="1"/>
      <c r="V3" s="1"/>
    </row>
    <row r="4" spans="1:22" ht="15.75" customHeight="1">
      <c r="A4" t="s">
        <v>146</v>
      </c>
      <c r="B4" s="5" t="s">
        <v>204</v>
      </c>
      <c r="C4" s="6">
        <v>0.46</v>
      </c>
      <c r="D4" s="7">
        <v>0.93</v>
      </c>
      <c r="E4" s="62" t="s">
        <v>148</v>
      </c>
      <c r="F4" s="40">
        <f>(44*1.08)/1000</f>
        <v>4.752E-2</v>
      </c>
      <c r="G4" s="40">
        <f t="shared" si="0"/>
        <v>9.5039999999999999E-2</v>
      </c>
      <c r="H4" s="58" t="s">
        <v>247</v>
      </c>
      <c r="I4" s="1">
        <f t="shared" ref="I4:I8" si="1">(59.69*1.1*1.025)/1000</f>
        <v>6.7300475000000012E-2</v>
      </c>
      <c r="J4" s="59">
        <f t="shared" ref="J4:J8" si="2">I4*2</f>
        <v>0.13460095000000002</v>
      </c>
      <c r="K4" s="75" t="s">
        <v>255</v>
      </c>
      <c r="L4" s="76">
        <v>0.03</v>
      </c>
      <c r="M4" s="77">
        <v>5.3999999999999999E-2</v>
      </c>
      <c r="N4" s="1" t="s">
        <v>386</v>
      </c>
      <c r="O4" s="1"/>
      <c r="P4" s="1"/>
      <c r="Q4" s="1" t="s">
        <v>393</v>
      </c>
      <c r="R4" s="1"/>
      <c r="S4" s="1"/>
      <c r="T4" s="1" t="s">
        <v>400</v>
      </c>
      <c r="U4" s="1"/>
      <c r="V4" s="1"/>
    </row>
    <row r="5" spans="1:22" ht="17.25" customHeight="1">
      <c r="A5" t="s">
        <v>243</v>
      </c>
      <c r="B5" s="5" t="s">
        <v>205</v>
      </c>
      <c r="C5" s="6">
        <v>0.37</v>
      </c>
      <c r="D5" s="7">
        <v>0.74</v>
      </c>
      <c r="E5" s="62" t="s">
        <v>149</v>
      </c>
      <c r="F5" s="40">
        <f>(44*1.08)/1000</f>
        <v>4.752E-2</v>
      </c>
      <c r="G5" s="40">
        <f t="shared" si="0"/>
        <v>9.5039999999999999E-2</v>
      </c>
      <c r="H5" s="58" t="s">
        <v>248</v>
      </c>
      <c r="I5" s="1">
        <f>(59.69*1.1*1.025)/1000</f>
        <v>6.7300475000000012E-2</v>
      </c>
      <c r="J5" s="59">
        <f t="shared" si="2"/>
        <v>0.13460095000000002</v>
      </c>
      <c r="K5" s="75" t="s">
        <v>256</v>
      </c>
      <c r="L5" s="76">
        <v>5.6000000000000001E-2</v>
      </c>
      <c r="M5" s="77">
        <v>0.1008</v>
      </c>
      <c r="N5" s="1" t="s">
        <v>387</v>
      </c>
      <c r="O5" s="1"/>
      <c r="P5" s="1"/>
      <c r="Q5" s="1" t="s">
        <v>394</v>
      </c>
      <c r="R5" s="1"/>
      <c r="S5" s="1"/>
      <c r="T5" s="1" t="s">
        <v>401</v>
      </c>
      <c r="U5" s="1"/>
      <c r="V5" s="1"/>
    </row>
    <row r="6" spans="1:22" ht="13.5" customHeight="1">
      <c r="A6" t="s">
        <v>410</v>
      </c>
      <c r="B6" s="5" t="s">
        <v>0</v>
      </c>
      <c r="C6" s="6">
        <v>2.2599999999999998</v>
      </c>
      <c r="D6" s="7">
        <v>4.51</v>
      </c>
      <c r="E6" s="62" t="s">
        <v>150</v>
      </c>
      <c r="F6" s="40">
        <f>(80*1.08)/1000</f>
        <v>8.6400000000000005E-2</v>
      </c>
      <c r="G6" s="40">
        <f t="shared" si="0"/>
        <v>0.17280000000000001</v>
      </c>
      <c r="H6" s="58" t="s">
        <v>249</v>
      </c>
      <c r="I6" s="1">
        <f t="shared" si="1"/>
        <v>6.7300475000000012E-2</v>
      </c>
      <c r="J6" s="59">
        <f t="shared" si="2"/>
        <v>0.13460095000000002</v>
      </c>
      <c r="K6" s="75" t="s">
        <v>257</v>
      </c>
      <c r="L6" s="76">
        <v>8.2000000000000003E-2</v>
      </c>
      <c r="M6" s="77">
        <v>0.14760000000000001</v>
      </c>
      <c r="N6" s="1" t="s">
        <v>388</v>
      </c>
      <c r="O6" s="1"/>
      <c r="P6" s="1"/>
      <c r="Q6" s="1" t="s">
        <v>395</v>
      </c>
      <c r="R6" s="1"/>
      <c r="S6" s="1"/>
      <c r="T6" s="1" t="s">
        <v>402</v>
      </c>
      <c r="U6" s="1"/>
      <c r="V6" s="1"/>
    </row>
    <row r="7" spans="1:22" ht="14.25" customHeight="1">
      <c r="A7" t="s">
        <v>383</v>
      </c>
      <c r="B7" s="5" t="s">
        <v>1</v>
      </c>
      <c r="C7" s="6">
        <v>0.21</v>
      </c>
      <c r="D7" s="7">
        <v>0.42</v>
      </c>
      <c r="E7" s="62" t="s">
        <v>151</v>
      </c>
      <c r="F7" s="40">
        <f>(52*1.08)/1000</f>
        <v>5.6160000000000002E-2</v>
      </c>
      <c r="G7" s="40">
        <f t="shared" si="0"/>
        <v>0.11232</v>
      </c>
      <c r="H7" s="58" t="s">
        <v>250</v>
      </c>
      <c r="I7" s="1">
        <f t="shared" si="1"/>
        <v>6.7300475000000012E-2</v>
      </c>
      <c r="J7" s="59">
        <f t="shared" si="2"/>
        <v>0.13460095000000002</v>
      </c>
      <c r="K7" s="75" t="s">
        <v>258</v>
      </c>
      <c r="L7" s="76">
        <v>3.1E-2</v>
      </c>
      <c r="M7" s="77">
        <v>5.5800000000000002E-2</v>
      </c>
      <c r="N7" s="1" t="s">
        <v>389</v>
      </c>
      <c r="O7" s="1"/>
      <c r="P7" s="1"/>
      <c r="Q7" s="1" t="s">
        <v>396</v>
      </c>
      <c r="R7" s="1"/>
      <c r="S7" s="1"/>
      <c r="T7" s="1" t="s">
        <v>403</v>
      </c>
      <c r="U7" s="1"/>
      <c r="V7" s="1"/>
    </row>
    <row r="8" spans="1:22" ht="29">
      <c r="A8" t="s">
        <v>411</v>
      </c>
      <c r="B8" s="5" t="s">
        <v>2</v>
      </c>
      <c r="C8" s="6">
        <v>0.51</v>
      </c>
      <c r="D8" s="7">
        <v>1.02</v>
      </c>
      <c r="E8" s="63" t="s">
        <v>230</v>
      </c>
      <c r="F8" s="40">
        <f>(41*1.08)/1000</f>
        <v>4.428E-2</v>
      </c>
      <c r="G8" s="40">
        <f t="shared" si="0"/>
        <v>8.856E-2</v>
      </c>
      <c r="H8" s="58" t="s">
        <v>251</v>
      </c>
      <c r="I8" s="1">
        <f t="shared" si="1"/>
        <v>6.7300475000000012E-2</v>
      </c>
      <c r="J8" s="59">
        <f t="shared" si="2"/>
        <v>0.13460095000000002</v>
      </c>
      <c r="K8" s="75" t="s">
        <v>259</v>
      </c>
      <c r="L8" s="76">
        <v>4.2999999999999997E-2</v>
      </c>
      <c r="M8" s="77">
        <v>7.7399999999999997E-2</v>
      </c>
      <c r="N8" s="1" t="s">
        <v>390</v>
      </c>
      <c r="O8" s="1"/>
      <c r="P8" s="1"/>
      <c r="Q8" s="1" t="s">
        <v>397</v>
      </c>
      <c r="R8" s="1"/>
      <c r="S8" s="1"/>
      <c r="T8" s="1" t="s">
        <v>404</v>
      </c>
      <c r="U8" s="1"/>
      <c r="V8" s="1"/>
    </row>
    <row r="9" spans="1:22" ht="29">
      <c r="A9" t="s">
        <v>384</v>
      </c>
      <c r="B9" s="5" t="s">
        <v>3</v>
      </c>
      <c r="C9" s="6">
        <v>0.35</v>
      </c>
      <c r="D9" s="7">
        <v>0.7</v>
      </c>
      <c r="E9" s="62" t="s">
        <v>231</v>
      </c>
      <c r="F9" s="40">
        <f>(64*1.08)/1000</f>
        <v>6.9120000000000001E-2</v>
      </c>
      <c r="G9" s="40">
        <f t="shared" si="0"/>
        <v>0.13824</v>
      </c>
      <c r="K9" s="75" t="s">
        <v>260</v>
      </c>
      <c r="L9" s="76">
        <v>2.7E-2</v>
      </c>
      <c r="M9" s="77">
        <v>4.8599999999999997E-2</v>
      </c>
      <c r="N9" s="1" t="s">
        <v>391</v>
      </c>
      <c r="O9" s="1"/>
      <c r="P9" s="1"/>
      <c r="Q9" s="1" t="s">
        <v>398</v>
      </c>
      <c r="R9" s="1"/>
      <c r="S9" s="1"/>
      <c r="T9" s="1" t="s">
        <v>405</v>
      </c>
      <c r="U9" s="1"/>
      <c r="V9" s="1"/>
    </row>
    <row r="10" spans="1:22" ht="29">
      <c r="B10" s="5" t="s">
        <v>4</v>
      </c>
      <c r="C10" s="6">
        <v>0.13730000000000001</v>
      </c>
      <c r="D10" s="7">
        <v>0.27</v>
      </c>
      <c r="E10" s="62" t="s">
        <v>152</v>
      </c>
      <c r="F10" s="40">
        <f>(49*1.08)/1000</f>
        <v>5.2920000000000002E-2</v>
      </c>
      <c r="G10" s="40">
        <f t="shared" si="0"/>
        <v>0.10584</v>
      </c>
      <c r="K10" s="75" t="s">
        <v>261</v>
      </c>
      <c r="L10" s="76">
        <v>3.5999999999999997E-2</v>
      </c>
      <c r="M10" s="77">
        <v>6.4799999999999996E-2</v>
      </c>
    </row>
    <row r="11" spans="1:22" ht="29">
      <c r="B11" s="5" t="s">
        <v>5</v>
      </c>
      <c r="C11" s="6">
        <v>0.33</v>
      </c>
      <c r="D11" s="7">
        <v>0.67</v>
      </c>
      <c r="E11" s="62" t="s">
        <v>153</v>
      </c>
      <c r="F11" s="40">
        <f>(57*1.08)/1000</f>
        <v>6.1560000000000004E-2</v>
      </c>
      <c r="G11" s="40">
        <f t="shared" si="0"/>
        <v>0.12312000000000001</v>
      </c>
      <c r="K11" s="75" t="s">
        <v>262</v>
      </c>
      <c r="L11" s="76">
        <v>3.3000000000000002E-2</v>
      </c>
      <c r="M11" s="77">
        <v>5.9400000000000001E-2</v>
      </c>
    </row>
    <row r="12" spans="1:22">
      <c r="B12" s="5" t="s">
        <v>6</v>
      </c>
      <c r="C12" s="6">
        <v>0.28999999999999998</v>
      </c>
      <c r="D12" s="7">
        <v>0.57999999999999996</v>
      </c>
      <c r="E12" s="62" t="s">
        <v>154</v>
      </c>
      <c r="F12" s="40">
        <f>(44*1.08)/1000</f>
        <v>4.752E-2</v>
      </c>
      <c r="G12" s="40">
        <f t="shared" si="0"/>
        <v>9.5039999999999999E-2</v>
      </c>
      <c r="K12" s="75" t="s">
        <v>263</v>
      </c>
      <c r="L12" s="76">
        <v>3.5999999999999997E-2</v>
      </c>
      <c r="M12" s="77">
        <v>6.4799999999999996E-2</v>
      </c>
    </row>
    <row r="13" spans="1:22">
      <c r="B13" s="5" t="s">
        <v>7</v>
      </c>
      <c r="C13" s="6">
        <v>0.05</v>
      </c>
      <c r="D13" s="7">
        <v>0.1</v>
      </c>
      <c r="E13" s="62" t="s">
        <v>155</v>
      </c>
      <c r="F13" s="40">
        <f>(44*1.08)/1000</f>
        <v>4.752E-2</v>
      </c>
      <c r="G13" s="40">
        <f t="shared" si="0"/>
        <v>9.5039999999999999E-2</v>
      </c>
      <c r="K13" s="75" t="s">
        <v>264</v>
      </c>
      <c r="L13" s="76">
        <v>2.7E-2</v>
      </c>
      <c r="M13" s="77">
        <v>4.8599999999999997E-2</v>
      </c>
    </row>
    <row r="14" spans="1:22">
      <c r="B14" s="5" t="s">
        <v>8</v>
      </c>
      <c r="C14" s="6">
        <v>18.54</v>
      </c>
      <c r="D14" s="7">
        <v>37.1</v>
      </c>
      <c r="E14" s="62" t="s">
        <v>156</v>
      </c>
      <c r="F14" s="40">
        <f>(41*1.08)/1000</f>
        <v>4.428E-2</v>
      </c>
      <c r="G14" s="40">
        <f t="shared" si="0"/>
        <v>8.856E-2</v>
      </c>
      <c r="K14" s="75" t="s">
        <v>265</v>
      </c>
      <c r="L14" s="76">
        <v>2.3E-2</v>
      </c>
      <c r="M14" s="77">
        <v>4.1399999999999999E-2</v>
      </c>
    </row>
    <row r="15" spans="1:22" ht="29">
      <c r="B15" s="5" t="s">
        <v>9</v>
      </c>
      <c r="C15" s="6">
        <v>0.20799999999999999</v>
      </c>
      <c r="D15" s="7">
        <v>0.53500000000000003</v>
      </c>
      <c r="E15" s="62" t="s">
        <v>232</v>
      </c>
      <c r="F15" s="40">
        <f>(84*1.08)/1000</f>
        <v>9.0719999999999995E-2</v>
      </c>
      <c r="G15" s="40">
        <f t="shared" si="0"/>
        <v>0.18143999999999999</v>
      </c>
      <c r="K15" s="75" t="s">
        <v>266</v>
      </c>
      <c r="L15" s="76">
        <v>3.1E-2</v>
      </c>
      <c r="M15" s="77">
        <v>5.5800000000000002E-2</v>
      </c>
    </row>
    <row r="16" spans="1:22">
      <c r="B16" s="5" t="s">
        <v>10</v>
      </c>
      <c r="C16" s="6">
        <v>0.46</v>
      </c>
      <c r="D16" s="7">
        <v>0.92</v>
      </c>
      <c r="E16" s="62" t="s">
        <v>157</v>
      </c>
      <c r="F16" s="40">
        <f>(59*1.08)/1000</f>
        <v>6.3720000000000013E-2</v>
      </c>
      <c r="G16" s="40">
        <f t="shared" si="0"/>
        <v>0.12744000000000003</v>
      </c>
      <c r="K16" s="75" t="s">
        <v>267</v>
      </c>
      <c r="L16" s="76">
        <v>2.7E-2</v>
      </c>
      <c r="M16" s="77">
        <v>4.8599999999999997E-2</v>
      </c>
    </row>
    <row r="17" spans="2:13" ht="29">
      <c r="B17" s="5" t="s">
        <v>11</v>
      </c>
      <c r="C17" s="6">
        <v>0.107</v>
      </c>
      <c r="D17" s="7">
        <v>0.214</v>
      </c>
      <c r="E17" s="64" t="s">
        <v>158</v>
      </c>
      <c r="F17" s="40">
        <f>(52*1.08)/1000</f>
        <v>5.6160000000000002E-2</v>
      </c>
      <c r="G17" s="40">
        <f t="shared" si="0"/>
        <v>0.11232</v>
      </c>
      <c r="K17" s="75" t="s">
        <v>268</v>
      </c>
      <c r="L17" s="76">
        <v>5.0999999999999997E-2</v>
      </c>
      <c r="M17" s="77">
        <v>9.1800000000000007E-2</v>
      </c>
    </row>
    <row r="18" spans="2:13" ht="29">
      <c r="B18" s="5" t="s">
        <v>12</v>
      </c>
      <c r="C18" s="6">
        <v>0.4</v>
      </c>
      <c r="D18" s="7">
        <v>0.8</v>
      </c>
      <c r="E18" s="51" t="s">
        <v>252</v>
      </c>
      <c r="F18" s="52">
        <f>(49*1.08)/1000</f>
        <v>5.2920000000000002E-2</v>
      </c>
      <c r="G18" s="40">
        <f t="shared" si="0"/>
        <v>0.10584</v>
      </c>
      <c r="K18" s="75" t="s">
        <v>269</v>
      </c>
      <c r="L18" s="76">
        <v>2.3E-2</v>
      </c>
      <c r="M18" s="77">
        <v>4.1399999999999999E-2</v>
      </c>
    </row>
    <row r="19" spans="2:13" ht="29">
      <c r="B19" s="83" t="s">
        <v>13</v>
      </c>
      <c r="C19" s="84">
        <v>0.33</v>
      </c>
      <c r="D19" s="85">
        <v>0.65</v>
      </c>
      <c r="E19" s="63" t="s">
        <v>159</v>
      </c>
      <c r="F19" s="40">
        <f>(44*1.08)/1000</f>
        <v>4.752E-2</v>
      </c>
      <c r="G19" s="40">
        <f t="shared" si="0"/>
        <v>9.5039999999999999E-2</v>
      </c>
      <c r="K19" s="75" t="s">
        <v>270</v>
      </c>
      <c r="L19" s="76">
        <v>1.9E-2</v>
      </c>
      <c r="M19" s="77">
        <v>3.4200000000000001E-2</v>
      </c>
    </row>
    <row r="20" spans="2:13" ht="29">
      <c r="B20" s="5" t="s">
        <v>14</v>
      </c>
      <c r="C20" s="6">
        <v>0.32</v>
      </c>
      <c r="D20" s="7">
        <v>0.64</v>
      </c>
      <c r="E20" s="62" t="s">
        <v>160</v>
      </c>
      <c r="F20" s="40">
        <f>(57*1.08)/1000</f>
        <v>6.1560000000000004E-2</v>
      </c>
      <c r="G20" s="40">
        <f t="shared" si="0"/>
        <v>0.12312000000000001</v>
      </c>
      <c r="K20" s="75" t="s">
        <v>271</v>
      </c>
      <c r="L20" s="76">
        <v>0.03</v>
      </c>
      <c r="M20" s="77">
        <v>5.3999999999999999E-2</v>
      </c>
    </row>
    <row r="21" spans="2:13" ht="29">
      <c r="B21" s="5" t="s">
        <v>15</v>
      </c>
      <c r="C21" s="6">
        <v>0.36</v>
      </c>
      <c r="D21" s="7">
        <v>0.72</v>
      </c>
      <c r="E21" s="62" t="s">
        <v>161</v>
      </c>
      <c r="F21" s="40">
        <f>(49*1.08)/1000</f>
        <v>5.2920000000000002E-2</v>
      </c>
      <c r="G21" s="40">
        <f t="shared" si="0"/>
        <v>0.10584</v>
      </c>
      <c r="K21" s="75" t="s">
        <v>272</v>
      </c>
      <c r="L21" s="76">
        <v>2.4E-2</v>
      </c>
      <c r="M21" s="77">
        <v>4.3200000000000002E-2</v>
      </c>
    </row>
    <row r="22" spans="2:13">
      <c r="B22" s="5" t="s">
        <v>16</v>
      </c>
      <c r="C22" s="6">
        <v>0.15</v>
      </c>
      <c r="D22" s="7">
        <v>0.31</v>
      </c>
      <c r="E22" s="62" t="s">
        <v>162</v>
      </c>
      <c r="F22" s="40">
        <f>(44*1.08)/1000</f>
        <v>4.752E-2</v>
      </c>
      <c r="G22" s="40">
        <f t="shared" si="0"/>
        <v>9.5039999999999999E-2</v>
      </c>
      <c r="K22" s="75" t="s">
        <v>273</v>
      </c>
      <c r="L22" s="76">
        <v>0.02</v>
      </c>
      <c r="M22" s="77">
        <v>3.5999999999999997E-2</v>
      </c>
    </row>
    <row r="23" spans="2:13">
      <c r="B23" s="5" t="s">
        <v>17</v>
      </c>
      <c r="C23" s="6">
        <v>9.9000000000000005E-2</v>
      </c>
      <c r="D23" s="7">
        <v>0.2</v>
      </c>
      <c r="E23" s="62" t="s">
        <v>163</v>
      </c>
      <c r="F23" s="40">
        <f>(44*1.08)/1000</f>
        <v>4.752E-2</v>
      </c>
      <c r="G23" s="40">
        <f t="shared" si="0"/>
        <v>9.5039999999999999E-2</v>
      </c>
      <c r="K23" s="75" t="s">
        <v>274</v>
      </c>
      <c r="L23" s="76">
        <v>2.5999999999999999E-2</v>
      </c>
      <c r="M23" s="77">
        <v>4.6800000000000001E-2</v>
      </c>
    </row>
    <row r="24" spans="2:13" ht="29">
      <c r="B24" s="5" t="s">
        <v>18</v>
      </c>
      <c r="C24" s="6">
        <v>5.1999999999999998E-2</v>
      </c>
      <c r="D24" s="7">
        <v>0.105</v>
      </c>
      <c r="E24" s="62" t="s">
        <v>233</v>
      </c>
      <c r="F24" s="40">
        <f>(64*1.08)/1000</f>
        <v>6.9120000000000001E-2</v>
      </c>
      <c r="G24" s="40">
        <f t="shared" si="0"/>
        <v>0.13824</v>
      </c>
      <c r="K24" s="75" t="s">
        <v>275</v>
      </c>
      <c r="L24" s="76">
        <v>4.5999999999999999E-2</v>
      </c>
      <c r="M24" s="77">
        <v>8.2799999999999999E-2</v>
      </c>
    </row>
    <row r="25" spans="2:13">
      <c r="B25" s="5" t="s">
        <v>406</v>
      </c>
      <c r="C25" s="82">
        <v>4.7827999999999999</v>
      </c>
      <c r="D25" s="7">
        <f>C25*2</f>
        <v>9.5655999999999999</v>
      </c>
      <c r="E25" s="62"/>
      <c r="F25" s="40"/>
      <c r="G25" s="40"/>
      <c r="K25" s="75"/>
      <c r="L25" s="76"/>
      <c r="M25" s="77"/>
    </row>
    <row r="26" spans="2:13" ht="29">
      <c r="B26" s="5" t="s">
        <v>19</v>
      </c>
      <c r="C26" s="6">
        <v>0.26</v>
      </c>
      <c r="D26" s="7">
        <v>0.52</v>
      </c>
      <c r="E26" s="62" t="s">
        <v>164</v>
      </c>
      <c r="F26" s="40">
        <f>(41*1.08)/1000</f>
        <v>4.428E-2</v>
      </c>
      <c r="G26" s="40">
        <f t="shared" si="0"/>
        <v>8.856E-2</v>
      </c>
      <c r="K26" s="75" t="s">
        <v>276</v>
      </c>
      <c r="L26" s="76">
        <v>1.4E-2</v>
      </c>
      <c r="M26" s="77">
        <v>2.52E-2</v>
      </c>
    </row>
    <row r="27" spans="2:13" ht="29">
      <c r="B27" s="5" t="s">
        <v>20</v>
      </c>
      <c r="C27" s="6">
        <v>0.25</v>
      </c>
      <c r="D27" s="7">
        <v>0.51</v>
      </c>
      <c r="E27" s="63" t="s">
        <v>165</v>
      </c>
      <c r="F27" s="40">
        <f>(41*1.08)/1000</f>
        <v>4.428E-2</v>
      </c>
      <c r="G27" s="40">
        <f t="shared" si="0"/>
        <v>8.856E-2</v>
      </c>
      <c r="K27" s="75" t="s">
        <v>277</v>
      </c>
      <c r="L27" s="76">
        <v>1.9E-2</v>
      </c>
      <c r="M27" s="77">
        <v>3.4200000000000001E-2</v>
      </c>
    </row>
    <row r="28" spans="2:13" ht="29">
      <c r="B28" s="5" t="s">
        <v>21</v>
      </c>
      <c r="C28" s="6">
        <v>0.73</v>
      </c>
      <c r="D28" s="7">
        <v>1.46</v>
      </c>
      <c r="E28" s="62" t="s">
        <v>166</v>
      </c>
      <c r="F28" s="40">
        <f>(44*1.08)/1000</f>
        <v>4.752E-2</v>
      </c>
      <c r="G28" s="40">
        <f t="shared" si="0"/>
        <v>9.5039999999999999E-2</v>
      </c>
      <c r="K28" s="75" t="s">
        <v>278</v>
      </c>
      <c r="L28" s="76">
        <v>2.3E-2</v>
      </c>
      <c r="M28" s="77">
        <v>4.1399999999999999E-2</v>
      </c>
    </row>
    <row r="29" spans="2:13" ht="29">
      <c r="B29" s="5" t="s">
        <v>22</v>
      </c>
      <c r="C29" s="6" t="s">
        <v>23</v>
      </c>
      <c r="D29" s="7" t="s">
        <v>23</v>
      </c>
      <c r="E29" s="65" t="s">
        <v>167</v>
      </c>
      <c r="F29" s="40">
        <f>(44*1.08)/1000</f>
        <v>4.752E-2</v>
      </c>
      <c r="G29" s="40">
        <f t="shared" si="0"/>
        <v>9.5039999999999999E-2</v>
      </c>
      <c r="K29" s="75" t="s">
        <v>279</v>
      </c>
      <c r="L29" s="76">
        <v>2.1999999999999999E-2</v>
      </c>
      <c r="M29" s="77">
        <v>3.9600000000000003E-2</v>
      </c>
    </row>
    <row r="30" spans="2:13" ht="29">
      <c r="B30" s="5" t="s">
        <v>24</v>
      </c>
      <c r="C30" s="6">
        <v>0.32200000000000001</v>
      </c>
      <c r="D30" s="7">
        <v>0.65</v>
      </c>
      <c r="E30" s="62" t="s">
        <v>168</v>
      </c>
      <c r="F30" s="53">
        <f>(64*1.08)/1000</f>
        <v>6.9120000000000001E-2</v>
      </c>
      <c r="G30" s="40">
        <f t="shared" si="0"/>
        <v>0.13824</v>
      </c>
      <c r="K30" s="75" t="s">
        <v>280</v>
      </c>
      <c r="L30" s="76">
        <v>3.1E-2</v>
      </c>
      <c r="M30" s="77">
        <v>5.5800000000000002E-2</v>
      </c>
    </row>
    <row r="31" spans="2:13" ht="29">
      <c r="B31" s="5" t="s">
        <v>25</v>
      </c>
      <c r="C31" s="6">
        <v>0.5</v>
      </c>
      <c r="D31" s="7">
        <v>1</v>
      </c>
      <c r="E31" s="60" t="s">
        <v>234</v>
      </c>
      <c r="F31" s="49">
        <f>(44*1.08)/1000</f>
        <v>4.752E-2</v>
      </c>
      <c r="G31" s="48">
        <f t="shared" si="0"/>
        <v>9.5039999999999999E-2</v>
      </c>
      <c r="K31" s="75" t="s">
        <v>281</v>
      </c>
      <c r="L31" s="76">
        <v>3.1E-2</v>
      </c>
      <c r="M31" s="77">
        <v>5.5800000000000002E-2</v>
      </c>
    </row>
    <row r="32" spans="2:13" ht="29">
      <c r="B32" s="5" t="s">
        <v>26</v>
      </c>
      <c r="C32" s="6">
        <v>1.4</v>
      </c>
      <c r="D32" s="7">
        <v>2.8</v>
      </c>
      <c r="E32" s="61" t="s">
        <v>235</v>
      </c>
      <c r="F32" s="41">
        <f>(27.85*1.08)/125</f>
        <v>0.24062400000000003</v>
      </c>
      <c r="G32" s="40">
        <f t="shared" si="0"/>
        <v>0.48124800000000006</v>
      </c>
      <c r="K32" s="75" t="s">
        <v>282</v>
      </c>
      <c r="L32" s="76">
        <v>2.5999999999999999E-2</v>
      </c>
      <c r="M32" s="77">
        <v>4.6800000000000001E-2</v>
      </c>
    </row>
    <row r="33" spans="2:13" ht="29">
      <c r="B33" s="5" t="s">
        <v>27</v>
      </c>
      <c r="C33" s="6">
        <v>0.43</v>
      </c>
      <c r="D33" s="7">
        <v>0.86</v>
      </c>
      <c r="E33" s="66" t="s">
        <v>169</v>
      </c>
      <c r="F33" s="50">
        <f>(59*1.08)/1000</f>
        <v>6.3720000000000013E-2</v>
      </c>
      <c r="G33" s="40">
        <f t="shared" si="0"/>
        <v>0.12744000000000003</v>
      </c>
      <c r="K33" s="75" t="s">
        <v>283</v>
      </c>
      <c r="L33" s="76">
        <v>3.3000000000000002E-2</v>
      </c>
      <c r="M33" s="77">
        <v>5.9400000000000001E-2</v>
      </c>
    </row>
    <row r="34" spans="2:13">
      <c r="B34" s="5" t="s">
        <v>28</v>
      </c>
      <c r="C34" s="6">
        <v>0.51</v>
      </c>
      <c r="D34" s="7">
        <v>1.01</v>
      </c>
      <c r="E34" s="66" t="s">
        <v>170</v>
      </c>
      <c r="F34" s="43">
        <f>(52*1.08)/1000</f>
        <v>5.6160000000000002E-2</v>
      </c>
      <c r="G34" s="40">
        <f t="shared" si="0"/>
        <v>0.11232</v>
      </c>
      <c r="K34" s="75" t="s">
        <v>284</v>
      </c>
      <c r="L34" s="76">
        <v>2.9000000000000001E-2</v>
      </c>
      <c r="M34" s="77">
        <v>5.2200000000000003E-2</v>
      </c>
    </row>
    <row r="35" spans="2:13">
      <c r="B35" s="5" t="s">
        <v>29</v>
      </c>
      <c r="C35" s="6">
        <v>0.54</v>
      </c>
      <c r="D35" s="7">
        <v>1.0900000000000001</v>
      </c>
      <c r="E35" s="66" t="s">
        <v>171</v>
      </c>
      <c r="F35" s="44">
        <f>(41*1.08)/1000</f>
        <v>4.428E-2</v>
      </c>
      <c r="G35" s="40">
        <f t="shared" si="0"/>
        <v>8.856E-2</v>
      </c>
      <c r="K35" s="75" t="s">
        <v>285</v>
      </c>
      <c r="L35" s="76">
        <v>3.1E-2</v>
      </c>
      <c r="M35" s="77">
        <v>5.5800000000000002E-2</v>
      </c>
    </row>
    <row r="36" spans="2:13" ht="29">
      <c r="B36" s="5" t="s">
        <v>30</v>
      </c>
      <c r="C36" s="6">
        <v>0.38800000000000001</v>
      </c>
      <c r="D36" s="7">
        <v>0.77600000000000002</v>
      </c>
      <c r="E36" s="66" t="s">
        <v>172</v>
      </c>
      <c r="F36" s="41">
        <f>(44*1.08)/1000</f>
        <v>4.752E-2</v>
      </c>
      <c r="G36" s="40">
        <f t="shared" ref="G36:G67" si="3">F36*2</f>
        <v>9.5039999999999999E-2</v>
      </c>
      <c r="K36" s="75" t="s">
        <v>286</v>
      </c>
      <c r="L36" s="76">
        <v>2.3E-2</v>
      </c>
      <c r="M36" s="77">
        <v>4.1399999999999999E-2</v>
      </c>
    </row>
    <row r="37" spans="2:13" ht="29">
      <c r="B37" s="5" t="s">
        <v>31</v>
      </c>
      <c r="C37" s="6">
        <v>9.2999999999999999E-2</v>
      </c>
      <c r="D37" s="7">
        <v>0.186</v>
      </c>
      <c r="E37" s="66" t="s">
        <v>236</v>
      </c>
      <c r="F37" s="41">
        <f>(49*1.08)/1000</f>
        <v>5.2920000000000002E-2</v>
      </c>
      <c r="G37" s="40">
        <f t="shared" si="3"/>
        <v>0.10584</v>
      </c>
      <c r="K37" s="75" t="s">
        <v>287</v>
      </c>
      <c r="L37" s="76">
        <v>3.1E-2</v>
      </c>
      <c r="M37" s="77">
        <v>6.3E-2</v>
      </c>
    </row>
    <row r="38" spans="2:13" ht="29">
      <c r="B38" s="5" t="s">
        <v>32</v>
      </c>
      <c r="C38" s="6">
        <v>0.51</v>
      </c>
      <c r="D38" s="7">
        <v>1.01</v>
      </c>
      <c r="E38" s="66" t="s">
        <v>245</v>
      </c>
      <c r="F38" s="41">
        <f>(44*1.08)/1000</f>
        <v>4.752E-2</v>
      </c>
      <c r="G38" s="40">
        <f t="shared" si="3"/>
        <v>9.5039999999999999E-2</v>
      </c>
      <c r="K38" s="75" t="s">
        <v>288</v>
      </c>
      <c r="L38" s="76">
        <v>6.5000000000000002E-2</v>
      </c>
      <c r="M38" s="77">
        <v>0.11700000000000001</v>
      </c>
    </row>
    <row r="39" spans="2:13">
      <c r="B39" s="5" t="s">
        <v>33</v>
      </c>
      <c r="C39" s="6">
        <v>0.09</v>
      </c>
      <c r="D39" s="7">
        <v>0.18</v>
      </c>
      <c r="E39" s="65" t="s">
        <v>237</v>
      </c>
      <c r="F39" s="41">
        <f>(44*1.08)/1000</f>
        <v>4.752E-2</v>
      </c>
      <c r="G39" s="40">
        <f t="shared" si="3"/>
        <v>9.5039999999999999E-2</v>
      </c>
      <c r="K39" s="75" t="s">
        <v>289</v>
      </c>
      <c r="L39" s="76">
        <v>0.02</v>
      </c>
      <c r="M39" s="77">
        <v>3.5999999999999997E-2</v>
      </c>
    </row>
    <row r="40" spans="2:13" ht="29">
      <c r="B40" s="5" t="s">
        <v>34</v>
      </c>
      <c r="C40" s="6">
        <v>0.33600000000000002</v>
      </c>
      <c r="D40" s="7">
        <v>0.67200000000000004</v>
      </c>
      <c r="E40" s="66" t="s">
        <v>238</v>
      </c>
      <c r="F40" s="41">
        <f>(39.75*1.08)/125</f>
        <v>0.34344000000000002</v>
      </c>
      <c r="G40" s="40">
        <f t="shared" si="3"/>
        <v>0.68688000000000005</v>
      </c>
      <c r="K40" s="75" t="s">
        <v>290</v>
      </c>
      <c r="L40" s="76">
        <v>7.6999999999999999E-2</v>
      </c>
      <c r="M40" s="77">
        <v>0.1386</v>
      </c>
    </row>
    <row r="41" spans="2:13">
      <c r="B41" s="5" t="s">
        <v>35</v>
      </c>
      <c r="C41" s="6">
        <v>0.26800000000000002</v>
      </c>
      <c r="D41" s="7">
        <v>0.54</v>
      </c>
      <c r="E41" s="66" t="s">
        <v>173</v>
      </c>
      <c r="F41" s="41">
        <f>(44*1.08)/1000</f>
        <v>4.752E-2</v>
      </c>
      <c r="G41" s="40">
        <f t="shared" si="3"/>
        <v>9.5039999999999999E-2</v>
      </c>
      <c r="K41" s="75" t="s">
        <v>291</v>
      </c>
      <c r="L41" s="76">
        <v>1.2999999999999999E-2</v>
      </c>
      <c r="M41" s="77">
        <v>2.3400000000000001E-2</v>
      </c>
    </row>
    <row r="42" spans="2:13" ht="29">
      <c r="B42" s="5" t="s">
        <v>36</v>
      </c>
      <c r="C42" s="6">
        <v>0.104</v>
      </c>
      <c r="D42" s="7">
        <v>0.20799999999999999</v>
      </c>
      <c r="E42" s="66" t="s">
        <v>174</v>
      </c>
      <c r="F42" s="41">
        <f>(44*1.08)/1000</f>
        <v>4.752E-2</v>
      </c>
      <c r="G42" s="40">
        <f t="shared" si="3"/>
        <v>9.5039999999999999E-2</v>
      </c>
      <c r="K42" s="75" t="s">
        <v>292</v>
      </c>
      <c r="L42" s="76">
        <v>2.3E-2</v>
      </c>
      <c r="M42" s="77">
        <v>4.1399999999999999E-2</v>
      </c>
    </row>
    <row r="43" spans="2:13">
      <c r="B43" s="8" t="s">
        <v>37</v>
      </c>
      <c r="C43" s="9">
        <v>0.1525</v>
      </c>
      <c r="D43" s="10">
        <v>0.31</v>
      </c>
      <c r="E43" s="66" t="s">
        <v>175</v>
      </c>
      <c r="F43" s="41">
        <f>(44*1.08)/1000</f>
        <v>4.752E-2</v>
      </c>
      <c r="G43" s="40">
        <f t="shared" si="3"/>
        <v>9.5039999999999999E-2</v>
      </c>
      <c r="K43" s="75" t="s">
        <v>293</v>
      </c>
      <c r="L43" s="76">
        <v>0.03</v>
      </c>
      <c r="M43" s="77">
        <v>5.3999999999999999E-2</v>
      </c>
    </row>
    <row r="44" spans="2:13">
      <c r="B44" s="5" t="s">
        <v>38</v>
      </c>
      <c r="C44" s="6">
        <v>0.69</v>
      </c>
      <c r="D44" s="7">
        <v>1.38</v>
      </c>
      <c r="E44" s="66" t="s">
        <v>239</v>
      </c>
      <c r="F44" s="41">
        <f>(15.1*1.08)/125</f>
        <v>0.130464</v>
      </c>
      <c r="G44" s="40">
        <f t="shared" si="3"/>
        <v>0.26092799999999999</v>
      </c>
      <c r="K44" s="75" t="s">
        <v>294</v>
      </c>
      <c r="L44" s="76">
        <v>1.9E-2</v>
      </c>
      <c r="M44" s="77">
        <v>3.4200000000000001E-2</v>
      </c>
    </row>
    <row r="45" spans="2:13" ht="29">
      <c r="B45" s="5" t="s">
        <v>39</v>
      </c>
      <c r="C45" s="6">
        <v>0.43</v>
      </c>
      <c r="D45" s="7">
        <v>0.86</v>
      </c>
      <c r="E45" s="45" t="s">
        <v>176</v>
      </c>
      <c r="F45" s="45">
        <f>(52*1.08)/1000</f>
        <v>5.6160000000000002E-2</v>
      </c>
      <c r="G45" s="40">
        <f t="shared" si="3"/>
        <v>0.11232</v>
      </c>
      <c r="K45" s="75" t="s">
        <v>295</v>
      </c>
      <c r="L45" s="76">
        <v>1.2999999999999999E-2</v>
      </c>
      <c r="M45" s="77">
        <v>2.3400000000000001E-2</v>
      </c>
    </row>
    <row r="46" spans="2:13" ht="29">
      <c r="B46" s="5" t="s">
        <v>40</v>
      </c>
      <c r="C46" s="6">
        <v>0.25</v>
      </c>
      <c r="D46" s="7">
        <v>0.5</v>
      </c>
      <c r="E46" s="66" t="s">
        <v>240</v>
      </c>
      <c r="F46" s="41">
        <f>(49*1.08)/1000</f>
        <v>5.2920000000000002E-2</v>
      </c>
      <c r="G46" s="40">
        <f t="shared" si="3"/>
        <v>0.10584</v>
      </c>
      <c r="K46" s="75" t="s">
        <v>296</v>
      </c>
      <c r="L46" s="76">
        <v>3.7999999999999999E-2</v>
      </c>
      <c r="M46" s="77">
        <v>6.8400000000000002E-2</v>
      </c>
    </row>
    <row r="47" spans="2:13" ht="29">
      <c r="B47" s="5" t="s">
        <v>41</v>
      </c>
      <c r="C47" s="6">
        <v>0.42</v>
      </c>
      <c r="D47" s="7">
        <v>0.84</v>
      </c>
      <c r="E47" s="66" t="s">
        <v>177</v>
      </c>
      <c r="F47" s="41">
        <f>(47*1.08)/1000</f>
        <v>5.0760000000000007E-2</v>
      </c>
      <c r="G47" s="40">
        <f t="shared" si="3"/>
        <v>0.10152000000000001</v>
      </c>
      <c r="K47" s="75" t="s">
        <v>297</v>
      </c>
      <c r="L47" s="76">
        <v>0.03</v>
      </c>
      <c r="M47" s="77">
        <v>5.3999999999999999E-2</v>
      </c>
    </row>
    <row r="48" spans="2:13" ht="29">
      <c r="B48" s="5" t="s">
        <v>42</v>
      </c>
      <c r="C48" s="6">
        <v>0.25</v>
      </c>
      <c r="D48" s="7">
        <v>0.49</v>
      </c>
      <c r="E48" s="66" t="s">
        <v>178</v>
      </c>
      <c r="F48" s="41">
        <f>(44*1.08)/1000</f>
        <v>4.752E-2</v>
      </c>
      <c r="G48" s="40">
        <f t="shared" si="3"/>
        <v>9.5039999999999999E-2</v>
      </c>
      <c r="K48" s="75" t="s">
        <v>298</v>
      </c>
      <c r="L48" s="76">
        <v>2.4E-2</v>
      </c>
      <c r="M48" s="77">
        <v>4.3200000000000002E-2</v>
      </c>
    </row>
    <row r="49" spans="2:13" ht="29">
      <c r="B49" s="8" t="s">
        <v>43</v>
      </c>
      <c r="C49" s="9">
        <v>0.26700000000000002</v>
      </c>
      <c r="D49" s="10">
        <v>0.53</v>
      </c>
      <c r="E49" s="66" t="s">
        <v>179</v>
      </c>
      <c r="F49" s="41">
        <f>(49*1.08)/1000</f>
        <v>5.2920000000000002E-2</v>
      </c>
      <c r="G49" s="40">
        <f t="shared" si="3"/>
        <v>0.10584</v>
      </c>
      <c r="K49" s="75" t="s">
        <v>299</v>
      </c>
      <c r="L49" s="76">
        <v>0.03</v>
      </c>
      <c r="M49" s="77">
        <v>5.3999999999999999E-2</v>
      </c>
    </row>
    <row r="50" spans="2:13" ht="29">
      <c r="B50" s="5" t="s">
        <v>44</v>
      </c>
      <c r="C50" s="6">
        <v>0.38</v>
      </c>
      <c r="D50" s="7">
        <v>0.76</v>
      </c>
      <c r="E50" s="66" t="s">
        <v>180</v>
      </c>
      <c r="F50" s="41">
        <f>(57*1.08)/1000</f>
        <v>6.1560000000000004E-2</v>
      </c>
      <c r="G50" s="40">
        <f t="shared" si="3"/>
        <v>0.12312000000000001</v>
      </c>
      <c r="K50" s="75" t="s">
        <v>300</v>
      </c>
      <c r="L50" s="76">
        <v>8.6999999999999994E-2</v>
      </c>
      <c r="M50" s="77">
        <v>0.15659999999999999</v>
      </c>
    </row>
    <row r="51" spans="2:13" ht="29">
      <c r="B51" s="8" t="s">
        <v>45</v>
      </c>
      <c r="C51" s="9">
        <v>0.17499999999999999</v>
      </c>
      <c r="D51" s="10">
        <v>0.35</v>
      </c>
      <c r="E51" s="66" t="s">
        <v>181</v>
      </c>
      <c r="F51" s="41">
        <f>(57*1.08)/1000</f>
        <v>6.1560000000000004E-2</v>
      </c>
      <c r="G51" s="40">
        <f t="shared" si="3"/>
        <v>0.12312000000000001</v>
      </c>
      <c r="K51" s="75" t="s">
        <v>301</v>
      </c>
      <c r="L51" s="76">
        <v>4.1000000000000002E-2</v>
      </c>
      <c r="M51" s="77">
        <v>7.3800000000000004E-2</v>
      </c>
    </row>
    <row r="52" spans="2:13" ht="29">
      <c r="B52" s="5" t="s">
        <v>46</v>
      </c>
      <c r="C52" s="6">
        <v>0.73</v>
      </c>
      <c r="D52" s="7">
        <v>1.46</v>
      </c>
      <c r="E52" s="66" t="s">
        <v>182</v>
      </c>
      <c r="F52" s="41">
        <f>(49*1.08)/1000</f>
        <v>5.2920000000000002E-2</v>
      </c>
      <c r="G52" s="40">
        <f t="shared" si="3"/>
        <v>0.10584</v>
      </c>
      <c r="K52" s="75" t="s">
        <v>302</v>
      </c>
      <c r="L52" s="76">
        <v>0.05</v>
      </c>
      <c r="M52" s="77">
        <v>0.09</v>
      </c>
    </row>
    <row r="53" spans="2:13" ht="29">
      <c r="B53" s="5" t="s">
        <v>47</v>
      </c>
      <c r="C53" s="6" t="s">
        <v>23</v>
      </c>
      <c r="D53" s="7">
        <v>0.18</v>
      </c>
      <c r="E53" s="66" t="s">
        <v>183</v>
      </c>
      <c r="F53" s="41">
        <f>(52*1.08)/1000</f>
        <v>5.6160000000000002E-2</v>
      </c>
      <c r="G53" s="40">
        <f t="shared" si="3"/>
        <v>0.11232</v>
      </c>
      <c r="K53" s="75" t="s">
        <v>303</v>
      </c>
      <c r="L53" s="76">
        <v>8.5999999999999993E-2</v>
      </c>
      <c r="M53" s="77">
        <v>0.15479999999999999</v>
      </c>
    </row>
    <row r="54" spans="2:13">
      <c r="B54" s="5" t="s">
        <v>48</v>
      </c>
      <c r="C54" s="6">
        <v>0.22</v>
      </c>
      <c r="D54" s="7">
        <v>0.43</v>
      </c>
      <c r="E54" s="66" t="s">
        <v>184</v>
      </c>
      <c r="F54" s="41">
        <f>(49*1.08)/1000</f>
        <v>5.2920000000000002E-2</v>
      </c>
      <c r="G54" s="40">
        <f t="shared" si="3"/>
        <v>0.10584</v>
      </c>
      <c r="K54" s="75" t="s">
        <v>304</v>
      </c>
      <c r="L54" s="76">
        <v>4.4999999999999998E-2</v>
      </c>
      <c r="M54" s="77">
        <v>8.1000000000000003E-2</v>
      </c>
    </row>
    <row r="55" spans="2:13" ht="29">
      <c r="B55" s="5" t="s">
        <v>49</v>
      </c>
      <c r="C55" s="6" t="s">
        <v>23</v>
      </c>
      <c r="D55" s="7">
        <v>0</v>
      </c>
      <c r="E55" s="66" t="s">
        <v>185</v>
      </c>
      <c r="F55" s="41">
        <f>(57*1.08)/1000</f>
        <v>6.1560000000000004E-2</v>
      </c>
      <c r="G55" s="40">
        <f t="shared" si="3"/>
        <v>0.12312000000000001</v>
      </c>
      <c r="K55" s="75" t="s">
        <v>305</v>
      </c>
      <c r="L55" s="76">
        <v>2.7E-2</v>
      </c>
      <c r="M55" s="77">
        <v>4.8599999999999997E-2</v>
      </c>
    </row>
    <row r="56" spans="2:13" ht="29">
      <c r="B56" s="5" t="s">
        <v>50</v>
      </c>
      <c r="C56" s="6">
        <v>0.34</v>
      </c>
      <c r="D56" s="7">
        <v>0.68</v>
      </c>
      <c r="E56" s="66" t="s">
        <v>186</v>
      </c>
      <c r="F56" s="41">
        <f>(52*1.08)/1000</f>
        <v>5.6160000000000002E-2</v>
      </c>
      <c r="G56" s="40">
        <f t="shared" si="3"/>
        <v>0.11232</v>
      </c>
      <c r="K56" s="75" t="s">
        <v>306</v>
      </c>
      <c r="L56" s="76">
        <v>3.5000000000000003E-2</v>
      </c>
      <c r="M56" s="77">
        <v>6.3E-2</v>
      </c>
    </row>
    <row r="57" spans="2:13" ht="29">
      <c r="B57" s="5" t="s">
        <v>51</v>
      </c>
      <c r="C57" s="6">
        <v>0.5232</v>
      </c>
      <c r="D57" s="7">
        <v>1.05</v>
      </c>
      <c r="E57" s="51" t="s">
        <v>253</v>
      </c>
      <c r="F57" s="54">
        <f>(44*1.08)/1000</f>
        <v>4.752E-2</v>
      </c>
      <c r="G57" s="40">
        <f t="shared" si="3"/>
        <v>9.5039999999999999E-2</v>
      </c>
      <c r="K57" s="75" t="s">
        <v>307</v>
      </c>
      <c r="L57" s="76">
        <v>1.6E-2</v>
      </c>
      <c r="M57" s="77">
        <v>2.8799999999999999E-2</v>
      </c>
    </row>
    <row r="58" spans="2:13">
      <c r="B58" s="5" t="s">
        <v>52</v>
      </c>
      <c r="C58" s="6">
        <v>0.32</v>
      </c>
      <c r="D58" s="7">
        <v>0.63</v>
      </c>
      <c r="E58" s="66" t="s">
        <v>187</v>
      </c>
      <c r="F58" s="44">
        <f>(41*1.08)/1000</f>
        <v>4.428E-2</v>
      </c>
      <c r="G58" s="40">
        <f t="shared" si="3"/>
        <v>8.856E-2</v>
      </c>
      <c r="K58" s="75" t="s">
        <v>308</v>
      </c>
      <c r="L58" s="76">
        <v>1.4999999999999999E-2</v>
      </c>
      <c r="M58" s="77">
        <v>2.7E-2</v>
      </c>
    </row>
    <row r="59" spans="2:13" ht="29">
      <c r="B59" s="5" t="s">
        <v>53</v>
      </c>
      <c r="C59" s="6">
        <v>0.15</v>
      </c>
      <c r="D59" s="7">
        <v>0.28999999999999998</v>
      </c>
      <c r="E59" s="66" t="s">
        <v>188</v>
      </c>
      <c r="F59" s="41">
        <f>(44*1.08)/1000</f>
        <v>4.752E-2</v>
      </c>
      <c r="G59" s="40">
        <f t="shared" si="3"/>
        <v>9.5039999999999999E-2</v>
      </c>
      <c r="K59" s="75" t="s">
        <v>309</v>
      </c>
      <c r="L59" s="76">
        <v>1.4999999999999999E-2</v>
      </c>
      <c r="M59" s="77">
        <v>2.8000000000000001E-2</v>
      </c>
    </row>
    <row r="60" spans="2:13" ht="29">
      <c r="B60" s="5" t="s">
        <v>54</v>
      </c>
      <c r="C60" s="6">
        <v>0.15</v>
      </c>
      <c r="D60" s="7">
        <v>0.3</v>
      </c>
      <c r="E60" s="66" t="s">
        <v>189</v>
      </c>
      <c r="F60" s="41">
        <f>(59*1.08)/1000</f>
        <v>6.3720000000000013E-2</v>
      </c>
      <c r="G60" s="40">
        <f t="shared" si="3"/>
        <v>0.12744000000000003</v>
      </c>
      <c r="K60" s="75" t="s">
        <v>310</v>
      </c>
      <c r="L60" s="76">
        <v>1.2E-2</v>
      </c>
      <c r="M60" s="77">
        <v>2.1600000000000001E-2</v>
      </c>
    </row>
    <row r="61" spans="2:13" ht="29.5" thickBot="1">
      <c r="B61" s="5" t="s">
        <v>55</v>
      </c>
      <c r="C61" s="6">
        <v>0.28000000000000003</v>
      </c>
      <c r="D61" s="7">
        <v>0.56000000000000005</v>
      </c>
      <c r="E61" s="66" t="s">
        <v>190</v>
      </c>
      <c r="F61" s="42">
        <f>(44*1.08)/1000</f>
        <v>4.752E-2</v>
      </c>
      <c r="G61" s="40">
        <f t="shared" si="3"/>
        <v>9.5039999999999999E-2</v>
      </c>
      <c r="K61" s="75" t="s">
        <v>311</v>
      </c>
      <c r="L61" s="76">
        <v>2.1999999999999999E-2</v>
      </c>
      <c r="M61" s="77">
        <v>3.9600000000000003E-2</v>
      </c>
    </row>
    <row r="62" spans="2:13" ht="15" thickBot="1">
      <c r="B62" s="5" t="s">
        <v>56</v>
      </c>
      <c r="C62" s="6">
        <v>5.8760000000000003</v>
      </c>
      <c r="D62" s="7">
        <v>11.75</v>
      </c>
      <c r="E62" s="66" t="s">
        <v>191</v>
      </c>
      <c r="F62" s="42">
        <f>(44*1.08)/1000</f>
        <v>4.752E-2</v>
      </c>
      <c r="G62" s="40">
        <f t="shared" si="3"/>
        <v>9.5039999999999999E-2</v>
      </c>
      <c r="K62" s="75" t="s">
        <v>312</v>
      </c>
      <c r="L62" s="76">
        <v>0.04</v>
      </c>
      <c r="M62" s="77">
        <v>7.1999999999999995E-2</v>
      </c>
    </row>
    <row r="63" spans="2:13" ht="29">
      <c r="B63" s="11" t="s">
        <v>57</v>
      </c>
      <c r="C63" s="12">
        <v>0.23599999999999999</v>
      </c>
      <c r="D63" s="13">
        <v>0.47299999999999998</v>
      </c>
      <c r="E63" s="66" t="s">
        <v>192</v>
      </c>
      <c r="F63" s="44">
        <f>(52*1.08)/1000</f>
        <v>5.6160000000000002E-2</v>
      </c>
      <c r="G63" s="40">
        <f t="shared" si="3"/>
        <v>0.11232</v>
      </c>
      <c r="K63" s="75" t="s">
        <v>313</v>
      </c>
      <c r="L63" s="76">
        <v>0.04</v>
      </c>
      <c r="M63" s="77">
        <v>7.1999999999999995E-2</v>
      </c>
    </row>
    <row r="64" spans="2:13">
      <c r="B64" s="14" t="s">
        <v>58</v>
      </c>
      <c r="C64" s="9">
        <v>0.24199999999999999</v>
      </c>
      <c r="D64" s="10">
        <v>0.48</v>
      </c>
      <c r="E64" s="66" t="s">
        <v>193</v>
      </c>
      <c r="F64" s="41">
        <f>(52*1.08)/1000</f>
        <v>5.6160000000000002E-2</v>
      </c>
      <c r="G64" s="40">
        <f t="shared" si="3"/>
        <v>0.11232</v>
      </c>
      <c r="K64" s="75" t="s">
        <v>314</v>
      </c>
      <c r="L64" s="76">
        <v>0.02</v>
      </c>
      <c r="M64" s="77">
        <v>3.5999999999999997E-2</v>
      </c>
    </row>
    <row r="65" spans="2:13" ht="29">
      <c r="B65" s="5" t="s">
        <v>59</v>
      </c>
      <c r="C65" s="6">
        <v>1.944</v>
      </c>
      <c r="D65" s="7">
        <v>3.89</v>
      </c>
      <c r="E65" s="66" t="s">
        <v>194</v>
      </c>
      <c r="F65" s="41">
        <f>(44*1.08)/1000</f>
        <v>4.752E-2</v>
      </c>
      <c r="G65" s="40">
        <f t="shared" si="3"/>
        <v>9.5039999999999999E-2</v>
      </c>
      <c r="K65" s="75" t="s">
        <v>315</v>
      </c>
      <c r="L65" s="76">
        <v>4.2999999999999997E-2</v>
      </c>
      <c r="M65" s="77">
        <v>7.7399999999999997E-2</v>
      </c>
    </row>
    <row r="66" spans="2:13">
      <c r="B66" s="11" t="s">
        <v>60</v>
      </c>
      <c r="C66" s="12">
        <v>6.0000000000000001E-3</v>
      </c>
      <c r="D66" s="13">
        <v>0.12</v>
      </c>
      <c r="E66" s="66" t="s">
        <v>195</v>
      </c>
      <c r="F66" s="41">
        <f>(41*1.08)/1000</f>
        <v>4.428E-2</v>
      </c>
      <c r="G66" s="40">
        <f t="shared" si="3"/>
        <v>8.856E-2</v>
      </c>
      <c r="K66" s="75" t="s">
        <v>316</v>
      </c>
      <c r="L66" s="76">
        <v>2.5000000000000001E-2</v>
      </c>
      <c r="M66" s="77">
        <v>4.4999999999999998E-2</v>
      </c>
    </row>
    <row r="67" spans="2:13" ht="29">
      <c r="B67" s="8" t="s">
        <v>61</v>
      </c>
      <c r="C67" s="9">
        <v>0.215</v>
      </c>
      <c r="D67" s="10">
        <v>0.43</v>
      </c>
      <c r="E67" s="67" t="s">
        <v>196</v>
      </c>
      <c r="F67" s="44">
        <f>(41*1.08)/1000</f>
        <v>4.428E-2</v>
      </c>
      <c r="G67" s="40">
        <f t="shared" si="3"/>
        <v>8.856E-2</v>
      </c>
      <c r="K67" s="75" t="s">
        <v>317</v>
      </c>
      <c r="L67" s="76">
        <v>1.4999999999999999E-2</v>
      </c>
      <c r="M67" s="77">
        <v>2.7E-2</v>
      </c>
    </row>
    <row r="68" spans="2:13" ht="29">
      <c r="B68" s="5" t="s">
        <v>62</v>
      </c>
      <c r="C68" s="6">
        <v>8.7799999999999994</v>
      </c>
      <c r="D68" s="7">
        <v>17.559999999999999</v>
      </c>
      <c r="E68" s="66" t="s">
        <v>241</v>
      </c>
      <c r="F68" s="41">
        <f>(27.16*1.08)/125</f>
        <v>0.23466240000000002</v>
      </c>
      <c r="G68" s="40">
        <f t="shared" ref="G68:G77" si="4">F68*2</f>
        <v>0.46932480000000004</v>
      </c>
      <c r="K68" s="75" t="s">
        <v>318</v>
      </c>
      <c r="L68" s="76">
        <v>4.2999999999999997E-2</v>
      </c>
      <c r="M68" s="77">
        <v>7.7399999999999997E-2</v>
      </c>
    </row>
    <row r="69" spans="2:13" ht="29">
      <c r="B69" s="5" t="s">
        <v>63</v>
      </c>
      <c r="C69" s="6">
        <v>0.4</v>
      </c>
      <c r="D69" s="7">
        <v>0.8</v>
      </c>
      <c r="E69" s="47" t="s">
        <v>244</v>
      </c>
      <c r="F69" s="55">
        <f>(44*1.08)/1000</f>
        <v>4.752E-2</v>
      </c>
      <c r="G69" s="48">
        <f t="shared" si="4"/>
        <v>9.5039999999999999E-2</v>
      </c>
      <c r="K69" s="75" t="s">
        <v>319</v>
      </c>
      <c r="L69" s="76">
        <v>3.2000000000000001E-2</v>
      </c>
      <c r="M69" s="77">
        <v>5.7599999999999998E-2</v>
      </c>
    </row>
    <row r="70" spans="2:13">
      <c r="B70" s="5" t="s">
        <v>64</v>
      </c>
      <c r="C70" s="6">
        <v>0.38</v>
      </c>
      <c r="D70" s="7">
        <v>0.76</v>
      </c>
      <c r="E70" s="68" t="s">
        <v>197</v>
      </c>
      <c r="F70" s="56">
        <f>(44*1.08)/1000</f>
        <v>4.752E-2</v>
      </c>
      <c r="G70" s="40">
        <f t="shared" si="4"/>
        <v>9.5039999999999999E-2</v>
      </c>
      <c r="K70" s="75" t="s">
        <v>320</v>
      </c>
      <c r="L70" s="76">
        <v>0.03</v>
      </c>
      <c r="M70" s="77">
        <v>5.3999999999999999E-2</v>
      </c>
    </row>
    <row r="71" spans="2:13">
      <c r="B71" s="5" t="s">
        <v>65</v>
      </c>
      <c r="C71" s="6">
        <v>0.41</v>
      </c>
      <c r="D71" s="7">
        <v>0.82</v>
      </c>
      <c r="E71" s="45" t="s">
        <v>198</v>
      </c>
      <c r="F71" s="44">
        <f>(57*1.08)/1000</f>
        <v>6.1560000000000004E-2</v>
      </c>
      <c r="G71" s="40">
        <f t="shared" si="4"/>
        <v>0.12312000000000001</v>
      </c>
      <c r="K71" s="75" t="s">
        <v>321</v>
      </c>
      <c r="L71" s="76">
        <v>2.5000000000000001E-2</v>
      </c>
      <c r="M71" s="77">
        <v>4.4999999999999998E-2</v>
      </c>
    </row>
    <row r="72" spans="2:13" ht="29">
      <c r="B72" s="5" t="s">
        <v>66</v>
      </c>
      <c r="C72" s="6">
        <v>0.39</v>
      </c>
      <c r="D72" s="7">
        <v>0.77</v>
      </c>
      <c r="E72" s="69" t="s">
        <v>199</v>
      </c>
      <c r="F72" s="41">
        <f>(41*1.08)/1000</f>
        <v>4.428E-2</v>
      </c>
      <c r="G72" s="40">
        <f t="shared" si="4"/>
        <v>8.856E-2</v>
      </c>
      <c r="K72" s="75" t="s">
        <v>322</v>
      </c>
      <c r="L72" s="76">
        <v>1.9E-2</v>
      </c>
      <c r="M72" s="77">
        <v>3.4200000000000001E-2</v>
      </c>
    </row>
    <row r="73" spans="2:13">
      <c r="B73" s="8" t="s">
        <v>67</v>
      </c>
      <c r="C73" s="9">
        <v>0.621</v>
      </c>
      <c r="D73" s="10">
        <v>1.24</v>
      </c>
      <c r="E73" s="69" t="s">
        <v>200</v>
      </c>
      <c r="F73" s="41">
        <f>(44*1.08)/1000</f>
        <v>4.752E-2</v>
      </c>
      <c r="G73" s="40">
        <f t="shared" si="4"/>
        <v>9.5039999999999999E-2</v>
      </c>
      <c r="K73" s="75" t="s">
        <v>323</v>
      </c>
      <c r="L73" s="76">
        <v>0.01</v>
      </c>
      <c r="M73" s="77">
        <v>1.7999999999999999E-2</v>
      </c>
    </row>
    <row r="74" spans="2:13">
      <c r="B74" s="5" t="s">
        <v>68</v>
      </c>
      <c r="C74" s="6">
        <v>0.41</v>
      </c>
      <c r="D74" s="7">
        <v>0.82</v>
      </c>
      <c r="E74" s="69" t="s">
        <v>201</v>
      </c>
      <c r="F74" s="41">
        <f>(44*1.08)/1000</f>
        <v>4.752E-2</v>
      </c>
      <c r="G74" s="40">
        <f t="shared" si="4"/>
        <v>9.5039999999999999E-2</v>
      </c>
      <c r="K74" s="75" t="s">
        <v>324</v>
      </c>
      <c r="L74" s="76">
        <v>2.9000000000000001E-2</v>
      </c>
      <c r="M74" s="77">
        <v>5.2200000000000003E-2</v>
      </c>
    </row>
    <row r="75" spans="2:13" ht="29">
      <c r="B75" s="5" t="s">
        <v>69</v>
      </c>
      <c r="C75" s="6">
        <v>0.11</v>
      </c>
      <c r="D75" s="7">
        <v>0.22</v>
      </c>
      <c r="E75" s="45" t="s">
        <v>242</v>
      </c>
      <c r="F75" s="45">
        <f>(1.08*44)/1000</f>
        <v>4.752E-2</v>
      </c>
      <c r="G75" s="57">
        <f t="shared" si="4"/>
        <v>9.5039999999999999E-2</v>
      </c>
      <c r="K75" s="75" t="s">
        <v>325</v>
      </c>
      <c r="L75" s="76">
        <v>7.2999999999999995E-2</v>
      </c>
      <c r="M75" s="77">
        <v>0.13139999999999999</v>
      </c>
    </row>
    <row r="76" spans="2:13" ht="29">
      <c r="B76" s="5" t="s">
        <v>70</v>
      </c>
      <c r="C76" s="6">
        <v>0.37</v>
      </c>
      <c r="D76" s="7">
        <v>0.73</v>
      </c>
      <c r="E76" s="70" t="s">
        <v>202</v>
      </c>
      <c r="F76" s="45">
        <f>(44*1.08)/1000</f>
        <v>4.752E-2</v>
      </c>
      <c r="G76" s="57">
        <f t="shared" si="4"/>
        <v>9.5039999999999999E-2</v>
      </c>
      <c r="K76" s="75" t="s">
        <v>326</v>
      </c>
      <c r="L76" s="76">
        <v>2.5999999999999999E-2</v>
      </c>
      <c r="M76" s="77">
        <v>4.6800000000000001E-2</v>
      </c>
    </row>
    <row r="77" spans="2:13">
      <c r="B77" s="5" t="s">
        <v>71</v>
      </c>
      <c r="C77" s="6">
        <v>2.0604</v>
      </c>
      <c r="D77" s="7">
        <v>4.12</v>
      </c>
      <c r="E77" s="71" t="s">
        <v>202</v>
      </c>
      <c r="F77" s="41">
        <f>26.65/1000</f>
        <v>2.665E-2</v>
      </c>
      <c r="G77" s="40">
        <f t="shared" si="4"/>
        <v>5.33E-2</v>
      </c>
      <c r="K77" s="75" t="s">
        <v>327</v>
      </c>
      <c r="L77" s="76">
        <v>2.4E-2</v>
      </c>
      <c r="M77" s="77">
        <v>4.3200000000000002E-2</v>
      </c>
    </row>
    <row r="78" spans="2:13">
      <c r="B78" s="11" t="s">
        <v>72</v>
      </c>
      <c r="C78" s="12">
        <v>0.80800000000000005</v>
      </c>
      <c r="D78" s="13">
        <v>1.7</v>
      </c>
      <c r="K78" s="75" t="s">
        <v>328</v>
      </c>
      <c r="L78" s="76">
        <v>0.02</v>
      </c>
      <c r="M78" s="77">
        <v>3.5999999999999997E-2</v>
      </c>
    </row>
    <row r="79" spans="2:13" ht="29">
      <c r="B79" s="11" t="s">
        <v>73</v>
      </c>
      <c r="C79" s="12">
        <v>0.27679999999999999</v>
      </c>
      <c r="D79" s="13">
        <v>0.55400000000000005</v>
      </c>
      <c r="K79" s="75" t="s">
        <v>329</v>
      </c>
      <c r="L79" s="76">
        <v>9.6000000000000002E-2</v>
      </c>
      <c r="M79" s="77">
        <v>0.17280000000000001</v>
      </c>
    </row>
    <row r="80" spans="2:13">
      <c r="B80" s="5" t="s">
        <v>74</v>
      </c>
      <c r="C80" s="6">
        <v>0.75</v>
      </c>
      <c r="D80" s="7">
        <v>1.5</v>
      </c>
      <c r="K80" s="75" t="s">
        <v>330</v>
      </c>
      <c r="L80" s="76">
        <v>2.5000000000000001E-2</v>
      </c>
      <c r="M80" s="77">
        <v>4.4999999999999998E-2</v>
      </c>
    </row>
    <row r="81" spans="2:13" ht="29">
      <c r="B81" s="5" t="s">
        <v>75</v>
      </c>
      <c r="C81" s="6">
        <v>0.69</v>
      </c>
      <c r="D81" s="7">
        <v>1.39</v>
      </c>
      <c r="K81" s="75" t="s">
        <v>331</v>
      </c>
      <c r="L81" s="76">
        <v>2.4E-2</v>
      </c>
      <c r="M81" s="77">
        <v>4.3200000000000002E-2</v>
      </c>
    </row>
    <row r="82" spans="2:13">
      <c r="B82" s="11" t="s">
        <v>76</v>
      </c>
      <c r="C82" s="12">
        <v>0.81</v>
      </c>
      <c r="D82" s="13">
        <v>1.62</v>
      </c>
      <c r="K82" s="75" t="s">
        <v>332</v>
      </c>
      <c r="L82" s="76">
        <v>3.3000000000000002E-2</v>
      </c>
      <c r="M82" s="77">
        <v>5.9400000000000001E-2</v>
      </c>
    </row>
    <row r="83" spans="2:13">
      <c r="B83" s="5" t="s">
        <v>77</v>
      </c>
      <c r="C83" s="6">
        <v>0.38</v>
      </c>
      <c r="D83" s="7">
        <v>0.76</v>
      </c>
      <c r="K83" s="75" t="s">
        <v>333</v>
      </c>
      <c r="L83" s="76">
        <v>3.1E-2</v>
      </c>
      <c r="M83" s="77">
        <v>5.5800000000000002E-2</v>
      </c>
    </row>
    <row r="84" spans="2:13" ht="29">
      <c r="B84" s="5" t="s">
        <v>78</v>
      </c>
      <c r="C84" s="6">
        <v>0.23</v>
      </c>
      <c r="D84" s="7">
        <v>0.46</v>
      </c>
      <c r="K84" s="75" t="s">
        <v>334</v>
      </c>
      <c r="L84" s="76">
        <v>2.9000000000000001E-2</v>
      </c>
      <c r="M84" s="77">
        <v>5.2200000000000003E-2</v>
      </c>
    </row>
    <row r="85" spans="2:13" ht="29">
      <c r="B85" s="5" t="s">
        <v>79</v>
      </c>
      <c r="C85" s="6" t="s">
        <v>80</v>
      </c>
      <c r="D85" s="15" t="s">
        <v>81</v>
      </c>
      <c r="K85" s="75" t="s">
        <v>335</v>
      </c>
      <c r="L85" s="76">
        <v>1.4999999999999999E-2</v>
      </c>
      <c r="M85" s="77">
        <v>2.7E-2</v>
      </c>
    </row>
    <row r="86" spans="2:13">
      <c r="B86" s="16" t="s">
        <v>82</v>
      </c>
      <c r="C86" s="17">
        <v>0.31080000000000002</v>
      </c>
      <c r="D86" s="18">
        <v>0.621</v>
      </c>
      <c r="K86" s="75" t="s">
        <v>336</v>
      </c>
      <c r="L86" s="76">
        <v>3.5999999999999997E-2</v>
      </c>
      <c r="M86" s="77">
        <v>6.4799999999999996E-2</v>
      </c>
    </row>
    <row r="87" spans="2:13">
      <c r="B87" s="14" t="s">
        <v>83</v>
      </c>
      <c r="C87" s="14">
        <v>0.87</v>
      </c>
      <c r="D87" s="14">
        <v>1.74</v>
      </c>
      <c r="K87" s="75" t="s">
        <v>337</v>
      </c>
      <c r="L87" s="76">
        <v>5.2999999999999999E-2</v>
      </c>
      <c r="M87" s="77">
        <v>9.5399999999999999E-2</v>
      </c>
    </row>
    <row r="88" spans="2:13">
      <c r="B88" s="14" t="s">
        <v>84</v>
      </c>
      <c r="C88" s="14">
        <v>7.5999999999999998E-2</v>
      </c>
      <c r="D88" s="14">
        <v>0.15</v>
      </c>
      <c r="K88" s="75" t="s">
        <v>338</v>
      </c>
      <c r="L88" s="76">
        <v>2.1000000000000001E-2</v>
      </c>
      <c r="M88" s="77">
        <v>3.78E-2</v>
      </c>
    </row>
    <row r="89" spans="2:13">
      <c r="B89" s="19" t="s">
        <v>85</v>
      </c>
      <c r="C89" s="19">
        <v>0.41</v>
      </c>
      <c r="D89" s="20">
        <v>0.82</v>
      </c>
      <c r="K89" s="75" t="s">
        <v>339</v>
      </c>
      <c r="L89" s="76">
        <v>0.03</v>
      </c>
      <c r="M89" s="77">
        <v>5.3999999999999999E-2</v>
      </c>
    </row>
    <row r="90" spans="2:13" ht="29">
      <c r="B90" s="14" t="s">
        <v>86</v>
      </c>
      <c r="C90" s="14">
        <v>0.35</v>
      </c>
      <c r="D90" s="14">
        <v>0.7</v>
      </c>
      <c r="K90" s="75" t="s">
        <v>340</v>
      </c>
      <c r="L90" s="76">
        <v>1.4E-2</v>
      </c>
      <c r="M90" s="77">
        <v>2.52E-2</v>
      </c>
    </row>
    <row r="91" spans="2:13">
      <c r="B91" s="19" t="s">
        <v>87</v>
      </c>
      <c r="C91" s="19">
        <v>0.37</v>
      </c>
      <c r="D91" s="20">
        <v>0.74</v>
      </c>
      <c r="K91" s="75" t="s">
        <v>341</v>
      </c>
      <c r="L91" s="76">
        <v>1.7999999999999999E-2</v>
      </c>
      <c r="M91" s="77">
        <v>3.2399999999999998E-2</v>
      </c>
    </row>
    <row r="92" spans="2:13">
      <c r="B92" s="19" t="s">
        <v>88</v>
      </c>
      <c r="C92" s="19">
        <v>0.192</v>
      </c>
      <c r="D92" s="20">
        <v>0.38</v>
      </c>
      <c r="K92" s="75" t="s">
        <v>342</v>
      </c>
      <c r="L92" s="76">
        <v>0.02</v>
      </c>
      <c r="M92" s="77">
        <v>3.5999999999999997E-2</v>
      </c>
    </row>
    <row r="93" spans="2:13">
      <c r="B93" s="21" t="s">
        <v>89</v>
      </c>
      <c r="C93" s="21">
        <v>0.73499999999999999</v>
      </c>
      <c r="D93" s="21">
        <v>1.47</v>
      </c>
      <c r="K93" s="75" t="s">
        <v>343</v>
      </c>
      <c r="L93" s="76">
        <v>3.3000000000000002E-2</v>
      </c>
      <c r="M93" s="77">
        <v>5.9400000000000001E-2</v>
      </c>
    </row>
    <row r="94" spans="2:13">
      <c r="K94" s="75" t="s">
        <v>344</v>
      </c>
      <c r="L94" s="76">
        <v>2.5999999999999999E-2</v>
      </c>
      <c r="M94" s="77">
        <v>4.6800000000000001E-2</v>
      </c>
    </row>
    <row r="95" spans="2:13" ht="29">
      <c r="K95" s="75" t="s">
        <v>345</v>
      </c>
      <c r="L95" s="76">
        <v>2.9000000000000001E-2</v>
      </c>
      <c r="M95" s="77">
        <v>5.2200000000000003E-2</v>
      </c>
    </row>
    <row r="96" spans="2:13" ht="29">
      <c r="K96" s="75" t="s">
        <v>346</v>
      </c>
      <c r="L96" s="76">
        <v>0.03</v>
      </c>
      <c r="M96" s="77">
        <v>5.3999999999999999E-2</v>
      </c>
    </row>
    <row r="97" spans="11:13">
      <c r="K97" s="75" t="s">
        <v>347</v>
      </c>
      <c r="L97" s="76">
        <v>3.5000000000000003E-2</v>
      </c>
      <c r="M97" s="77">
        <v>6.3E-2</v>
      </c>
    </row>
    <row r="98" spans="11:13">
      <c r="K98" s="75" t="s">
        <v>348</v>
      </c>
      <c r="L98" s="76">
        <v>0.02</v>
      </c>
      <c r="M98" s="77">
        <v>3.5999999999999997E-2</v>
      </c>
    </row>
    <row r="99" spans="11:13" ht="29">
      <c r="K99" s="75" t="s">
        <v>349</v>
      </c>
      <c r="L99" s="76">
        <v>2.1000000000000001E-2</v>
      </c>
      <c r="M99" s="77">
        <v>3.78E-2</v>
      </c>
    </row>
    <row r="100" spans="11:13" ht="29">
      <c r="K100" s="75" t="s">
        <v>350</v>
      </c>
      <c r="L100" s="76">
        <v>1.4E-2</v>
      </c>
      <c r="M100" s="77">
        <v>2.52E-2</v>
      </c>
    </row>
    <row r="101" spans="11:13">
      <c r="K101" s="75" t="s">
        <v>351</v>
      </c>
      <c r="L101" s="76">
        <v>1.4E-2</v>
      </c>
      <c r="M101" s="77">
        <v>2.52E-2</v>
      </c>
    </row>
    <row r="102" spans="11:13" ht="29">
      <c r="K102" s="75" t="s">
        <v>352</v>
      </c>
      <c r="L102" s="76">
        <v>6.4000000000000001E-2</v>
      </c>
      <c r="M102" s="77">
        <v>0.1152</v>
      </c>
    </row>
    <row r="103" spans="11:13" ht="29">
      <c r="K103" s="75" t="s">
        <v>353</v>
      </c>
      <c r="L103" s="76">
        <v>1.7999999999999999E-2</v>
      </c>
      <c r="M103" s="77">
        <v>3.2399999999999998E-2</v>
      </c>
    </row>
    <row r="104" spans="11:13">
      <c r="K104" s="75" t="s">
        <v>354</v>
      </c>
      <c r="L104" s="76">
        <v>2.1999999999999999E-2</v>
      </c>
      <c r="M104" s="77">
        <v>3.9600000000000003E-2</v>
      </c>
    </row>
    <row r="105" spans="11:13" ht="29">
      <c r="K105" s="75" t="s">
        <v>355</v>
      </c>
      <c r="L105" s="76">
        <v>2.5999999999999999E-2</v>
      </c>
      <c r="M105" s="77">
        <v>4.6800000000000001E-2</v>
      </c>
    </row>
    <row r="106" spans="11:13">
      <c r="K106" s="75" t="s">
        <v>356</v>
      </c>
      <c r="L106" s="76">
        <v>1.7000000000000001E-2</v>
      </c>
      <c r="M106" s="77">
        <v>3.0599999999999999E-2</v>
      </c>
    </row>
    <row r="107" spans="11:13">
      <c r="K107" s="75" t="s">
        <v>357</v>
      </c>
      <c r="L107" s="76">
        <v>6.0999999999999999E-2</v>
      </c>
      <c r="M107" s="77">
        <v>0.10979999999999999</v>
      </c>
    </row>
    <row r="108" spans="11:13">
      <c r="K108" s="75" t="s">
        <v>358</v>
      </c>
      <c r="L108" s="76">
        <v>0.04</v>
      </c>
      <c r="M108" s="77">
        <v>7.1999999999999995E-2</v>
      </c>
    </row>
    <row r="109" spans="11:13" ht="29">
      <c r="K109" s="75" t="s">
        <v>359</v>
      </c>
      <c r="L109" s="76">
        <v>1.4E-2</v>
      </c>
      <c r="M109" s="77">
        <v>2.52E-2</v>
      </c>
    </row>
    <row r="110" spans="11:13" ht="29">
      <c r="K110" s="75" t="s">
        <v>360</v>
      </c>
      <c r="L110" s="76">
        <v>0.02</v>
      </c>
      <c r="M110" s="77">
        <v>3.5999999999999997E-2</v>
      </c>
    </row>
    <row r="111" spans="11:13">
      <c r="K111" s="75" t="s">
        <v>361</v>
      </c>
      <c r="L111" s="76">
        <v>0.03</v>
      </c>
      <c r="M111" s="77">
        <v>5.3999999999999999E-2</v>
      </c>
    </row>
    <row r="112" spans="11:13">
      <c r="K112" s="75" t="s">
        <v>362</v>
      </c>
      <c r="L112" s="76">
        <v>6.6000000000000003E-2</v>
      </c>
      <c r="M112" s="77">
        <v>0.1188</v>
      </c>
    </row>
    <row r="113" spans="11:13">
      <c r="K113" s="75" t="s">
        <v>363</v>
      </c>
      <c r="L113" s="76">
        <v>2.3E-2</v>
      </c>
      <c r="M113" s="77">
        <v>4.1399999999999999E-2</v>
      </c>
    </row>
    <row r="114" spans="11:13">
      <c r="K114" s="75" t="s">
        <v>364</v>
      </c>
      <c r="L114" s="76">
        <v>1.7999999999999999E-2</v>
      </c>
      <c r="M114" s="77">
        <v>3.2399999999999998E-2</v>
      </c>
    </row>
    <row r="115" spans="11:13" ht="29">
      <c r="K115" s="75" t="s">
        <v>365</v>
      </c>
      <c r="L115" s="76">
        <v>0.02</v>
      </c>
      <c r="M115" s="77">
        <v>3.5999999999999997E-2</v>
      </c>
    </row>
    <row r="116" spans="11:13">
      <c r="K116" s="75" t="s">
        <v>366</v>
      </c>
      <c r="L116" s="76">
        <v>4.3999999999999997E-2</v>
      </c>
      <c r="M116" s="77">
        <v>7.9200000000000007E-2</v>
      </c>
    </row>
    <row r="117" spans="11:13" ht="29">
      <c r="K117" s="75" t="s">
        <v>367</v>
      </c>
      <c r="L117" s="76">
        <v>0.04</v>
      </c>
      <c r="M117" s="77">
        <v>7.1999999999999995E-2</v>
      </c>
    </row>
    <row r="118" spans="11:13">
      <c r="K118" s="75" t="s">
        <v>368</v>
      </c>
      <c r="L118" s="76">
        <v>2.5999999999999999E-2</v>
      </c>
      <c r="M118" s="77">
        <v>4.6800000000000001E-2</v>
      </c>
    </row>
    <row r="119" spans="11:13">
      <c r="K119" s="75" t="s">
        <v>369</v>
      </c>
      <c r="L119" s="76">
        <v>2.7E-2</v>
      </c>
      <c r="M119" s="77">
        <v>4.8599999999999997E-2</v>
      </c>
    </row>
    <row r="120" spans="11:13">
      <c r="K120" s="75" t="s">
        <v>370</v>
      </c>
      <c r="L120" s="76">
        <v>2.5999999999999999E-2</v>
      </c>
      <c r="M120" s="77">
        <v>4.6800000000000001E-2</v>
      </c>
    </row>
    <row r="121" spans="11:13">
      <c r="K121" s="75" t="s">
        <v>371</v>
      </c>
      <c r="L121" s="76">
        <v>7.1999999999999995E-2</v>
      </c>
      <c r="M121" s="77">
        <v>0.12959999999999999</v>
      </c>
    </row>
    <row r="122" spans="11:13">
      <c r="K122" s="75" t="s">
        <v>372</v>
      </c>
      <c r="L122" s="76">
        <v>7.4999999999999997E-2</v>
      </c>
      <c r="M122" s="77">
        <v>0.13500000000000001</v>
      </c>
    </row>
    <row r="123" spans="11:13" ht="29">
      <c r="K123" s="75" t="s">
        <v>373</v>
      </c>
      <c r="L123" s="76">
        <v>2.5999999999999999E-2</v>
      </c>
      <c r="M123" s="77">
        <v>4.6800000000000001E-2</v>
      </c>
    </row>
    <row r="124" spans="11:13">
      <c r="K124" s="75" t="s">
        <v>374</v>
      </c>
      <c r="L124" s="76">
        <v>2.5999999999999999E-2</v>
      </c>
      <c r="M124" s="77">
        <v>4.6800000000000001E-2</v>
      </c>
    </row>
    <row r="125" spans="11:13" ht="29">
      <c r="K125" s="75" t="s">
        <v>375</v>
      </c>
      <c r="L125" s="76">
        <v>2.9000000000000001E-2</v>
      </c>
      <c r="M125" s="77">
        <v>5.2200000000000003E-2</v>
      </c>
    </row>
    <row r="126" spans="11:13" ht="29">
      <c r="K126" s="75" t="s">
        <v>376</v>
      </c>
      <c r="L126" s="76">
        <v>4.9000000000000002E-2</v>
      </c>
      <c r="M126" s="77">
        <v>8.8200000000000001E-2</v>
      </c>
    </row>
    <row r="127" spans="11:13" ht="29">
      <c r="K127" s="75" t="s">
        <v>377</v>
      </c>
      <c r="L127" s="76">
        <v>4.5999999999999999E-2</v>
      </c>
      <c r="M127" s="77">
        <v>8.2799999999999999E-2</v>
      </c>
    </row>
    <row r="128" spans="11:13">
      <c r="K128" s="78" t="s">
        <v>378</v>
      </c>
      <c r="L128" s="79">
        <v>7.8E-2</v>
      </c>
      <c r="M128" s="80">
        <v>0.1404</v>
      </c>
    </row>
    <row r="303" spans="24:26">
      <c r="X303" t="s">
        <v>412</v>
      </c>
      <c r="Y303" t="s">
        <v>413</v>
      </c>
      <c r="Z303" t="s">
        <v>414</v>
      </c>
    </row>
    <row r="304" spans="24:26">
      <c r="X304" t="str">
        <f ca="1">INDIRECT("B3")</f>
        <v>Acerola _ES_250 g</v>
      </c>
      <c r="Y304">
        <f ca="1">LOOKUP(X304,B3:B93,'Extrait sec'!C3:C302)</f>
        <v>0.23</v>
      </c>
      <c r="Z304">
        <f ca="1">LOOKUP(X304,B3:B105,'Extrait sec'!D3:D302)</f>
        <v>0.45</v>
      </c>
    </row>
    <row r="305" spans="24:26">
      <c r="X305" t="str">
        <f ca="1">INDIRECT("B4")</f>
        <v>Acetylcarnitine_L_250 g</v>
      </c>
      <c r="Y305">
        <f ca="1">LOOKUP(X305,B4:B94,'Extrait sec'!C4:C303)</f>
        <v>0.46</v>
      </c>
      <c r="Z305">
        <f ca="1">LOOKUP(X305,B4:B106,'Extrait sec'!D4:D303)</f>
        <v>0.93</v>
      </c>
    </row>
    <row r="306" spans="24:26">
      <c r="X306" t="str">
        <f ca="1">INDIRECT("B5")</f>
        <v>Acetylcysteine_100g</v>
      </c>
      <c r="Y306">
        <f ca="1">LOOKUP(X306,B5:B95,'Extrait sec'!C5:C304)</f>
        <v>0.37</v>
      </c>
      <c r="Z306">
        <f ca="1">LOOKUP(X306,B5:B107,'Extrait sec'!D5:D304)</f>
        <v>0.74</v>
      </c>
    </row>
    <row r="307" spans="24:26">
      <c r="X307" t="str">
        <f ca="1">INDIRECT("B6")</f>
        <v>Acide folique 25 g</v>
      </c>
      <c r="Y307">
        <f ca="1">LOOKUP(X307,B6:B96,'Extrait sec'!C6:C305)</f>
        <v>2.2599999999999998</v>
      </c>
      <c r="Z307">
        <f ca="1">LOOKUP(X307,B6:B108,'Extrait sec'!D6:D305)</f>
        <v>4.51</v>
      </c>
    </row>
    <row r="308" spans="24:26">
      <c r="X308" t="str">
        <f ca="1">INDIRECT("B7")</f>
        <v>Ail ES 250 g</v>
      </c>
      <c r="Y308">
        <f ca="1">LOOKUP(X308,B7:B97,'Extrait sec'!C7:C306)</f>
        <v>0.21</v>
      </c>
      <c r="Z308">
        <f ca="1">LOOKUP(X308,B7:B109,'Extrait sec'!D7:D306)</f>
        <v>0.42</v>
      </c>
    </row>
    <row r="309" spans="24:26">
      <c r="X309" t="str">
        <f ca="1">INDIRECT("B8")</f>
        <v>Alchemille 100 g</v>
      </c>
      <c r="Y309">
        <f ca="1">LOOKUP(X309,B8:B98,'Extrait sec'!C8:C307)</f>
        <v>0.51</v>
      </c>
      <c r="Z309">
        <f ca="1">LOOKUP(X309,B8:B110,'Extrait sec'!D8:D307)</f>
        <v>1.02</v>
      </c>
    </row>
    <row r="310" spans="24:26">
      <c r="X310" t="str">
        <f ca="1">INDIRECT("B9")</f>
        <v>Aloe ES 250 g</v>
      </c>
      <c r="Y310">
        <f ca="1">LOOKUP(X310,B9:B99,'Extrait sec'!C9:C308)</f>
        <v>0.35</v>
      </c>
      <c r="Z310">
        <f ca="1">LOOKUP(X310,B9:B111,'Extrait sec'!D9:D308)</f>
        <v>0.7</v>
      </c>
    </row>
    <row r="311" spans="24:26">
      <c r="X311" t="str">
        <f ca="1">INDIRECT("B10")</f>
        <v>Arginin-L inf 1 kg</v>
      </c>
      <c r="Y311">
        <f ca="1">LOOKUP(X311,B10:B100,'Extrait sec'!C10:C309)</f>
        <v>0.13730000000000001</v>
      </c>
      <c r="Z311">
        <f ca="1">LOOKUP(X311,B10:B112,'Extrait sec'!D10:D309)</f>
        <v>0.27</v>
      </c>
    </row>
    <row r="312" spans="24:26">
      <c r="X312" t="str">
        <f ca="1">INDIRECT("B11")</f>
        <v>Artichaut feuilles ES 250 g</v>
      </c>
      <c r="Y312">
        <f ca="1">LOOKUP(X312,B11:B101,'Extrait sec'!C11:C310)</f>
        <v>0.33</v>
      </c>
      <c r="Z312">
        <f ca="1">LOOKUP(X312,B11:B113,'Extrait sec'!D11:D310)</f>
        <v>0.67</v>
      </c>
    </row>
    <row r="313" spans="24:26">
      <c r="X313" t="str">
        <f ca="1">INDIRECT("B12")</f>
        <v>Bardane racine ES 250 g</v>
      </c>
      <c r="Y313">
        <f ca="1">LOOKUP(X313,B12:B102,'Extrait sec'!C12:C311)</f>
        <v>0.28999999999999998</v>
      </c>
      <c r="Z313">
        <f ca="1">LOOKUP(X313,B12:B114,'Extrait sec'!D12:D311)</f>
        <v>0.57999999999999996</v>
      </c>
    </row>
    <row r="314" spans="24:26">
      <c r="X314" t="str">
        <f ca="1">INDIRECT("B13")</f>
        <v>Beurre de karite 100gr</v>
      </c>
      <c r="Y314">
        <f ca="1">LOOKUP(X314,B13:B103,'Extrait sec'!C13:C312)</f>
        <v>0.05</v>
      </c>
      <c r="Z314">
        <f ca="1">LOOKUP(X314,B13:B115,'Extrait sec'!D13:D312)</f>
        <v>0.1</v>
      </c>
    </row>
    <row r="315" spans="24:26">
      <c r="X315" t="str">
        <f ca="1">INDIRECT("B14")</f>
        <v>Biotine VIT HI 1 g</v>
      </c>
      <c r="Y315">
        <f ca="1">LOOKUP(X315,B14:B104,'Extrait sec'!C14:C313)</f>
        <v>18.54</v>
      </c>
      <c r="Z315">
        <f ca="1">LOOKUP(X315,B14:B116,'Extrait sec'!D14:D313)</f>
        <v>37.1</v>
      </c>
    </row>
    <row r="316" spans="24:26">
      <c r="X316" t="str">
        <f ca="1">INDIRECT("B15")</f>
        <v>Boldo 250g</v>
      </c>
      <c r="Y316">
        <f ca="1">LOOKUP(X316,B15:B105,'Extrait sec'!C15:C314)</f>
        <v>0.20799999999999999</v>
      </c>
      <c r="Z316">
        <f ca="1">LOOKUP(X316,B15:B117,'Extrait sec'!D15:D314)</f>
        <v>0.53500000000000003</v>
      </c>
    </row>
    <row r="317" spans="24:26">
      <c r="X317" t="str">
        <f ca="1">INDIRECT("B16")</f>
        <v>Boswellia Serrata 100 g</v>
      </c>
      <c r="Y317">
        <f ca="1">LOOKUP(X317,B16:B106,'Extrait sec'!C16:C315)</f>
        <v>0.46</v>
      </c>
      <c r="Z317">
        <f ca="1">LOOKUP(X317,B16:B118,'Extrait sec'!D16:D315)</f>
        <v>0.92</v>
      </c>
    </row>
    <row r="318" spans="24:26">
      <c r="X318" t="str">
        <f ca="1">INDIRECT("B17")</f>
        <v>Calcium citrate 250g</v>
      </c>
      <c r="Y318">
        <f ca="1">LOOKUP(X318,B17:B107,'Extrait sec'!C17:C316)</f>
        <v>0.107</v>
      </c>
      <c r="Z318">
        <f ca="1">LOOKUP(X318,B17:B119,'Extrait sec'!D17:D316)</f>
        <v>0.214</v>
      </c>
    </row>
    <row r="319" spans="24:26">
      <c r="X319" t="str">
        <f ca="1">INDIRECT("B18")</f>
        <v>Carnitine fumarate L 250 g</v>
      </c>
      <c r="Y319">
        <f ca="1">LOOKUP(X319,B18:B108,'Extrait sec'!C18:C317)</f>
        <v>0.4</v>
      </c>
      <c r="Z319">
        <f ca="1">LOOKUP(X319,B18:B120,'Extrait sec'!D18:D317)</f>
        <v>0.8</v>
      </c>
    </row>
    <row r="320" spans="24:26">
      <c r="X320" t="str">
        <f ca="1">INDIRECT("B19")</f>
        <v>Carnitine-L 200gr</v>
      </c>
      <c r="Y320">
        <f ca="1">LOOKUP(X320,B19:B109,'Extrait sec'!C19:C318)</f>
        <v>0.33</v>
      </c>
      <c r="Z320">
        <f ca="1">LOOKUP(X320,B19:B121,'Extrait sec'!D19:D318)</f>
        <v>0.65</v>
      </c>
    </row>
    <row r="321" spans="24:26">
      <c r="X321" t="str">
        <f ca="1">INDIRECT("B20")</f>
        <v>Cassis feuille ES 250 g</v>
      </c>
      <c r="Y321">
        <f ca="1">LOOKUP(X321,B20:B110,'Extrait sec'!C20:C319)</f>
        <v>0.32</v>
      </c>
      <c r="Z321">
        <f ca="1">LOOKUP(X321,B20:B122,'Extrait sec'!D20:D319)</f>
        <v>0.64</v>
      </c>
    </row>
    <row r="322" spans="24:26">
      <c r="X322" t="str">
        <f ca="1">INDIRECT("B21")</f>
        <v>Chardon marie semence ES 250 g</v>
      </c>
      <c r="Y322">
        <f ca="1">LOOKUP(X322,B21:B111,'Extrait sec'!C21:C320)</f>
        <v>0.36</v>
      </c>
      <c r="Z322">
        <f ca="1">LOOKUP(X322,B21:B123,'Extrait sec'!D21:D320)</f>
        <v>0.72</v>
      </c>
    </row>
    <row r="323" spans="24:26">
      <c r="X323" t="str">
        <f ca="1">INDIRECT("B22")</f>
        <v>Choline citrate 250 g</v>
      </c>
      <c r="Y323">
        <f ca="1">LOOKUP(X323,B22:B112,'Extrait sec'!C22:C321)</f>
        <v>0.15</v>
      </c>
      <c r="Z323">
        <f ca="1">LOOKUP(X323,B22:B124,'Extrait sec'!D22:D321)</f>
        <v>0.31</v>
      </c>
    </row>
    <row r="324" spans="24:26">
      <c r="X324" t="str">
        <f ca="1">INDIRECT("B23")</f>
        <v>Chrome 2000 levures 100gr</v>
      </c>
      <c r="Y324">
        <f ca="1">LOOKUP(X324,B23:B113,'Extrait sec'!C23:C322)</f>
        <v>9.9000000000000005E-2</v>
      </c>
      <c r="Z324">
        <f ca="1">LOOKUP(X324,B23:B125,'Extrait sec'!D23:D322)</f>
        <v>0.2</v>
      </c>
    </row>
    <row r="325" spans="24:26">
      <c r="X325" t="str">
        <f ca="1">INDIRECT("B24")</f>
        <v>Chrome III Chloride 250g</v>
      </c>
      <c r="Y325">
        <f ca="1">LOOKUP(X325,B24:B114,'Extrait sec'!C24:C323)</f>
        <v>5.1999999999999998E-2</v>
      </c>
      <c r="Z325">
        <f ca="1">LOOKUP(X325,B24:B126,'Extrait sec'!D24:D323)</f>
        <v>0.105</v>
      </c>
    </row>
    <row r="326" spans="24:26">
      <c r="X326" t="str">
        <f ca="1">INDIRECT("B25")</f>
        <v>Coenzyme Q10</v>
      </c>
      <c r="Y326">
        <f ca="1">LOOKUP(X326,B25:B115,'Extrait sec'!C25:C324)</f>
        <v>4.7827999999999999</v>
      </c>
      <c r="Z326">
        <f ca="1">LOOKUP(X326,B25:B127,'Extrait sec'!D25:D324)</f>
        <v>9.5655999999999999</v>
      </c>
    </row>
    <row r="327" spans="24:26">
      <c r="X327" t="str">
        <f ca="1">INDIRECT("B26")</f>
        <v>Cranberry canneberge ES 250 g</v>
      </c>
      <c r="Y327">
        <f ca="1">LOOKUP(X327,B26:B116,'Extrait sec'!C26:C325)</f>
        <v>0.26</v>
      </c>
      <c r="Z327">
        <f ca="1">LOOKUP(X327,B26:B128,'Extrait sec'!D26:D325)</f>
        <v>0.52</v>
      </c>
    </row>
    <row r="328" spans="24:26">
      <c r="X328" t="str">
        <f ca="1">INDIRECT("B27")</f>
        <v>Creatine 250 g</v>
      </c>
      <c r="Y328">
        <f ca="1">LOOKUP(X328,B27:B117,'Extrait sec'!C27:C326)</f>
        <v>0.25</v>
      </c>
      <c r="Z328">
        <f ca="1">LOOKUP(X328,B27:B129,'Extrait sec'!D27:D326)</f>
        <v>0.51</v>
      </c>
    </row>
    <row r="329" spans="24:26">
      <c r="X329" t="str">
        <f ca="1">INDIRECT("B28")</f>
        <v>Curcuma ES purifié 250 g</v>
      </c>
      <c r="Y329">
        <f ca="1">LOOKUP(X329,B28:B118,'Extrait sec'!C28:C327)</f>
        <v>0.73</v>
      </c>
      <c r="Z329">
        <f ca="1">LOOKUP(X329,B28:B130,'Extrait sec'!D28:D327)</f>
        <v>1.46</v>
      </c>
    </row>
    <row r="330" spans="24:26">
      <c r="X330" t="str">
        <f ca="1">INDIRECT("B29")</f>
        <v>Curcuma ES purifié 95% 50 g</v>
      </c>
      <c r="Y330" t="str">
        <f ca="1">LOOKUP(X330,B29:B119,'Extrait sec'!C29:C328)</f>
        <v> </v>
      </c>
      <c r="Z330" t="str">
        <f ca="1">LOOKUP(X330,B29:B131,'Extrait sec'!D29:D328)</f>
        <v> </v>
      </c>
    </row>
    <row r="331" spans="24:26">
      <c r="X331" t="str">
        <f ca="1">INDIRECT("B30")</f>
        <v>Cysteine L chlte 100 g</v>
      </c>
      <c r="Y331">
        <f ca="1">LOOKUP(X331,B30:B120,'Extrait sec'!C30:C329)</f>
        <v>0.32200000000000001</v>
      </c>
      <c r="Z331">
        <f ca="1">LOOKUP(X331,B30:B132,'Extrait sec'!D30:D329)</f>
        <v>0.65</v>
      </c>
    </row>
    <row r="332" spans="24:26">
      <c r="X332" t="str">
        <f ca="1">INDIRECT("B31")</f>
        <v>Desmodium ES 250 g</v>
      </c>
      <c r="Y332">
        <f ca="1">LOOKUP(X332,B31:B121,'Extrait sec'!C31:C330)</f>
        <v>0.5</v>
      </c>
      <c r="Z332">
        <f ca="1">LOOKUP(X332,B31:B133,'Extrait sec'!D31:D330)</f>
        <v>1</v>
      </c>
    </row>
    <row r="333" spans="24:26">
      <c r="X333" t="str">
        <f ca="1">INDIRECT("B32")</f>
        <v>DHEA poudre 100 g</v>
      </c>
      <c r="Y333">
        <f ca="1">LOOKUP(X333,B32:B122,'Extrait sec'!C32:C331)</f>
        <v>1.4</v>
      </c>
      <c r="Z333">
        <f ca="1">LOOKUP(X333,B32:B134,'Extrait sec'!D32:D331)</f>
        <v>2.8</v>
      </c>
    </row>
    <row r="334" spans="24:26">
      <c r="X334" t="str">
        <f ca="1">INDIRECT("B33")</f>
        <v>Eleutherocoque rac ES 100 g</v>
      </c>
      <c r="Y334">
        <f ca="1">LOOKUP(X334,B33:B123,'Extrait sec'!C33:C332)</f>
        <v>0.43</v>
      </c>
      <c r="Z334">
        <f ca="1">LOOKUP(X334,B33:B135,'Extrait sec'!D33:D332)</f>
        <v>0.86</v>
      </c>
    </row>
    <row r="335" spans="24:26">
      <c r="X335" t="str">
        <f ca="1">INDIRECT("B34")</f>
        <v>Eschscholtzia ES 100 g</v>
      </c>
      <c r="Y335">
        <f ca="1">LOOKUP(X335,B34:B124,'Extrait sec'!C34:C333)</f>
        <v>0.51</v>
      </c>
      <c r="Z335">
        <f ca="1">LOOKUP(X335,B34:B136,'Extrait sec'!D34:D333)</f>
        <v>1.01</v>
      </c>
    </row>
    <row r="336" spans="24:26">
      <c r="X336" t="str">
        <f ca="1">INDIRECT("B35")</f>
        <v>Fer orotate 250 g</v>
      </c>
      <c r="Y336">
        <f ca="1">LOOKUP(X336,B35:B125,'Extrait sec'!C35:C334)</f>
        <v>0.54</v>
      </c>
      <c r="Z336">
        <f ca="1">LOOKUP(X336,B35:B137,'Extrait sec'!D35:D334)</f>
        <v>1.0900000000000001</v>
      </c>
    </row>
    <row r="337" spans="24:26">
      <c r="X337" t="str">
        <f ca="1">INDIRECT("B36")</f>
        <v>Fucus thalle ES 100 g</v>
      </c>
      <c r="Y337">
        <f ca="1">LOOKUP(X337,B36:B126,'Extrait sec'!C36:C335)</f>
        <v>0.38800000000000001</v>
      </c>
      <c r="Z337">
        <f ca="1">LOOKUP(X337,B36:B138,'Extrait sec'!D36:D335)</f>
        <v>0.77600000000000002</v>
      </c>
    </row>
    <row r="338" spans="24:26">
      <c r="X338" t="str">
        <f ca="1">INDIRECT("B37")</f>
        <v>Garcinia ES 250g</v>
      </c>
      <c r="Y338">
        <f ca="1">LOOKUP(X338,B37:B127,'Extrait sec'!C37:C336)</f>
        <v>9.2999999999999999E-2</v>
      </c>
      <c r="Z338">
        <f ca="1">LOOKUP(X338,B37:B139,'Extrait sec'!D37:D336)</f>
        <v>0.186</v>
      </c>
    </row>
    <row r="339" spans="24:26">
      <c r="X339" t="str">
        <f ca="1">INDIRECT("B38")</f>
        <v>Gattilier fruit ES 100 g</v>
      </c>
      <c r="Y339">
        <f ca="1">LOOKUP(X339,B38:B128,'Extrait sec'!C38:C337)</f>
        <v>0.51</v>
      </c>
      <c r="Z339">
        <f ca="1">LOOKUP(X339,B38:B140,'Extrait sec'!D38:D337)</f>
        <v>1.01</v>
      </c>
    </row>
    <row r="340" spans="24:26">
      <c r="X340" t="str">
        <f ca="1">INDIRECT("B39")</f>
        <v>Gel de jojoba 1000gr</v>
      </c>
      <c r="Y340">
        <f ca="1">LOOKUP(X340,B39:B129,'Extrait sec'!C39:C338)</f>
        <v>0.09</v>
      </c>
      <c r="Z340">
        <f ca="1">LOOKUP(X340,B39:B141,'Extrait sec'!D39:D338)</f>
        <v>0.18</v>
      </c>
    </row>
    <row r="341" spans="24:26">
      <c r="X341" t="str">
        <f ca="1">INDIRECT("B40")</f>
        <v>Gingko biloba ES 100 g</v>
      </c>
      <c r="Y341">
        <f ca="1">LOOKUP(X341,B40:B130,'Extrait sec'!C40:C339)</f>
        <v>0.33600000000000002</v>
      </c>
      <c r="Z341">
        <f ca="1">LOOKUP(X341,B40:B142,'Extrait sec'!D40:D339)</f>
        <v>0.67200000000000004</v>
      </c>
    </row>
    <row r="342" spans="24:26">
      <c r="X342" t="str">
        <f ca="1">INDIRECT("B41")</f>
        <v>Glutamine L 100 g</v>
      </c>
      <c r="Y342">
        <f ca="1">LOOKUP(X342,B41:B131,'Extrait sec'!C41:C340)</f>
        <v>0.26800000000000002</v>
      </c>
      <c r="Z342">
        <f ca="1">LOOKUP(X342,B41:B143,'Extrait sec'!D41:D340)</f>
        <v>0.54</v>
      </c>
    </row>
    <row r="343" spans="24:26">
      <c r="X343" t="str">
        <f ca="1">INDIRECT("B42")</f>
        <v>Glycérophosphate de magnésium 250g</v>
      </c>
      <c r="Y343">
        <f ca="1">LOOKUP(X343,B42:B132,'Extrait sec'!C42:C341)</f>
        <v>0.104</v>
      </c>
      <c r="Z343">
        <f ca="1">LOOKUP(X343,B42:B144,'Extrait sec'!D42:D341)</f>
        <v>0.20799999999999999</v>
      </c>
    </row>
    <row r="344" spans="24:26">
      <c r="X344" t="str">
        <f ca="1">INDIRECT("B43")</f>
        <v>Glycine 100 g</v>
      </c>
      <c r="Y344">
        <f ca="1">LOOKUP(X344,B43:B133,'Extrait sec'!C43:C342)</f>
        <v>0.1525</v>
      </c>
      <c r="Z344">
        <f ca="1">LOOKUP(X344,B43:B145,'Extrait sec'!D43:D342)</f>
        <v>0.31</v>
      </c>
    </row>
    <row r="345" spans="24:26">
      <c r="X345" t="str">
        <f ca="1">INDIRECT("B44")</f>
        <v>Griffonia ES 30% 250 g</v>
      </c>
      <c r="Y345">
        <f ca="1">LOOKUP(X345,B44:B134,'Extrait sec'!C44:C343)</f>
        <v>0.69</v>
      </c>
      <c r="Z345">
        <f ca="1">LOOKUP(X345,B44:B146,'Extrait sec'!D44:D343)</f>
        <v>1.38</v>
      </c>
    </row>
    <row r="346" spans="24:26">
      <c r="X346" t="str">
        <f ca="1">INDIRECT("B45")</f>
        <v>Griffonia SIM extract 98% 1 kg</v>
      </c>
      <c r="Y346">
        <f ca="1">LOOKUP(X346,B45:B135,'Extrait sec'!C45:C344)</f>
        <v>0.43</v>
      </c>
      <c r="Z346">
        <f ca="1">LOOKUP(X346,B45:B147,'Extrait sec'!D45:D344)</f>
        <v>0.86</v>
      </c>
    </row>
    <row r="347" spans="24:26">
      <c r="X347" t="str">
        <f ca="1">INDIRECT("B46")</f>
        <v>Guarana 250g</v>
      </c>
      <c r="Y347">
        <f ca="1">LOOKUP(X347,B46:B136,'Extrait sec'!C46:C345)</f>
        <v>0.25</v>
      </c>
      <c r="Z347">
        <f ca="1">LOOKUP(X347,B46:B148,'Extrait sec'!D46:D345)</f>
        <v>0.5</v>
      </c>
    </row>
    <row r="348" spans="24:26">
      <c r="X348" t="str">
        <f ca="1">INDIRECT("B47")</f>
        <v>Hamamelis feuille ES 250 g</v>
      </c>
      <c r="Y348">
        <f ca="1">LOOKUP(X348,B47:B137,'Extrait sec'!C47:C346)</f>
        <v>0.42</v>
      </c>
      <c r="Z348">
        <f ca="1">LOOKUP(X348,B47:B149,'Extrait sec'!D47:D346)</f>
        <v>0.84</v>
      </c>
    </row>
    <row r="349" spans="24:26">
      <c r="X349" t="str">
        <f ca="1">INDIRECT("B48")</f>
        <v>Harpagophytum ES 250 g</v>
      </c>
      <c r="Y349">
        <f ca="1">LOOKUP(X349,B48:B138,'Extrait sec'!C48:C347)</f>
        <v>0.25</v>
      </c>
      <c r="Z349">
        <f ca="1">LOOKUP(X349,B48:B150,'Extrait sec'!D48:D347)</f>
        <v>0.49</v>
      </c>
    </row>
    <row r="350" spans="24:26">
      <c r="X350" t="str">
        <f ca="1">INDIRECT("B49")</f>
        <v>Histidine 100 g</v>
      </c>
      <c r="Y350">
        <f ca="1">LOOKUP(X350,B49:B139,'Extrait sec'!C49:C348)</f>
        <v>0.26700000000000002</v>
      </c>
      <c r="Z350">
        <f ca="1">LOOKUP(X350,B49:B151,'Extrait sec'!D49:D348)</f>
        <v>0.53</v>
      </c>
    </row>
    <row r="351" spans="24:26">
      <c r="X351" t="str">
        <f ca="1">INDIRECT("B50")</f>
        <v>Houblon cone ES 250 g</v>
      </c>
      <c r="Y351">
        <f ca="1">LOOKUP(X351,B50:B140,'Extrait sec'!C50:C349)</f>
        <v>0.38</v>
      </c>
      <c r="Z351">
        <f ca="1">LOOKUP(X351,B50:B152,'Extrait sec'!D50:D349)</f>
        <v>0.76</v>
      </c>
    </row>
    <row r="352" spans="24:26">
      <c r="X352" t="str">
        <f ca="1">INDIRECT("B51")</f>
        <v>Inositol 100 g</v>
      </c>
      <c r="Y352">
        <f ca="1">LOOKUP(X352,B51:B141,'Extrait sec'!C51:C350)</f>
        <v>0.17499999999999999</v>
      </c>
      <c r="Z352">
        <f ca="1">LOOKUP(X352,B51:B153,'Extrait sec'!D51:D350)</f>
        <v>0.35</v>
      </c>
    </row>
    <row r="353" spans="24:26">
      <c r="X353" t="str">
        <f ca="1">INDIRECT("B52")</f>
        <v>Isoleucine L 100 g</v>
      </c>
      <c r="Y353">
        <f ca="1">LOOKUP(X353,B52:B142,'Extrait sec'!C52:C351)</f>
        <v>0.73</v>
      </c>
      <c r="Z353">
        <f ca="1">LOOKUP(X353,B52:B154,'Extrait sec'!D52:D351)</f>
        <v>1.46</v>
      </c>
    </row>
    <row r="354" spans="24:26">
      <c r="X354" t="str">
        <f ca="1">INDIRECT("B53")</f>
        <v>Jojoba gel 1kg</v>
      </c>
      <c r="Y354" t="str">
        <f ca="1">LOOKUP(X354,B53:B143,'Extrait sec'!C53:C352)</f>
        <v> </v>
      </c>
      <c r="Z354">
        <f ca="1">LOOKUP(X354,B53:B155,'Extrait sec'!D53:D352)</f>
        <v>0.18</v>
      </c>
    </row>
    <row r="355" spans="24:26">
      <c r="X355" t="str">
        <f ca="1">INDIRECT("B54")</f>
        <v>Kudzu ES 1 kg</v>
      </c>
      <c r="Y355">
        <f ca="1">LOOKUP(X355,B54:B144,'Extrait sec'!C54:C353)</f>
        <v>0.22</v>
      </c>
      <c r="Z355">
        <f ca="1">LOOKUP(X355,B54:B156,'Extrait sec'!D54:D353)</f>
        <v>0.43</v>
      </c>
    </row>
    <row r="356" spans="24:26">
      <c r="X356" t="str">
        <f ca="1">INDIRECT("B55")</f>
        <v>Kudzu ES 250 g</v>
      </c>
      <c r="Y356" t="str">
        <f ca="1">LOOKUP(X356,B55:B145,'Extrait sec'!C55:C354)</f>
        <v> </v>
      </c>
      <c r="Z356">
        <f ca="1">LOOKUP(X356,B55:B157,'Extrait sec'!D55:D354)</f>
        <v>0</v>
      </c>
    </row>
    <row r="357" spans="24:26">
      <c r="X357" t="str">
        <f ca="1">INDIRECT("B56")</f>
        <v>Leucine L 250 g</v>
      </c>
      <c r="Y357">
        <f ca="1">LOOKUP(X357,B56:B146,'Extrait sec'!C56:C355)</f>
        <v>0.34</v>
      </c>
      <c r="Z357">
        <f ca="1">LOOKUP(X357,B56:B158,'Extrait sec'!D56:D355)</f>
        <v>0.68</v>
      </c>
    </row>
    <row r="358" spans="24:26">
      <c r="X358" t="str">
        <f ca="1">INDIRECT("B57")</f>
        <v>Lithium orotate monohydrate 250 g</v>
      </c>
      <c r="Y358">
        <f ca="1">LOOKUP(X358,B57:B147,'Extrait sec'!C57:C356)</f>
        <v>0.5232</v>
      </c>
      <c r="Z358">
        <f ca="1">LOOKUP(X358,B57:B159,'Extrait sec'!D57:D356)</f>
        <v>1.05</v>
      </c>
    </row>
    <row r="359" spans="24:26">
      <c r="X359" t="str">
        <f ca="1">INDIRECT("B58")</f>
        <v>Lysine L mono CHLTE 100 g</v>
      </c>
      <c r="Y359">
        <f ca="1">LOOKUP(X359,B58:B148,'Extrait sec'!C58:C357)</f>
        <v>0.32</v>
      </c>
      <c r="Z359">
        <f ca="1">LOOKUP(X359,B58:B160,'Extrait sec'!D58:D357)</f>
        <v>0.63</v>
      </c>
    </row>
    <row r="360" spans="24:26">
      <c r="X360" t="str">
        <f ca="1">INDIRECT("B59")</f>
        <v>Magnesium citrate anhydre 250 g</v>
      </c>
      <c r="Y360">
        <f ca="1">LOOKUP(X360,B59:B149,'Extrait sec'!C59:C358)</f>
        <v>0.15</v>
      </c>
      <c r="Z360">
        <f ca="1">LOOKUP(X360,B59:B161,'Extrait sec'!D59:D358)</f>
        <v>0.28999999999999998</v>
      </c>
    </row>
    <row r="361" spans="24:26">
      <c r="X361" t="str">
        <f ca="1">INDIRECT("B60")</f>
        <v>Magnesium orotate 2H2O 1 K</v>
      </c>
      <c r="Y361">
        <f ca="1">LOOKUP(X361,B60:B150,'Extrait sec'!C60:C359)</f>
        <v>0.15</v>
      </c>
      <c r="Z361">
        <f ca="1">LOOKUP(X361,B60:B162,'Extrait sec'!D60:D359)</f>
        <v>0.3</v>
      </c>
    </row>
    <row r="362" spans="24:26">
      <c r="X362" t="str">
        <f ca="1">INDIRECT("B61")</f>
        <v>Marron indes ES 250 g</v>
      </c>
      <c r="Y362">
        <f ca="1">LOOKUP(X362,B61:B151,'Extrait sec'!C61:C360)</f>
        <v>0.28000000000000003</v>
      </c>
      <c r="Z362">
        <f ca="1">LOOKUP(X362,B61:B163,'Extrait sec'!D61:D360)</f>
        <v>0.56000000000000005</v>
      </c>
    </row>
    <row r="363" spans="24:26">
      <c r="X363" t="str">
        <f ca="1">INDIRECT("B62")</f>
        <v>Melatonine 25 g</v>
      </c>
      <c r="Y363">
        <f ca="1">LOOKUP(X363,B62:B152,'Extrait sec'!C62:C361)</f>
        <v>5.8760000000000003</v>
      </c>
      <c r="Z363">
        <f ca="1">LOOKUP(X363,B62:B164,'Extrait sec'!D62:D361)</f>
        <v>11.75</v>
      </c>
    </row>
    <row r="364" spans="24:26">
      <c r="X364" t="str">
        <f ca="1">INDIRECT("B63")</f>
        <v>Melilot 250gr</v>
      </c>
      <c r="Y364">
        <f ca="1">LOOKUP(X364,B63:B153,'Extrait sec'!C63:C362)</f>
        <v>0.23599999999999999</v>
      </c>
      <c r="Z364">
        <f ca="1">LOOKUP(X364,B63:B165,'Extrait sec'!D63:D362)</f>
        <v>0.47299999999999998</v>
      </c>
    </row>
    <row r="365" spans="24:26">
      <c r="X365" t="str">
        <f ca="1">INDIRECT("B64")</f>
        <v>Methionin-L 250 g</v>
      </c>
      <c r="Y365">
        <f ca="1">LOOKUP(X365,B64:B154,'Extrait sec'!C64:C363)</f>
        <v>0.24199999999999999</v>
      </c>
      <c r="Z365">
        <f ca="1">LOOKUP(X365,B64:B166,'Extrait sec'!D64:D363)</f>
        <v>0.48</v>
      </c>
    </row>
    <row r="366" spans="24:26">
      <c r="X366" t="str">
        <f ca="1">INDIRECT("B65")</f>
        <v>Minoxidine 50 g</v>
      </c>
      <c r="Y366">
        <f ca="1">LOOKUP(X366,B65:B155,'Extrait sec'!C65:C364)</f>
        <v>1.944</v>
      </c>
      <c r="Z366">
        <f ca="1">LOOKUP(X366,B65:B167,'Extrait sec'!D65:D364)</f>
        <v>3.89</v>
      </c>
    </row>
    <row r="367" spans="24:26">
      <c r="X367" t="str">
        <f ca="1">INDIRECT("B66")</f>
        <v>Molybdate Natrium 250gr</v>
      </c>
      <c r="Y367">
        <f ca="1">LOOKUP(X367,B66:B156,'Extrait sec'!C66:C365)</f>
        <v>6.0000000000000001E-3</v>
      </c>
      <c r="Z367">
        <f ca="1">LOOKUP(X367,B66:B168,'Extrait sec'!D66:D365)</f>
        <v>0.12</v>
      </c>
    </row>
    <row r="368" spans="24:26">
      <c r="X368" t="str">
        <f ca="1">INDIRECT("B67")</f>
        <v>N-Acetylcysteine 100 g</v>
      </c>
      <c r="Y368">
        <f ca="1">LOOKUP(X368,B67:B157,'Extrait sec'!C67:C366)</f>
        <v>0.215</v>
      </c>
      <c r="Z368">
        <f ca="1">LOOKUP(X368,B67:B169,'Extrait sec'!D67:D366)</f>
        <v>0.43</v>
      </c>
    </row>
    <row r="369" spans="24:26">
      <c r="X369" t="str">
        <f ca="1">INDIRECT("B68")</f>
        <v>Nystatin 5 g</v>
      </c>
      <c r="Y369">
        <f ca="1">LOOKUP(X369,B68:B158,'Extrait sec'!C68:C367)</f>
        <v>8.7799999999999994</v>
      </c>
      <c r="Z369">
        <f ca="1">LOOKUP(X369,B68:B170,'Extrait sec'!D68:D367)</f>
        <v>17.559999999999999</v>
      </c>
    </row>
    <row r="370" spans="24:26">
      <c r="X370" t="str">
        <f ca="1">INDIRECT("B69")</f>
        <v>Orthosiphon feuilles ES 100 g</v>
      </c>
      <c r="Y370">
        <f ca="1">LOOKUP(X370,B69:B159,'Extrait sec'!C69:C368)</f>
        <v>0.4</v>
      </c>
      <c r="Z370">
        <f ca="1">LOOKUP(X370,B69:B171,'Extrait sec'!D69:D368)</f>
        <v>0.8</v>
      </c>
    </row>
    <row r="371" spans="24:26">
      <c r="X371" t="str">
        <f ca="1">INDIRECT("B70")</f>
        <v>Passiflore ES 100 g</v>
      </c>
      <c r="Y371">
        <f ca="1">LOOKUP(X371,B70:B160,'Extrait sec'!C70:C369)</f>
        <v>0.38</v>
      </c>
      <c r="Z371">
        <f ca="1">LOOKUP(X371,B70:B172,'Extrait sec'!D70:D369)</f>
        <v>0.76</v>
      </c>
    </row>
    <row r="372" spans="24:26">
      <c r="X372" t="str">
        <f ca="1">INDIRECT("B71")</f>
        <v>Petit houx rhizomes ES 250 g</v>
      </c>
      <c r="Y372">
        <f ca="1">LOOKUP(X372,B71:B161,'Extrait sec'!C71:C370)</f>
        <v>0.41</v>
      </c>
      <c r="Z372">
        <f ca="1">LOOKUP(X372,B71:B173,'Extrait sec'!D71:D370)</f>
        <v>0.82</v>
      </c>
    </row>
    <row r="373" spans="24:26">
      <c r="X373" t="str">
        <f ca="1">INDIRECT("B72")</f>
        <v>Phenylalanine L 100 g</v>
      </c>
      <c r="Y373">
        <f ca="1">LOOKUP(X373,B72:B162,'Extrait sec'!C72:C371)</f>
        <v>0.39</v>
      </c>
      <c r="Z373">
        <f ca="1">LOOKUP(X373,B72:B174,'Extrait sec'!D72:D371)</f>
        <v>0.77</v>
      </c>
    </row>
    <row r="374" spans="24:26">
      <c r="X374" t="str">
        <f ca="1">INDIRECT("B73")</f>
        <v>Phenylalanin-L ing 100 g</v>
      </c>
      <c r="Y374">
        <f ca="1">LOOKUP(X374,B73:B163,'Extrait sec'!C73:C372)</f>
        <v>0.621</v>
      </c>
      <c r="Z374">
        <f ca="1">LOOKUP(X374,B73:B175,'Extrait sec'!D73:D372)</f>
        <v>1.24</v>
      </c>
    </row>
    <row r="375" spans="24:26">
      <c r="X375" t="str">
        <f ca="1">INDIRECT("B74")</f>
        <v>Pissenlit racine ES 100 g</v>
      </c>
      <c r="Y375">
        <f ca="1">LOOKUP(X375,B74:B164,'Extrait sec'!C74:C373)</f>
        <v>0.41</v>
      </c>
      <c r="Z375">
        <f ca="1">LOOKUP(X375,B74:B176,'Extrait sec'!D74:D373)</f>
        <v>0.82</v>
      </c>
    </row>
    <row r="376" spans="24:26">
      <c r="X376" t="str">
        <f ca="1">INDIRECT("B75")</f>
        <v>Potassium citrate 250 g</v>
      </c>
      <c r="Y376">
        <f ca="1">LOOKUP(X376,B75:B165,'Extrait sec'!C75:C374)</f>
        <v>0.11</v>
      </c>
      <c r="Z376">
        <f ca="1">LOOKUP(X376,B75:B177,'Extrait sec'!D75:D374)</f>
        <v>0.22</v>
      </c>
    </row>
    <row r="377" spans="24:26">
      <c r="X377" t="str">
        <f ca="1">INDIRECT("B76")</f>
        <v>Prele ES 100 g</v>
      </c>
      <c r="Y377">
        <f ca="1">LOOKUP(X377,B76:B166,'Extrait sec'!C76:C375)</f>
        <v>0.37</v>
      </c>
      <c r="Z377">
        <f ca="1">LOOKUP(X377,B76:B178,'Extrait sec'!D76:D375)</f>
        <v>0.73</v>
      </c>
    </row>
    <row r="378" spans="24:26">
      <c r="X378" t="str">
        <f ca="1">INDIRECT("B77")</f>
        <v>Progesteron mikronisiert 25 g</v>
      </c>
      <c r="Y378">
        <f ca="1">LOOKUP(X378,B77:B167,'Extrait sec'!C77:C376)</f>
        <v>2.0604</v>
      </c>
      <c r="Z378">
        <f ca="1">LOOKUP(X378,B77:B179,'Extrait sec'!D77:D376)</f>
        <v>4.12</v>
      </c>
    </row>
    <row r="379" spans="24:26">
      <c r="X379" t="str">
        <f ca="1">INDIRECT("B78")</f>
        <v>Quercetine 100gr</v>
      </c>
      <c r="Y379">
        <f ca="1">LOOKUP(X379,B78:B168,'Extrait sec'!C78:C377)</f>
        <v>0.80800000000000005</v>
      </c>
      <c r="Z379">
        <f ca="1">LOOKUP(X379,B78:B180,'Extrait sec'!D78:D377)</f>
        <v>1.7</v>
      </c>
    </row>
    <row r="380" spans="24:26">
      <c r="X380" t="str">
        <f ca="1">INDIRECT("B79")</f>
        <v>Radis noir 250gr</v>
      </c>
      <c r="Y380">
        <f ca="1">LOOKUP(X380,B79:B169,'Extrait sec'!C79:C378)</f>
        <v>0.27679999999999999</v>
      </c>
      <c r="Z380">
        <f ca="1">LOOKUP(X380,B79:B181,'Extrait sec'!D79:D378)</f>
        <v>0.55400000000000005</v>
      </c>
    </row>
    <row r="381" spans="24:26">
      <c r="X381" t="str">
        <f ca="1">INDIRECT("B80")</f>
        <v>Rhodiola ES 250 g</v>
      </c>
      <c r="Y381">
        <f ca="1">LOOKUP(X381,B80:B170,'Extrait sec'!C80:C379)</f>
        <v>0.75</v>
      </c>
      <c r="Z381">
        <f ca="1">LOOKUP(X381,B80:B182,'Extrait sec'!D80:D379)</f>
        <v>1.5</v>
      </c>
    </row>
    <row r="382" spans="24:26">
      <c r="X382" t="str">
        <f ca="1">INDIRECT("B81")</f>
        <v>Romarin feuille ES 50 g</v>
      </c>
      <c r="Y382">
        <f ca="1">LOOKUP(X382,B81:B171,'Extrait sec'!C81:C380)</f>
        <v>0.69</v>
      </c>
      <c r="Z382">
        <f ca="1">LOOKUP(X382,B81:B183,'Extrait sec'!D81:D380)</f>
        <v>1.39</v>
      </c>
    </row>
    <row r="383" spans="24:26">
      <c r="X383" t="str">
        <f ca="1">INDIRECT("B82")</f>
        <v>Rutine Rutoside 100gr</v>
      </c>
      <c r="Y383">
        <f ca="1">LOOKUP(X383,B82:B172,'Extrait sec'!C82:C381)</f>
        <v>0.81</v>
      </c>
      <c r="Z383">
        <f ca="1">LOOKUP(X383,B82:B184,'Extrait sec'!D82:D381)</f>
        <v>1.62</v>
      </c>
    </row>
    <row r="384" spans="24:26">
      <c r="X384" t="str">
        <f ca="1">INDIRECT("B83")</f>
        <v>Taurine 100 g</v>
      </c>
      <c r="Y384">
        <f ca="1">LOOKUP(X384,B83:B173,'Extrait sec'!C83:C382)</f>
        <v>0.38</v>
      </c>
      <c r="Z384">
        <f ca="1">LOOKUP(X384,B83:B185,'Extrait sec'!D83:D382)</f>
        <v>0.76</v>
      </c>
    </row>
    <row r="385" spans="24:26">
      <c r="X385" t="str">
        <f ca="1">INDIRECT("B84")</f>
        <v>Thé vert feuille ES 250 g</v>
      </c>
      <c r="Y385">
        <f ca="1">LOOKUP(X385,B84:B174,'Extrait sec'!C84:C383)</f>
        <v>0.23</v>
      </c>
      <c r="Z385">
        <f ca="1">LOOKUP(X385,B84:B186,'Extrait sec'!D84:D383)</f>
        <v>0.46</v>
      </c>
    </row>
    <row r="386" spans="24:26">
      <c r="X386" t="str">
        <f ca="1">INDIRECT("B85")</f>
        <v>Tretinoin 250 mg</v>
      </c>
      <c r="Y386" t="str">
        <f ca="1">LOOKUP(X386,B85:B175,'Extrait sec'!C85:C384)</f>
        <v>0.0836 -&gt;1mg</v>
      </c>
      <c r="Z386" t="str">
        <f ca="1">LOOKUP(X386,B85:B187,'Extrait sec'!D85:D384)</f>
        <v>0.1672-&gt;1mg</v>
      </c>
    </row>
    <row r="387" spans="24:26">
      <c r="X387" t="str">
        <f ca="1">INDIRECT("B87")</f>
        <v>Tryptophan-L</v>
      </c>
      <c r="Y387">
        <f ca="1">LOOKUP(X387,B86:B176,'Extrait sec'!C86:C385)</f>
        <v>0.87</v>
      </c>
      <c r="Z387">
        <f ca="1">LOOKUP(X387,B86:B188,'Extrait sec'!D86:D385)</f>
        <v>1.74</v>
      </c>
    </row>
    <row r="388" spans="24:26">
      <c r="X388" t="str">
        <f ca="1">INDIRECT("B88")</f>
        <v>Tyrosine-L 100 g</v>
      </c>
      <c r="Y388">
        <f ca="1">LOOKUP(X388,B87:B177,'Extrait sec'!C87:C386)</f>
        <v>7.5999999999999998E-2</v>
      </c>
      <c r="Z388">
        <f ca="1">LOOKUP(X388,B87:B189,'Extrait sec'!D87:D386)</f>
        <v>0.15</v>
      </c>
    </row>
    <row r="389" spans="24:26">
      <c r="X389" t="str">
        <f ca="1">INDIRECT("B89")</f>
        <v>Vigne rouge feuille ES 100 g</v>
      </c>
      <c r="Y389">
        <f ca="1">LOOKUP(X389,B88:B178,'Extrait sec'!C88:C387)</f>
        <v>0.41</v>
      </c>
      <c r="Z389">
        <f ca="1">LOOKUP(X389,B88:B190,'Extrait sec'!D88:D387)</f>
        <v>0.82</v>
      </c>
    </row>
    <row r="390" spans="24:26">
      <c r="X390" t="str">
        <f ca="1">INDIRECT("B90")</f>
        <v>Vitamine B6 50 g</v>
      </c>
      <c r="Y390">
        <f ca="1">LOOKUP(X390,B89:B179,'Extrait sec'!C89:C388)</f>
        <v>0.35</v>
      </c>
      <c r="Z390">
        <f ca="1">LOOKUP(X390,B89:B191,'Extrait sec'!D89:D388)</f>
        <v>0.7</v>
      </c>
    </row>
    <row r="391" spans="24:26">
      <c r="X391" t="str">
        <f ca="1">INDIRECT("B91")</f>
        <v>Yam rhizome 250 g</v>
      </c>
      <c r="Y391">
        <f ca="1">LOOKUP(X391,B90:B180,'Extrait sec'!C90:C389)</f>
        <v>0.37</v>
      </c>
      <c r="Z391">
        <f ca="1">LOOKUP(X391,B90:B192,'Extrait sec'!D90:D389)</f>
        <v>0.74</v>
      </c>
    </row>
    <row r="392" spans="24:26">
      <c r="X392" t="str">
        <f ca="1">INDIRECT("B92")</f>
        <v>Zeolite super smart 250 g</v>
      </c>
      <c r="Y392">
        <f ca="1">LOOKUP(X392,B91:B181,'Extrait sec'!C91:C390)</f>
        <v>0.192</v>
      </c>
      <c r="Z392">
        <f ca="1">LOOKUP(X392,B91:B193,'Extrait sec'!D91:D390)</f>
        <v>0.38</v>
      </c>
    </row>
    <row r="393" spans="24:26">
      <c r="X393" t="str">
        <f ca="1">INDIRECT("B93")</f>
        <v>Zinc orotate</v>
      </c>
      <c r="Y393">
        <f ca="1">LOOKUP(X393,B92:B182,'Extrait sec'!C92:C391)</f>
        <v>0.73499999999999999</v>
      </c>
      <c r="Z393">
        <f ca="1">LOOKUP(X393,B92:B194,'Extrait sec'!D92:D391)</f>
        <v>1.47</v>
      </c>
    </row>
    <row r="394" spans="24:26">
      <c r="X394" t="str">
        <f ca="1">INDIRECT("e3")</f>
        <v>ACHILLEA MILLEFOLIUM</v>
      </c>
      <c r="Y394">
        <f t="shared" ref="Y394:Y425" ca="1" si="5">LOOKUP(X394,E3:E114,F3:F114)</f>
        <v>4.752E-2</v>
      </c>
      <c r="Z394">
        <f t="shared" ref="Z394:Z425" ca="1" si="6">LOOKUP(X394,E3:E109,G3:G82)</f>
        <v>9.5039999999999999E-2</v>
      </c>
    </row>
    <row r="395" spans="24:26">
      <c r="X395" t="str">
        <f ca="1">INDIRECT("e4")</f>
        <v>AESCULUS HIPPOCASTANUM</v>
      </c>
      <c r="Y395">
        <f t="shared" ca="1" si="5"/>
        <v>4.752E-2</v>
      </c>
      <c r="Z395">
        <f t="shared" ca="1" si="6"/>
        <v>9.5039999999999999E-2</v>
      </c>
    </row>
    <row r="396" spans="24:26">
      <c r="X396" t="str">
        <f ca="1">INDIRECT("e5")</f>
        <v>ALCHEMILLE VULGARIS</v>
      </c>
      <c r="Y396">
        <f t="shared" ca="1" si="5"/>
        <v>4.752E-2</v>
      </c>
      <c r="Z396">
        <f t="shared" ca="1" si="6"/>
        <v>9.5039999999999999E-2</v>
      </c>
    </row>
    <row r="397" spans="24:26">
      <c r="X397" t="str">
        <f ca="1">INDIRECT("e6")</f>
        <v>ARCTIUM RADIX</v>
      </c>
      <c r="Y397">
        <f t="shared" ca="1" si="5"/>
        <v>8.6400000000000005E-2</v>
      </c>
      <c r="Z397">
        <f t="shared" ca="1" si="6"/>
        <v>0.17280000000000001</v>
      </c>
    </row>
    <row r="398" spans="24:26">
      <c r="X398" t="str">
        <f ca="1">INDIRECT("e7")</f>
        <v>ARCTOSTAPHYLOS UVA-URSI</v>
      </c>
      <c r="Y398">
        <f t="shared" ca="1" si="5"/>
        <v>5.6160000000000002E-2</v>
      </c>
      <c r="Z398">
        <f t="shared" ca="1" si="6"/>
        <v>0.11232</v>
      </c>
    </row>
    <row r="399" spans="24:26">
      <c r="X399" t="str">
        <f ca="1">INDIRECT("e8")</f>
        <v>ARNICA</v>
      </c>
      <c r="Y399">
        <f t="shared" ca="1" si="5"/>
        <v>4.428E-2</v>
      </c>
      <c r="Z399">
        <f t="shared" ca="1" si="6"/>
        <v>8.856E-2</v>
      </c>
    </row>
    <row r="400" spans="24:26">
      <c r="X400" t="str">
        <f ca="1">INDIRECT("e9")</f>
        <v>ARNICA MONTANA EX PLANTA</v>
      </c>
      <c r="Y400">
        <f t="shared" ca="1" si="5"/>
        <v>6.9120000000000001E-2</v>
      </c>
      <c r="Z400">
        <f t="shared" ca="1" si="6"/>
        <v>0.13824</v>
      </c>
    </row>
    <row r="401" spans="24:26">
      <c r="X401" t="str">
        <f ca="1">INDIRECT("e10")</f>
        <v>ARTHEMISIA ABSINTHIUM</v>
      </c>
      <c r="Y401">
        <f t="shared" ca="1" si="5"/>
        <v>5.2920000000000002E-2</v>
      </c>
      <c r="Z401">
        <f t="shared" ca="1" si="6"/>
        <v>0.10584</v>
      </c>
    </row>
    <row r="402" spans="24:26">
      <c r="X402" t="str">
        <f ca="1">INDIRECT("e11")</f>
        <v>ARTHEMISIA VULGARIS</v>
      </c>
      <c r="Y402">
        <f t="shared" ca="1" si="5"/>
        <v>6.1560000000000004E-2</v>
      </c>
      <c r="Z402">
        <f t="shared" ca="1" si="6"/>
        <v>0.12312000000000001</v>
      </c>
    </row>
    <row r="403" spans="24:26">
      <c r="X403" t="str">
        <f ca="1">INDIRECT("e12")</f>
        <v>AVENA SATIVA</v>
      </c>
      <c r="Y403">
        <f t="shared" ca="1" si="5"/>
        <v>4.752E-2</v>
      </c>
      <c r="Z403">
        <f t="shared" ca="1" si="6"/>
        <v>9.5039999999999999E-2</v>
      </c>
    </row>
    <row r="404" spans="24:26">
      <c r="X404" t="str">
        <f ca="1">INDIRECT("e13")</f>
        <v>BETULA PENDULA E FOLIIS</v>
      </c>
      <c r="Y404">
        <f t="shared" ca="1" si="5"/>
        <v>4.752E-2</v>
      </c>
      <c r="Z404">
        <f t="shared" ca="1" si="6"/>
        <v>9.5039999999999999E-2</v>
      </c>
    </row>
    <row r="405" spans="24:26">
      <c r="X405" t="str">
        <f ca="1">INDIRECT("e14")</f>
        <v>CALENDULA OFF</v>
      </c>
      <c r="Y405">
        <f t="shared" ca="1" si="5"/>
        <v>4.428E-2</v>
      </c>
      <c r="Z405">
        <f t="shared" ca="1" si="6"/>
        <v>8.856E-2</v>
      </c>
    </row>
    <row r="406" spans="24:26">
      <c r="X406" t="str">
        <f ca="1">INDIRECT("e15")</f>
        <v>CALLUMNA VULGARIS</v>
      </c>
      <c r="Y406">
        <f t="shared" ca="1" si="5"/>
        <v>9.0719999999999995E-2</v>
      </c>
      <c r="Z406">
        <f t="shared" ca="1" si="6"/>
        <v>0.18143999999999999</v>
      </c>
    </row>
    <row r="407" spans="24:26">
      <c r="X407" t="str">
        <f ca="1">INDIRECT("e16")</f>
        <v>CARDIOSPERMUM HALICACABUM</v>
      </c>
      <c r="Y407">
        <f t="shared" ca="1" si="5"/>
        <v>6.3720000000000013E-2</v>
      </c>
      <c r="Z407">
        <f t="shared" ca="1" si="6"/>
        <v>0.12744000000000003</v>
      </c>
    </row>
    <row r="408" spans="24:26">
      <c r="X408" t="str">
        <f ca="1">INDIRECT("e17")</f>
        <v>CENTAURIUM</v>
      </c>
      <c r="Y408">
        <f t="shared" ca="1" si="5"/>
        <v>5.6160000000000002E-2</v>
      </c>
      <c r="Z408">
        <f t="shared" ca="1" si="6"/>
        <v>0.11232</v>
      </c>
    </row>
    <row r="409" spans="24:26">
      <c r="X409" t="str">
        <f ca="1">INDIRECT("e18")</f>
        <v>CENTELLA ASIATICA D1</v>
      </c>
      <c r="Y409">
        <f t="shared" ca="1" si="5"/>
        <v>5.2920000000000002E-2</v>
      </c>
      <c r="Z409">
        <f t="shared" ca="1" si="6"/>
        <v>0.10584</v>
      </c>
    </row>
    <row r="410" spans="24:26">
      <c r="X410" t="str">
        <f ca="1">INDIRECT("e19")</f>
        <v>CETRATRIA ISLANDICA</v>
      </c>
      <c r="Y410">
        <f t="shared" ca="1" si="5"/>
        <v>4.752E-2</v>
      </c>
      <c r="Z410">
        <f t="shared" ca="1" si="6"/>
        <v>9.5039999999999999E-2</v>
      </c>
    </row>
    <row r="411" spans="24:26">
      <c r="X411" t="str">
        <f ca="1">INDIRECT("e20")</f>
        <v>CIMICIFUGA RACEMOSA</v>
      </c>
      <c r="Y411">
        <f t="shared" ca="1" si="5"/>
        <v>6.1560000000000004E-2</v>
      </c>
      <c r="Z411">
        <f t="shared" ca="1" si="6"/>
        <v>0.12312000000000001</v>
      </c>
    </row>
    <row r="412" spans="24:26">
      <c r="X412" t="str">
        <f ca="1">INDIRECT("e21")</f>
        <v>CRATAEGUS E FOL. E FLO</v>
      </c>
      <c r="Y412">
        <f t="shared" ca="1" si="5"/>
        <v>5.2920000000000002E-2</v>
      </c>
      <c r="Z412">
        <f t="shared" ca="1" si="6"/>
        <v>0.10584</v>
      </c>
    </row>
    <row r="413" spans="24:26">
      <c r="X413" t="str">
        <f ca="1">INDIRECT("e22")</f>
        <v>CURCUMA LONGA D1</v>
      </c>
      <c r="Y413">
        <f t="shared" ca="1" si="5"/>
        <v>4.752E-2</v>
      </c>
      <c r="Z413">
        <f t="shared" ca="1" si="6"/>
        <v>9.5039999999999999E-2</v>
      </c>
    </row>
    <row r="414" spans="24:26">
      <c r="X414" t="str">
        <f ca="1">INDIRECT("e23")</f>
        <v>CYNARA SCOLYMU</v>
      </c>
      <c r="Y414">
        <f t="shared" ca="1" si="5"/>
        <v>4.752E-2</v>
      </c>
      <c r="Z414">
        <f t="shared" ca="1" si="6"/>
        <v>9.5039999999999999E-2</v>
      </c>
    </row>
    <row r="415" spans="24:26">
      <c r="X415" t="str">
        <f ca="1">INDIRECT("e24")</f>
        <v>DIOSCOREA VILLOSA</v>
      </c>
      <c r="Y415">
        <f t="shared" ca="1" si="5"/>
        <v>6.9120000000000001E-2</v>
      </c>
      <c r="Z415">
        <f t="shared" ca="1" si="6"/>
        <v>0.13824</v>
      </c>
    </row>
    <row r="416" spans="24:26">
      <c r="X416">
        <f ca="1">INDIRECT("E25")</f>
        <v>0</v>
      </c>
      <c r="Y416" t="e">
        <f t="shared" ca="1" si="5"/>
        <v>#N/A</v>
      </c>
      <c r="Z416" t="e">
        <f t="shared" ca="1" si="6"/>
        <v>#N/A</v>
      </c>
    </row>
    <row r="417" spans="24:26">
      <c r="X417" t="str">
        <f ca="1">INDIRECT("e26")</f>
        <v>ECHINACEA PURPURE</v>
      </c>
      <c r="Y417">
        <f t="shared" ca="1" si="5"/>
        <v>4.428E-2</v>
      </c>
      <c r="Z417">
        <f t="shared" ca="1" si="6"/>
        <v>8.856E-2</v>
      </c>
    </row>
    <row r="418" spans="24:26">
      <c r="X418" t="str">
        <f ca="1">INDIRECT("e27")</f>
        <v>ELEUTHEROCOCCUS SENTICOSUS</v>
      </c>
      <c r="Y418">
        <f t="shared" ca="1" si="5"/>
        <v>4.428E-2</v>
      </c>
      <c r="Z418">
        <f t="shared" ca="1" si="6"/>
        <v>8.856E-2</v>
      </c>
    </row>
    <row r="419" spans="24:26">
      <c r="X419" t="str">
        <f ca="1">INDIRECT("e28")</f>
        <v>EQUISETUM ARVENSE</v>
      </c>
      <c r="Y419">
        <f t="shared" ca="1" si="5"/>
        <v>4.752E-2</v>
      </c>
      <c r="Z419">
        <f t="shared" ca="1" si="6"/>
        <v>9.5039999999999999E-2</v>
      </c>
    </row>
    <row r="420" spans="24:26">
      <c r="X420" t="str">
        <f ca="1">INDIRECT("e29")</f>
        <v>EUCALYPTUS GLOBULUS D1</v>
      </c>
      <c r="Y420">
        <f t="shared" ca="1" si="5"/>
        <v>4.752E-2</v>
      </c>
      <c r="Z420">
        <f t="shared" ca="1" si="6"/>
        <v>9.5039999999999999E-2</v>
      </c>
    </row>
    <row r="421" spans="24:26">
      <c r="X421" t="str">
        <f ca="1">INDIRECT("e30")</f>
        <v>EUPATORIUM PERFOLIATUM</v>
      </c>
      <c r="Y421">
        <f t="shared" ca="1" si="5"/>
        <v>6.9120000000000001E-2</v>
      </c>
      <c r="Z421">
        <f t="shared" ca="1" si="6"/>
        <v>0.13824</v>
      </c>
    </row>
    <row r="422" spans="24:26">
      <c r="X422" t="str">
        <f ca="1">INDIRECT("e31")</f>
        <v>FOENICULUM VULGARIS</v>
      </c>
      <c r="Y422">
        <f t="shared" ca="1" si="5"/>
        <v>4.752E-2</v>
      </c>
      <c r="Z422">
        <f t="shared" ca="1" si="6"/>
        <v>9.5039999999999999E-2</v>
      </c>
    </row>
    <row r="423" spans="24:26">
      <c r="X423" t="str">
        <f ca="1">INDIRECT("e32")</f>
        <v>FUMARIA OFFICINALIS (0.125L)</v>
      </c>
      <c r="Y423">
        <f t="shared" ca="1" si="5"/>
        <v>0.24062400000000003</v>
      </c>
      <c r="Z423">
        <f t="shared" ca="1" si="6"/>
        <v>0.48124800000000006</v>
      </c>
    </row>
    <row r="424" spans="24:26">
      <c r="X424" t="str">
        <f ca="1">INDIRECT("e33")</f>
        <v>GINKGO BILOBA</v>
      </c>
      <c r="Y424">
        <f t="shared" ca="1" si="5"/>
        <v>6.3720000000000013E-2</v>
      </c>
      <c r="Z424">
        <f t="shared" ca="1" si="6"/>
        <v>0.12744000000000003</v>
      </c>
    </row>
    <row r="425" spans="24:26">
      <c r="X425" t="str">
        <f ca="1">INDIRECT("e34")</f>
        <v>HAMAMELIS VIRG. E FOLII</v>
      </c>
      <c r="Y425">
        <f t="shared" ca="1" si="5"/>
        <v>5.6160000000000002E-2</v>
      </c>
      <c r="Z425">
        <f t="shared" ca="1" si="6"/>
        <v>0.11232</v>
      </c>
    </row>
    <row r="426" spans="24:26">
      <c r="X426" t="str">
        <f ca="1">INDIRECT("e35")</f>
        <v>HARPAGOPHYTUM PROCUM</v>
      </c>
      <c r="Y426">
        <f t="shared" ref="Y426:Y457" ca="1" si="7">LOOKUP(X426,E35:E146,F35:F146)</f>
        <v>4.428E-2</v>
      </c>
      <c r="Z426">
        <f t="shared" ref="Z426:Z457" ca="1" si="8">LOOKUP(X426,E35:E141,G35:G114)</f>
        <v>8.856E-2</v>
      </c>
    </row>
    <row r="427" spans="24:26">
      <c r="X427" t="str">
        <f ca="1">INDIRECT("e36")</f>
        <v>HEDERA HELIX</v>
      </c>
      <c r="Y427">
        <f t="shared" ca="1" si="7"/>
        <v>4.752E-2</v>
      </c>
      <c r="Z427">
        <f t="shared" ca="1" si="8"/>
        <v>9.5039999999999999E-2</v>
      </c>
    </row>
    <row r="428" spans="24:26">
      <c r="X428" t="str">
        <f ca="1">INDIRECT("e37")</f>
        <v>HIERACIUM PILOSELLA</v>
      </c>
      <c r="Y428">
        <f t="shared" ca="1" si="7"/>
        <v>5.2920000000000002E-2</v>
      </c>
      <c r="Z428">
        <f t="shared" ca="1" si="8"/>
        <v>0.10584</v>
      </c>
    </row>
    <row r="429" spans="24:26">
      <c r="X429" t="str">
        <f ca="1">INDIRECT("e38")</f>
        <v>HUMULUS LUPUS</v>
      </c>
      <c r="Y429">
        <f t="shared" ca="1" si="7"/>
        <v>4.752E-2</v>
      </c>
      <c r="Z429">
        <f t="shared" ca="1" si="8"/>
        <v>9.5039999999999999E-2</v>
      </c>
    </row>
    <row r="430" spans="24:26">
      <c r="X430" t="str">
        <f ca="1">INDIRECT("e39")</f>
        <v>HYPERICUM PERFORTUM</v>
      </c>
      <c r="Y430">
        <f t="shared" ca="1" si="7"/>
        <v>4.752E-2</v>
      </c>
      <c r="Z430">
        <f t="shared" ca="1" si="8"/>
        <v>9.5039999999999999E-2</v>
      </c>
    </row>
    <row r="431" spans="24:26">
      <c r="X431" t="str">
        <f ca="1">INDIRECT("e40")</f>
        <v>MARUBE (0.125L)</v>
      </c>
      <c r="Y431">
        <f t="shared" ca="1" si="7"/>
        <v>0.34344000000000002</v>
      </c>
      <c r="Z431">
        <f t="shared" ca="1" si="8"/>
        <v>0.68688000000000005</v>
      </c>
    </row>
    <row r="432" spans="24:26">
      <c r="X432" t="str">
        <f ca="1">INDIRECT("e41")</f>
        <v>MELISSA OFFICINALIS</v>
      </c>
      <c r="Y432">
        <f t="shared" ca="1" si="7"/>
        <v>4.752E-2</v>
      </c>
      <c r="Z432">
        <f t="shared" ca="1" si="8"/>
        <v>9.5039999999999999E-2</v>
      </c>
    </row>
    <row r="433" spans="24:26">
      <c r="X433" t="str">
        <f ca="1">INDIRECT("e42")</f>
        <v>MENTHA PIPERITA</v>
      </c>
      <c r="Y433">
        <f t="shared" ca="1" si="7"/>
        <v>4.752E-2</v>
      </c>
      <c r="Z433">
        <f t="shared" ca="1" si="8"/>
        <v>9.5039999999999999E-2</v>
      </c>
    </row>
    <row r="434" spans="24:26">
      <c r="X434" t="str">
        <f ca="1">INDIRECT("e43")</f>
        <v>OLEA EUROPEA</v>
      </c>
      <c r="Y434">
        <f t="shared" ca="1" si="7"/>
        <v>4.752E-2</v>
      </c>
      <c r="Z434">
        <f t="shared" ca="1" si="8"/>
        <v>9.5039999999999999E-2</v>
      </c>
    </row>
    <row r="435" spans="24:26">
      <c r="X435" t="str">
        <f ca="1">INDIRECT("e44")</f>
        <v>PAPAVER 1 DH (0.125L)</v>
      </c>
      <c r="Y435">
        <f t="shared" ca="1" si="7"/>
        <v>0.130464</v>
      </c>
      <c r="Z435">
        <f t="shared" ca="1" si="8"/>
        <v>0.26092799999999999</v>
      </c>
    </row>
    <row r="436" spans="24:26">
      <c r="X436" t="str">
        <f ca="1">INDIRECT("e45")</f>
        <v>PASSIFLORE INCARNATA</v>
      </c>
      <c r="Y436">
        <f t="shared" ca="1" si="7"/>
        <v>5.6160000000000002E-2</v>
      </c>
      <c r="Z436">
        <f t="shared" ca="1" si="8"/>
        <v>0.11232</v>
      </c>
    </row>
    <row r="437" spans="24:26">
      <c r="X437" t="str">
        <f ca="1">INDIRECT("e46")</f>
        <v>PELARGONIUM</v>
      </c>
      <c r="Y437">
        <f t="shared" ca="1" si="7"/>
        <v>5.2920000000000002E-2</v>
      </c>
      <c r="Z437">
        <f t="shared" ca="1" si="8"/>
        <v>0.10584</v>
      </c>
    </row>
    <row r="438" spans="24:26">
      <c r="X438" t="str">
        <f ca="1">INDIRECT("e47")</f>
        <v>PELARGONIUM SIDOIDES</v>
      </c>
      <c r="Y438">
        <f t="shared" ca="1" si="7"/>
        <v>5.0760000000000007E-2</v>
      </c>
      <c r="Z438">
        <f t="shared" ca="1" si="8"/>
        <v>0.10152000000000001</v>
      </c>
    </row>
    <row r="439" spans="24:26">
      <c r="X439" t="str">
        <f ca="1">INDIRECT("e48")</f>
        <v>PHYTOLACCA AMERICANA</v>
      </c>
      <c r="Y439">
        <f t="shared" ca="1" si="7"/>
        <v>4.752E-2</v>
      </c>
      <c r="Z439">
        <f t="shared" ca="1" si="8"/>
        <v>9.5039999999999999E-2</v>
      </c>
    </row>
    <row r="440" spans="24:26">
      <c r="X440" t="str">
        <f ca="1">INDIRECT("e49")</f>
        <v>PICEA ABIES E TURIONES</v>
      </c>
      <c r="Y440">
        <f t="shared" ca="1" si="7"/>
        <v>5.2920000000000002E-2</v>
      </c>
      <c r="Z440">
        <f t="shared" ca="1" si="8"/>
        <v>0.10584</v>
      </c>
    </row>
    <row r="441" spans="24:26">
      <c r="X441" t="str">
        <f ca="1">INDIRECT("e50")</f>
        <v>PINUS SYLVESTRIS</v>
      </c>
      <c r="Y441">
        <f t="shared" ca="1" si="7"/>
        <v>6.1560000000000004E-2</v>
      </c>
      <c r="Z441">
        <f t="shared" ca="1" si="8"/>
        <v>0.12312000000000001</v>
      </c>
    </row>
    <row r="442" spans="24:26">
      <c r="X442" t="str">
        <f ca="1">INDIRECT("e51")</f>
        <v>POTENTILLA ERECTA</v>
      </c>
      <c r="Y442">
        <f t="shared" ca="1" si="7"/>
        <v>6.1560000000000004E-2</v>
      </c>
      <c r="Z442">
        <f t="shared" ca="1" si="8"/>
        <v>0.12312000000000001</v>
      </c>
    </row>
    <row r="443" spans="24:26">
      <c r="X443" t="str">
        <f ca="1">INDIRECT("e52")</f>
        <v>PRIMULA VERIS</v>
      </c>
      <c r="Y443">
        <f t="shared" ca="1" si="7"/>
        <v>5.2920000000000002E-2</v>
      </c>
      <c r="Z443">
        <f t="shared" ca="1" si="8"/>
        <v>0.10584</v>
      </c>
    </row>
    <row r="444" spans="24:26">
      <c r="X444" t="str">
        <f ca="1">INDIRECT("e53")</f>
        <v>PROPOLIS TINKTUR</v>
      </c>
      <c r="Y444">
        <f t="shared" ca="1" si="7"/>
        <v>5.6160000000000002E-2</v>
      </c>
      <c r="Z444">
        <f t="shared" ca="1" si="8"/>
        <v>0.11232</v>
      </c>
    </row>
    <row r="445" spans="24:26">
      <c r="X445" t="str">
        <f ca="1">INDIRECT("e54")</f>
        <v>RHODIOLA ROSEA</v>
      </c>
      <c r="Y445">
        <f t="shared" ca="1" si="7"/>
        <v>5.2920000000000002E-2</v>
      </c>
      <c r="Z445">
        <f t="shared" ca="1" si="8"/>
        <v>0.10584</v>
      </c>
    </row>
    <row r="446" spans="24:26">
      <c r="X446" t="str">
        <f ca="1">INDIRECT("e55")</f>
        <v>RIBES NIGRUM</v>
      </c>
      <c r="Y446">
        <f t="shared" ca="1" si="7"/>
        <v>6.1560000000000004E-2</v>
      </c>
      <c r="Z446">
        <f t="shared" ca="1" si="8"/>
        <v>0.12312000000000001</v>
      </c>
    </row>
    <row r="447" spans="24:26">
      <c r="X447" t="str">
        <f ca="1">INDIRECT("e56")</f>
        <v>RUSCUS ACULEATUS</v>
      </c>
      <c r="Y447">
        <f t="shared" ca="1" si="7"/>
        <v>5.6160000000000002E-2</v>
      </c>
      <c r="Z447">
        <f t="shared" ca="1" si="8"/>
        <v>0.11232</v>
      </c>
    </row>
    <row r="448" spans="24:26">
      <c r="X448" t="str">
        <f ca="1">INDIRECT("e57")</f>
        <v>RUSCUS ACULEATUS D1</v>
      </c>
      <c r="Y448">
        <f t="shared" ca="1" si="7"/>
        <v>4.752E-2</v>
      </c>
      <c r="Z448">
        <f t="shared" ca="1" si="8"/>
        <v>9.5039999999999999E-2</v>
      </c>
    </row>
    <row r="449" spans="24:26">
      <c r="X449" t="str">
        <f ca="1">INDIRECT("e58")</f>
        <v>SALIX PURPUREA</v>
      </c>
      <c r="Y449">
        <f t="shared" ca="1" si="7"/>
        <v>4.428E-2</v>
      </c>
      <c r="Z449">
        <f t="shared" ca="1" si="8"/>
        <v>8.856E-2</v>
      </c>
    </row>
    <row r="450" spans="24:26">
      <c r="X450" t="str">
        <f ca="1">INDIRECT("e59")</f>
        <v>SALVIA OFFICINALIS</v>
      </c>
      <c r="Y450">
        <f t="shared" ca="1" si="7"/>
        <v>4.752E-2</v>
      </c>
      <c r="Z450">
        <f t="shared" ca="1" si="8"/>
        <v>9.5039999999999999E-2</v>
      </c>
    </row>
    <row r="451" spans="24:26">
      <c r="X451" t="str">
        <f ca="1">INDIRECT("e60")</f>
        <v>SERENOA REPENS</v>
      </c>
      <c r="Y451">
        <f t="shared" ca="1" si="7"/>
        <v>6.3720000000000013E-2</v>
      </c>
      <c r="Z451">
        <f t="shared" ca="1" si="8"/>
        <v>0.12744000000000003</v>
      </c>
    </row>
    <row r="452" spans="24:26">
      <c r="X452" t="str">
        <f ca="1">INDIRECT("e61")</f>
        <v>SILYBUM MARIANUM</v>
      </c>
      <c r="Y452">
        <f t="shared" ca="1" si="7"/>
        <v>4.752E-2</v>
      </c>
      <c r="Z452">
        <f t="shared" ca="1" si="8"/>
        <v>9.5039999999999999E-2</v>
      </c>
    </row>
    <row r="453" spans="24:26">
      <c r="X453" t="str">
        <f ca="1">INDIRECT("e62")</f>
        <v>SOLIDAGO VIRGAURE</v>
      </c>
      <c r="Y453">
        <f t="shared" ca="1" si="7"/>
        <v>4.752E-2</v>
      </c>
      <c r="Z453">
        <f t="shared" ca="1" si="8"/>
        <v>9.5039999999999999E-2</v>
      </c>
    </row>
    <row r="454" spans="24:26">
      <c r="X454" t="str">
        <f ca="1">INDIRECT("e63")</f>
        <v>SPILANTHES OLERACEA</v>
      </c>
      <c r="Y454">
        <f t="shared" ca="1" si="7"/>
        <v>5.6160000000000002E-2</v>
      </c>
      <c r="Z454">
        <f t="shared" ca="1" si="8"/>
        <v>0.11232</v>
      </c>
    </row>
    <row r="455" spans="24:26">
      <c r="X455" t="str">
        <f ca="1">INDIRECT("e64")</f>
        <v>SYMPHYTUM OFF. AD USUM EXT.NOR</v>
      </c>
      <c r="Y455">
        <f t="shared" ca="1" si="7"/>
        <v>5.6160000000000002E-2</v>
      </c>
      <c r="Z455">
        <f t="shared" ca="1" si="8"/>
        <v>0.11232</v>
      </c>
    </row>
    <row r="456" spans="24:26">
      <c r="X456" t="str">
        <f ca="1">INDIRECT("e65")</f>
        <v>TARAXACUM</v>
      </c>
      <c r="Y456">
        <f t="shared" ca="1" si="7"/>
        <v>4.752E-2</v>
      </c>
      <c r="Z456">
        <f t="shared" ca="1" si="8"/>
        <v>9.5039999999999999E-2</v>
      </c>
    </row>
    <row r="457" spans="24:26">
      <c r="X457" t="str">
        <f ca="1">INDIRECT("e66")</f>
        <v>THUJA OCCIDENTALIS</v>
      </c>
      <c r="Y457">
        <f t="shared" ca="1" si="7"/>
        <v>4.428E-2</v>
      </c>
      <c r="Z457">
        <f t="shared" ca="1" si="8"/>
        <v>8.856E-2</v>
      </c>
    </row>
    <row r="458" spans="24:26">
      <c r="X458" t="str">
        <f ca="1">INDIRECT("e67")</f>
        <v>THYMUS VULGARIS</v>
      </c>
      <c r="Y458">
        <f t="shared" ref="Y458:Y467" ca="1" si="9">LOOKUP(X458,E67:E178,F67:F178)</f>
        <v>4.428E-2</v>
      </c>
      <c r="Z458">
        <f t="shared" ref="Z458:Z467" ca="1" si="10">LOOKUP(X458,E67:E173,G67:G146)</f>
        <v>8.856E-2</v>
      </c>
    </row>
    <row r="459" spans="24:26">
      <c r="X459" t="str">
        <f ca="1">INDIRECT("e68")</f>
        <v>TILIA (0.125L)</v>
      </c>
      <c r="Y459">
        <f t="shared" ca="1" si="9"/>
        <v>0.23466240000000002</v>
      </c>
      <c r="Z459">
        <f t="shared" ca="1" si="10"/>
        <v>0.46932480000000004</v>
      </c>
    </row>
    <row r="460" spans="24:26">
      <c r="X460" t="str">
        <f ca="1">INDIRECT("e69")</f>
        <v>Trigonella foenumgraceum</v>
      </c>
      <c r="Y460">
        <f t="shared" ca="1" si="9"/>
        <v>4.752E-2</v>
      </c>
      <c r="Z460">
        <f t="shared" ca="1" si="10"/>
        <v>9.5039999999999999E-2</v>
      </c>
    </row>
    <row r="461" spans="24:26">
      <c r="X461" t="str">
        <f ca="1">INDIRECT("e70")</f>
        <v>TROPAEOLUM MAJUS</v>
      </c>
      <c r="Y461">
        <f t="shared" ca="1" si="9"/>
        <v>4.752E-2</v>
      </c>
      <c r="Z461">
        <f t="shared" ca="1" si="10"/>
        <v>9.5039999999999999E-2</v>
      </c>
    </row>
    <row r="462" spans="24:26">
      <c r="X462" t="str">
        <f ca="1">INDIRECT("e71")</f>
        <v>URTICA URENS</v>
      </c>
      <c r="Y462">
        <f t="shared" ca="1" si="9"/>
        <v>6.1560000000000004E-2</v>
      </c>
      <c r="Z462">
        <f t="shared" ca="1" si="10"/>
        <v>0.12312000000000001</v>
      </c>
    </row>
    <row r="463" spans="24:26">
      <c r="X463" t="str">
        <f ca="1">INDIRECT("e72")</f>
        <v>VALERIANE OFFICINALIS</v>
      </c>
      <c r="Y463">
        <f t="shared" ca="1" si="9"/>
        <v>4.428E-2</v>
      </c>
      <c r="Z463">
        <f t="shared" ca="1" si="10"/>
        <v>8.856E-2</v>
      </c>
    </row>
    <row r="464" spans="24:26">
      <c r="X464" t="str">
        <f ca="1">INDIRECT("e73")</f>
        <v>VISCUM ALBUM</v>
      </c>
      <c r="Y464">
        <f t="shared" ca="1" si="9"/>
        <v>4.752E-2</v>
      </c>
      <c r="Z464">
        <f t="shared" ca="1" si="10"/>
        <v>9.5039999999999999E-2</v>
      </c>
    </row>
    <row r="465" spans="24:26">
      <c r="X465" t="str">
        <f ca="1">INDIRECT("e74")</f>
        <v>VITEX AGNUS CASTUS</v>
      </c>
      <c r="Y465">
        <f t="shared" ca="1" si="9"/>
        <v>4.752E-2</v>
      </c>
      <c r="Z465">
        <f t="shared" ca="1" si="10"/>
        <v>9.5039999999999999E-2</v>
      </c>
    </row>
    <row r="466" spans="24:26">
      <c r="X466" t="str">
        <f ca="1">INDIRECT("e75")</f>
        <v>VITIS VINIFERA E FOLIA RUBRA</v>
      </c>
      <c r="Y466">
        <f t="shared" ca="1" si="9"/>
        <v>4.752E-2</v>
      </c>
      <c r="Z466">
        <f t="shared" ca="1" si="10"/>
        <v>9.5039999999999999E-2</v>
      </c>
    </row>
    <row r="467" spans="24:26">
      <c r="X467" t="str">
        <f ca="1">INDIRECT("e76")</f>
        <v>ZINGIBERUM OFFICINALE</v>
      </c>
      <c r="Y467">
        <f t="shared" ca="1" si="9"/>
        <v>2.665E-2</v>
      </c>
      <c r="Z467">
        <f t="shared" ca="1" si="10"/>
        <v>5.33E-2</v>
      </c>
    </row>
    <row r="468" spans="24:26">
      <c r="X468" t="str">
        <f ca="1">INDIRECT("H3")</f>
        <v>ARTICHAUT BIO</v>
      </c>
      <c r="Y468">
        <f t="shared" ref="Y468:Y473" ca="1" si="11">LOOKUP(X468,H3:H8,I3:I8)</f>
        <v>6.7300475000000012E-2</v>
      </c>
      <c r="Z468">
        <f t="shared" ref="Z468:Z473" ca="1" si="12">LOOKUP(X468,H3:H8,J3:J8)</f>
        <v>0.13460095000000002</v>
      </c>
    </row>
    <row r="469" spans="24:26">
      <c r="X469" t="str">
        <f ca="1">INDIRECT("h4")</f>
        <v>CASSIS</v>
      </c>
      <c r="Y469">
        <f t="shared" ca="1" si="11"/>
        <v>6.7300475000000012E-2</v>
      </c>
      <c r="Z469">
        <f t="shared" ca="1" si="12"/>
        <v>0.13460095000000002</v>
      </c>
    </row>
    <row r="470" spans="24:26">
      <c r="X470" t="str">
        <f ca="1">INDIRECT("h5")</f>
        <v>FUCUS</v>
      </c>
      <c r="Y470">
        <f t="shared" ca="1" si="11"/>
        <v>6.7300475000000012E-2</v>
      </c>
      <c r="Z470">
        <f t="shared" ca="1" si="12"/>
        <v>0.13460095000000002</v>
      </c>
    </row>
    <row r="471" spans="24:26">
      <c r="X471" t="str">
        <f ca="1">INDIRECT("h6")</f>
        <v>MARRON D'INDE</v>
      </c>
      <c r="Y471">
        <f t="shared" ca="1" si="11"/>
        <v>6.7300475000000012E-2</v>
      </c>
      <c r="Z471">
        <f t="shared" ca="1" si="12"/>
        <v>0.13460095000000002</v>
      </c>
    </row>
    <row r="472" spans="24:26">
      <c r="X472" t="str">
        <f ca="1">INDIRECT("H7")</f>
        <v>PISSENLIT</v>
      </c>
      <c r="Y472">
        <f t="shared" ca="1" si="11"/>
        <v>6.7300475000000012E-2</v>
      </c>
      <c r="Z472">
        <f t="shared" ca="1" si="12"/>
        <v>0.13460095000000002</v>
      </c>
    </row>
    <row r="473" spans="24:26">
      <c r="X473" t="str">
        <f ca="1">INDIRECT("H8")</f>
        <v>PRELE</v>
      </c>
      <c r="Y473">
        <f t="shared" ca="1" si="11"/>
        <v>6.7300475000000012E-2</v>
      </c>
      <c r="Z473">
        <f t="shared" ca="1" si="12"/>
        <v>0.13460095000000002</v>
      </c>
    </row>
    <row r="474" spans="24:26">
      <c r="X474" t="str">
        <f ca="1">INDIRECT("K3")</f>
        <v>Dixa absinthe herbe coupé 500 g</v>
      </c>
      <c r="Y474">
        <f t="shared" ref="Y474:Y505" ca="1" si="13">LOOKUP(X474,K3:K128,L3:L128)</f>
        <v>1.4999999999999999E-2</v>
      </c>
      <c r="Z474">
        <f t="shared" ref="Z474:Z505" ca="1" si="14">LOOKUP(X474,K3:K128,M3:M128)</f>
        <v>2.7E-2</v>
      </c>
    </row>
    <row r="475" spans="24:26">
      <c r="X475" t="str">
        <f ca="1">INDIRECT("K4")</f>
        <v>Dixa acore vrai rhizome 1 kg</v>
      </c>
      <c r="Y475">
        <f t="shared" ca="1" si="13"/>
        <v>0.03</v>
      </c>
      <c r="Z475">
        <f t="shared" ca="1" si="14"/>
        <v>5.3999999999999999E-2</v>
      </c>
    </row>
    <row r="476" spans="24:26">
      <c r="X476" t="str">
        <f ca="1">INDIRECT("K5")</f>
        <v>Dixa airelle baies 500g</v>
      </c>
      <c r="Y476">
        <f t="shared" ca="1" si="13"/>
        <v>5.6000000000000001E-2</v>
      </c>
      <c r="Z476">
        <f t="shared" ca="1" si="14"/>
        <v>0.1008</v>
      </c>
    </row>
    <row r="477" spans="24:26">
      <c r="X477" t="str">
        <f ca="1">INDIRECT("K6")</f>
        <v>Dixa airelle rouge feuilles coupées 1 kg</v>
      </c>
      <c r="Y477">
        <f t="shared" ca="1" si="13"/>
        <v>8.2000000000000003E-2</v>
      </c>
      <c r="Z477">
        <f t="shared" ca="1" si="14"/>
        <v>0.14760000000000001</v>
      </c>
    </row>
    <row r="478" spans="24:26">
      <c r="X478" t="str">
        <f ca="1">INDIRECT("K7")</f>
        <v>Dixa alchemille vulg herbe conc 500 g</v>
      </c>
      <c r="Y478">
        <f t="shared" ca="1" si="13"/>
        <v>3.1E-2</v>
      </c>
      <c r="Z478">
        <f t="shared" ca="1" si="14"/>
        <v>5.5800000000000002E-2</v>
      </c>
    </row>
    <row r="479" spans="24:26">
      <c r="X479" t="str">
        <f ca="1">INDIRECT("K8")</f>
        <v>Dixa alchemille vulg herbe coupée 300 g</v>
      </c>
      <c r="Y479">
        <f t="shared" ca="1" si="13"/>
        <v>4.2999999999999997E-2</v>
      </c>
      <c r="Z479">
        <f t="shared" ca="1" si="14"/>
        <v>7.7399999999999997E-2</v>
      </c>
    </row>
    <row r="480" spans="24:26">
      <c r="X480" t="str">
        <f ca="1">INDIRECT("K9")</f>
        <v>Dixa alchemille vulg parties aériennes 1 kg</v>
      </c>
      <c r="Y480">
        <f t="shared" ca="1" si="13"/>
        <v>2.7E-2</v>
      </c>
      <c r="Z480">
        <f t="shared" ca="1" si="14"/>
        <v>4.8599999999999997E-2</v>
      </c>
    </row>
    <row r="481" spans="24:26">
      <c r="X481" t="str">
        <f ca="1">INDIRECT("K10")</f>
        <v>Dixa aneth semences entières nettoyées 1 kg</v>
      </c>
      <c r="Y481">
        <f t="shared" ca="1" si="13"/>
        <v>3.5999999999999997E-2</v>
      </c>
      <c r="Z481">
        <f t="shared" ca="1" si="14"/>
        <v>6.4799999999999996E-2</v>
      </c>
    </row>
    <row r="482" spans="24:26">
      <c r="X482" t="str">
        <f ca="1">INDIRECT("K11")</f>
        <v>Dixa angelique archangelique racines coupées 1 kg</v>
      </c>
      <c r="Y482">
        <f t="shared" ca="1" si="13"/>
        <v>3.3000000000000002E-2</v>
      </c>
      <c r="Z482">
        <f t="shared" ca="1" si="14"/>
        <v>5.9400000000000001E-2</v>
      </c>
    </row>
    <row r="483" spans="24:26">
      <c r="X483" t="str">
        <f ca="1">INDIRECT("K12")</f>
        <v>Dixa anis étoile entier 500 g</v>
      </c>
      <c r="Y483">
        <f t="shared" ca="1" si="13"/>
        <v>3.5999999999999997E-2</v>
      </c>
      <c r="Z483">
        <f t="shared" ca="1" si="14"/>
        <v>6.4799999999999996E-2</v>
      </c>
    </row>
    <row r="484" spans="24:26">
      <c r="X484" t="str">
        <f ca="1">INDIRECT("K13")</f>
        <v>Dixa anis vert concassé 1 kg</v>
      </c>
      <c r="Y484">
        <f t="shared" ca="1" si="13"/>
        <v>2.7E-2</v>
      </c>
      <c r="Z484">
        <f t="shared" ca="1" si="14"/>
        <v>4.8599999999999997E-2</v>
      </c>
    </row>
    <row r="485" spans="24:26">
      <c r="X485" t="str">
        <f ca="1">INDIRECT("K14")</f>
        <v>Dixa anis vert LMB moulu 1 kg</v>
      </c>
      <c r="Y485">
        <f t="shared" ca="1" si="13"/>
        <v>2.3E-2</v>
      </c>
      <c r="Z485">
        <f t="shared" ca="1" si="14"/>
        <v>4.1399999999999999E-2</v>
      </c>
    </row>
    <row r="486" spans="24:26">
      <c r="X486" t="str">
        <f ca="1">INDIRECT("K15")</f>
        <v>Dixa anserine herbe coupées 300 g</v>
      </c>
      <c r="Y486">
        <f t="shared" ca="1" si="13"/>
        <v>3.1E-2</v>
      </c>
      <c r="Z486">
        <f t="shared" ca="1" si="14"/>
        <v>5.5800000000000002E-2</v>
      </c>
    </row>
    <row r="487" spans="24:26">
      <c r="X487" t="str">
        <f ca="1">INDIRECT("K16")</f>
        <v>Dixa armoise herbe coupée 1 kg</v>
      </c>
      <c r="Y487">
        <f t="shared" ca="1" si="13"/>
        <v>2.7E-2</v>
      </c>
      <c r="Z487">
        <f t="shared" ca="1" si="14"/>
        <v>4.8599999999999997E-2</v>
      </c>
    </row>
    <row r="488" spans="24:26">
      <c r="X488" t="str">
        <f ca="1">INDIRECT("K17")</f>
        <v>Dixa aronia noire baies entières 1 kg</v>
      </c>
      <c r="Y488">
        <f t="shared" ca="1" si="13"/>
        <v>5.0999999999999997E-2</v>
      </c>
      <c r="Z488">
        <f t="shared" ca="1" si="14"/>
        <v>9.1800000000000007E-2</v>
      </c>
    </row>
    <row r="489" spans="24:26">
      <c r="X489" t="str">
        <f ca="1">INDIRECT("K18")</f>
        <v>Dixa artichaut feuilles coupées 1 kg</v>
      </c>
      <c r="Y489">
        <f t="shared" ca="1" si="13"/>
        <v>2.3E-2</v>
      </c>
      <c r="Z489">
        <f t="shared" ca="1" si="14"/>
        <v>4.1399999999999999E-2</v>
      </c>
    </row>
    <row r="490" spans="24:26">
      <c r="X490" t="str">
        <f ca="1">INDIRECT("K19")</f>
        <v>Dixa aubépines  feuilles/fleurs coupées 1 kg</v>
      </c>
      <c r="Y490">
        <f t="shared" ca="1" si="13"/>
        <v>1.9E-2</v>
      </c>
      <c r="Z490">
        <f t="shared" ca="1" si="14"/>
        <v>3.4200000000000001E-2</v>
      </c>
    </row>
    <row r="491" spans="24:26">
      <c r="X491" t="str">
        <f ca="1">INDIRECT("K20")</f>
        <v>Dixa aunee officinales racines coupées 1 kg</v>
      </c>
      <c r="Y491">
        <f t="shared" ca="1" si="13"/>
        <v>0.03</v>
      </c>
      <c r="Z491">
        <f t="shared" ca="1" si="14"/>
        <v>5.3999999999999999E-2</v>
      </c>
    </row>
    <row r="492" spans="24:26">
      <c r="X492" t="str">
        <f ca="1">INDIRECT("K21")</f>
        <v>Dixa avoine paille coupée 1 kg</v>
      </c>
      <c r="Y492">
        <f t="shared" ca="1" si="13"/>
        <v>2.4E-2</v>
      </c>
      <c r="Z492">
        <f t="shared" ca="1" si="14"/>
        <v>4.3200000000000002E-2</v>
      </c>
    </row>
    <row r="493" spans="24:26">
      <c r="X493" t="str">
        <f ca="1">INDIRECT("K22")</f>
        <v>Dixa basilic feuilles coupes 1 kg</v>
      </c>
      <c r="Y493">
        <f t="shared" ca="1" si="13"/>
        <v>0.02</v>
      </c>
      <c r="Z493">
        <f t="shared" ca="1" si="14"/>
        <v>3.5999999999999997E-2</v>
      </c>
    </row>
    <row r="494" spans="24:26">
      <c r="X494" t="str">
        <f ca="1">INDIRECT("K23")</f>
        <v>Dixa boldo feuilles coupées 1 kg</v>
      </c>
      <c r="Y494">
        <f t="shared" ca="1" si="13"/>
        <v>2.5999999999999999E-2</v>
      </c>
      <c r="Z494">
        <f t="shared" ca="1" si="14"/>
        <v>4.6800000000000001E-2</v>
      </c>
    </row>
    <row r="495" spans="24:26">
      <c r="X495" t="str">
        <f ca="1">INDIRECT("K24")</f>
        <v>Dixa bouillon blanc fleurs coupées 1 kg</v>
      </c>
      <c r="Y495">
        <f t="shared" ca="1" si="13"/>
        <v>4.5999999999999999E-2</v>
      </c>
      <c r="Z495">
        <f t="shared" ca="1" si="14"/>
        <v>8.2799999999999999E-2</v>
      </c>
    </row>
    <row r="496" spans="24:26">
      <c r="X496">
        <f ca="1">INDIRECT("K25")</f>
        <v>0</v>
      </c>
      <c r="Y496" t="e">
        <f t="shared" ca="1" si="13"/>
        <v>#N/A</v>
      </c>
      <c r="Z496" t="e">
        <f t="shared" ca="1" si="14"/>
        <v>#N/A</v>
      </c>
    </row>
    <row r="497" spans="24:26">
      <c r="X497" t="str">
        <f ca="1">INDIRECT("K26")</f>
        <v>Dixa bouleau verruqueux feuilles couipées 1 kg</v>
      </c>
      <c r="Y497">
        <f t="shared" ca="1" si="13"/>
        <v>1.4E-2</v>
      </c>
      <c r="Z497">
        <f t="shared" ca="1" si="14"/>
        <v>2.52E-2</v>
      </c>
    </row>
    <row r="498" spans="24:26">
      <c r="X498" t="str">
        <f ca="1">INDIRECT("K27")</f>
        <v>Dixa bourdaine écorce coupée 1 kg</v>
      </c>
      <c r="Y498">
        <f t="shared" ca="1" si="13"/>
        <v>1.9E-2</v>
      </c>
      <c r="Z498">
        <f t="shared" ca="1" si="14"/>
        <v>3.4200000000000001E-2</v>
      </c>
    </row>
    <row r="499" spans="24:26">
      <c r="X499" t="str">
        <f ca="1">INDIRECT("K28")</f>
        <v>Dixa bourse à pasteur parties aériennes coupée 1 kg</v>
      </c>
      <c r="Y499">
        <f t="shared" ca="1" si="13"/>
        <v>2.3E-2</v>
      </c>
      <c r="Z499">
        <f t="shared" ca="1" si="14"/>
        <v>4.1399999999999999E-2</v>
      </c>
    </row>
    <row r="500" spans="24:26">
      <c r="X500" t="str">
        <f ca="1">INDIRECT("K29")</f>
        <v>Dixa bruyere herbe avec fleurs coupée 500 g</v>
      </c>
      <c r="Y500">
        <f t="shared" ca="1" si="13"/>
        <v>2.1999999999999999E-2</v>
      </c>
      <c r="Z500">
        <f t="shared" ca="1" si="14"/>
        <v>3.9600000000000003E-2</v>
      </c>
    </row>
    <row r="501" spans="24:26">
      <c r="X501" t="str">
        <f ca="1">INDIRECT("K30")</f>
        <v>Dixa camomille fleurs entières 1 kg</v>
      </c>
      <c r="Y501">
        <f t="shared" ca="1" si="13"/>
        <v>3.1E-2</v>
      </c>
      <c r="Z501">
        <f t="shared" ca="1" si="14"/>
        <v>5.5800000000000002E-2</v>
      </c>
    </row>
    <row r="502" spans="24:26">
      <c r="X502" t="str">
        <f ca="1">INDIRECT("K31")</f>
        <v>Dixa camomille matricaire fleurs entières 1 kg</v>
      </c>
      <c r="Y502">
        <f t="shared" ca="1" si="13"/>
        <v>3.1E-2</v>
      </c>
      <c r="Z502">
        <f t="shared" ca="1" si="14"/>
        <v>5.5800000000000002E-2</v>
      </c>
    </row>
    <row r="503" spans="24:26">
      <c r="X503" t="str">
        <f ca="1">INDIRECT("K32")</f>
        <v>Dixa cannelle de ceylan écorce coupée 1 kg</v>
      </c>
      <c r="Y503">
        <f t="shared" ca="1" si="13"/>
        <v>2.5999999999999999E-2</v>
      </c>
      <c r="Z503">
        <f t="shared" ca="1" si="14"/>
        <v>4.6800000000000001E-2</v>
      </c>
    </row>
    <row r="504" spans="24:26">
      <c r="X504" t="str">
        <f ca="1">INDIRECT("K33")</f>
        <v>Dixa cardamome sans écale entière 1 kg</v>
      </c>
      <c r="Y504">
        <f t="shared" ca="1" si="13"/>
        <v>3.3000000000000002E-2</v>
      </c>
      <c r="Z504">
        <f t="shared" ca="1" si="14"/>
        <v>5.9400000000000001E-2</v>
      </c>
    </row>
    <row r="505" spans="24:26">
      <c r="X505" t="str">
        <f ca="1">INDIRECT("K34")</f>
        <v>Dixa cassis feuilles coupées 1 kg</v>
      </c>
      <c r="Y505">
        <f t="shared" ca="1" si="13"/>
        <v>2.9000000000000001E-2</v>
      </c>
      <c r="Z505">
        <f t="shared" ca="1" si="14"/>
        <v>5.2200000000000003E-2</v>
      </c>
    </row>
    <row r="506" spans="24:26">
      <c r="X506" t="str">
        <f ca="1">INDIRECT("K35")</f>
        <v>Dixa centaurée coupée 500 g</v>
      </c>
      <c r="Y506">
        <f t="shared" ref="Y506:Y537" ca="1" si="15">LOOKUP(X506,K35:K160,L35:L160)</f>
        <v>3.1E-2</v>
      </c>
      <c r="Z506">
        <f t="shared" ref="Z506:Z537" ca="1" si="16">LOOKUP(X506,K35:K160,M35:M160)</f>
        <v>5.5800000000000002E-2</v>
      </c>
    </row>
    <row r="507" spans="24:26">
      <c r="X507" t="str">
        <f ca="1">INDIRECT("K36")</f>
        <v>Dixa chardon marie herbe coupée 1 kg</v>
      </c>
      <c r="Y507">
        <f t="shared" ca="1" si="15"/>
        <v>2.3E-2</v>
      </c>
      <c r="Z507">
        <f t="shared" ca="1" si="16"/>
        <v>4.1399999999999999E-2</v>
      </c>
    </row>
    <row r="508" spans="24:26">
      <c r="X508" t="str">
        <f ca="1">INDIRECT("K37")</f>
        <v>Dixa chardon marie herbe coupée 1 kg BIO</v>
      </c>
      <c r="Y508">
        <f t="shared" ca="1" si="15"/>
        <v>3.1E-2</v>
      </c>
      <c r="Z508">
        <f t="shared" ca="1" si="16"/>
        <v>6.3E-2</v>
      </c>
    </row>
    <row r="509" spans="24:26">
      <c r="X509" t="str">
        <f ca="1">INDIRECT("K38")</f>
        <v>Dixa cimicifuga racines coupées 1 kg</v>
      </c>
      <c r="Y509">
        <f t="shared" ca="1" si="15"/>
        <v>6.5000000000000002E-2</v>
      </c>
      <c r="Z509">
        <f t="shared" ca="1" si="16"/>
        <v>0.11700000000000001</v>
      </c>
    </row>
    <row r="510" spans="24:26">
      <c r="X510" t="str">
        <f ca="1">INDIRECT("K39")</f>
        <v>Dixa citronelle coupée 500 g</v>
      </c>
      <c r="Y510">
        <f t="shared" ca="1" si="15"/>
        <v>0.02</v>
      </c>
      <c r="Z510">
        <f t="shared" ca="1" si="16"/>
        <v>3.5999999999999997E-2</v>
      </c>
    </row>
    <row r="511" spans="24:26">
      <c r="X511" t="str">
        <f ca="1">INDIRECT("K40")</f>
        <v>Dixa coquelicot fleurs coupées 1 kg</v>
      </c>
      <c r="Y511">
        <f t="shared" ca="1" si="15"/>
        <v>7.6999999999999999E-2</v>
      </c>
      <c r="Z511">
        <f t="shared" ca="1" si="16"/>
        <v>0.1386</v>
      </c>
    </row>
    <row r="512" spans="24:26">
      <c r="X512" t="str">
        <f ca="1">INDIRECT("K41")</f>
        <v>Dixa coriandre concassée 1 kg</v>
      </c>
      <c r="Y512">
        <f t="shared" ca="1" si="15"/>
        <v>1.2999999999999999E-2</v>
      </c>
      <c r="Z512">
        <f t="shared" ca="1" si="16"/>
        <v>2.3400000000000001E-2</v>
      </c>
    </row>
    <row r="513" spans="24:26">
      <c r="X513" t="str">
        <f ca="1">INDIRECT("K42")</f>
        <v>Dixa cumin des près (carvi) concassé 1 kg</v>
      </c>
      <c r="Y513">
        <f t="shared" ca="1" si="15"/>
        <v>2.3E-2</v>
      </c>
      <c r="Z513">
        <f t="shared" ca="1" si="16"/>
        <v>4.1399999999999999E-2</v>
      </c>
    </row>
    <row r="514" spans="24:26">
      <c r="X514" t="str">
        <f ca="1">INDIRECT("K43")</f>
        <v>Dixa cumin entier 1 kg</v>
      </c>
      <c r="Y514">
        <f t="shared" ca="1" si="15"/>
        <v>0.03</v>
      </c>
      <c r="Z514">
        <f t="shared" ca="1" si="16"/>
        <v>5.3999999999999999E-2</v>
      </c>
    </row>
    <row r="515" spans="24:26">
      <c r="X515" t="str">
        <f ca="1">INDIRECT("K44")</f>
        <v>Dixa cumin moulu LMB 1 kg</v>
      </c>
      <c r="Y515">
        <f t="shared" ca="1" si="15"/>
        <v>1.9E-2</v>
      </c>
      <c r="Z515">
        <f t="shared" ca="1" si="16"/>
        <v>3.4200000000000001E-2</v>
      </c>
    </row>
    <row r="516" spans="24:26">
      <c r="X516" t="str">
        <f ca="1">INDIRECT("K45")</f>
        <v>Dixa cynorrhodon avec semences coupé 1 kg</v>
      </c>
      <c r="Y516">
        <f t="shared" ca="1" si="15"/>
        <v>1.2999999999999999E-2</v>
      </c>
      <c r="Z516">
        <f t="shared" ca="1" si="16"/>
        <v>2.3400000000000001E-2</v>
      </c>
    </row>
    <row r="517" spans="24:26">
      <c r="X517" t="str">
        <f ca="1">INDIRECT("K46")</f>
        <v>Dixa damiana feuilles coupées 1 kg</v>
      </c>
      <c r="Y517">
        <f t="shared" ca="1" si="15"/>
        <v>3.7999999999999999E-2</v>
      </c>
      <c r="Z517">
        <f t="shared" ca="1" si="16"/>
        <v>6.8400000000000002E-2</v>
      </c>
    </row>
    <row r="518" spans="24:26">
      <c r="X518" t="str">
        <f ca="1">INDIRECT("K47")</f>
        <v>Dixa dent-de-lion herbe coupée 1 kg</v>
      </c>
      <c r="Y518">
        <f t="shared" ca="1" si="15"/>
        <v>0.03</v>
      </c>
      <c r="Z518">
        <f t="shared" ca="1" si="16"/>
        <v>5.3999999999999999E-2</v>
      </c>
    </row>
    <row r="519" spans="24:26">
      <c r="X519" t="str">
        <f ca="1">INDIRECT("K48")</f>
        <v>Dixa dent-de-lion racines coupées 500 g</v>
      </c>
      <c r="Y519">
        <f t="shared" ca="1" si="15"/>
        <v>2.4E-2</v>
      </c>
      <c r="Z519">
        <f t="shared" ca="1" si="16"/>
        <v>4.3200000000000002E-2</v>
      </c>
    </row>
    <row r="520" spans="24:26">
      <c r="X520" t="str">
        <f ca="1">INDIRECT("K49")</f>
        <v>Dixa echinacée pourpre parties aérinne coupés 1 kg</v>
      </c>
      <c r="Y520">
        <f t="shared" ca="1" si="15"/>
        <v>0.03</v>
      </c>
      <c r="Z520">
        <f t="shared" ca="1" si="16"/>
        <v>5.3999999999999999E-2</v>
      </c>
    </row>
    <row r="521" spans="24:26">
      <c r="X521" t="str">
        <f ca="1">INDIRECT("K50")</f>
        <v>Dixa échinacée pourpre racines coupées 500g</v>
      </c>
      <c r="Y521">
        <f t="shared" ca="1" si="15"/>
        <v>8.6999999999999994E-2</v>
      </c>
      <c r="Z521">
        <f t="shared" ca="1" si="16"/>
        <v>0.15659999999999999</v>
      </c>
    </row>
    <row r="522" spans="24:26">
      <c r="X522" t="str">
        <f ca="1">INDIRECT("K51")</f>
        <v>Dixa épilobe fleurs parties aériennes coupées 1 kg</v>
      </c>
      <c r="Y522">
        <f t="shared" ca="1" si="15"/>
        <v>4.1000000000000002E-2</v>
      </c>
      <c r="Z522">
        <f t="shared" ca="1" si="16"/>
        <v>7.3800000000000004E-2</v>
      </c>
    </row>
    <row r="523" spans="24:26">
      <c r="X523" t="str">
        <f ca="1">INDIRECT("K52")</f>
        <v>Dixa epine vinette écorce coupée 1 kg</v>
      </c>
      <c r="Y523">
        <f t="shared" ca="1" si="15"/>
        <v>0.05</v>
      </c>
      <c r="Z523">
        <f t="shared" ca="1" si="16"/>
        <v>0.09</v>
      </c>
    </row>
    <row r="524" spans="24:26">
      <c r="X524" t="str">
        <f ca="1">INDIRECT("K53")</f>
        <v>Dixa eschscholtzia parties aériennes coupées 1 kg</v>
      </c>
      <c r="Y524">
        <f t="shared" ca="1" si="15"/>
        <v>8.5999999999999993E-2</v>
      </c>
      <c r="Z524">
        <f t="shared" ca="1" si="16"/>
        <v>0.15479999999999999</v>
      </c>
    </row>
    <row r="525" spans="24:26">
      <c r="X525" t="str">
        <f ca="1">INDIRECT("K54")</f>
        <v>Dixa étoilée concassé 500 g</v>
      </c>
      <c r="Y525">
        <f t="shared" ca="1" si="15"/>
        <v>4.4999999999999998E-2</v>
      </c>
      <c r="Z525">
        <f t="shared" ca="1" si="16"/>
        <v>8.1000000000000003E-2</v>
      </c>
    </row>
    <row r="526" spans="24:26">
      <c r="X526" t="str">
        <f ca="1">INDIRECT("K55")</f>
        <v>Dixa eucalyptus feuilles coupées 1 kg</v>
      </c>
      <c r="Y526">
        <f t="shared" ca="1" si="15"/>
        <v>2.7E-2</v>
      </c>
      <c r="Z526">
        <f t="shared" ca="1" si="16"/>
        <v>4.8599999999999997E-2</v>
      </c>
    </row>
    <row r="527" spans="24:26">
      <c r="X527" t="str">
        <f ca="1">INDIRECT("K56")</f>
        <v>Dixa euphraise parties aériennes coupées 1 kg</v>
      </c>
      <c r="Y527">
        <f t="shared" ca="1" si="15"/>
        <v>3.5000000000000003E-2</v>
      </c>
      <c r="Z527">
        <f t="shared" ca="1" si="16"/>
        <v>6.3E-2</v>
      </c>
    </row>
    <row r="528" spans="24:26">
      <c r="X528" t="str">
        <f ca="1">INDIRECT("K57")</f>
        <v>Dixa fenouil doux 1 kg</v>
      </c>
      <c r="Y528">
        <f t="shared" ca="1" si="15"/>
        <v>1.6E-2</v>
      </c>
      <c r="Z528">
        <f t="shared" ca="1" si="16"/>
        <v>2.8799999999999999E-2</v>
      </c>
    </row>
    <row r="529" spans="24:26">
      <c r="X529" t="str">
        <f ca="1">INDIRECT("K58")</f>
        <v>Dixa fenouil doux concassé 1 kg</v>
      </c>
      <c r="Y529">
        <f t="shared" ca="1" si="15"/>
        <v>1.4999999999999999E-2</v>
      </c>
      <c r="Z529">
        <f t="shared" ca="1" si="16"/>
        <v>2.7E-2</v>
      </c>
    </row>
    <row r="530" spans="24:26">
      <c r="X530" t="str">
        <f ca="1">INDIRECT("K59")</f>
        <v>Dixa fenouil doux entier 1 kg</v>
      </c>
      <c r="Y530">
        <f t="shared" ca="1" si="15"/>
        <v>1.4999999999999999E-2</v>
      </c>
      <c r="Z530">
        <f t="shared" ca="1" si="16"/>
        <v>2.8000000000000001E-2</v>
      </c>
    </row>
    <row r="531" spans="24:26">
      <c r="X531" t="str">
        <f ca="1">INDIRECT("K60")</f>
        <v>Dixa fénugrec semences entières 1 kg</v>
      </c>
      <c r="Y531">
        <f t="shared" ca="1" si="15"/>
        <v>1.2E-2</v>
      </c>
      <c r="Z531">
        <f t="shared" ca="1" si="16"/>
        <v>2.1600000000000001E-2</v>
      </c>
    </row>
    <row r="532" spans="24:26">
      <c r="X532" t="str">
        <f ca="1">INDIRECT("K61")</f>
        <v>Dixa framboisier feuilles coupées 1 kg</v>
      </c>
      <c r="Y532">
        <f t="shared" ca="1" si="15"/>
        <v>2.1999999999999999E-2</v>
      </c>
      <c r="Z532">
        <f t="shared" ca="1" si="16"/>
        <v>3.9600000000000003E-2</v>
      </c>
    </row>
    <row r="533" spans="24:26">
      <c r="X533" t="str">
        <f ca="1">INDIRECT("K62")</f>
        <v>Dixa frene feuilles coupées 1 kg</v>
      </c>
      <c r="Y533">
        <f t="shared" ca="1" si="15"/>
        <v>0.04</v>
      </c>
      <c r="Z533">
        <f t="shared" ca="1" si="16"/>
        <v>7.1999999999999995E-2</v>
      </c>
    </row>
    <row r="534" spans="24:26">
      <c r="X534" t="str">
        <f ca="1">INDIRECT("K63")</f>
        <v>Dixa fumeterre parties aériennes 1 kg</v>
      </c>
      <c r="Y534">
        <f t="shared" ca="1" si="15"/>
        <v>0.04</v>
      </c>
      <c r="Z534">
        <f t="shared" ca="1" si="16"/>
        <v>7.1999999999999995E-2</v>
      </c>
    </row>
    <row r="535" spans="24:26">
      <c r="X535" t="str">
        <f ca="1">INDIRECT("K64")</f>
        <v>Dixa gattilier fruits entiers 1 kg</v>
      </c>
      <c r="Y535">
        <f t="shared" ca="1" si="15"/>
        <v>0.02</v>
      </c>
      <c r="Z535">
        <f t="shared" ca="1" si="16"/>
        <v>3.5999999999999997E-2</v>
      </c>
    </row>
    <row r="536" spans="24:26">
      <c r="X536" t="str">
        <f ca="1">INDIRECT("K65")</f>
        <v>Dixa gentiane jaune racines coupées 1 kg</v>
      </c>
      <c r="Y536">
        <f t="shared" ca="1" si="15"/>
        <v>4.2999999999999997E-2</v>
      </c>
      <c r="Z536">
        <f t="shared" ca="1" si="16"/>
        <v>7.7399999999999997E-2</v>
      </c>
    </row>
    <row r="537" spans="24:26">
      <c r="X537" t="str">
        <f ca="1">INDIRECT("K66")</f>
        <v>Dixa gingembre coupé 1 kg</v>
      </c>
      <c r="Y537">
        <f t="shared" ca="1" si="15"/>
        <v>2.5000000000000001E-2</v>
      </c>
      <c r="Z537">
        <f t="shared" ca="1" si="16"/>
        <v>4.4999999999999998E-2</v>
      </c>
    </row>
    <row r="538" spans="24:26">
      <c r="X538" t="str">
        <f ca="1">INDIRECT("K67")</f>
        <v>Dixa guimauve racines coupées 1 kg</v>
      </c>
      <c r="Y538">
        <f t="shared" ref="Y538:Y569" ca="1" si="17">LOOKUP(X538,K67:K192,L67:L192)</f>
        <v>1.4999999999999999E-2</v>
      </c>
      <c r="Z538">
        <f t="shared" ref="Z538:Z569" ca="1" si="18">LOOKUP(X538,K67:K192,M67:M192)</f>
        <v>2.7E-2</v>
      </c>
    </row>
    <row r="539" spans="24:26">
      <c r="X539" t="str">
        <f ca="1">INDIRECT("K68")</f>
        <v>Dixa hamamelis feuilles coupées 1 kg</v>
      </c>
      <c r="Y539">
        <f t="shared" ca="1" si="17"/>
        <v>4.2999999999999997E-2</v>
      </c>
      <c r="Z539">
        <f t="shared" ca="1" si="18"/>
        <v>7.7399999999999997E-2</v>
      </c>
    </row>
    <row r="540" spans="24:26">
      <c r="X540" t="str">
        <f ca="1">INDIRECT("K69")</f>
        <v>Dixa harpagophyton (griffes du diable) racines coupées 1 kg</v>
      </c>
      <c r="Y540">
        <f t="shared" ca="1" si="17"/>
        <v>3.2000000000000001E-2</v>
      </c>
      <c r="Z540">
        <f t="shared" ca="1" si="18"/>
        <v>5.7599999999999998E-2</v>
      </c>
    </row>
    <row r="541" spans="24:26">
      <c r="X541" t="str">
        <f ca="1">INDIRECT("K70")</f>
        <v>Dixa ice tea 1 kg</v>
      </c>
      <c r="Y541">
        <f t="shared" ca="1" si="17"/>
        <v>0.03</v>
      </c>
      <c r="Z541">
        <f t="shared" ca="1" si="18"/>
        <v>5.3999999999999999E-2</v>
      </c>
    </row>
    <row r="542" spans="24:26">
      <c r="X542" t="str">
        <f ca="1">INDIRECT("K71")</f>
        <v>Dixa lavandes fleurs entières 1 kg</v>
      </c>
      <c r="Y542">
        <f t="shared" ca="1" si="17"/>
        <v>2.5000000000000001E-2</v>
      </c>
      <c r="Z542">
        <f t="shared" ca="1" si="18"/>
        <v>4.4999999999999998E-2</v>
      </c>
    </row>
    <row r="543" spans="24:26">
      <c r="X543" t="str">
        <f ca="1">INDIRECT("K72")</f>
        <v>Dixa lierre commun feuilles coupées 1 kg</v>
      </c>
      <c r="Y543">
        <f t="shared" ca="1" si="17"/>
        <v>1.9E-2</v>
      </c>
      <c r="Z543">
        <f t="shared" ca="1" si="18"/>
        <v>3.4200000000000001E-2</v>
      </c>
    </row>
    <row r="544" spans="24:26">
      <c r="X544" t="str">
        <f ca="1">INDIRECT("K73")</f>
        <v>Dixa lin semences moulues 1 kg</v>
      </c>
      <c r="Y544">
        <f t="shared" ca="1" si="17"/>
        <v>0.01</v>
      </c>
      <c r="Z544">
        <f t="shared" ca="1" si="18"/>
        <v>1.7999999999999999E-2</v>
      </c>
    </row>
    <row r="545" spans="24:26">
      <c r="X545" t="str">
        <f ca="1">INDIRECT("K74")</f>
        <v>Dixa livéche racines coupées 500 g</v>
      </c>
      <c r="Y545">
        <f t="shared" ca="1" si="17"/>
        <v>2.9000000000000001E-2</v>
      </c>
      <c r="Z545">
        <f t="shared" ca="1" si="18"/>
        <v>5.2200000000000003E-2</v>
      </c>
    </row>
    <row r="546" spans="24:26">
      <c r="X546" t="str">
        <f ca="1">INDIRECT("K75")</f>
        <v>Dixa lotier cornicule parties aériennes coupées 1 kg</v>
      </c>
      <c r="Y546">
        <f t="shared" ca="1" si="17"/>
        <v>7.2999999999999995E-2</v>
      </c>
      <c r="Z546">
        <f t="shared" ca="1" si="18"/>
        <v>0.13139999999999999</v>
      </c>
    </row>
    <row r="547" spans="24:26">
      <c r="X547" t="str">
        <f ca="1">INDIRECT("K76")</f>
        <v>Dixa marjolaine parties aériennes coupées 1 kg</v>
      </c>
      <c r="Y547">
        <f t="shared" ca="1" si="17"/>
        <v>2.5999999999999999E-2</v>
      </c>
      <c r="Z547">
        <f t="shared" ca="1" si="18"/>
        <v>4.6800000000000001E-2</v>
      </c>
    </row>
    <row r="548" spans="24:26">
      <c r="X548" t="str">
        <f ca="1">INDIRECT("K77")</f>
        <v>Dixa marron d'inde concasse 1 kg</v>
      </c>
      <c r="Y548">
        <f t="shared" ca="1" si="17"/>
        <v>2.4E-2</v>
      </c>
      <c r="Z548">
        <f t="shared" ca="1" si="18"/>
        <v>4.3200000000000002E-2</v>
      </c>
    </row>
    <row r="549" spans="24:26">
      <c r="X549" t="str">
        <f ca="1">INDIRECT("K78")</f>
        <v>Dixa mate feuilles coupées 1 kg</v>
      </c>
      <c r="Y549">
        <f t="shared" ca="1" si="17"/>
        <v>0.02</v>
      </c>
      <c r="Z549">
        <f t="shared" ca="1" si="18"/>
        <v>3.5999999999999997E-2</v>
      </c>
    </row>
    <row r="550" spans="24:26">
      <c r="X550" t="str">
        <f ca="1">INDIRECT("K79")</f>
        <v>Dixa mauve fleurs bleues entières 1 kg</v>
      </c>
      <c r="Y550">
        <f t="shared" ca="1" si="17"/>
        <v>9.6000000000000002E-2</v>
      </c>
      <c r="Z550">
        <f t="shared" ca="1" si="18"/>
        <v>0.17280000000000001</v>
      </c>
    </row>
    <row r="551" spans="24:26">
      <c r="X551" t="str">
        <f ca="1">INDIRECT("K80")</f>
        <v>Dixa mauves feuilles coupees 1 kg</v>
      </c>
      <c r="Y551">
        <f t="shared" ca="1" si="17"/>
        <v>2.5000000000000001E-2</v>
      </c>
      <c r="Z551">
        <f t="shared" ca="1" si="18"/>
        <v>4.4999999999999998E-2</v>
      </c>
    </row>
    <row r="552" spans="24:26">
      <c r="X552" t="str">
        <f ca="1">INDIRECT("K81")</f>
        <v>Dixa melilot officinal parties aériennes coup 1 kg</v>
      </c>
      <c r="Y552">
        <f t="shared" ca="1" si="17"/>
        <v>2.4E-2</v>
      </c>
      <c r="Z552">
        <f t="shared" ca="1" si="18"/>
        <v>4.3200000000000002E-2</v>
      </c>
    </row>
    <row r="553" spans="24:26">
      <c r="X553" t="str">
        <f ca="1">INDIRECT("K82")</f>
        <v>Dixa melisse feuilles coupées 1 kg</v>
      </c>
      <c r="Y553">
        <f t="shared" ca="1" si="17"/>
        <v>3.3000000000000002E-2</v>
      </c>
      <c r="Z553">
        <f t="shared" ca="1" si="18"/>
        <v>5.9400000000000001E-2</v>
      </c>
    </row>
    <row r="554" spans="24:26">
      <c r="X554" t="str">
        <f ca="1">INDIRECT("K83")</f>
        <v>Dixa menthe poivrée 1 kg</v>
      </c>
      <c r="Y554">
        <f t="shared" ca="1" si="17"/>
        <v>3.1E-2</v>
      </c>
      <c r="Z554">
        <f t="shared" ca="1" si="18"/>
        <v>5.5800000000000002E-2</v>
      </c>
    </row>
    <row r="555" spans="24:26">
      <c r="X555" t="str">
        <f ca="1">INDIRECT("K84")</f>
        <v>Dixa mille-feuille herbe+Fleurs coupés 500 g</v>
      </c>
      <c r="Y555">
        <f t="shared" ca="1" si="17"/>
        <v>2.9000000000000001E-2</v>
      </c>
      <c r="Z555">
        <f t="shared" ca="1" si="18"/>
        <v>5.2200000000000003E-2</v>
      </c>
    </row>
    <row r="556" spans="24:26">
      <c r="X556" t="str">
        <f ca="1">INDIRECT("K85")</f>
        <v>Dixa millepertuis parties aérinnes coupées 1 kg</v>
      </c>
      <c r="Y556">
        <f t="shared" ca="1" si="17"/>
        <v>1.4999999999999999E-2</v>
      </c>
      <c r="Z556">
        <f t="shared" ca="1" si="18"/>
        <v>2.7E-2</v>
      </c>
    </row>
    <row r="557" spans="24:26">
      <c r="X557" t="str">
        <f ca="1">INDIRECT("K87")</f>
        <v>Dixa myrtille feuilles 500 g</v>
      </c>
      <c r="Y557">
        <f t="shared" ca="1" si="17"/>
        <v>5.2999999999999999E-2</v>
      </c>
      <c r="Z557">
        <f t="shared" ca="1" si="18"/>
        <v>9.5399999999999999E-2</v>
      </c>
    </row>
    <row r="558" spans="24:26">
      <c r="X558" t="str">
        <f ca="1">INDIRECT("K88")</f>
        <v>Dixa olivier feuilles coupées 1 kg</v>
      </c>
      <c r="Y558">
        <f t="shared" ca="1" si="17"/>
        <v>2.1000000000000001E-2</v>
      </c>
      <c r="Z558">
        <f t="shared" ca="1" si="18"/>
        <v>3.78E-2</v>
      </c>
    </row>
    <row r="559" spans="24:26">
      <c r="X559" t="str">
        <f ca="1">INDIRECT("K89")</f>
        <v>Dixa oranger pétales entières 1 kg</v>
      </c>
      <c r="Y559">
        <f t="shared" ca="1" si="17"/>
        <v>0.03</v>
      </c>
      <c r="Z559">
        <f t="shared" ca="1" si="18"/>
        <v>5.3999999999999999E-2</v>
      </c>
    </row>
    <row r="560" spans="24:26">
      <c r="X560" t="str">
        <f ca="1">INDIRECT("K90")</f>
        <v>Dixa origan vulg. Parties aériennes coupées 500 g</v>
      </c>
      <c r="Y560">
        <f t="shared" ca="1" si="17"/>
        <v>1.4E-2</v>
      </c>
      <c r="Z560">
        <f t="shared" ca="1" si="18"/>
        <v>2.52E-2</v>
      </c>
    </row>
    <row r="561" spans="24:26">
      <c r="X561" t="str">
        <f ca="1">INDIRECT("K91")</f>
        <v>Dixa ortie feuilles coupées 1 kg</v>
      </c>
      <c r="Y561">
        <f t="shared" ca="1" si="17"/>
        <v>1.7999999999999999E-2</v>
      </c>
      <c r="Z561">
        <f t="shared" ca="1" si="18"/>
        <v>3.2399999999999998E-2</v>
      </c>
    </row>
    <row r="562" spans="24:26">
      <c r="X562" t="str">
        <f ca="1">INDIRECT("K92")</f>
        <v>Dixa ortie racines coupées 1 kg</v>
      </c>
      <c r="Y562">
        <f t="shared" ca="1" si="17"/>
        <v>0.02</v>
      </c>
      <c r="Z562">
        <f t="shared" ca="1" si="18"/>
        <v>3.5999999999999997E-2</v>
      </c>
    </row>
    <row r="563" spans="24:26">
      <c r="X563" t="str">
        <f ca="1">INDIRECT("K93")</f>
        <v>Dixa ortosiphon: thé de java 500 g</v>
      </c>
      <c r="Y563">
        <f t="shared" ca="1" si="17"/>
        <v>3.3000000000000002E-2</v>
      </c>
      <c r="Z563">
        <f t="shared" ca="1" si="18"/>
        <v>5.9400000000000001E-2</v>
      </c>
    </row>
    <row r="564" spans="24:26">
      <c r="X564" t="str">
        <f ca="1">INDIRECT("K94")</f>
        <v>Dixa passiflore herbe coupée 1 kg</v>
      </c>
      <c r="Y564">
        <f t="shared" ca="1" si="17"/>
        <v>2.5999999999999999E-2</v>
      </c>
      <c r="Z564">
        <f t="shared" ca="1" si="18"/>
        <v>4.6800000000000001E-2</v>
      </c>
    </row>
    <row r="565" spans="24:26">
      <c r="X565" t="str">
        <f ca="1">INDIRECT("K95")</f>
        <v>Dixa pensée sauvage herbe coupée 1 kg</v>
      </c>
      <c r="Y565">
        <f t="shared" ca="1" si="17"/>
        <v>2.9000000000000001E-2</v>
      </c>
      <c r="Z565">
        <f t="shared" ca="1" si="18"/>
        <v>5.2200000000000003E-2</v>
      </c>
    </row>
    <row r="566" spans="24:26">
      <c r="X566" t="str">
        <f ca="1">INDIRECT("K96")</f>
        <v>Dixa pétales de fleur d'oranger 1 kg</v>
      </c>
      <c r="Y566">
        <f t="shared" ca="1" si="17"/>
        <v>0.03</v>
      </c>
      <c r="Z566">
        <f t="shared" ca="1" si="18"/>
        <v>5.3999999999999999E-2</v>
      </c>
    </row>
    <row r="567" spans="24:26">
      <c r="X567" t="str">
        <f ca="1">INDIRECT("K97")</f>
        <v>Dixa piloselle herbe coupée 500 g</v>
      </c>
      <c r="Y567">
        <f t="shared" ca="1" si="17"/>
        <v>3.5000000000000003E-2</v>
      </c>
      <c r="Z567">
        <f t="shared" ca="1" si="18"/>
        <v>6.3E-2</v>
      </c>
    </row>
    <row r="568" spans="24:26">
      <c r="X568" t="str">
        <f ca="1">INDIRECT("K98")</f>
        <v>Dixa pissenlit racines coupées 1 kg</v>
      </c>
      <c r="Y568">
        <f t="shared" ca="1" si="17"/>
        <v>0.02</v>
      </c>
      <c r="Z568">
        <f t="shared" ca="1" si="18"/>
        <v>3.5999999999999997E-2</v>
      </c>
    </row>
    <row r="569" spans="24:26">
      <c r="X569" t="str">
        <f ca="1">INDIRECT("K99")</f>
        <v>Dixa plantain lancéole feuilles coupées 1 kg</v>
      </c>
      <c r="Y569">
        <f t="shared" ca="1" si="17"/>
        <v>2.1000000000000001E-2</v>
      </c>
      <c r="Z569">
        <f t="shared" ca="1" si="18"/>
        <v>3.78E-2</v>
      </c>
    </row>
    <row r="570" spans="24:26">
      <c r="X570" t="str">
        <f ca="1">INDIRECT("K100")</f>
        <v>Dixa prele des champs herbe coupée 1 kg</v>
      </c>
      <c r="Y570">
        <f t="shared" ref="Y570:Y598" ca="1" si="19">LOOKUP(X570,K99:K224,L99:L224)</f>
        <v>1.4E-2</v>
      </c>
      <c r="Z570">
        <f t="shared" ref="Z570:Z598" ca="1" si="20">LOOKUP(X570,K99:K224,M99:M224)</f>
        <v>2.52E-2</v>
      </c>
    </row>
    <row r="571" spans="24:26">
      <c r="X571" t="str">
        <f ca="1">INDIRECT("K101")</f>
        <v>Dixa prele tige coupées 1 kg</v>
      </c>
      <c r="Y571">
        <f t="shared" ca="1" si="19"/>
        <v>1.4E-2</v>
      </c>
      <c r="Z571">
        <f t="shared" ca="1" si="20"/>
        <v>2.52E-2</v>
      </c>
    </row>
    <row r="572" spans="24:26">
      <c r="X572" t="str">
        <f ca="1">INDIRECT("K102")</f>
        <v>Dixa primevere fleurs avec calices entières 500 g</v>
      </c>
      <c r="Y572">
        <f t="shared" ca="1" si="19"/>
        <v>6.4000000000000001E-2</v>
      </c>
      <c r="Z572">
        <f t="shared" ca="1" si="20"/>
        <v>0.1152</v>
      </c>
    </row>
    <row r="573" spans="24:26">
      <c r="X573" t="str">
        <f ca="1">INDIRECT("K103")</f>
        <v>Dixa queue de cerises coupées 1 kg</v>
      </c>
      <c r="Y573">
        <f t="shared" ca="1" si="19"/>
        <v>1.7999999999999999E-2</v>
      </c>
      <c r="Z573">
        <f t="shared" ca="1" si="20"/>
        <v>3.2399999999999998E-2</v>
      </c>
    </row>
    <row r="574" spans="24:26">
      <c r="X574" t="str">
        <f ca="1">INDIRECT("K104")</f>
        <v>Dixa raisin d'ours feuilles 1 kg</v>
      </c>
      <c r="Y574">
        <f t="shared" ca="1" si="19"/>
        <v>2.1999999999999999E-2</v>
      </c>
      <c r="Z574">
        <f t="shared" ca="1" si="20"/>
        <v>3.9600000000000003E-2</v>
      </c>
    </row>
    <row r="575" spans="24:26">
      <c r="X575" t="str">
        <f ca="1">INDIRECT("K105")</f>
        <v>Dixa réglisse jus en bâton de 50g, 1kg</v>
      </c>
      <c r="Y575">
        <f t="shared" ca="1" si="19"/>
        <v>2.5999999999999999E-2</v>
      </c>
      <c r="Z575">
        <f t="shared" ca="1" si="20"/>
        <v>4.6800000000000001E-2</v>
      </c>
    </row>
    <row r="576" spans="24:26">
      <c r="X576" t="str">
        <f ca="1">INDIRECT("K106")</f>
        <v>Dixa réglisse racines coupées 1 kg</v>
      </c>
      <c r="Y576">
        <f t="shared" ca="1" si="19"/>
        <v>1.7000000000000001E-2</v>
      </c>
      <c r="Z576">
        <f t="shared" ca="1" si="20"/>
        <v>3.0599999999999999E-2</v>
      </c>
    </row>
    <row r="577" spans="24:26">
      <c r="X577" t="str">
        <f ca="1">INDIRECT("K107")</f>
        <v>Dixa réglisse racines entières 1 kg</v>
      </c>
      <c r="Y577">
        <f t="shared" ca="1" si="19"/>
        <v>6.0999999999999999E-2</v>
      </c>
      <c r="Z577">
        <f t="shared" ca="1" si="20"/>
        <v>0.10979999999999999</v>
      </c>
    </row>
    <row r="578" spans="24:26">
      <c r="X578" t="str">
        <f ca="1">INDIRECT("K108")</f>
        <v>Dixa reine des près fleurs 1 kg</v>
      </c>
      <c r="Y578">
        <f t="shared" ca="1" si="19"/>
        <v>0.04</v>
      </c>
      <c r="Z578">
        <f t="shared" ca="1" si="20"/>
        <v>7.1999999999999995E-2</v>
      </c>
    </row>
    <row r="579" spans="24:26">
      <c r="X579" t="str">
        <f ca="1">INDIRECT("K109")</f>
        <v>Dixa romarins feuilles coupées 1 kg</v>
      </c>
      <c r="Y579">
        <f t="shared" ca="1" si="19"/>
        <v>1.4E-2</v>
      </c>
      <c r="Z579">
        <f t="shared" ca="1" si="20"/>
        <v>2.52E-2</v>
      </c>
    </row>
    <row r="580" spans="24:26">
      <c r="X580" t="str">
        <f ca="1">INDIRECT("K110")</f>
        <v>Dixa sariette herbe LMB coupées 1 kg</v>
      </c>
      <c r="Y580">
        <f t="shared" ca="1" si="19"/>
        <v>0.02</v>
      </c>
      <c r="Z580">
        <f t="shared" ca="1" si="20"/>
        <v>3.5999999999999997E-2</v>
      </c>
    </row>
    <row r="581" spans="24:26">
      <c r="X581" t="str">
        <f ca="1">INDIRECT("K111")</f>
        <v>Dixa sauge feuilles coupées 500 g</v>
      </c>
      <c r="Y581">
        <f t="shared" ca="1" si="19"/>
        <v>0.03</v>
      </c>
      <c r="Z581">
        <f t="shared" ca="1" si="20"/>
        <v>5.3999999999999999E-2</v>
      </c>
    </row>
    <row r="582" spans="24:26">
      <c r="X582" t="str">
        <f ca="1">INDIRECT("K112")</f>
        <v>Dixa sauge herbes bio coupée 1 kg</v>
      </c>
      <c r="Y582">
        <f t="shared" ca="1" si="19"/>
        <v>6.6000000000000003E-2</v>
      </c>
      <c r="Z582">
        <f t="shared" ca="1" si="20"/>
        <v>0.1188</v>
      </c>
    </row>
    <row r="583" spans="24:26">
      <c r="X583" t="str">
        <f ca="1">INDIRECT("K113")</f>
        <v>Dixa saule écorce coupée 1 kg</v>
      </c>
      <c r="Y583">
        <f t="shared" ca="1" si="19"/>
        <v>2.3E-2</v>
      </c>
      <c r="Z583">
        <f t="shared" ca="1" si="20"/>
        <v>4.1399999999999999E-2</v>
      </c>
    </row>
    <row r="584" spans="24:26">
      <c r="X584" t="str">
        <f ca="1">INDIRECT("K114")</f>
        <v>Dixa sene feuilles coupées 500 g</v>
      </c>
      <c r="Y584">
        <f t="shared" ca="1" si="19"/>
        <v>1.7999999999999999E-2</v>
      </c>
      <c r="Z584">
        <f t="shared" ca="1" si="20"/>
        <v>3.2399999999999998E-2</v>
      </c>
    </row>
    <row r="585" spans="24:26">
      <c r="X585" t="str">
        <f ca="1">INDIRECT("K115")</f>
        <v>Dixa solidage verge d'or parties aériennes 1 kg</v>
      </c>
      <c r="Y585">
        <f t="shared" ca="1" si="19"/>
        <v>0.02</v>
      </c>
      <c r="Z585">
        <f t="shared" ca="1" si="20"/>
        <v>3.5999999999999997E-2</v>
      </c>
    </row>
    <row r="586" spans="24:26">
      <c r="X586" t="str">
        <f ca="1">INDIRECT("K116")</f>
        <v>Dixa souci pétales entières 1 kg</v>
      </c>
      <c r="Y586">
        <f t="shared" ca="1" si="19"/>
        <v>4.3999999999999997E-2</v>
      </c>
      <c r="Z586">
        <f t="shared" ca="1" si="20"/>
        <v>7.9200000000000007E-2</v>
      </c>
    </row>
    <row r="587" spans="24:26">
      <c r="X587" t="str">
        <f ca="1">INDIRECT("K117")</f>
        <v>Dixa sureau noir fleurs modées 1 kg</v>
      </c>
      <c r="Y587">
        <f t="shared" ca="1" si="19"/>
        <v>0.04</v>
      </c>
      <c r="Z587">
        <f t="shared" ca="1" si="20"/>
        <v>7.1999999999999995E-2</v>
      </c>
    </row>
    <row r="588" spans="24:26">
      <c r="X588" t="str">
        <f ca="1">INDIRECT("K118")</f>
        <v>Dixa thé vert sencha 1 kg</v>
      </c>
      <c r="Y588">
        <f t="shared" ca="1" si="19"/>
        <v>2.5999999999999999E-2</v>
      </c>
      <c r="Z588">
        <f t="shared" ca="1" si="20"/>
        <v>4.6800000000000001E-2</v>
      </c>
    </row>
    <row r="589" spans="24:26">
      <c r="X589" t="str">
        <f ca="1">INDIRECT("K119")</f>
        <v>Dixa thym feuilles coupées 1 kg</v>
      </c>
      <c r="Y589">
        <f t="shared" ca="1" si="19"/>
        <v>2.7E-2</v>
      </c>
      <c r="Z589">
        <f t="shared" ca="1" si="20"/>
        <v>4.8599999999999997E-2</v>
      </c>
    </row>
    <row r="590" spans="24:26">
      <c r="X590" t="str">
        <f ca="1">INDIRECT("K120")</f>
        <v>Dixa thym feuilles moulues 500 g</v>
      </c>
      <c r="Y590">
        <f t="shared" ca="1" si="19"/>
        <v>2.5999999999999999E-2</v>
      </c>
      <c r="Z590">
        <f t="shared" ca="1" si="20"/>
        <v>4.6800000000000001E-2</v>
      </c>
    </row>
    <row r="591" spans="24:26">
      <c r="X591" t="str">
        <f ca="1">INDIRECT("K121")</f>
        <v>Dixa tilleul fleurs entières 1 kg</v>
      </c>
      <c r="Y591">
        <f t="shared" ca="1" si="19"/>
        <v>7.1999999999999995E-2</v>
      </c>
      <c r="Z591">
        <f t="shared" ca="1" si="20"/>
        <v>0.12959999999999999</v>
      </c>
    </row>
    <row r="592" spans="24:26">
      <c r="X592" t="str">
        <f ca="1">INDIRECT("K122")</f>
        <v>Dixa tussilage fleurs entières 500 g</v>
      </c>
      <c r="Y592">
        <f t="shared" ca="1" si="19"/>
        <v>7.4999999999999997E-2</v>
      </c>
      <c r="Z592">
        <f t="shared" ca="1" si="20"/>
        <v>0.13500000000000001</v>
      </c>
    </row>
    <row r="593" spans="24:26">
      <c r="X593" t="str">
        <f ca="1">INDIRECT("K123")</f>
        <v>Dixa valériane racines coupées 1 kg</v>
      </c>
      <c r="Y593">
        <f t="shared" ca="1" si="19"/>
        <v>2.5999999999999999E-2</v>
      </c>
      <c r="Z593">
        <f t="shared" ca="1" si="20"/>
        <v>4.6800000000000001E-2</v>
      </c>
    </row>
    <row r="594" spans="24:26">
      <c r="X594" t="str">
        <f ca="1">INDIRECT("K124")</f>
        <v>Dixa véronique herbe coupée 1 kg</v>
      </c>
      <c r="Y594">
        <f t="shared" ca="1" si="19"/>
        <v>2.5999999999999999E-2</v>
      </c>
      <c r="Z594">
        <f t="shared" ca="1" si="20"/>
        <v>4.6800000000000001E-2</v>
      </c>
    </row>
    <row r="595" spans="24:26">
      <c r="X595" t="str">
        <f ca="1">INDIRECT("K125")</f>
        <v>Dixa verveine odorante bio feuilles coupée 1 kg</v>
      </c>
      <c r="Y595">
        <f t="shared" ca="1" si="19"/>
        <v>2.9000000000000001E-2</v>
      </c>
      <c r="Z595">
        <f t="shared" ca="1" si="20"/>
        <v>5.2200000000000003E-2</v>
      </c>
    </row>
    <row r="596" spans="24:26">
      <c r="X596" t="str">
        <f ca="1">INDIRECT("K126")</f>
        <v>Dixa verveine odorante bio feuilles entières 1 kg</v>
      </c>
      <c r="Y596">
        <f t="shared" ca="1" si="19"/>
        <v>4.9000000000000002E-2</v>
      </c>
      <c r="Z596">
        <f t="shared" ca="1" si="20"/>
        <v>8.8200000000000001E-2</v>
      </c>
    </row>
    <row r="597" spans="24:26">
      <c r="X597" t="str">
        <f ca="1">INDIRECT("K127")</f>
        <v>Dixa vigne rouge feuilles coupées 1 kg</v>
      </c>
      <c r="Y597">
        <f t="shared" ca="1" si="19"/>
        <v>4.5999999999999999E-2</v>
      </c>
      <c r="Z597">
        <f t="shared" ca="1" si="20"/>
        <v>8.2799999999999999E-2</v>
      </c>
    </row>
    <row r="598" spans="24:26">
      <c r="X598" t="str">
        <f ca="1">INDIRECT("K128")</f>
        <v>ixa moringa feuilles coupées 500 g</v>
      </c>
      <c r="Y598">
        <f t="shared" ca="1" si="19"/>
        <v>7.8E-2</v>
      </c>
      <c r="Z598">
        <f t="shared" ca="1" si="20"/>
        <v>0.1404</v>
      </c>
    </row>
    <row r="599" spans="24:26">
      <c r="X599">
        <f ca="1">INDIRECT("K129")</f>
        <v>0</v>
      </c>
    </row>
  </sheetData>
  <mergeCells count="7">
    <mergeCell ref="T1:V1"/>
    <mergeCell ref="B1:D1"/>
    <mergeCell ref="E1:G1"/>
    <mergeCell ref="H1:J1"/>
    <mergeCell ref="K1:M1"/>
    <mergeCell ref="N1:P1"/>
    <mergeCell ref="Q1:S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56"/>
  <sheetViews>
    <sheetView topLeftCell="A2" workbookViewId="0">
      <selection activeCell="F21" sqref="F21"/>
    </sheetView>
  </sheetViews>
  <sheetFormatPr baseColWidth="10" defaultRowHeight="14.5"/>
  <cols>
    <col min="1" max="1" width="47.7265625" customWidth="1"/>
    <col min="2" max="2" width="22.7265625" hidden="1" customWidth="1"/>
    <col min="3" max="3" width="21.81640625" customWidth="1"/>
    <col min="4" max="4" width="17.26953125" customWidth="1"/>
  </cols>
  <sheetData>
    <row r="1" spans="1:4">
      <c r="A1" s="28" t="s">
        <v>137</v>
      </c>
      <c r="B1" s="28" t="s">
        <v>139</v>
      </c>
      <c r="C1" s="28" t="s">
        <v>229</v>
      </c>
      <c r="D1" s="28" t="s">
        <v>138</v>
      </c>
    </row>
    <row r="2" spans="1:4">
      <c r="A2" s="35" t="s">
        <v>105</v>
      </c>
      <c r="B2" s="31">
        <f>32.91/100</f>
        <v>0.32909999999999995</v>
      </c>
      <c r="C2" s="31">
        <f t="shared" ref="C2:C25" si="0">(B2*1.1)+0.00577</f>
        <v>0.36778</v>
      </c>
      <c r="D2" s="31">
        <f>C2*1.08*2</f>
        <v>0.79440480000000002</v>
      </c>
    </row>
    <row r="3" spans="1:4">
      <c r="A3" s="35" t="s">
        <v>106</v>
      </c>
      <c r="B3" s="31">
        <f>39.74/100</f>
        <v>0.39740000000000003</v>
      </c>
      <c r="C3" s="31">
        <f t="shared" si="0"/>
        <v>0.44291000000000008</v>
      </c>
      <c r="D3" s="31">
        <f t="shared" ref="D3:D37" si="1">C3*1.08*2</f>
        <v>0.95668560000000025</v>
      </c>
    </row>
    <row r="4" spans="1:4">
      <c r="A4" s="35" t="s">
        <v>107</v>
      </c>
      <c r="B4" s="31">
        <f>55.11/100</f>
        <v>0.55110000000000003</v>
      </c>
      <c r="C4" s="31">
        <f t="shared" si="0"/>
        <v>0.61198000000000019</v>
      </c>
      <c r="D4" s="31">
        <f t="shared" si="1"/>
        <v>1.3218768000000005</v>
      </c>
    </row>
    <row r="5" spans="1:4">
      <c r="A5" s="35" t="s">
        <v>108</v>
      </c>
      <c r="B5" s="31">
        <f>59/100</f>
        <v>0.59</v>
      </c>
      <c r="C5" s="31">
        <f t="shared" si="0"/>
        <v>0.65477000000000007</v>
      </c>
      <c r="D5" s="31">
        <f t="shared" si="1"/>
        <v>1.4143032000000002</v>
      </c>
    </row>
    <row r="6" spans="1:4">
      <c r="A6" s="35" t="s">
        <v>109</v>
      </c>
      <c r="B6" s="31">
        <f>74.23/100</f>
        <v>0.74230000000000007</v>
      </c>
      <c r="C6" s="31">
        <f t="shared" si="0"/>
        <v>0.82230000000000014</v>
      </c>
      <c r="D6" s="31">
        <f t="shared" si="1"/>
        <v>1.7761680000000004</v>
      </c>
    </row>
    <row r="7" spans="1:4">
      <c r="A7" s="35" t="s">
        <v>110</v>
      </c>
      <c r="B7" s="31">
        <f>51.72/500</f>
        <v>0.10344</v>
      </c>
      <c r="C7" s="31">
        <f t="shared" si="0"/>
        <v>0.11955400000000001</v>
      </c>
      <c r="D7" s="31">
        <f t="shared" si="1"/>
        <v>0.25823664000000002</v>
      </c>
    </row>
    <row r="8" spans="1:4">
      <c r="A8" s="35" t="s">
        <v>111</v>
      </c>
      <c r="B8" s="31">
        <f>17.45/96</f>
        <v>0.18177083333333333</v>
      </c>
      <c r="C8" s="31">
        <f t="shared" si="0"/>
        <v>0.20571791666666667</v>
      </c>
      <c r="D8" s="31">
        <f t="shared" si="1"/>
        <v>0.44435070000000004</v>
      </c>
    </row>
    <row r="9" spans="1:4">
      <c r="A9" s="35" t="s">
        <v>112</v>
      </c>
      <c r="B9" s="31">
        <f>16.98/80</f>
        <v>0.21224999999999999</v>
      </c>
      <c r="C9" s="31">
        <f t="shared" si="0"/>
        <v>0.23924500000000001</v>
      </c>
      <c r="D9" s="31">
        <f t="shared" si="1"/>
        <v>0.51676920000000004</v>
      </c>
    </row>
    <row r="10" spans="1:4">
      <c r="A10" s="35" t="s">
        <v>113</v>
      </c>
      <c r="B10" s="31">
        <f>20.26/100</f>
        <v>0.2026</v>
      </c>
      <c r="C10" s="31">
        <f t="shared" si="0"/>
        <v>0.22863000000000003</v>
      </c>
      <c r="D10" s="31">
        <f t="shared" si="1"/>
        <v>0.49384080000000008</v>
      </c>
    </row>
    <row r="11" spans="1:4">
      <c r="A11" s="35" t="s">
        <v>114</v>
      </c>
      <c r="B11" s="31">
        <f>151.225/100</f>
        <v>1.5122499999999999</v>
      </c>
      <c r="C11" s="31">
        <f t="shared" si="0"/>
        <v>1.6692450000000001</v>
      </c>
      <c r="D11" s="31">
        <f t="shared" si="1"/>
        <v>3.6055692000000006</v>
      </c>
    </row>
    <row r="12" spans="1:4">
      <c r="A12" s="35" t="s">
        <v>115</v>
      </c>
      <c r="B12" s="31">
        <f>60/50</f>
        <v>1.2</v>
      </c>
      <c r="C12" s="31">
        <f t="shared" si="0"/>
        <v>1.3257700000000001</v>
      </c>
      <c r="D12" s="31">
        <f t="shared" si="1"/>
        <v>2.8636632000000004</v>
      </c>
    </row>
    <row r="13" spans="1:4">
      <c r="A13" s="35" t="s">
        <v>116</v>
      </c>
      <c r="B13" s="31">
        <f>10.33/60</f>
        <v>0.17216666666666666</v>
      </c>
      <c r="C13" s="31">
        <f t="shared" si="0"/>
        <v>0.19515333333333335</v>
      </c>
      <c r="D13" s="31">
        <f t="shared" si="1"/>
        <v>0.42153120000000005</v>
      </c>
    </row>
    <row r="14" spans="1:4">
      <c r="A14" s="35" t="s">
        <v>117</v>
      </c>
      <c r="B14" s="31">
        <f>12.75/52</f>
        <v>0.24519230769230768</v>
      </c>
      <c r="C14" s="31">
        <f t="shared" si="0"/>
        <v>0.27548153846153844</v>
      </c>
      <c r="D14" s="31">
        <f t="shared" si="1"/>
        <v>0.59504012307692311</v>
      </c>
    </row>
    <row r="15" spans="1:4">
      <c r="A15" s="35" t="s">
        <v>118</v>
      </c>
      <c r="B15" s="31">
        <f>21.2/86</f>
        <v>0.24651162790697673</v>
      </c>
      <c r="C15" s="31">
        <f t="shared" si="0"/>
        <v>0.2769327906976744</v>
      </c>
      <c r="D15" s="31">
        <f t="shared" si="1"/>
        <v>0.59817482790697674</v>
      </c>
    </row>
    <row r="16" spans="1:4">
      <c r="A16" s="35" t="s">
        <v>119</v>
      </c>
      <c r="B16" s="31">
        <f>21.97/88</f>
        <v>0.24965909090909089</v>
      </c>
      <c r="C16" s="31">
        <f t="shared" si="0"/>
        <v>0.28039500000000001</v>
      </c>
      <c r="D16" s="31">
        <f t="shared" si="1"/>
        <v>0.6056532</v>
      </c>
    </row>
    <row r="17" spans="1:4">
      <c r="A17" s="35" t="s">
        <v>120</v>
      </c>
      <c r="B17" s="31">
        <f>55.09/134</f>
        <v>0.41111940298507466</v>
      </c>
      <c r="C17" s="31">
        <f t="shared" si="0"/>
        <v>0.45800134328358216</v>
      </c>
      <c r="D17" s="31">
        <f t="shared" si="1"/>
        <v>0.9892829014925375</v>
      </c>
    </row>
    <row r="18" spans="1:4">
      <c r="A18" s="35" t="s">
        <v>121</v>
      </c>
      <c r="B18" s="31">
        <f>50.06/120</f>
        <v>0.41716666666666669</v>
      </c>
      <c r="C18" s="31">
        <f t="shared" si="0"/>
        <v>0.46465333333333336</v>
      </c>
      <c r="D18" s="31">
        <f t="shared" si="1"/>
        <v>1.0036512000000002</v>
      </c>
    </row>
    <row r="19" spans="1:4">
      <c r="A19" s="35" t="s">
        <v>122</v>
      </c>
      <c r="B19" s="31">
        <f>53.49/96</f>
        <v>0.55718750000000006</v>
      </c>
      <c r="C19" s="31">
        <f t="shared" si="0"/>
        <v>0.61867625000000015</v>
      </c>
      <c r="D19" s="31">
        <f t="shared" si="1"/>
        <v>1.3363407000000005</v>
      </c>
    </row>
    <row r="20" spans="1:4">
      <c r="A20" s="35" t="s">
        <v>123</v>
      </c>
      <c r="B20" s="31">
        <f>96.86/600</f>
        <v>0.16143333333333335</v>
      </c>
      <c r="C20" s="31">
        <f t="shared" si="0"/>
        <v>0.18334666666666669</v>
      </c>
      <c r="D20" s="31">
        <f t="shared" si="1"/>
        <v>0.39602880000000007</v>
      </c>
    </row>
    <row r="21" spans="1:4">
      <c r="A21" s="35" t="s">
        <v>124</v>
      </c>
      <c r="B21" s="31">
        <f>39.66/2000</f>
        <v>1.9829999999999997E-2</v>
      </c>
      <c r="C21" s="31">
        <f t="shared" si="0"/>
        <v>2.7583E-2</v>
      </c>
      <c r="D21" s="31">
        <f t="shared" si="1"/>
        <v>5.9579280000000005E-2</v>
      </c>
    </row>
    <row r="22" spans="1:4">
      <c r="A22" s="35" t="s">
        <v>125</v>
      </c>
      <c r="B22" s="31">
        <f>53.36/2000</f>
        <v>2.6679999999999999E-2</v>
      </c>
      <c r="C22" s="31">
        <f t="shared" si="0"/>
        <v>3.5118000000000003E-2</v>
      </c>
      <c r="D22" s="31">
        <f t="shared" si="1"/>
        <v>7.5854880000000013E-2</v>
      </c>
    </row>
    <row r="23" spans="1:4">
      <c r="A23" s="35" t="s">
        <v>126</v>
      </c>
      <c r="B23" s="31">
        <f>36.26/2000</f>
        <v>1.813E-2</v>
      </c>
      <c r="C23" s="31">
        <f t="shared" si="0"/>
        <v>2.5713000000000003E-2</v>
      </c>
      <c r="D23" s="31">
        <f t="shared" si="1"/>
        <v>5.5540080000000012E-2</v>
      </c>
    </row>
    <row r="24" spans="1:4">
      <c r="A24" s="35" t="s">
        <v>127</v>
      </c>
      <c r="B24" s="31">
        <f>30.88/2000</f>
        <v>1.5439999999999999E-2</v>
      </c>
      <c r="C24" s="31">
        <f t="shared" si="0"/>
        <v>2.2754E-2</v>
      </c>
      <c r="D24" s="31">
        <f t="shared" si="1"/>
        <v>4.914864E-2</v>
      </c>
    </row>
    <row r="25" spans="1:4">
      <c r="A25" s="35" t="s">
        <v>128</v>
      </c>
      <c r="B25" s="31">
        <f>20.32/2000</f>
        <v>1.0160000000000001E-2</v>
      </c>
      <c r="C25" s="31">
        <f t="shared" si="0"/>
        <v>1.6946000000000003E-2</v>
      </c>
      <c r="D25" s="31">
        <f t="shared" si="1"/>
        <v>3.6603360000000008E-2</v>
      </c>
    </row>
    <row r="26" spans="1:4">
      <c r="A26" s="35" t="s">
        <v>206</v>
      </c>
      <c r="B26" s="31"/>
      <c r="C26" s="31">
        <v>0.02</v>
      </c>
      <c r="D26" s="31">
        <v>0.04</v>
      </c>
    </row>
    <row r="27" spans="1:4">
      <c r="A27" s="35" t="s">
        <v>129</v>
      </c>
      <c r="B27" s="31">
        <f>18.8/2000</f>
        <v>9.4000000000000004E-3</v>
      </c>
      <c r="C27" s="31">
        <f>(B27*1.1)+0.00577</f>
        <v>1.6110000000000003E-2</v>
      </c>
      <c r="D27" s="31">
        <f t="shared" si="1"/>
        <v>3.4797600000000005E-2</v>
      </c>
    </row>
    <row r="28" spans="1:4">
      <c r="A28" s="35" t="s">
        <v>207</v>
      </c>
      <c r="B28" s="31"/>
      <c r="C28" s="31">
        <v>1.4999999999999999E-2</v>
      </c>
      <c r="D28" s="31">
        <v>0.03</v>
      </c>
    </row>
    <row r="29" spans="1:4">
      <c r="A29" s="35" t="s">
        <v>130</v>
      </c>
      <c r="B29" s="31">
        <f>17.7/2000</f>
        <v>8.8500000000000002E-3</v>
      </c>
      <c r="C29" s="31">
        <f>(B29*1.1)+0.00577</f>
        <v>1.5505000000000001E-2</v>
      </c>
      <c r="D29" s="31">
        <f t="shared" si="1"/>
        <v>3.3490800000000008E-2</v>
      </c>
    </row>
    <row r="30" spans="1:4">
      <c r="A30" s="35" t="s">
        <v>208</v>
      </c>
      <c r="B30" s="31"/>
      <c r="C30" s="31">
        <v>3.7499999999999999E-2</v>
      </c>
      <c r="D30" s="31">
        <v>7.4999999999999997E-2</v>
      </c>
    </row>
    <row r="31" spans="1:4">
      <c r="A31" s="35" t="s">
        <v>131</v>
      </c>
      <c r="B31" s="31">
        <f>91.63/100</f>
        <v>0.9163</v>
      </c>
      <c r="C31" s="31">
        <f t="shared" ref="C31:C36" si="2">(B31*1.1)+0.00577</f>
        <v>1.0137</v>
      </c>
      <c r="D31" s="31">
        <f t="shared" si="1"/>
        <v>2.1895920000000002</v>
      </c>
    </row>
    <row r="32" spans="1:4">
      <c r="A32" s="35" t="s">
        <v>132</v>
      </c>
      <c r="B32" s="31">
        <f>6.86/20</f>
        <v>0.34300000000000003</v>
      </c>
      <c r="C32" s="31">
        <f t="shared" si="2"/>
        <v>0.38307000000000008</v>
      </c>
      <c r="D32" s="31">
        <f t="shared" si="1"/>
        <v>0.82743120000000026</v>
      </c>
    </row>
    <row r="33" spans="1:4">
      <c r="A33" s="35" t="s">
        <v>133</v>
      </c>
      <c r="B33" s="31">
        <f>8.23/20</f>
        <v>0.41150000000000003</v>
      </c>
      <c r="C33" s="31">
        <f t="shared" si="2"/>
        <v>0.45842000000000005</v>
      </c>
      <c r="D33" s="31">
        <f t="shared" si="1"/>
        <v>0.99018720000000016</v>
      </c>
    </row>
    <row r="34" spans="1:4">
      <c r="A34" s="35" t="s">
        <v>134</v>
      </c>
      <c r="B34" s="31">
        <f>63.2/50</f>
        <v>1.264</v>
      </c>
      <c r="C34" s="31">
        <f t="shared" si="2"/>
        <v>1.3961700000000001</v>
      </c>
      <c r="D34" s="31">
        <f t="shared" si="1"/>
        <v>3.0157272000000006</v>
      </c>
    </row>
    <row r="35" spans="1:4">
      <c r="A35" s="35" t="s">
        <v>135</v>
      </c>
      <c r="B35" s="31">
        <f>18.31/50</f>
        <v>0.36619999999999997</v>
      </c>
      <c r="C35" s="31">
        <f t="shared" si="2"/>
        <v>0.40859000000000001</v>
      </c>
      <c r="D35" s="31">
        <f t="shared" si="1"/>
        <v>0.88255440000000007</v>
      </c>
    </row>
    <row r="36" spans="1:4">
      <c r="A36" s="35" t="s">
        <v>136</v>
      </c>
      <c r="B36" s="31">
        <f>99.91/100</f>
        <v>0.99909999999999999</v>
      </c>
      <c r="C36" s="31">
        <f t="shared" si="2"/>
        <v>1.1047800000000001</v>
      </c>
      <c r="D36" s="31">
        <f t="shared" si="1"/>
        <v>2.3863248000000006</v>
      </c>
    </row>
    <row r="37" spans="1:4">
      <c r="A37" s="36" t="s">
        <v>209</v>
      </c>
      <c r="B37" s="32"/>
      <c r="C37" s="32">
        <f>(46.8/200)+0.00577</f>
        <v>0.23976999999999998</v>
      </c>
      <c r="D37" s="31">
        <f t="shared" si="1"/>
        <v>0.51790320000000001</v>
      </c>
    </row>
    <row r="38" spans="1:4">
      <c r="A38" s="37" t="s">
        <v>210</v>
      </c>
      <c r="B38" s="33">
        <v>0.9</v>
      </c>
      <c r="C38" s="34">
        <f>D38/2</f>
        <v>0.45</v>
      </c>
      <c r="D38" s="33">
        <v>0.9</v>
      </c>
    </row>
    <row r="39" spans="1:4">
      <c r="A39" s="37" t="s">
        <v>211</v>
      </c>
      <c r="B39" s="33">
        <v>2</v>
      </c>
      <c r="C39" s="34">
        <f t="shared" ref="C39:C56" si="3">D39/2</f>
        <v>1</v>
      </c>
      <c r="D39" s="33">
        <v>2</v>
      </c>
    </row>
    <row r="40" spans="1:4">
      <c r="A40" s="37" t="s">
        <v>212</v>
      </c>
      <c r="B40" s="33">
        <v>2.2000000000000002</v>
      </c>
      <c r="C40" s="34">
        <f t="shared" si="3"/>
        <v>1.1000000000000001</v>
      </c>
      <c r="D40" s="33">
        <v>2.2000000000000002</v>
      </c>
    </row>
    <row r="41" spans="1:4">
      <c r="A41" s="37" t="s">
        <v>213</v>
      </c>
      <c r="B41" s="33">
        <v>2.5</v>
      </c>
      <c r="C41" s="34">
        <f t="shared" si="3"/>
        <v>1.25</v>
      </c>
      <c r="D41" s="33">
        <v>2.5</v>
      </c>
    </row>
    <row r="42" spans="1:4">
      <c r="A42" s="37" t="s">
        <v>214</v>
      </c>
      <c r="B42" s="33">
        <v>2.7</v>
      </c>
      <c r="C42" s="34">
        <f t="shared" si="3"/>
        <v>1.35</v>
      </c>
      <c r="D42" s="33">
        <v>2.7</v>
      </c>
    </row>
    <row r="43" spans="1:4">
      <c r="A43" s="37" t="s">
        <v>215</v>
      </c>
      <c r="B43" s="33">
        <v>3</v>
      </c>
      <c r="C43" s="34">
        <f t="shared" si="3"/>
        <v>1.5</v>
      </c>
      <c r="D43" s="33">
        <v>3</v>
      </c>
    </row>
    <row r="44" spans="1:4">
      <c r="A44" s="37" t="s">
        <v>216</v>
      </c>
      <c r="B44" s="33">
        <v>3.7</v>
      </c>
      <c r="C44" s="34">
        <f t="shared" si="3"/>
        <v>1.85</v>
      </c>
      <c r="D44" s="33">
        <v>3.7</v>
      </c>
    </row>
    <row r="45" spans="1:4">
      <c r="A45" s="37" t="s">
        <v>217</v>
      </c>
      <c r="B45" s="33">
        <v>2.4</v>
      </c>
      <c r="C45" s="34">
        <f t="shared" si="3"/>
        <v>1.2</v>
      </c>
      <c r="D45" s="33">
        <v>2.4</v>
      </c>
    </row>
    <row r="46" spans="1:4">
      <c r="A46" s="37" t="s">
        <v>218</v>
      </c>
      <c r="B46" s="33">
        <v>2.2000000000000002</v>
      </c>
      <c r="C46" s="34">
        <f t="shared" si="3"/>
        <v>1.1000000000000001</v>
      </c>
      <c r="D46" s="33">
        <v>2.2000000000000002</v>
      </c>
    </row>
    <row r="47" spans="1:4">
      <c r="A47" s="37" t="s">
        <v>219</v>
      </c>
      <c r="B47" s="33">
        <v>2.4500000000000002</v>
      </c>
      <c r="C47" s="34">
        <f t="shared" si="3"/>
        <v>1.2250000000000001</v>
      </c>
      <c r="D47" s="33">
        <v>2.4500000000000002</v>
      </c>
    </row>
    <row r="48" spans="1:4">
      <c r="A48" s="37" t="s">
        <v>220</v>
      </c>
      <c r="B48" s="33">
        <v>2.4500000000000002</v>
      </c>
      <c r="C48" s="34">
        <f t="shared" si="3"/>
        <v>1.2250000000000001</v>
      </c>
      <c r="D48" s="33">
        <v>2.4500000000000002</v>
      </c>
    </row>
    <row r="49" spans="1:4">
      <c r="A49" s="37" t="s">
        <v>221</v>
      </c>
      <c r="B49" s="33">
        <v>2.5</v>
      </c>
      <c r="C49" s="34">
        <f t="shared" si="3"/>
        <v>1.25</v>
      </c>
      <c r="D49" s="33">
        <v>2.5</v>
      </c>
    </row>
    <row r="50" spans="1:4">
      <c r="A50" s="37" t="s">
        <v>222</v>
      </c>
      <c r="B50" s="33">
        <v>4.4000000000000004</v>
      </c>
      <c r="C50" s="34">
        <f t="shared" si="3"/>
        <v>2.2000000000000002</v>
      </c>
      <c r="D50" s="33">
        <v>4.4000000000000004</v>
      </c>
    </row>
    <row r="51" spans="1:4">
      <c r="A51" s="37" t="s">
        <v>223</v>
      </c>
      <c r="B51" s="33">
        <v>1.4</v>
      </c>
      <c r="C51" s="34">
        <f t="shared" si="3"/>
        <v>0.7</v>
      </c>
      <c r="D51" s="33">
        <v>1.4</v>
      </c>
    </row>
    <row r="52" spans="1:4">
      <c r="A52" s="37" t="s">
        <v>224</v>
      </c>
      <c r="B52" s="33">
        <v>1.55</v>
      </c>
      <c r="C52" s="34">
        <f t="shared" si="3"/>
        <v>0.77500000000000002</v>
      </c>
      <c r="D52" s="33">
        <v>1.55</v>
      </c>
    </row>
    <row r="53" spans="1:4">
      <c r="A53" s="37" t="s">
        <v>225</v>
      </c>
      <c r="B53" s="33">
        <v>1.3</v>
      </c>
      <c r="C53" s="34">
        <f t="shared" si="3"/>
        <v>0.65</v>
      </c>
      <c r="D53" s="33">
        <v>1.3</v>
      </c>
    </row>
    <row r="54" spans="1:4">
      <c r="A54" s="37" t="s">
        <v>226</v>
      </c>
      <c r="B54" s="33">
        <v>1.3</v>
      </c>
      <c r="C54" s="34">
        <f t="shared" si="3"/>
        <v>0.65</v>
      </c>
      <c r="D54" s="33">
        <v>1.3</v>
      </c>
    </row>
    <row r="55" spans="1:4">
      <c r="A55" s="37" t="s">
        <v>227</v>
      </c>
      <c r="B55" s="33">
        <v>2.1</v>
      </c>
      <c r="C55" s="34">
        <f t="shared" si="3"/>
        <v>1.05</v>
      </c>
      <c r="D55" s="33">
        <v>2.1</v>
      </c>
    </row>
    <row r="56" spans="1:4">
      <c r="A56" s="37" t="s">
        <v>228</v>
      </c>
      <c r="B56" s="33">
        <v>1.8</v>
      </c>
      <c r="C56" s="34">
        <f t="shared" si="3"/>
        <v>0.9</v>
      </c>
      <c r="D56" s="33">
        <v>1.8</v>
      </c>
    </row>
  </sheetData>
  <autoFilter ref="A1:D3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C297"/>
    </sheetView>
  </sheetViews>
  <sheetFormatPr baseColWidth="10" defaultRowHeight="14.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activeCell="E2" sqref="E2"/>
    </sheetView>
  </sheetViews>
  <sheetFormatPr baseColWidth="10" defaultRowHeight="14.5"/>
  <cols>
    <col min="2" max="2" width="16.1796875" customWidth="1"/>
  </cols>
  <sheetData>
    <row r="1" spans="1:7">
      <c r="B1" s="97" t="s">
        <v>416</v>
      </c>
      <c r="C1" s="97"/>
      <c r="D1" s="97" t="s">
        <v>417</v>
      </c>
      <c r="E1" s="97"/>
      <c r="F1" s="97" t="s">
        <v>419</v>
      </c>
      <c r="G1" s="97"/>
    </row>
    <row r="2" spans="1:7">
      <c r="A2" t="s">
        <v>416</v>
      </c>
      <c r="B2" s="1" t="s">
        <v>145</v>
      </c>
      <c r="C2" s="1">
        <f>0.36</f>
        <v>0.36</v>
      </c>
      <c r="D2" s="1" t="s">
        <v>380</v>
      </c>
      <c r="E2" s="1">
        <f>8.9*1.025</f>
        <v>9.1224999999999987</v>
      </c>
      <c r="F2" s="89" t="s">
        <v>418</v>
      </c>
      <c r="G2" s="1">
        <v>13</v>
      </c>
    </row>
    <row r="3" spans="1:7">
      <c r="A3" t="s">
        <v>417</v>
      </c>
      <c r="B3" s="87" t="s">
        <v>379</v>
      </c>
      <c r="C3" s="87">
        <v>26</v>
      </c>
      <c r="D3" s="1" t="s">
        <v>381</v>
      </c>
      <c r="E3" s="1">
        <f>10.2*1.025</f>
        <v>10.454999999999998</v>
      </c>
    </row>
    <row r="4" spans="1:7">
      <c r="A4" t="s">
        <v>419</v>
      </c>
      <c r="B4" s="88"/>
      <c r="C4" s="88"/>
      <c r="D4" s="1" t="s">
        <v>382</v>
      </c>
      <c r="E4" s="1">
        <f>10.2*1.025</f>
        <v>10.454999999999998</v>
      </c>
    </row>
    <row r="5" spans="1:7">
      <c r="D5" s="86"/>
      <c r="E5" s="86"/>
    </row>
  </sheetData>
  <mergeCells count="3">
    <mergeCell ref="F1:G1"/>
    <mergeCell ref="B1:C1"/>
    <mergeCell ref="D1:E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A3231C-7480-41D4-B35E-2FF63E40C9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Recap</vt:lpstr>
      <vt:lpstr>L-Arginine</vt:lpstr>
      <vt:lpstr>Extrait sec</vt:lpstr>
      <vt:lpstr>ID Labo</vt:lpstr>
      <vt:lpstr>Feuil3</vt:lpstr>
      <vt:lpstr>Main d'oeuvre et autre frais</vt:lpstr>
      <vt:lpstr>Extrait_sec</vt:lpstr>
      <vt:lpstr>fin</vt:lpstr>
      <vt:lpstr>frais</vt:lpstr>
      <vt:lpstr>PLANTES</vt:lpstr>
      <vt:lpstr>PRODUITS</vt:lpstr>
      <vt:lpstr>SIPF</vt:lpstr>
      <vt:lpstr>tisane</vt:lpstr>
      <vt:lpstr>TM</vt:lpstr>
      <vt:lpstr>TMf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WinUser04</dc:creator>
  <cp:lastModifiedBy>tulipe</cp:lastModifiedBy>
  <dcterms:created xsi:type="dcterms:W3CDTF">2017-06-19T10:07:16Z</dcterms:created>
  <dcterms:modified xsi:type="dcterms:W3CDTF">2017-06-27T13:53:53Z</dcterms:modified>
</cp:coreProperties>
</file>