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trlProps/ctrlProp1.xml" ContentType="application/vnd.ms-excel.controlproperties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trlProps/ctrlProp2.xml" ContentType="application/vnd.ms-excel.controlproperties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46114e439d978dda/Documents/"/>
    </mc:Choice>
  </mc:AlternateContent>
  <xr:revisionPtr revIDLastSave="0" documentId="8_{5ED3D427-891B-4B2A-BDA8-634958971A33}" xr6:coauthVersionLast="47" xr6:coauthVersionMax="47" xr10:uidLastSave="{00000000-0000-0000-0000-000000000000}"/>
  <bookViews>
    <workbookView xWindow="0" yWindow="0" windowWidth="23040" windowHeight="12360" firstSheet="8" activeTab="8" xr2:uid="{87F44D18-04D0-4949-81C1-C3D690437BD2}"/>
  </bookViews>
  <sheets>
    <sheet name="Feuil1" sheetId="1" r:id="rId1"/>
    <sheet name="23 24 05" sheetId="3" r:id="rId2"/>
    <sheet name="26 27 05" sheetId="4" r:id="rId3"/>
    <sheet name="05 06 09" sheetId="5" r:id="rId4"/>
    <sheet name="03 04 - 08" sheetId="10" r:id="rId5"/>
    <sheet name="07 08 -08" sheetId="8" r:id="rId6"/>
    <sheet name="25 26 -10" sheetId="12" r:id="rId7"/>
    <sheet name="30  31 -10" sheetId="14" r:id="rId8"/>
    <sheet name="test" sheetId="24" r:id="rId9"/>
  </sheets>
  <definedNames>
    <definedName name="joueur">'07 08 -08'!$A$2:$B$9</definedName>
    <definedName name="noms">test!$H$3:$J$36</definedName>
    <definedName name="tableau">'26 27 05'!$C$3:$U$18</definedName>
    <definedName name="tableau2">'25 26 -10'!$O$5:$AK$20</definedName>
    <definedName name="tableau3010">'30  31 -10'!$O$5:$AK$20</definedName>
    <definedName name="time">test!$K$3:$M$36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39" i="24" l="1"/>
  <c r="H40" i="24"/>
  <c r="H41" i="24"/>
  <c r="H42" i="24"/>
  <c r="L42" i="24" s="1" a="1"/>
  <c r="L42" i="24" s="1"/>
  <c r="H43" i="24"/>
  <c r="H44" i="24"/>
  <c r="H38" i="24"/>
  <c r="K38" i="24" s="1" a="1"/>
  <c r="K38" i="24" s="1"/>
  <c r="K41" i="24" a="1"/>
  <c r="K41" i="24" s="1"/>
  <c r="J39" i="24"/>
  <c r="J40" i="24"/>
  <c r="J41" i="24"/>
  <c r="J42" i="24"/>
  <c r="J43" i="24"/>
  <c r="J44" i="24"/>
  <c r="J38" i="24"/>
  <c r="C3" i="24"/>
  <c r="C5" i="24"/>
  <c r="C4" i="24"/>
  <c r="T41" i="24" a="1"/>
  <c r="T41" i="24" s="1"/>
  <c r="T42" i="24" a="1"/>
  <c r="T42" i="24" s="1"/>
  <c r="T43" i="24" a="1"/>
  <c r="T43" i="24" s="1"/>
  <c r="T44" i="24" a="1"/>
  <c r="T44" i="24" s="1"/>
  <c r="T45" i="24" a="1"/>
  <c r="T45" i="24" s="1"/>
  <c r="T46" i="24" a="1"/>
  <c r="T46" i="24" s="1"/>
  <c r="T47" i="24" a="1"/>
  <c r="T47" i="24" s="1"/>
  <c r="T48" i="24" a="1"/>
  <c r="T48" i="24" s="1"/>
  <c r="T49" i="24" a="1"/>
  <c r="T49" i="24" s="1"/>
  <c r="T40" i="24" a="1"/>
  <c r="T40" i="24" s="1"/>
  <c r="S41" i="24" a="1"/>
  <c r="S41" i="24" s="1"/>
  <c r="S42" i="24" a="1"/>
  <c r="S42" i="24" s="1"/>
  <c r="S43" i="24" a="1"/>
  <c r="S43" i="24" s="1"/>
  <c r="S44" i="24" a="1"/>
  <c r="S44" i="24" s="1"/>
  <c r="S45" i="24" a="1"/>
  <c r="S45" i="24" s="1"/>
  <c r="S46" i="24" a="1"/>
  <c r="S46" i="24" s="1"/>
  <c r="S47" i="24" a="1"/>
  <c r="S47" i="24" s="1"/>
  <c r="S48" i="24" a="1"/>
  <c r="S48" i="24" s="1"/>
  <c r="S49" i="24" a="1"/>
  <c r="S49" i="24" s="1"/>
  <c r="S40" i="24" a="1"/>
  <c r="S40" i="24" s="1"/>
  <c r="R41" i="24" a="1"/>
  <c r="R41" i="24" s="1"/>
  <c r="R42" i="24" a="1"/>
  <c r="R42" i="24" s="1"/>
  <c r="R43" i="24" a="1"/>
  <c r="R43" i="24" s="1"/>
  <c r="R44" i="24" a="1"/>
  <c r="R44" i="24" s="1"/>
  <c r="R45" i="24" a="1"/>
  <c r="R45" i="24" s="1"/>
  <c r="R46" i="24" a="1"/>
  <c r="R46" i="24" s="1"/>
  <c r="R47" i="24" a="1"/>
  <c r="R47" i="24" s="1"/>
  <c r="R48" i="24" a="1"/>
  <c r="R48" i="24" s="1"/>
  <c r="R49" i="24" a="1"/>
  <c r="R49" i="24" s="1"/>
  <c r="R40" i="24" a="1"/>
  <c r="R40" i="24" s="1"/>
  <c r="Q41" i="24" a="1"/>
  <c r="Q41" i="24" s="1"/>
  <c r="Q42" i="24" a="1"/>
  <c r="Q42" i="24" s="1"/>
  <c r="Q43" i="24" a="1"/>
  <c r="Q43" i="24" s="1"/>
  <c r="Q44" i="24" a="1"/>
  <c r="Q44" i="24" s="1"/>
  <c r="Q45" i="24" a="1"/>
  <c r="Q45" i="24" s="1"/>
  <c r="Q46" i="24" a="1"/>
  <c r="Q46" i="24" s="1"/>
  <c r="Q47" i="24" a="1"/>
  <c r="Q47" i="24" s="1"/>
  <c r="Q48" i="24" a="1"/>
  <c r="Q48" i="24" s="1"/>
  <c r="Q49" i="24" a="1"/>
  <c r="Q49" i="24" s="1"/>
  <c r="Q40" i="24" a="1"/>
  <c r="Q40" i="24" s="1"/>
  <c r="P41" i="24" a="1"/>
  <c r="P41" i="24" s="1"/>
  <c r="P42" i="24" a="1"/>
  <c r="P42" i="24" s="1"/>
  <c r="P43" i="24" a="1"/>
  <c r="P43" i="24" s="1"/>
  <c r="P44" i="24" a="1"/>
  <c r="P44" i="24" s="1"/>
  <c r="P45" i="24" a="1"/>
  <c r="P45" i="24" s="1"/>
  <c r="P46" i="24" a="1"/>
  <c r="P46" i="24" s="1"/>
  <c r="P47" i="24" a="1"/>
  <c r="P47" i="24" s="1"/>
  <c r="P48" i="24" a="1"/>
  <c r="P48" i="24" s="1"/>
  <c r="P49" i="24" a="1"/>
  <c r="P49" i="24" s="1"/>
  <c r="P40" i="24" a="1"/>
  <c r="P40" i="24" s="1"/>
  <c r="L43" i="24" l="1" a="1"/>
  <c r="L43" i="24" s="1"/>
  <c r="M42" i="24" a="1"/>
  <c r="M42" i="24" s="1"/>
  <c r="K42" i="24" a="1"/>
  <c r="K42" i="24" s="1"/>
  <c r="L41" i="24" a="1"/>
  <c r="L41" i="24" s="1"/>
  <c r="M40" i="24" a="1"/>
  <c r="M40" i="24" s="1"/>
  <c r="K40" i="24" a="1"/>
  <c r="K40" i="24" s="1"/>
  <c r="L39" i="24" a="1"/>
  <c r="L39" i="24" s="1"/>
  <c r="M43" i="24" a="1"/>
  <c r="M43" i="24" s="1"/>
  <c r="K43" i="24" a="1"/>
  <c r="K43" i="24" s="1"/>
  <c r="M41" i="24" a="1"/>
  <c r="M41" i="24" s="1"/>
  <c r="L40" i="24" a="1"/>
  <c r="L40" i="24" s="1"/>
  <c r="M39" i="24" a="1"/>
  <c r="M39" i="24" s="1"/>
  <c r="K39" i="24" a="1"/>
  <c r="K39" i="24" s="1"/>
  <c r="M38" i="24" a="1"/>
  <c r="M38" i="24" s="1"/>
  <c r="L38" i="24" a="1"/>
  <c r="L38" i="24" s="1"/>
  <c r="X9" i="24"/>
  <c r="W9" i="24"/>
  <c r="X5" i="24"/>
  <c r="W5" i="24"/>
  <c r="R11" i="24" s="1"/>
  <c r="J36" i="24"/>
  <c r="H36" i="24"/>
  <c r="J35" i="24"/>
  <c r="J34" i="24"/>
  <c r="H34" i="24"/>
  <c r="J33" i="24"/>
  <c r="H33" i="24"/>
  <c r="J31" i="24"/>
  <c r="H31" i="24"/>
  <c r="J29" i="24"/>
  <c r="H29" i="24"/>
  <c r="J28" i="24"/>
  <c r="H28" i="24"/>
  <c r="J26" i="24"/>
  <c r="H26" i="24"/>
  <c r="J25" i="24"/>
  <c r="H25" i="24"/>
  <c r="M24" i="24"/>
  <c r="M25" i="24" s="1"/>
  <c r="M26" i="24" s="1"/>
  <c r="M28" i="24" s="1"/>
  <c r="M29" i="24" s="1"/>
  <c r="M30" i="24" s="1"/>
  <c r="M31" i="24" s="1"/>
  <c r="M33" i="24" s="1"/>
  <c r="M34" i="24" s="1"/>
  <c r="M35" i="24" s="1"/>
  <c r="M36" i="24" s="1"/>
  <c r="J24" i="24"/>
  <c r="H24" i="24"/>
  <c r="J23" i="24"/>
  <c r="J21" i="24"/>
  <c r="H21" i="24"/>
  <c r="AE20" i="24"/>
  <c r="J20" i="24"/>
  <c r="H20" i="24"/>
  <c r="Z19" i="24"/>
  <c r="V19" i="24"/>
  <c r="P19" i="24"/>
  <c r="J18" i="24"/>
  <c r="H18" i="24"/>
  <c r="AF17" i="24"/>
  <c r="AC19" i="24" s="1"/>
  <c r="AE17" i="24"/>
  <c r="AD19" i="24" s="1"/>
  <c r="P17" i="24"/>
  <c r="J16" i="24"/>
  <c r="H16" i="24"/>
  <c r="AF15" i="24"/>
  <c r="AA19" i="24" s="1"/>
  <c r="AE15" i="24"/>
  <c r="AB19" i="24" s="1"/>
  <c r="AD15" i="24"/>
  <c r="AA17" i="24" s="1"/>
  <c r="AC15" i="24"/>
  <c r="AB17" i="24" s="1"/>
  <c r="P15" i="24"/>
  <c r="AA3" i="24" s="1"/>
  <c r="J15" i="24"/>
  <c r="J14" i="24"/>
  <c r="H14" i="24"/>
  <c r="AF13" i="24"/>
  <c r="Y19" i="24" s="1"/>
  <c r="AE13" i="24"/>
  <c r="AD13" i="24"/>
  <c r="Y17" i="24" s="1"/>
  <c r="AC13" i="24"/>
  <c r="Z17" i="24" s="1"/>
  <c r="AB13" i="24"/>
  <c r="AA13" i="24"/>
  <c r="Z15" i="24" s="1"/>
  <c r="P13" i="24"/>
  <c r="J13" i="24"/>
  <c r="H13" i="24"/>
  <c r="AF11" i="24"/>
  <c r="W19" i="24" s="1"/>
  <c r="AE11" i="24"/>
  <c r="X19" i="24" s="1"/>
  <c r="AD11" i="24"/>
  <c r="W17" i="24" s="1"/>
  <c r="AC11" i="24"/>
  <c r="X17" i="24" s="1"/>
  <c r="AB11" i="24"/>
  <c r="W15" i="24" s="1"/>
  <c r="AA11" i="24"/>
  <c r="X15" i="24" s="1"/>
  <c r="Z11" i="24"/>
  <c r="W13" i="24" s="1"/>
  <c r="Y11" i="24"/>
  <c r="X13" i="24" s="1"/>
  <c r="J11" i="24"/>
  <c r="J10" i="24"/>
  <c r="H10" i="24"/>
  <c r="AF9" i="24"/>
  <c r="U19" i="24" s="1"/>
  <c r="AE9" i="24"/>
  <c r="AD9" i="24"/>
  <c r="U17" i="24" s="1"/>
  <c r="AC9" i="24"/>
  <c r="V17" i="24" s="1"/>
  <c r="AB9" i="24"/>
  <c r="U15" i="24" s="1"/>
  <c r="AA9" i="24"/>
  <c r="Z9" i="24"/>
  <c r="U13" i="24" s="1"/>
  <c r="Y9" i="24"/>
  <c r="V13" i="24" s="1"/>
  <c r="U11" i="24"/>
  <c r="V11" i="24"/>
  <c r="P9" i="24"/>
  <c r="U3" i="24" s="1"/>
  <c r="J9" i="24"/>
  <c r="H9" i="24"/>
  <c r="J8" i="24"/>
  <c r="H8" i="24"/>
  <c r="AF7" i="24"/>
  <c r="S19" i="24" s="1"/>
  <c r="AE7" i="24"/>
  <c r="T19" i="24" s="1"/>
  <c r="AD7" i="24"/>
  <c r="S17" i="24" s="1"/>
  <c r="AC7" i="24"/>
  <c r="T17" i="24" s="1"/>
  <c r="AB7" i="24"/>
  <c r="S15" i="24" s="1"/>
  <c r="AA7" i="24"/>
  <c r="T15" i="24" s="1"/>
  <c r="Z7" i="24"/>
  <c r="S13" i="24" s="1"/>
  <c r="Y7" i="24"/>
  <c r="T13" i="24" s="1"/>
  <c r="X7" i="24"/>
  <c r="S11" i="24" s="1"/>
  <c r="W7" i="24"/>
  <c r="T11" i="24" s="1"/>
  <c r="V7" i="24"/>
  <c r="S9" i="24" s="1"/>
  <c r="U7" i="24"/>
  <c r="T9" i="24" s="1"/>
  <c r="R7" i="24"/>
  <c r="AH7" i="24" s="1"/>
  <c r="P7" i="24"/>
  <c r="Q6" i="24"/>
  <c r="J6" i="24"/>
  <c r="B6" i="24"/>
  <c r="H15" i="24" s="1"/>
  <c r="AF5" i="24"/>
  <c r="Q19" i="24" s="1"/>
  <c r="AE5" i="24"/>
  <c r="R19" i="24" s="1"/>
  <c r="AD5" i="24"/>
  <c r="Q17" i="24" s="1"/>
  <c r="AC5" i="24"/>
  <c r="R17" i="24" s="1"/>
  <c r="AB5" i="24"/>
  <c r="Q15" i="24" s="1"/>
  <c r="AA5" i="24"/>
  <c r="R15" i="24" s="1"/>
  <c r="Z5" i="24"/>
  <c r="Q13" i="24" s="1"/>
  <c r="Y5" i="24"/>
  <c r="R13" i="24" s="1"/>
  <c r="Q11" i="24"/>
  <c r="V5" i="24"/>
  <c r="Q9" i="24" s="1"/>
  <c r="U5" i="24"/>
  <c r="T5" i="24"/>
  <c r="S5" i="24"/>
  <c r="P5" i="24"/>
  <c r="M5" i="24"/>
  <c r="M6" i="24" s="1"/>
  <c r="M8" i="24" s="1"/>
  <c r="M9" i="24" s="1"/>
  <c r="M10" i="24" s="1"/>
  <c r="M11" i="24" s="1"/>
  <c r="M13" i="24" s="1"/>
  <c r="M14" i="24" s="1"/>
  <c r="M15" i="24" s="1"/>
  <c r="M16" i="24" s="1"/>
  <c r="M18" i="24" s="1"/>
  <c r="M19" i="24" s="1"/>
  <c r="M20" i="24" s="1"/>
  <c r="M21" i="24" s="1"/>
  <c r="J5" i="24"/>
  <c r="H5" i="24"/>
  <c r="M4" i="24"/>
  <c r="J4" i="24"/>
  <c r="H4" i="24"/>
  <c r="AE3" i="24"/>
  <c r="AC3" i="24"/>
  <c r="Y3" i="24"/>
  <c r="S3" i="24"/>
  <c r="J3" i="24"/>
  <c r="H3" i="24"/>
  <c r="U1" i="24"/>
  <c r="L44" i="24" l="1" a="1"/>
  <c r="L44" i="24" s="1"/>
  <c r="K44" i="24" a="1"/>
  <c r="K44" i="24" s="1"/>
  <c r="M44" i="24" a="1"/>
  <c r="M44" i="24" s="1"/>
  <c r="P11" i="24"/>
  <c r="W20" i="24"/>
  <c r="AG17" i="24"/>
  <c r="J19" i="24"/>
  <c r="J30" i="24"/>
  <c r="H23" i="24"/>
  <c r="H35" i="24"/>
  <c r="AG11" i="24"/>
  <c r="AL11" i="24" s="1"/>
  <c r="AG19" i="24"/>
  <c r="AA18" i="24"/>
  <c r="S18" i="24"/>
  <c r="Y10" i="24"/>
  <c r="AA14" i="24"/>
  <c r="Y20" i="24"/>
  <c r="Q3" i="24"/>
  <c r="U6" i="24"/>
  <c r="Y6" i="24"/>
  <c r="S12" i="24"/>
  <c r="H11" i="24"/>
  <c r="AC12" i="24"/>
  <c r="W16" i="24"/>
  <c r="AH11" i="24"/>
  <c r="AE6" i="24"/>
  <c r="AH13" i="24"/>
  <c r="Y15" i="24"/>
  <c r="AG15" i="24" s="1"/>
  <c r="W6" i="24"/>
  <c r="Q20" i="24"/>
  <c r="AH17" i="24"/>
  <c r="AG13" i="24"/>
  <c r="AA8" i="24"/>
  <c r="AG9" i="24"/>
  <c r="W3" i="24"/>
  <c r="Q14" i="24"/>
  <c r="Q7" i="24"/>
  <c r="AH5" i="24"/>
  <c r="V15" i="24"/>
  <c r="AH15" i="24" s="1"/>
  <c r="AA10" i="24"/>
  <c r="AH19" i="24"/>
  <c r="AG5" i="24"/>
  <c r="U8" i="24"/>
  <c r="AC8" i="24"/>
  <c r="R9" i="24"/>
  <c r="AH9" i="24" s="1"/>
  <c r="U12" i="24"/>
  <c r="AE12" i="24"/>
  <c r="S14" i="24"/>
  <c r="AC14" i="24"/>
  <c r="Q16" i="24"/>
  <c r="Y16" i="24"/>
  <c r="U18" i="24"/>
  <c r="AE18" i="24"/>
  <c r="S20" i="24"/>
  <c r="AA20" i="24"/>
  <c r="H6" i="24"/>
  <c r="S6" i="24"/>
  <c r="AA6" i="24"/>
  <c r="W8" i="24"/>
  <c r="AE8" i="24"/>
  <c r="S10" i="24"/>
  <c r="AC10" i="24"/>
  <c r="Y12" i="24"/>
  <c r="U14" i="24"/>
  <c r="AE14" i="24"/>
  <c r="S16" i="24"/>
  <c r="AC16" i="24"/>
  <c r="W18" i="24"/>
  <c r="H19" i="24"/>
  <c r="U20" i="24"/>
  <c r="AC20" i="24"/>
  <c r="H30" i="24"/>
  <c r="AC6" i="24"/>
  <c r="AI5" i="24" s="1"/>
  <c r="Y8" i="24"/>
  <c r="W10" i="24"/>
  <c r="AE10" i="24"/>
  <c r="Q12" i="24"/>
  <c r="AA12" i="24"/>
  <c r="W14" i="24"/>
  <c r="U16" i="24"/>
  <c r="AE16" i="24"/>
  <c r="Q18" i="24"/>
  <c r="Y18" i="24"/>
  <c r="N19" i="14"/>
  <c r="N17" i="14"/>
  <c r="N15" i="14"/>
  <c r="N13" i="14"/>
  <c r="N11" i="14"/>
  <c r="N9" i="14"/>
  <c r="N7" i="14"/>
  <c r="N5" i="14"/>
  <c r="AL15" i="24" l="1"/>
  <c r="AJ11" i="24"/>
  <c r="AI11" i="24"/>
  <c r="AL19" i="24"/>
  <c r="AJ5" i="24"/>
  <c r="AO5" i="24" s="1"/>
  <c r="AJ15" i="24"/>
  <c r="AI15" i="24"/>
  <c r="AL5" i="24"/>
  <c r="AL13" i="24"/>
  <c r="AI19" i="24"/>
  <c r="AJ19" i="24"/>
  <c r="AL17" i="24"/>
  <c r="AG7" i="24"/>
  <c r="Q8" i="24"/>
  <c r="AI13" i="24"/>
  <c r="AJ13" i="24"/>
  <c r="Q10" i="24"/>
  <c r="AJ17" i="24"/>
  <c r="AI17" i="24"/>
  <c r="AL9" i="24"/>
  <c r="O15" i="14"/>
  <c r="Z3" i="14" s="1"/>
  <c r="J36" i="14"/>
  <c r="H36" i="14"/>
  <c r="J35" i="14"/>
  <c r="H35" i="14"/>
  <c r="J34" i="14"/>
  <c r="H34" i="14"/>
  <c r="J33" i="14"/>
  <c r="H33" i="14"/>
  <c r="J31" i="14"/>
  <c r="H31" i="14"/>
  <c r="J30" i="14"/>
  <c r="H30" i="14"/>
  <c r="AG29" i="14"/>
  <c r="J29" i="14"/>
  <c r="H29" i="14"/>
  <c r="AG28" i="14"/>
  <c r="J28" i="14"/>
  <c r="H28" i="14"/>
  <c r="AG27" i="14"/>
  <c r="AG26" i="14"/>
  <c r="J26" i="14"/>
  <c r="H26" i="14"/>
  <c r="AG25" i="14"/>
  <c r="J25" i="14"/>
  <c r="H25" i="14"/>
  <c r="J24" i="14"/>
  <c r="H24" i="14"/>
  <c r="J23" i="14"/>
  <c r="H23" i="14"/>
  <c r="J21" i="14"/>
  <c r="H21" i="14"/>
  <c r="AD20" i="14"/>
  <c r="J20" i="14"/>
  <c r="H20" i="14"/>
  <c r="O19" i="14"/>
  <c r="J19" i="14"/>
  <c r="H19" i="14"/>
  <c r="J18" i="14"/>
  <c r="H18" i="14"/>
  <c r="AE17" i="14"/>
  <c r="AB19" i="14" s="1"/>
  <c r="AD17" i="14"/>
  <c r="AC19" i="14" s="1"/>
  <c r="O17" i="14"/>
  <c r="J16" i="14"/>
  <c r="H16" i="14"/>
  <c r="AE15" i="14"/>
  <c r="Z19" i="14" s="1"/>
  <c r="AD15" i="14"/>
  <c r="AA19" i="14" s="1"/>
  <c r="AC15" i="14"/>
  <c r="Z17" i="14" s="1"/>
  <c r="AB15" i="14"/>
  <c r="AA17" i="14" s="1"/>
  <c r="J15" i="14"/>
  <c r="H15" i="14"/>
  <c r="J14" i="14"/>
  <c r="H14" i="14"/>
  <c r="AE13" i="14"/>
  <c r="X19" i="14" s="1"/>
  <c r="AD13" i="14"/>
  <c r="Y19" i="14" s="1"/>
  <c r="AC13" i="14"/>
  <c r="X17" i="14" s="1"/>
  <c r="AB13" i="14"/>
  <c r="Y17" i="14" s="1"/>
  <c r="AA13" i="14"/>
  <c r="X15" i="14" s="1"/>
  <c r="Z13" i="14"/>
  <c r="Y15" i="14" s="1"/>
  <c r="O13" i="14"/>
  <c r="J13" i="14"/>
  <c r="H13" i="14"/>
  <c r="AE11" i="14"/>
  <c r="V19" i="14" s="1"/>
  <c r="AD11" i="14"/>
  <c r="W19" i="14" s="1"/>
  <c r="AC11" i="14"/>
  <c r="V17" i="14" s="1"/>
  <c r="AB11" i="14"/>
  <c r="W17" i="14" s="1"/>
  <c r="AA11" i="14"/>
  <c r="V15" i="14" s="1"/>
  <c r="Z11" i="14"/>
  <c r="W15" i="14" s="1"/>
  <c r="Y11" i="14"/>
  <c r="V13" i="14" s="1"/>
  <c r="X11" i="14"/>
  <c r="W13" i="14" s="1"/>
  <c r="O11" i="14"/>
  <c r="J11" i="14"/>
  <c r="H11" i="14"/>
  <c r="J10" i="14"/>
  <c r="H10" i="14"/>
  <c r="AE9" i="14"/>
  <c r="T19" i="14" s="1"/>
  <c r="AD9" i="14"/>
  <c r="U19" i="14" s="1"/>
  <c r="AC9" i="14"/>
  <c r="AB9" i="14"/>
  <c r="U17" i="14" s="1"/>
  <c r="AA9" i="14"/>
  <c r="T15" i="14" s="1"/>
  <c r="Z9" i="14"/>
  <c r="U15" i="14" s="1"/>
  <c r="Y9" i="14"/>
  <c r="T13" i="14" s="1"/>
  <c r="X9" i="14"/>
  <c r="U13" i="14" s="1"/>
  <c r="W9" i="14"/>
  <c r="T11" i="14" s="1"/>
  <c r="V9" i="14"/>
  <c r="U11" i="14" s="1"/>
  <c r="O9" i="14"/>
  <c r="T3" i="14" s="1"/>
  <c r="J9" i="14"/>
  <c r="H9" i="14"/>
  <c r="J8" i="14"/>
  <c r="H8" i="14"/>
  <c r="AE7" i="14"/>
  <c r="R19" i="14" s="1"/>
  <c r="AD7" i="14"/>
  <c r="S19" i="14" s="1"/>
  <c r="AC7" i="14"/>
  <c r="R17" i="14" s="1"/>
  <c r="AB7" i="14"/>
  <c r="S17" i="14" s="1"/>
  <c r="AA7" i="14"/>
  <c r="R15" i="14" s="1"/>
  <c r="Z7" i="14"/>
  <c r="S15" i="14" s="1"/>
  <c r="Y7" i="14"/>
  <c r="R13" i="14" s="1"/>
  <c r="X7" i="14"/>
  <c r="S13" i="14" s="1"/>
  <c r="W7" i="14"/>
  <c r="R11" i="14" s="1"/>
  <c r="V7" i="14"/>
  <c r="S11" i="14" s="1"/>
  <c r="U7" i="14"/>
  <c r="R9" i="14" s="1"/>
  <c r="T7" i="14"/>
  <c r="S9" i="14" s="1"/>
  <c r="O7" i="14"/>
  <c r="P6" i="14"/>
  <c r="J6" i="14"/>
  <c r="H6" i="14"/>
  <c r="AE5" i="14"/>
  <c r="P19" i="14" s="1"/>
  <c r="AD5" i="14"/>
  <c r="Q19" i="14" s="1"/>
  <c r="AC5" i="14"/>
  <c r="P17" i="14" s="1"/>
  <c r="AB5" i="14"/>
  <c r="Q17" i="14" s="1"/>
  <c r="AA5" i="14"/>
  <c r="P15" i="14" s="1"/>
  <c r="Z5" i="14"/>
  <c r="Q15" i="14" s="1"/>
  <c r="Y5" i="14"/>
  <c r="P13" i="14" s="1"/>
  <c r="X5" i="14"/>
  <c r="Q13" i="14" s="1"/>
  <c r="AG13" i="14" s="1"/>
  <c r="W5" i="14"/>
  <c r="P11" i="14" s="1"/>
  <c r="V5" i="14"/>
  <c r="Q11" i="14" s="1"/>
  <c r="U5" i="14"/>
  <c r="P9" i="14" s="1"/>
  <c r="T5" i="14"/>
  <c r="Q9" i="14" s="1"/>
  <c r="S5" i="14"/>
  <c r="R5" i="14"/>
  <c r="O5" i="14"/>
  <c r="P3" i="14" s="1"/>
  <c r="J5" i="14"/>
  <c r="H5" i="14"/>
  <c r="J4" i="14"/>
  <c r="H4" i="14"/>
  <c r="AD3" i="14"/>
  <c r="AB3" i="14"/>
  <c r="X3" i="14"/>
  <c r="V3" i="14"/>
  <c r="R3" i="14"/>
  <c r="J3" i="14"/>
  <c r="H3" i="14"/>
  <c r="T1" i="14"/>
  <c r="AG29" i="12"/>
  <c r="AG28" i="12"/>
  <c r="AG27" i="12"/>
  <c r="AG26" i="12"/>
  <c r="AG25" i="12"/>
  <c r="T1" i="12"/>
  <c r="R5" i="12"/>
  <c r="S5" i="12"/>
  <c r="V9" i="12"/>
  <c r="W9" i="12"/>
  <c r="T11" i="12" s="1"/>
  <c r="Z13" i="12"/>
  <c r="AA13" i="12"/>
  <c r="AB5" i="12"/>
  <c r="AC5" i="12"/>
  <c r="P17" i="12" s="1"/>
  <c r="V7" i="12"/>
  <c r="W7" i="12"/>
  <c r="AD9" i="12"/>
  <c r="AE9" i="12"/>
  <c r="T19" i="12" s="1"/>
  <c r="J36" i="12"/>
  <c r="H36" i="12"/>
  <c r="J35" i="12"/>
  <c r="H35" i="12"/>
  <c r="J34" i="12"/>
  <c r="H34" i="12"/>
  <c r="J33" i="12"/>
  <c r="H33" i="12"/>
  <c r="J31" i="12"/>
  <c r="H31" i="12"/>
  <c r="J30" i="12"/>
  <c r="H30" i="12"/>
  <c r="J29" i="12"/>
  <c r="H29" i="12"/>
  <c r="J28" i="12"/>
  <c r="H28" i="12"/>
  <c r="J26" i="12"/>
  <c r="H26" i="12"/>
  <c r="J25" i="12"/>
  <c r="H25" i="12"/>
  <c r="J24" i="12"/>
  <c r="H24" i="12"/>
  <c r="J23" i="12"/>
  <c r="H23" i="12"/>
  <c r="J21" i="12"/>
  <c r="H21" i="12"/>
  <c r="AD20" i="12"/>
  <c r="J20" i="12"/>
  <c r="H20" i="12"/>
  <c r="O19" i="12"/>
  <c r="J19" i="12"/>
  <c r="H19" i="12"/>
  <c r="J18" i="12"/>
  <c r="H18" i="12"/>
  <c r="AE17" i="12"/>
  <c r="AB19" i="12" s="1"/>
  <c r="AD17" i="12"/>
  <c r="AC19" i="12" s="1"/>
  <c r="O17" i="12"/>
  <c r="AB3" i="12" s="1"/>
  <c r="J16" i="12"/>
  <c r="H16" i="12"/>
  <c r="AE15" i="12"/>
  <c r="Z19" i="12" s="1"/>
  <c r="AD15" i="12"/>
  <c r="AA19" i="12" s="1"/>
  <c r="AC15" i="12"/>
  <c r="Z17" i="12" s="1"/>
  <c r="AB15" i="12"/>
  <c r="AA17" i="12" s="1"/>
  <c r="O15" i="12"/>
  <c r="Z3" i="12" s="1"/>
  <c r="J15" i="12"/>
  <c r="H15" i="12"/>
  <c r="J14" i="12"/>
  <c r="H14" i="12"/>
  <c r="AE13" i="12"/>
  <c r="X19" i="12" s="1"/>
  <c r="AD13" i="12"/>
  <c r="Y19" i="12" s="1"/>
  <c r="AC13" i="12"/>
  <c r="X17" i="12" s="1"/>
  <c r="AB13" i="12"/>
  <c r="Y17" i="12" s="1"/>
  <c r="X15" i="12"/>
  <c r="Y15" i="12"/>
  <c r="O13" i="12"/>
  <c r="J13" i="12"/>
  <c r="H13" i="12"/>
  <c r="AE11" i="12"/>
  <c r="V19" i="12" s="1"/>
  <c r="AD11" i="12"/>
  <c r="W19" i="12" s="1"/>
  <c r="AC11" i="12"/>
  <c r="V17" i="12" s="1"/>
  <c r="AB11" i="12"/>
  <c r="W17" i="12" s="1"/>
  <c r="AA11" i="12"/>
  <c r="V15" i="12" s="1"/>
  <c r="Z11" i="12"/>
  <c r="W15" i="12" s="1"/>
  <c r="Y11" i="12"/>
  <c r="V13" i="12" s="1"/>
  <c r="X11" i="12"/>
  <c r="W13" i="12" s="1"/>
  <c r="O11" i="12"/>
  <c r="J11" i="12"/>
  <c r="H11" i="12"/>
  <c r="J10" i="12"/>
  <c r="H10" i="12"/>
  <c r="U19" i="12"/>
  <c r="AC9" i="12"/>
  <c r="T17" i="12" s="1"/>
  <c r="AB9" i="12"/>
  <c r="U17" i="12" s="1"/>
  <c r="AA9" i="12"/>
  <c r="T15" i="12" s="1"/>
  <c r="Z9" i="12"/>
  <c r="U15" i="12" s="1"/>
  <c r="Y9" i="12"/>
  <c r="T13" i="12" s="1"/>
  <c r="X9" i="12"/>
  <c r="U13" i="12" s="1"/>
  <c r="U11" i="12"/>
  <c r="O9" i="12"/>
  <c r="T3" i="12" s="1"/>
  <c r="J9" i="12"/>
  <c r="H9" i="12"/>
  <c r="J8" i="12"/>
  <c r="H8" i="12"/>
  <c r="AE7" i="12"/>
  <c r="R19" i="12" s="1"/>
  <c r="AD7" i="12"/>
  <c r="S19" i="12" s="1"/>
  <c r="AC7" i="12"/>
  <c r="R17" i="12" s="1"/>
  <c r="AB7" i="12"/>
  <c r="S17" i="12" s="1"/>
  <c r="AA7" i="12"/>
  <c r="R15" i="12" s="1"/>
  <c r="Z7" i="12"/>
  <c r="S15" i="12" s="1"/>
  <c r="Y7" i="12"/>
  <c r="R13" i="12" s="1"/>
  <c r="X7" i="12"/>
  <c r="S13" i="12" s="1"/>
  <c r="R11" i="12"/>
  <c r="S11" i="12"/>
  <c r="U7" i="12"/>
  <c r="R9" i="12" s="1"/>
  <c r="T7" i="12"/>
  <c r="S9" i="12" s="1"/>
  <c r="O7" i="12"/>
  <c r="P6" i="12"/>
  <c r="J6" i="12"/>
  <c r="H6" i="12"/>
  <c r="AE5" i="12"/>
  <c r="P19" i="12" s="1"/>
  <c r="AD5" i="12"/>
  <c r="Q19" i="12" s="1"/>
  <c r="Q17" i="12"/>
  <c r="AA5" i="12"/>
  <c r="P15" i="12" s="1"/>
  <c r="Z5" i="12"/>
  <c r="Q15" i="12" s="1"/>
  <c r="Y5" i="12"/>
  <c r="P13" i="12" s="1"/>
  <c r="X5" i="12"/>
  <c r="Q13" i="12" s="1"/>
  <c r="W5" i="12"/>
  <c r="P11" i="12" s="1"/>
  <c r="V5" i="12"/>
  <c r="Q11" i="12" s="1"/>
  <c r="U5" i="12"/>
  <c r="P9" i="12" s="1"/>
  <c r="T5" i="12"/>
  <c r="Q9" i="12" s="1"/>
  <c r="O5" i="12"/>
  <c r="J5" i="12"/>
  <c r="H5" i="12"/>
  <c r="J4" i="12"/>
  <c r="H4" i="12"/>
  <c r="AD3" i="12"/>
  <c r="X3" i="12"/>
  <c r="V3" i="12"/>
  <c r="R3" i="12"/>
  <c r="P3" i="12"/>
  <c r="J3" i="12"/>
  <c r="H3" i="12"/>
  <c r="J36" i="8"/>
  <c r="H36" i="8"/>
  <c r="J35" i="8"/>
  <c r="H35" i="8"/>
  <c r="J34" i="8"/>
  <c r="H34" i="8"/>
  <c r="J33" i="8"/>
  <c r="H33" i="8"/>
  <c r="J31" i="8"/>
  <c r="H31" i="8"/>
  <c r="J30" i="8"/>
  <c r="H30" i="8"/>
  <c r="AF29" i="8"/>
  <c r="J29" i="8"/>
  <c r="H29" i="8"/>
  <c r="AF28" i="8"/>
  <c r="J28" i="8"/>
  <c r="H28" i="8"/>
  <c r="AF27" i="8"/>
  <c r="AF26" i="8"/>
  <c r="J26" i="8"/>
  <c r="H26" i="8"/>
  <c r="AF25" i="8"/>
  <c r="J25" i="8"/>
  <c r="H25" i="8"/>
  <c r="J24" i="8"/>
  <c r="H24" i="8"/>
  <c r="J23" i="8"/>
  <c r="H23" i="8"/>
  <c r="J21" i="8"/>
  <c r="H21" i="8"/>
  <c r="AD20" i="8"/>
  <c r="J20" i="8"/>
  <c r="H20" i="8"/>
  <c r="O19" i="8"/>
  <c r="J19" i="8"/>
  <c r="H19" i="8"/>
  <c r="J18" i="8"/>
  <c r="H18" i="8"/>
  <c r="AE17" i="8"/>
  <c r="AB19" i="8" s="1"/>
  <c r="AD17" i="8"/>
  <c r="AC19" i="8" s="1"/>
  <c r="O17" i="8"/>
  <c r="J16" i="8"/>
  <c r="H16" i="8"/>
  <c r="AE15" i="8"/>
  <c r="Z19" i="8" s="1"/>
  <c r="AD15" i="8"/>
  <c r="AD16" i="8" s="1"/>
  <c r="AC15" i="8"/>
  <c r="Z17" i="8" s="1"/>
  <c r="AB15" i="8"/>
  <c r="AA17" i="8" s="1"/>
  <c r="O15" i="8"/>
  <c r="Z3" i="8" s="1"/>
  <c r="J15" i="8"/>
  <c r="H15" i="8"/>
  <c r="J14" i="8"/>
  <c r="H14" i="8"/>
  <c r="AE13" i="8"/>
  <c r="X19" i="8" s="1"/>
  <c r="AD13" i="8"/>
  <c r="Y19" i="8" s="1"/>
  <c r="AC13" i="8"/>
  <c r="X17" i="8" s="1"/>
  <c r="AB13" i="8"/>
  <c r="Y17" i="8" s="1"/>
  <c r="AA13" i="8"/>
  <c r="X15" i="8" s="1"/>
  <c r="Z13" i="8"/>
  <c r="Y15" i="8" s="1"/>
  <c r="O13" i="8"/>
  <c r="J13" i="8"/>
  <c r="H13" i="8"/>
  <c r="AE11" i="8"/>
  <c r="V19" i="8" s="1"/>
  <c r="V20" i="8" s="1"/>
  <c r="AD11" i="8"/>
  <c r="W19" i="8" s="1"/>
  <c r="AC11" i="8"/>
  <c r="V17" i="8" s="1"/>
  <c r="AB11" i="8"/>
  <c r="AB12" i="8" s="1"/>
  <c r="AA11" i="8"/>
  <c r="V15" i="8" s="1"/>
  <c r="Z11" i="8"/>
  <c r="Y11" i="8"/>
  <c r="V13" i="8" s="1"/>
  <c r="X11" i="8"/>
  <c r="W13" i="8" s="1"/>
  <c r="O11" i="8"/>
  <c r="J11" i="8"/>
  <c r="H11" i="8"/>
  <c r="J10" i="8"/>
  <c r="H10" i="8"/>
  <c r="AE9" i="8"/>
  <c r="T19" i="8" s="1"/>
  <c r="AD9" i="8"/>
  <c r="U19" i="8" s="1"/>
  <c r="AC9" i="8"/>
  <c r="AB10" i="8" s="1"/>
  <c r="AB9" i="8"/>
  <c r="U17" i="8" s="1"/>
  <c r="AA9" i="8"/>
  <c r="T15" i="8" s="1"/>
  <c r="Z9" i="8"/>
  <c r="U15" i="8" s="1"/>
  <c r="Y9" i="8"/>
  <c r="T13" i="8" s="1"/>
  <c r="X9" i="8"/>
  <c r="U13" i="8" s="1"/>
  <c r="W9" i="8"/>
  <c r="T11" i="8" s="1"/>
  <c r="V9" i="8"/>
  <c r="U11" i="8" s="1"/>
  <c r="O9" i="8"/>
  <c r="J9" i="8"/>
  <c r="H9" i="8"/>
  <c r="J8" i="8"/>
  <c r="H8" i="8"/>
  <c r="AE7" i="8"/>
  <c r="R19" i="8" s="1"/>
  <c r="AD7" i="8"/>
  <c r="S19" i="8" s="1"/>
  <c r="AC7" i="8"/>
  <c r="R17" i="8" s="1"/>
  <c r="AB7" i="8"/>
  <c r="AB8" i="8" s="1"/>
  <c r="AA7" i="8"/>
  <c r="R15" i="8" s="1"/>
  <c r="Z7" i="8"/>
  <c r="Z8" i="8" s="1"/>
  <c r="Y7" i="8"/>
  <c r="R13" i="8" s="1"/>
  <c r="X7" i="8"/>
  <c r="S13" i="8" s="1"/>
  <c r="W7" i="8"/>
  <c r="R11" i="8" s="1"/>
  <c r="V7" i="8"/>
  <c r="S11" i="8" s="1"/>
  <c r="U7" i="8"/>
  <c r="R9" i="8" s="1"/>
  <c r="T7" i="8"/>
  <c r="T8" i="8" s="1"/>
  <c r="O7" i="8"/>
  <c r="P6" i="8"/>
  <c r="J6" i="8"/>
  <c r="H6" i="8"/>
  <c r="AE5" i="8"/>
  <c r="P19" i="8" s="1"/>
  <c r="AD5" i="8"/>
  <c r="Q19" i="8" s="1"/>
  <c r="AC5" i="8"/>
  <c r="P17" i="8" s="1"/>
  <c r="P18" i="8" s="1"/>
  <c r="AB5" i="8"/>
  <c r="Q17" i="8" s="1"/>
  <c r="AA5" i="8"/>
  <c r="P15" i="8" s="1"/>
  <c r="Z5" i="8"/>
  <c r="Q15" i="8" s="1"/>
  <c r="Y5" i="8"/>
  <c r="P13" i="8" s="1"/>
  <c r="X5" i="8"/>
  <c r="Q13" i="8" s="1"/>
  <c r="W5" i="8"/>
  <c r="P11" i="8" s="1"/>
  <c r="V5" i="8"/>
  <c r="Q11" i="8" s="1"/>
  <c r="AG11" i="8" s="1"/>
  <c r="U5" i="8"/>
  <c r="P9" i="8" s="1"/>
  <c r="T5" i="8"/>
  <c r="Q9" i="8" s="1"/>
  <c r="S5" i="8"/>
  <c r="R5" i="8"/>
  <c r="R6" i="8" s="1"/>
  <c r="O5" i="8"/>
  <c r="J5" i="8"/>
  <c r="H5" i="8"/>
  <c r="J4" i="8"/>
  <c r="H4" i="8"/>
  <c r="AD3" i="8"/>
  <c r="AB3" i="8"/>
  <c r="X3" i="8"/>
  <c r="V3" i="8"/>
  <c r="T3" i="8"/>
  <c r="R3" i="8"/>
  <c r="P3" i="8"/>
  <c r="J3" i="8"/>
  <c r="H3" i="8"/>
  <c r="W38" i="10"/>
  <c r="T20" i="10"/>
  <c r="S19" i="10"/>
  <c r="R19" i="10"/>
  <c r="R20" i="10" s="1"/>
  <c r="Q19" i="10"/>
  <c r="P19" i="10"/>
  <c r="P20" i="10" s="1"/>
  <c r="O19" i="10"/>
  <c r="N19" i="10"/>
  <c r="N20" i="10" s="1"/>
  <c r="M19" i="10"/>
  <c r="L19" i="10"/>
  <c r="L20" i="10" s="1"/>
  <c r="K19" i="10"/>
  <c r="J19" i="10"/>
  <c r="J20" i="10" s="1"/>
  <c r="I19" i="10"/>
  <c r="H19" i="10"/>
  <c r="H20" i="10" s="1"/>
  <c r="G19" i="10"/>
  <c r="W19" i="10" s="1"/>
  <c r="F19" i="10"/>
  <c r="E19" i="10"/>
  <c r="T18" i="10"/>
  <c r="Q17" i="10"/>
  <c r="P17" i="10"/>
  <c r="P18" i="10" s="1"/>
  <c r="O17" i="10"/>
  <c r="N17" i="10"/>
  <c r="N18" i="10" s="1"/>
  <c r="M17" i="10"/>
  <c r="L17" i="10"/>
  <c r="L18" i="10" s="1"/>
  <c r="K17" i="10"/>
  <c r="J17" i="10"/>
  <c r="J18" i="10" s="1"/>
  <c r="I17" i="10"/>
  <c r="H17" i="10"/>
  <c r="H18" i="10" s="1"/>
  <c r="G17" i="10"/>
  <c r="F17" i="10"/>
  <c r="E17" i="10"/>
  <c r="T16" i="10"/>
  <c r="R16" i="10"/>
  <c r="O15" i="10"/>
  <c r="N15" i="10"/>
  <c r="M15" i="10"/>
  <c r="L15" i="10"/>
  <c r="K15" i="10"/>
  <c r="J15" i="10"/>
  <c r="I15" i="10"/>
  <c r="H15" i="10"/>
  <c r="G15" i="10"/>
  <c r="F15" i="10"/>
  <c r="E15" i="10"/>
  <c r="T14" i="10"/>
  <c r="R14" i="10"/>
  <c r="P14" i="10"/>
  <c r="M13" i="10"/>
  <c r="L13" i="10"/>
  <c r="K13" i="10"/>
  <c r="J13" i="10"/>
  <c r="I13" i="10"/>
  <c r="H13" i="10"/>
  <c r="G13" i="10"/>
  <c r="F13" i="10"/>
  <c r="E13" i="10"/>
  <c r="T12" i="10"/>
  <c r="R12" i="10"/>
  <c r="P12" i="10"/>
  <c r="N12" i="10"/>
  <c r="K11" i="10"/>
  <c r="J11" i="10"/>
  <c r="J12" i="10" s="1"/>
  <c r="I11" i="10"/>
  <c r="H11" i="10"/>
  <c r="H12" i="10" s="1"/>
  <c r="G11" i="10"/>
  <c r="W11" i="10" s="1"/>
  <c r="F11" i="10"/>
  <c r="E11" i="10"/>
  <c r="AI10" i="10"/>
  <c r="T10" i="10"/>
  <c r="R10" i="10"/>
  <c r="P10" i="10"/>
  <c r="N10" i="10"/>
  <c r="L10" i="10"/>
  <c r="AI9" i="10"/>
  <c r="I9" i="10"/>
  <c r="H9" i="10"/>
  <c r="H10" i="10" s="1"/>
  <c r="G9" i="10"/>
  <c r="W9" i="10" s="1"/>
  <c r="F9" i="10"/>
  <c r="E9" i="10"/>
  <c r="AI8" i="10"/>
  <c r="T8" i="10"/>
  <c r="R8" i="10"/>
  <c r="P8" i="10"/>
  <c r="N8" i="10"/>
  <c r="L8" i="10"/>
  <c r="J8" i="10"/>
  <c r="AI7" i="10"/>
  <c r="G7" i="10"/>
  <c r="W7" i="10" s="1"/>
  <c r="F7" i="10"/>
  <c r="E7" i="10"/>
  <c r="AI6" i="10"/>
  <c r="T6" i="10"/>
  <c r="R6" i="10"/>
  <c r="P6" i="10"/>
  <c r="N6" i="10"/>
  <c r="L6" i="10"/>
  <c r="J6" i="10"/>
  <c r="H6" i="10"/>
  <c r="F6" i="10"/>
  <c r="X5" i="10"/>
  <c r="W5" i="10"/>
  <c r="V5" i="10"/>
  <c r="Z5" i="10" s="1"/>
  <c r="E5" i="10"/>
  <c r="T3" i="10"/>
  <c r="R3" i="10"/>
  <c r="P3" i="10"/>
  <c r="N3" i="10"/>
  <c r="L3" i="10"/>
  <c r="J3" i="10"/>
  <c r="H3" i="10"/>
  <c r="F3" i="10"/>
  <c r="F1" i="10"/>
  <c r="X18" i="8" l="1"/>
  <c r="T14" i="8"/>
  <c r="W13" i="10"/>
  <c r="W15" i="10"/>
  <c r="AG5" i="8"/>
  <c r="T6" i="8"/>
  <c r="Z12" i="8"/>
  <c r="T17" i="8"/>
  <c r="T18" i="8" s="1"/>
  <c r="H14" i="10"/>
  <c r="L14" i="10"/>
  <c r="H16" i="10"/>
  <c r="L16" i="10"/>
  <c r="W17" i="10"/>
  <c r="AB6" i="8"/>
  <c r="X8" i="8"/>
  <c r="R12" i="8"/>
  <c r="X10" i="8"/>
  <c r="J14" i="10"/>
  <c r="J16" i="10"/>
  <c r="N16" i="10"/>
  <c r="T12" i="8"/>
  <c r="T16" i="8"/>
  <c r="T20" i="8"/>
  <c r="V14" i="8"/>
  <c r="AB14" i="8"/>
  <c r="AP13" i="24"/>
  <c r="AQ17" i="24"/>
  <c r="AP17" i="24"/>
  <c r="AP11" i="24"/>
  <c r="AP5" i="24"/>
  <c r="AQ5" i="24"/>
  <c r="AP15" i="24"/>
  <c r="P27" i="24"/>
  <c r="P34" i="24" s="1"/>
  <c r="R34" i="24" s="1"/>
  <c r="P26" i="24"/>
  <c r="R26" i="24" s="1"/>
  <c r="P30" i="24"/>
  <c r="P35" i="24" s="1"/>
  <c r="P29" i="24"/>
  <c r="R29" i="24" s="1"/>
  <c r="X27" i="24" s="1"/>
  <c r="AI7" i="24"/>
  <c r="AJ7" i="24"/>
  <c r="AO19" i="24"/>
  <c r="AP19" i="24"/>
  <c r="AO17" i="24"/>
  <c r="AJ9" i="24"/>
  <c r="AI9" i="24"/>
  <c r="AL7" i="24"/>
  <c r="AM7" i="24" s="1"/>
  <c r="AG21" i="24"/>
  <c r="AM19" i="24"/>
  <c r="AQ19" i="24"/>
  <c r="AO13" i="24"/>
  <c r="AM17" i="24"/>
  <c r="AQ13" i="24"/>
  <c r="AM5" i="24"/>
  <c r="AO15" i="24"/>
  <c r="AO11" i="24"/>
  <c r="AQ11" i="24"/>
  <c r="AQ15" i="24"/>
  <c r="AG31" i="12"/>
  <c r="AG30" i="12"/>
  <c r="AF15" i="14"/>
  <c r="AG19" i="14"/>
  <c r="AF9" i="14"/>
  <c r="AF19" i="14"/>
  <c r="AG17" i="14"/>
  <c r="AG15" i="14"/>
  <c r="AF13" i="14"/>
  <c r="AJ13" i="14" s="1"/>
  <c r="AG11" i="14"/>
  <c r="AF11" i="14"/>
  <c r="T17" i="14"/>
  <c r="AF17" i="14" s="1"/>
  <c r="AG9" i="14"/>
  <c r="AJ9" i="14" s="1"/>
  <c r="AB20" i="14"/>
  <c r="Z20" i="14"/>
  <c r="X20" i="14"/>
  <c r="V20" i="14"/>
  <c r="T20" i="14"/>
  <c r="R20" i="14"/>
  <c r="P20" i="14"/>
  <c r="AD18" i="14"/>
  <c r="Z18" i="14"/>
  <c r="X18" i="14"/>
  <c r="V18" i="14"/>
  <c r="T18" i="14"/>
  <c r="R18" i="14"/>
  <c r="P18" i="14"/>
  <c r="AH17" i="14" s="1"/>
  <c r="AD16" i="14"/>
  <c r="AB16" i="14"/>
  <c r="X16" i="14"/>
  <c r="V16" i="14"/>
  <c r="T16" i="14"/>
  <c r="R16" i="14"/>
  <c r="P16" i="14"/>
  <c r="AD14" i="14"/>
  <c r="AB14" i="14"/>
  <c r="Z14" i="14"/>
  <c r="V14" i="14"/>
  <c r="T14" i="14"/>
  <c r="R14" i="14"/>
  <c r="P14" i="14"/>
  <c r="AD12" i="14"/>
  <c r="AB12" i="14"/>
  <c r="Z12" i="14"/>
  <c r="X12" i="14"/>
  <c r="T12" i="14"/>
  <c r="R12" i="14"/>
  <c r="P12" i="14"/>
  <c r="AD10" i="14"/>
  <c r="AB10" i="14"/>
  <c r="Z10" i="14"/>
  <c r="X10" i="14"/>
  <c r="V10" i="14"/>
  <c r="R10" i="14"/>
  <c r="P10" i="14"/>
  <c r="AD8" i="14"/>
  <c r="AB8" i="14"/>
  <c r="Z8" i="14"/>
  <c r="X8" i="14"/>
  <c r="V8" i="14"/>
  <c r="T8" i="14"/>
  <c r="AD6" i="14"/>
  <c r="AB6" i="14"/>
  <c r="Z6" i="14"/>
  <c r="X6" i="14"/>
  <c r="V6" i="14"/>
  <c r="T6" i="14"/>
  <c r="R6" i="14"/>
  <c r="Q7" i="14"/>
  <c r="AF5" i="14"/>
  <c r="P7" i="14"/>
  <c r="AF7" i="14" s="1"/>
  <c r="AG5" i="14"/>
  <c r="AG31" i="14"/>
  <c r="AG30" i="14"/>
  <c r="AF17" i="12"/>
  <c r="AG15" i="12"/>
  <c r="AG9" i="12"/>
  <c r="AG17" i="12"/>
  <c r="AF15" i="12"/>
  <c r="AJ15" i="12" s="1"/>
  <c r="AF19" i="12"/>
  <c r="AF9" i="12"/>
  <c r="AG13" i="12"/>
  <c r="AF13" i="12"/>
  <c r="AG11" i="12"/>
  <c r="AG19" i="12"/>
  <c r="AF11" i="12"/>
  <c r="AB20" i="12"/>
  <c r="Z20" i="12"/>
  <c r="X20" i="12"/>
  <c r="V20" i="12"/>
  <c r="T20" i="12"/>
  <c r="R20" i="12"/>
  <c r="P20" i="12"/>
  <c r="AD18" i="12"/>
  <c r="Z18" i="12"/>
  <c r="X18" i="12"/>
  <c r="V18" i="12"/>
  <c r="T18" i="12"/>
  <c r="R18" i="12"/>
  <c r="P18" i="12"/>
  <c r="AD16" i="12"/>
  <c r="AB16" i="12"/>
  <c r="X16" i="12"/>
  <c r="V16" i="12"/>
  <c r="T16" i="12"/>
  <c r="R16" i="12"/>
  <c r="P16" i="12"/>
  <c r="AD14" i="12"/>
  <c r="AB14" i="12"/>
  <c r="Z14" i="12"/>
  <c r="V14" i="12"/>
  <c r="T14" i="12"/>
  <c r="R14" i="12"/>
  <c r="P14" i="12"/>
  <c r="AD12" i="12"/>
  <c r="AB12" i="12"/>
  <c r="Z12" i="12"/>
  <c r="X12" i="12"/>
  <c r="T12" i="12"/>
  <c r="R12" i="12"/>
  <c r="P12" i="12"/>
  <c r="AD10" i="12"/>
  <c r="AB10" i="12"/>
  <c r="Z10" i="12"/>
  <c r="X10" i="12"/>
  <c r="V10" i="12"/>
  <c r="R10" i="12"/>
  <c r="P10" i="12"/>
  <c r="AD8" i="12"/>
  <c r="AB8" i="12"/>
  <c r="Z8" i="12"/>
  <c r="X8" i="12"/>
  <c r="V8" i="12"/>
  <c r="T8" i="12"/>
  <c r="AD6" i="12"/>
  <c r="AB6" i="12"/>
  <c r="Z6" i="12"/>
  <c r="X6" i="12"/>
  <c r="V6" i="12"/>
  <c r="T6" i="12"/>
  <c r="R6" i="12"/>
  <c r="Q7" i="12"/>
  <c r="AF5" i="12"/>
  <c r="P7" i="12"/>
  <c r="AF7" i="12" s="1"/>
  <c r="AG5" i="12"/>
  <c r="AJ9" i="12"/>
  <c r="AJ17" i="12"/>
  <c r="AG32" i="12"/>
  <c r="P12" i="8"/>
  <c r="AF11" i="8"/>
  <c r="AJ11" i="8" s="1"/>
  <c r="P16" i="8"/>
  <c r="AF15" i="8"/>
  <c r="P20" i="8"/>
  <c r="AF19" i="8"/>
  <c r="R14" i="8"/>
  <c r="AG13" i="8"/>
  <c r="P10" i="8"/>
  <c r="P14" i="8"/>
  <c r="X16" i="8"/>
  <c r="X20" i="8"/>
  <c r="Z18" i="8"/>
  <c r="AB20" i="8"/>
  <c r="R20" i="8"/>
  <c r="P7" i="8"/>
  <c r="V8" i="8"/>
  <c r="AD8" i="8"/>
  <c r="S9" i="8"/>
  <c r="R10" i="8" s="1"/>
  <c r="AD12" i="8"/>
  <c r="S17" i="8"/>
  <c r="R18" i="8" s="1"/>
  <c r="W17" i="8"/>
  <c r="V18" i="8" s="1"/>
  <c r="V6" i="8"/>
  <c r="AD6" i="8"/>
  <c r="Q7" i="8"/>
  <c r="AG7" i="8" s="1"/>
  <c r="V10" i="8"/>
  <c r="AD10" i="8"/>
  <c r="X12" i="8"/>
  <c r="AD14" i="8"/>
  <c r="S15" i="8"/>
  <c r="W15" i="8"/>
  <c r="V16" i="8" s="1"/>
  <c r="AB16" i="8"/>
  <c r="AD18" i="8"/>
  <c r="AA19" i="8"/>
  <c r="Z20" i="8" s="1"/>
  <c r="AK25" i="8"/>
  <c r="AG30" i="8"/>
  <c r="AF31" i="8"/>
  <c r="AF32" i="8" s="1"/>
  <c r="AF5" i="8"/>
  <c r="AJ5" i="8" s="1"/>
  <c r="X6" i="8"/>
  <c r="Z6" i="8"/>
  <c r="AF9" i="8"/>
  <c r="Z10" i="8"/>
  <c r="AF13" i="8"/>
  <c r="AJ13" i="8" s="1"/>
  <c r="Z14" i="8"/>
  <c r="AF17" i="8"/>
  <c r="AI11" i="10"/>
  <c r="AI12" i="10" s="1"/>
  <c r="F8" i="10"/>
  <c r="X7" i="10" s="1"/>
  <c r="V7" i="10"/>
  <c r="Z7" i="10" s="1"/>
  <c r="F10" i="10"/>
  <c r="X9" i="10" s="1"/>
  <c r="V9" i="10"/>
  <c r="Z9" i="10" s="1"/>
  <c r="F12" i="10"/>
  <c r="X11" i="10" s="1"/>
  <c r="V11" i="10"/>
  <c r="Z11" i="10" s="1"/>
  <c r="F14" i="10"/>
  <c r="X13" i="10" s="1"/>
  <c r="V13" i="10"/>
  <c r="Z13" i="10" s="1"/>
  <c r="F16" i="10"/>
  <c r="X15" i="10" s="1"/>
  <c r="V15" i="10"/>
  <c r="Z15" i="10" s="1"/>
  <c r="F18" i="10"/>
  <c r="X17" i="10" s="1"/>
  <c r="V17" i="10"/>
  <c r="Z17" i="10" s="1"/>
  <c r="F20" i="10"/>
  <c r="X19" i="10" s="1"/>
  <c r="Y19" i="10" s="1"/>
  <c r="V19" i="10"/>
  <c r="Z19" i="10" s="1"/>
  <c r="V42" i="5"/>
  <c r="X42" i="5" s="1"/>
  <c r="S20" i="5"/>
  <c r="R19" i="5"/>
  <c r="Q19" i="5"/>
  <c r="P19" i="5"/>
  <c r="O19" i="5"/>
  <c r="N19" i="5"/>
  <c r="M19" i="5"/>
  <c r="L19" i="5"/>
  <c r="K19" i="5"/>
  <c r="J19" i="5"/>
  <c r="I19" i="5"/>
  <c r="H19" i="5"/>
  <c r="G19" i="5"/>
  <c r="F19" i="5"/>
  <c r="E19" i="5"/>
  <c r="D19" i="5"/>
  <c r="S18" i="5"/>
  <c r="P17" i="5"/>
  <c r="O17" i="5"/>
  <c r="N17" i="5"/>
  <c r="M17" i="5"/>
  <c r="L17" i="5"/>
  <c r="K17" i="5"/>
  <c r="J17" i="5"/>
  <c r="I17" i="5"/>
  <c r="H17" i="5"/>
  <c r="G17" i="5"/>
  <c r="F17" i="5"/>
  <c r="E17" i="5"/>
  <c r="D17" i="5"/>
  <c r="Q3" i="5" s="1"/>
  <c r="S16" i="5"/>
  <c r="Q16" i="5"/>
  <c r="N15" i="5"/>
  <c r="M15" i="5"/>
  <c r="M16" i="5" s="1"/>
  <c r="L15" i="5"/>
  <c r="K15" i="5"/>
  <c r="J15" i="5"/>
  <c r="I15" i="5"/>
  <c r="H15" i="5"/>
  <c r="G15" i="5"/>
  <c r="F15" i="5"/>
  <c r="E15" i="5"/>
  <c r="D15" i="5"/>
  <c r="O3" i="5" s="1"/>
  <c r="S14" i="5"/>
  <c r="Q14" i="5"/>
  <c r="O14" i="5"/>
  <c r="L13" i="5"/>
  <c r="K13" i="5"/>
  <c r="J13" i="5"/>
  <c r="I13" i="5"/>
  <c r="H13" i="5"/>
  <c r="G13" i="5"/>
  <c r="F13" i="5"/>
  <c r="E13" i="5"/>
  <c r="D13" i="5"/>
  <c r="S12" i="5"/>
  <c r="Q12" i="5"/>
  <c r="O12" i="5"/>
  <c r="M12" i="5"/>
  <c r="J11" i="5"/>
  <c r="I11" i="5"/>
  <c r="H11" i="5"/>
  <c r="G11" i="5"/>
  <c r="F11" i="5"/>
  <c r="E11" i="5"/>
  <c r="D11" i="5"/>
  <c r="K3" i="5" s="1"/>
  <c r="S10" i="5"/>
  <c r="Q10" i="5"/>
  <c r="O10" i="5"/>
  <c r="M10" i="5"/>
  <c r="K10" i="5"/>
  <c r="H9" i="5"/>
  <c r="G9" i="5"/>
  <c r="F9" i="5"/>
  <c r="E9" i="5"/>
  <c r="D9" i="5"/>
  <c r="I3" i="5" s="1"/>
  <c r="S8" i="5"/>
  <c r="Q8" i="5"/>
  <c r="O8" i="5"/>
  <c r="M8" i="5"/>
  <c r="K8" i="5"/>
  <c r="I8" i="5"/>
  <c r="F7" i="5"/>
  <c r="V7" i="5" s="1"/>
  <c r="E7" i="5"/>
  <c r="U7" i="5" s="1"/>
  <c r="D7" i="5"/>
  <c r="G3" i="5" s="1"/>
  <c r="S6" i="5"/>
  <c r="Q6" i="5"/>
  <c r="O6" i="5"/>
  <c r="M6" i="5"/>
  <c r="K6" i="5"/>
  <c r="I6" i="5"/>
  <c r="G6" i="5"/>
  <c r="E6" i="5"/>
  <c r="W5" i="5" s="1"/>
  <c r="V5" i="5"/>
  <c r="U5" i="5"/>
  <c r="D5" i="5"/>
  <c r="S3" i="5"/>
  <c r="M3" i="5"/>
  <c r="E3" i="5"/>
  <c r="S7" i="4"/>
  <c r="T5" i="4"/>
  <c r="S5" i="4"/>
  <c r="Q18" i="4"/>
  <c r="P17" i="4"/>
  <c r="O17" i="4"/>
  <c r="N17" i="4"/>
  <c r="M17" i="4"/>
  <c r="L17" i="4"/>
  <c r="K17" i="4"/>
  <c r="J17" i="4"/>
  <c r="I17" i="4"/>
  <c r="H17" i="4"/>
  <c r="G17" i="4"/>
  <c r="F17" i="4"/>
  <c r="E17" i="4"/>
  <c r="D17" i="4"/>
  <c r="Q3" i="4" s="1"/>
  <c r="Q16" i="4"/>
  <c r="N15" i="4"/>
  <c r="M15" i="4"/>
  <c r="L15" i="4"/>
  <c r="K15" i="4"/>
  <c r="J15" i="4"/>
  <c r="I15" i="4"/>
  <c r="H15" i="4"/>
  <c r="G15" i="4"/>
  <c r="F15" i="4"/>
  <c r="T15" i="4" s="1"/>
  <c r="E15" i="4"/>
  <c r="D15" i="4"/>
  <c r="O3" i="4" s="1"/>
  <c r="Q14" i="4"/>
  <c r="O14" i="4"/>
  <c r="L13" i="4"/>
  <c r="K13" i="4"/>
  <c r="J13" i="4"/>
  <c r="I13" i="4"/>
  <c r="H13" i="4"/>
  <c r="G13" i="4"/>
  <c r="F13" i="4"/>
  <c r="E13" i="4"/>
  <c r="S13" i="4" s="1"/>
  <c r="D13" i="4"/>
  <c r="Q12" i="4"/>
  <c r="O12" i="4"/>
  <c r="M12" i="4"/>
  <c r="J11" i="4"/>
  <c r="I11" i="4"/>
  <c r="H11" i="4"/>
  <c r="G11" i="4"/>
  <c r="F11" i="4"/>
  <c r="E11" i="4"/>
  <c r="D11" i="4"/>
  <c r="K3" i="4" s="1"/>
  <c r="Q10" i="4"/>
  <c r="O10" i="4"/>
  <c r="M10" i="4"/>
  <c r="K10" i="4"/>
  <c r="H9" i="4"/>
  <c r="T9" i="4" s="1"/>
  <c r="G9" i="4"/>
  <c r="F9" i="4"/>
  <c r="E9" i="4"/>
  <c r="D9" i="4"/>
  <c r="I3" i="4" s="1"/>
  <c r="Q8" i="4"/>
  <c r="O8" i="4"/>
  <c r="M8" i="4"/>
  <c r="K8" i="4"/>
  <c r="I8" i="4"/>
  <c r="F7" i="4"/>
  <c r="T7" i="4" s="1"/>
  <c r="E7" i="4"/>
  <c r="D7" i="4"/>
  <c r="G3" i="4" s="1"/>
  <c r="Q6" i="4"/>
  <c r="O6" i="4"/>
  <c r="M6" i="4"/>
  <c r="K6" i="4"/>
  <c r="I6" i="4"/>
  <c r="G6" i="4"/>
  <c r="E6" i="4"/>
  <c r="D5" i="4"/>
  <c r="E3" i="4" s="1"/>
  <c r="M3" i="4"/>
  <c r="D19" i="3"/>
  <c r="D17" i="3"/>
  <c r="Q3" i="3" s="1"/>
  <c r="D15" i="3"/>
  <c r="D13" i="3"/>
  <c r="D11" i="3"/>
  <c r="D5" i="3"/>
  <c r="D7" i="3"/>
  <c r="D9" i="3"/>
  <c r="I3" i="3" s="1"/>
  <c r="V42" i="3"/>
  <c r="X42" i="3" s="1"/>
  <c r="S20" i="3"/>
  <c r="R19" i="3"/>
  <c r="Q19" i="3"/>
  <c r="Q20" i="3" s="1"/>
  <c r="P19" i="3"/>
  <c r="O19" i="3"/>
  <c r="O20" i="3" s="1"/>
  <c r="N19" i="3"/>
  <c r="M19" i="3"/>
  <c r="L19" i="3"/>
  <c r="K19" i="3"/>
  <c r="K20" i="3" s="1"/>
  <c r="J19" i="3"/>
  <c r="I19" i="3"/>
  <c r="H19" i="3"/>
  <c r="G19" i="3"/>
  <c r="G20" i="3" s="1"/>
  <c r="F19" i="3"/>
  <c r="E19" i="3"/>
  <c r="S3" i="3"/>
  <c r="S18" i="3"/>
  <c r="P17" i="3"/>
  <c r="O17" i="3"/>
  <c r="O18" i="3" s="1"/>
  <c r="N17" i="3"/>
  <c r="M17" i="3"/>
  <c r="L17" i="3"/>
  <c r="K17" i="3"/>
  <c r="J17" i="3"/>
  <c r="I17" i="3"/>
  <c r="H17" i="3"/>
  <c r="G17" i="3"/>
  <c r="F17" i="3"/>
  <c r="E17" i="3"/>
  <c r="S16" i="3"/>
  <c r="Q16" i="3"/>
  <c r="N15" i="3"/>
  <c r="M15" i="3"/>
  <c r="L15" i="3"/>
  <c r="K15" i="3"/>
  <c r="J15" i="3"/>
  <c r="I15" i="3"/>
  <c r="H15" i="3"/>
  <c r="G15" i="3"/>
  <c r="F15" i="3"/>
  <c r="E15" i="3"/>
  <c r="O3" i="3"/>
  <c r="S14" i="3"/>
  <c r="Q14" i="3"/>
  <c r="O14" i="3"/>
  <c r="L13" i="3"/>
  <c r="K13" i="3"/>
  <c r="J13" i="3"/>
  <c r="I14" i="3" s="1"/>
  <c r="I13" i="3"/>
  <c r="H13" i="3"/>
  <c r="G13" i="3"/>
  <c r="F13" i="3"/>
  <c r="E13" i="3"/>
  <c r="M3" i="3"/>
  <c r="S12" i="3"/>
  <c r="Q12" i="3"/>
  <c r="O12" i="3"/>
  <c r="M12" i="3"/>
  <c r="J11" i="3"/>
  <c r="I11" i="3"/>
  <c r="H11" i="3"/>
  <c r="G11" i="3"/>
  <c r="F11" i="3"/>
  <c r="E11" i="3"/>
  <c r="K3" i="3"/>
  <c r="S10" i="3"/>
  <c r="Q10" i="3"/>
  <c r="O10" i="3"/>
  <c r="M10" i="3"/>
  <c r="K10" i="3"/>
  <c r="H9" i="3"/>
  <c r="G9" i="3"/>
  <c r="G10" i="3" s="1"/>
  <c r="F9" i="3"/>
  <c r="E9" i="3"/>
  <c r="S8" i="3"/>
  <c r="Q8" i="3"/>
  <c r="O8" i="3"/>
  <c r="M8" i="3"/>
  <c r="K8" i="3"/>
  <c r="I8" i="3"/>
  <c r="F7" i="3"/>
  <c r="V7" i="3" s="1"/>
  <c r="E7" i="3"/>
  <c r="U7" i="3" s="1"/>
  <c r="G3" i="3"/>
  <c r="S6" i="3"/>
  <c r="Q6" i="3"/>
  <c r="O6" i="3"/>
  <c r="M6" i="3"/>
  <c r="K6" i="3"/>
  <c r="I6" i="3"/>
  <c r="G6" i="3"/>
  <c r="E6" i="3"/>
  <c r="V5" i="3"/>
  <c r="U5" i="3"/>
  <c r="E3" i="3"/>
  <c r="AF11" i="1"/>
  <c r="S6" i="1"/>
  <c r="Q6" i="1"/>
  <c r="O6" i="1"/>
  <c r="M6" i="1"/>
  <c r="K6" i="1"/>
  <c r="I6" i="1"/>
  <c r="G6" i="1"/>
  <c r="S18" i="1"/>
  <c r="S16" i="1"/>
  <c r="Q16" i="1"/>
  <c r="S14" i="1"/>
  <c r="Q14" i="1"/>
  <c r="O14" i="1"/>
  <c r="S12" i="1"/>
  <c r="Q12" i="1"/>
  <c r="O12" i="1"/>
  <c r="M12" i="1"/>
  <c r="S10" i="1"/>
  <c r="Q10" i="1"/>
  <c r="O10" i="1"/>
  <c r="M10" i="1"/>
  <c r="K10" i="1"/>
  <c r="O8" i="1"/>
  <c r="M8" i="1"/>
  <c r="K8" i="1"/>
  <c r="I8" i="1"/>
  <c r="S8" i="1"/>
  <c r="Q8" i="1"/>
  <c r="X42" i="1"/>
  <c r="V42" i="1"/>
  <c r="AE11" i="1"/>
  <c r="I11" i="1"/>
  <c r="J11" i="1"/>
  <c r="S20" i="1"/>
  <c r="D19" i="1"/>
  <c r="S3" i="1" s="1"/>
  <c r="D17" i="1"/>
  <c r="Q3" i="1" s="1"/>
  <c r="D15" i="1"/>
  <c r="O3" i="1" s="1"/>
  <c r="D13" i="1"/>
  <c r="M3" i="1" s="1"/>
  <c r="D11" i="1"/>
  <c r="K3" i="1" s="1"/>
  <c r="D9" i="1"/>
  <c r="I3" i="1" s="1"/>
  <c r="D7" i="1"/>
  <c r="G3" i="1" s="1"/>
  <c r="D5" i="1"/>
  <c r="AH5" i="8" l="1"/>
  <c r="M16" i="3"/>
  <c r="U5" i="4"/>
  <c r="I16" i="5"/>
  <c r="M18" i="5"/>
  <c r="O20" i="5"/>
  <c r="AG15" i="8"/>
  <c r="AH13" i="8"/>
  <c r="AG32" i="14"/>
  <c r="AH17" i="8"/>
  <c r="W5" i="3"/>
  <c r="G14" i="3"/>
  <c r="G10" i="4"/>
  <c r="I16" i="4"/>
  <c r="M18" i="4"/>
  <c r="O18" i="5"/>
  <c r="M20" i="5"/>
  <c r="AA19" i="10"/>
  <c r="D19" i="10" s="1"/>
  <c r="AP9" i="24"/>
  <c r="AK13" i="24"/>
  <c r="AM11" i="24"/>
  <c r="AO9" i="24"/>
  <c r="AK9" i="24"/>
  <c r="AQ9" i="24"/>
  <c r="AM9" i="24"/>
  <c r="AO7" i="24"/>
  <c r="AK7" i="24"/>
  <c r="AK5" i="24"/>
  <c r="AM13" i="24"/>
  <c r="AM15" i="24"/>
  <c r="AK11" i="24"/>
  <c r="AQ7" i="24"/>
  <c r="AK15" i="24"/>
  <c r="AP7" i="24"/>
  <c r="AN9" i="24" s="1"/>
  <c r="O9" i="24" s="1"/>
  <c r="AK17" i="24"/>
  <c r="AK19" i="24"/>
  <c r="AJ15" i="14"/>
  <c r="AJ17" i="14"/>
  <c r="AJ19" i="14"/>
  <c r="AH13" i="14"/>
  <c r="AH19" i="14"/>
  <c r="AH15" i="14"/>
  <c r="AH9" i="14"/>
  <c r="AK26" i="14" s="1"/>
  <c r="AJ11" i="14"/>
  <c r="AH11" i="14"/>
  <c r="AH5" i="14"/>
  <c r="AG7" i="14"/>
  <c r="AJ7" i="14" s="1"/>
  <c r="P8" i="14"/>
  <c r="AH7" i="14" s="1"/>
  <c r="AJ5" i="14"/>
  <c r="AJ19" i="12"/>
  <c r="AJ13" i="12"/>
  <c r="AH19" i="12"/>
  <c r="AH17" i="12"/>
  <c r="AH9" i="12"/>
  <c r="AH13" i="12"/>
  <c r="AK26" i="12" s="1"/>
  <c r="AH11" i="12"/>
  <c r="AJ11" i="12"/>
  <c r="AH15" i="12"/>
  <c r="AH5" i="12"/>
  <c r="AG7" i="12"/>
  <c r="AJ7" i="12" s="1"/>
  <c r="P8" i="12"/>
  <c r="AH7" i="12" s="1"/>
  <c r="AJ5" i="12"/>
  <c r="AH9" i="8"/>
  <c r="AG19" i="8"/>
  <c r="AJ19" i="8" s="1"/>
  <c r="R16" i="8"/>
  <c r="AH15" i="8" s="1"/>
  <c r="AJ17" i="8"/>
  <c r="AG17" i="8"/>
  <c r="AH19" i="8"/>
  <c r="AH11" i="8"/>
  <c r="AG9" i="8"/>
  <c r="AJ9" i="8" s="1"/>
  <c r="P8" i="8"/>
  <c r="AH7" i="8" s="1"/>
  <c r="AF7" i="8"/>
  <c r="AJ7" i="8" s="1"/>
  <c r="AJ15" i="8"/>
  <c r="AA17" i="10"/>
  <c r="D17" i="10" s="1"/>
  <c r="Y17" i="10"/>
  <c r="AA15" i="10"/>
  <c r="D15" i="10" s="1"/>
  <c r="Y15" i="10"/>
  <c r="AA13" i="10"/>
  <c r="D13" i="10" s="1"/>
  <c r="Y13" i="10"/>
  <c r="AA11" i="10"/>
  <c r="W39" i="10"/>
  <c r="Y11" i="10"/>
  <c r="AA9" i="10"/>
  <c r="D9" i="10" s="1"/>
  <c r="Y9" i="10"/>
  <c r="AA7" i="10"/>
  <c r="D7" i="10" s="1"/>
  <c r="AA5" i="10"/>
  <c r="D5" i="10" s="1"/>
  <c r="Y7" i="10"/>
  <c r="Y5" i="10"/>
  <c r="U11" i="5"/>
  <c r="U15" i="5"/>
  <c r="Q20" i="5"/>
  <c r="I12" i="5"/>
  <c r="I14" i="5"/>
  <c r="I20" i="5"/>
  <c r="V9" i="5"/>
  <c r="G10" i="5"/>
  <c r="G20" i="5"/>
  <c r="K14" i="5"/>
  <c r="V17" i="5"/>
  <c r="G18" i="5"/>
  <c r="V15" i="5"/>
  <c r="Y15" i="5" s="1"/>
  <c r="K16" i="5"/>
  <c r="K18" i="5"/>
  <c r="K20" i="5"/>
  <c r="U13" i="5"/>
  <c r="I18" i="5"/>
  <c r="V13" i="5"/>
  <c r="U19" i="5"/>
  <c r="U9" i="5"/>
  <c r="G12" i="5"/>
  <c r="G14" i="5"/>
  <c r="G16" i="5"/>
  <c r="U17" i="5"/>
  <c r="V19" i="5"/>
  <c r="Y5" i="5"/>
  <c r="Y7" i="5"/>
  <c r="V11" i="5"/>
  <c r="Y11" i="5" s="1"/>
  <c r="E18" i="5"/>
  <c r="E10" i="5"/>
  <c r="W9" i="5" s="1"/>
  <c r="AD9" i="5" s="1"/>
  <c r="AG9" i="5" s="1"/>
  <c r="E14" i="5"/>
  <c r="W13" i="5" s="1"/>
  <c r="E8" i="5"/>
  <c r="W7" i="5" s="1"/>
  <c r="E12" i="5"/>
  <c r="W11" i="5" s="1"/>
  <c r="E16" i="5"/>
  <c r="W15" i="5" s="1"/>
  <c r="E20" i="5"/>
  <c r="W19" i="5" s="1"/>
  <c r="I12" i="4"/>
  <c r="S15" i="4"/>
  <c r="K18" i="4"/>
  <c r="S17" i="4"/>
  <c r="S11" i="4"/>
  <c r="T11" i="4"/>
  <c r="T13" i="4"/>
  <c r="W13" i="4" s="1"/>
  <c r="T17" i="4"/>
  <c r="I18" i="4"/>
  <c r="S9" i="4"/>
  <c r="W9" i="4" s="1"/>
  <c r="I14" i="4"/>
  <c r="G14" i="4"/>
  <c r="K14" i="4"/>
  <c r="G16" i="4"/>
  <c r="G12" i="4"/>
  <c r="O18" i="4"/>
  <c r="M16" i="4"/>
  <c r="G18" i="4"/>
  <c r="W5" i="4"/>
  <c r="K16" i="4"/>
  <c r="E8" i="4"/>
  <c r="U7" i="4" s="1"/>
  <c r="W7" i="4"/>
  <c r="E10" i="4"/>
  <c r="U9" i="4" s="1"/>
  <c r="E12" i="4"/>
  <c r="U11" i="4" s="1"/>
  <c r="W11" i="4"/>
  <c r="E14" i="4"/>
  <c r="E16" i="4"/>
  <c r="E18" i="4"/>
  <c r="W17" i="4"/>
  <c r="G16" i="3"/>
  <c r="I12" i="3"/>
  <c r="M18" i="3"/>
  <c r="M20" i="3"/>
  <c r="K18" i="3"/>
  <c r="K16" i="3"/>
  <c r="K14" i="3"/>
  <c r="I18" i="3"/>
  <c r="E10" i="3"/>
  <c r="Y7" i="3"/>
  <c r="U17" i="3"/>
  <c r="V17" i="3"/>
  <c r="V15" i="3"/>
  <c r="V19" i="3"/>
  <c r="I16" i="3"/>
  <c r="I20" i="3"/>
  <c r="W9" i="3"/>
  <c r="V11" i="3"/>
  <c r="U13" i="3"/>
  <c r="U15" i="3"/>
  <c r="G18" i="3"/>
  <c r="V9" i="3"/>
  <c r="G12" i="3"/>
  <c r="W11" i="3" s="1"/>
  <c r="V13" i="3"/>
  <c r="U19" i="3"/>
  <c r="E14" i="3"/>
  <c r="W13" i="3" s="1"/>
  <c r="Y5" i="3"/>
  <c r="E12" i="3"/>
  <c r="E18" i="3"/>
  <c r="U11" i="3"/>
  <c r="E8" i="3"/>
  <c r="W7" i="3" s="1"/>
  <c r="U9" i="3"/>
  <c r="E16" i="3"/>
  <c r="E20" i="3"/>
  <c r="I12" i="1"/>
  <c r="J19" i="1"/>
  <c r="I19" i="1"/>
  <c r="L19" i="1"/>
  <c r="K19" i="1"/>
  <c r="R19" i="1"/>
  <c r="Q19" i="1"/>
  <c r="P17" i="1"/>
  <c r="O17" i="1"/>
  <c r="N17" i="1"/>
  <c r="M17" i="1"/>
  <c r="H15" i="1"/>
  <c r="G15" i="1"/>
  <c r="F15" i="1"/>
  <c r="E15" i="1"/>
  <c r="J13" i="1"/>
  <c r="I13" i="1"/>
  <c r="H13" i="1"/>
  <c r="G13" i="1"/>
  <c r="F13" i="1"/>
  <c r="E13" i="1"/>
  <c r="H11" i="1"/>
  <c r="G11" i="1"/>
  <c r="F11" i="1"/>
  <c r="E11" i="1"/>
  <c r="E6" i="1"/>
  <c r="P19" i="1"/>
  <c r="O19" i="1"/>
  <c r="H17" i="1"/>
  <c r="G18" i="1" s="1"/>
  <c r="G17" i="1"/>
  <c r="N19" i="1"/>
  <c r="M19" i="1"/>
  <c r="N15" i="1"/>
  <c r="M15" i="1"/>
  <c r="L17" i="1"/>
  <c r="K17" i="1"/>
  <c r="L15" i="1"/>
  <c r="K16" i="1" s="1"/>
  <c r="K15" i="1"/>
  <c r="L13" i="1"/>
  <c r="K13" i="1"/>
  <c r="V5" i="1"/>
  <c r="U5" i="1"/>
  <c r="J17" i="1"/>
  <c r="I17" i="1"/>
  <c r="J15" i="1"/>
  <c r="I16" i="1" s="1"/>
  <c r="I15" i="1"/>
  <c r="H19" i="1"/>
  <c r="G19" i="1"/>
  <c r="H9" i="1"/>
  <c r="G10" i="1" s="1"/>
  <c r="G9" i="1"/>
  <c r="F19" i="1"/>
  <c r="E19" i="1"/>
  <c r="F17" i="1"/>
  <c r="E17" i="1"/>
  <c r="F9" i="1"/>
  <c r="E9" i="1"/>
  <c r="F7" i="1"/>
  <c r="E7" i="1"/>
  <c r="E3" i="1"/>
  <c r="AK13" i="8" l="1"/>
  <c r="N13" i="8" s="1"/>
  <c r="AI7" i="8"/>
  <c r="AG9" i="3"/>
  <c r="AD9" i="3"/>
  <c r="AR9" i="24"/>
  <c r="AR13" i="24"/>
  <c r="AN7" i="24"/>
  <c r="O7" i="24" s="1"/>
  <c r="AN13" i="24"/>
  <c r="O13" i="24" s="1"/>
  <c r="AN5" i="24"/>
  <c r="O5" i="24" s="1"/>
  <c r="AN17" i="24"/>
  <c r="O17" i="24" s="1"/>
  <c r="AN15" i="24"/>
  <c r="O15" i="24" s="1"/>
  <c r="AN11" i="24"/>
  <c r="O11" i="24" s="1"/>
  <c r="AR15" i="24"/>
  <c r="AR19" i="24"/>
  <c r="AR7" i="24"/>
  <c r="AR17" i="24"/>
  <c r="AR5" i="24"/>
  <c r="AN19" i="24"/>
  <c r="O19" i="24" s="1"/>
  <c r="AR11" i="24"/>
  <c r="AK9" i="14"/>
  <c r="AI17" i="14"/>
  <c r="AI7" i="14"/>
  <c r="AI15" i="14"/>
  <c r="AI11" i="14"/>
  <c r="AI9" i="14"/>
  <c r="AI19" i="14"/>
  <c r="AK15" i="14"/>
  <c r="AK17" i="14"/>
  <c r="AK13" i="14"/>
  <c r="AK11" i="14"/>
  <c r="AK7" i="14"/>
  <c r="AI5" i="14"/>
  <c r="AI13" i="14"/>
  <c r="AK5" i="14"/>
  <c r="AK19" i="14"/>
  <c r="AK13" i="12"/>
  <c r="AI19" i="12"/>
  <c r="AI13" i="12"/>
  <c r="AI7" i="12"/>
  <c r="AI9" i="12"/>
  <c r="AI5" i="12"/>
  <c r="AI15" i="12"/>
  <c r="AI11" i="12"/>
  <c r="AI17" i="12"/>
  <c r="AK15" i="12"/>
  <c r="N15" i="12" s="1"/>
  <c r="AK17" i="12"/>
  <c r="N17" i="12" s="1"/>
  <c r="AK19" i="12"/>
  <c r="N19" i="12" s="1"/>
  <c r="AK7" i="12"/>
  <c r="N7" i="12" s="1"/>
  <c r="AK5" i="12"/>
  <c r="AK11" i="12"/>
  <c r="N11" i="12" s="1"/>
  <c r="AK9" i="12"/>
  <c r="AK9" i="8"/>
  <c r="N9" i="8" s="1"/>
  <c r="AK5" i="8"/>
  <c r="N5" i="8" s="1"/>
  <c r="AK17" i="8"/>
  <c r="N17" i="8" s="1"/>
  <c r="AI19" i="8"/>
  <c r="AK26" i="8"/>
  <c r="AI11" i="8"/>
  <c r="AK15" i="8"/>
  <c r="N15" i="8" s="1"/>
  <c r="AI9" i="8"/>
  <c r="AI5" i="8"/>
  <c r="AK19" i="8"/>
  <c r="N19" i="8" s="1"/>
  <c r="AI15" i="8"/>
  <c r="AK7" i="8"/>
  <c r="N7" i="8" s="1"/>
  <c r="AI13" i="8"/>
  <c r="AK11" i="8"/>
  <c r="AI17" i="8"/>
  <c r="W40" i="10"/>
  <c r="W43" i="10" s="1"/>
  <c r="D11" i="10"/>
  <c r="Y13" i="5"/>
  <c r="Y9" i="5"/>
  <c r="W17" i="5"/>
  <c r="X17" i="5" s="1"/>
  <c r="Y17" i="5"/>
  <c r="Y19" i="5"/>
  <c r="AH9" i="5"/>
  <c r="AI9" i="5" s="1"/>
  <c r="U13" i="4"/>
  <c r="U17" i="4"/>
  <c r="W15" i="4"/>
  <c r="X15" i="4" s="1"/>
  <c r="U15" i="4"/>
  <c r="X17" i="4"/>
  <c r="X11" i="4"/>
  <c r="X9" i="4"/>
  <c r="X7" i="4"/>
  <c r="W17" i="3"/>
  <c r="W19" i="3"/>
  <c r="W15" i="3"/>
  <c r="Y17" i="3"/>
  <c r="Y19" i="3"/>
  <c r="Y15" i="3"/>
  <c r="Z19" i="3" s="1"/>
  <c r="Y9" i="3"/>
  <c r="Y11" i="3"/>
  <c r="Y13" i="3"/>
  <c r="AH9" i="3"/>
  <c r="AI9" i="3" s="1"/>
  <c r="K20" i="1"/>
  <c r="Q20" i="1"/>
  <c r="G14" i="1"/>
  <c r="G16" i="1"/>
  <c r="E16" i="1"/>
  <c r="E18" i="1"/>
  <c r="G12" i="1"/>
  <c r="I14" i="1"/>
  <c r="O18" i="1"/>
  <c r="E14" i="1"/>
  <c r="E12" i="1"/>
  <c r="M18" i="1"/>
  <c r="O20" i="1"/>
  <c r="I20" i="1"/>
  <c r="K18" i="1"/>
  <c r="M16" i="1"/>
  <c r="G20" i="1"/>
  <c r="E10" i="1"/>
  <c r="M20" i="1"/>
  <c r="I18" i="1"/>
  <c r="K14" i="1"/>
  <c r="V7" i="1"/>
  <c r="E8" i="1"/>
  <c r="E20" i="1"/>
  <c r="V9" i="1"/>
  <c r="W9" i="1"/>
  <c r="AD11" i="1" s="1"/>
  <c r="W7" i="1"/>
  <c r="W5" i="1"/>
  <c r="Y5" i="1"/>
  <c r="U7" i="1"/>
  <c r="V19" i="1"/>
  <c r="U9" i="1"/>
  <c r="U19" i="1"/>
  <c r="V11" i="1"/>
  <c r="U17" i="1"/>
  <c r="V15" i="1"/>
  <c r="U15" i="1"/>
  <c r="U11" i="1"/>
  <c r="V13" i="1"/>
  <c r="U13" i="1"/>
  <c r="V17" i="1"/>
  <c r="N11" i="8" l="1"/>
  <c r="AK27" i="8"/>
  <c r="AK27" i="14"/>
  <c r="AK25" i="14"/>
  <c r="AK27" i="12"/>
  <c r="AK25" i="12"/>
  <c r="N13" i="12"/>
  <c r="AN13" i="12" s="1"/>
  <c r="N9" i="12"/>
  <c r="N5" i="12"/>
  <c r="O29" i="8"/>
  <c r="O35" i="8" s="1"/>
  <c r="Q34" i="8" s="1"/>
  <c r="AK30" i="8" s="1"/>
  <c r="O30" i="8"/>
  <c r="Q29" i="8" s="1"/>
  <c r="O27" i="8"/>
  <c r="O34" i="8" s="1"/>
  <c r="O26" i="8"/>
  <c r="Q26" i="8" s="1"/>
  <c r="E43" i="10"/>
  <c r="G43" i="10" s="1"/>
  <c r="E40" i="10"/>
  <c r="G40" i="10" s="1"/>
  <c r="N41" i="10" s="1"/>
  <c r="W44" i="10"/>
  <c r="W45" i="10" s="1"/>
  <c r="Z5" i="5"/>
  <c r="Z19" i="5"/>
  <c r="X19" i="5"/>
  <c r="X13" i="5"/>
  <c r="X9" i="5"/>
  <c r="X15" i="5"/>
  <c r="Z7" i="5"/>
  <c r="Z17" i="5"/>
  <c r="AA17" i="5" s="1"/>
  <c r="Z15" i="5"/>
  <c r="Z9" i="5"/>
  <c r="Z11" i="5"/>
  <c r="Z13" i="5"/>
  <c r="AA13" i="5" s="1"/>
  <c r="X11" i="5"/>
  <c r="X5" i="5"/>
  <c r="AA5" i="5" s="1"/>
  <c r="X7" i="5"/>
  <c r="AA7" i="5" s="1"/>
  <c r="X5" i="4"/>
  <c r="X13" i="4"/>
  <c r="AB15" i="4"/>
  <c r="AE15" i="4" s="1"/>
  <c r="AF15" i="4" s="1"/>
  <c r="AG15" i="4" s="1"/>
  <c r="V5" i="4"/>
  <c r="V11" i="4"/>
  <c r="Y11" i="4" s="1"/>
  <c r="V15" i="4"/>
  <c r="Y15" i="4" s="1"/>
  <c r="V17" i="4"/>
  <c r="Y17" i="4" s="1"/>
  <c r="V9" i="4"/>
  <c r="Y9" i="4" s="1"/>
  <c r="V7" i="4"/>
  <c r="Y7" i="4" s="1"/>
  <c r="V13" i="4"/>
  <c r="Y13" i="4" s="1"/>
  <c r="Z13" i="3"/>
  <c r="Z17" i="3"/>
  <c r="X13" i="3"/>
  <c r="Z11" i="3"/>
  <c r="Z7" i="3"/>
  <c r="X11" i="3"/>
  <c r="X7" i="3"/>
  <c r="X15" i="3"/>
  <c r="X17" i="3"/>
  <c r="X19" i="3"/>
  <c r="AA19" i="3" s="1"/>
  <c r="X5" i="3"/>
  <c r="X9" i="3"/>
  <c r="Z15" i="3"/>
  <c r="Z5" i="3"/>
  <c r="Z9" i="3"/>
  <c r="Y7" i="1"/>
  <c r="Y9" i="1"/>
  <c r="W17" i="1"/>
  <c r="W19" i="1"/>
  <c r="W11" i="1"/>
  <c r="AG11" i="1" s="1"/>
  <c r="W15" i="1"/>
  <c r="W13" i="1"/>
  <c r="Y15" i="1"/>
  <c r="Y19" i="1"/>
  <c r="Y13" i="1"/>
  <c r="Y11" i="1"/>
  <c r="Y17" i="1"/>
  <c r="O27" i="14" l="1"/>
  <c r="O30" i="14"/>
  <c r="Q29" i="14" s="1"/>
  <c r="O26" i="14"/>
  <c r="O29" i="14"/>
  <c r="O35" i="14" s="1"/>
  <c r="Q26" i="14"/>
  <c r="O34" i="14"/>
  <c r="Q34" i="14" s="1"/>
  <c r="AK30" i="14" s="1"/>
  <c r="AN9" i="12"/>
  <c r="AN10" i="12"/>
  <c r="AN6" i="12"/>
  <c r="AN8" i="12"/>
  <c r="AN7" i="12"/>
  <c r="AN12" i="12"/>
  <c r="AN11" i="12"/>
  <c r="O30" i="12"/>
  <c r="O35" i="12" s="1"/>
  <c r="O27" i="12"/>
  <c r="O34" i="12" s="1"/>
  <c r="Q34" i="12" s="1"/>
  <c r="AK30" i="12" s="1"/>
  <c r="O29" i="12"/>
  <c r="Q29" i="12" s="1"/>
  <c r="O26" i="12"/>
  <c r="Q26" i="12" s="1"/>
  <c r="AK28" i="8"/>
  <c r="W27" i="8"/>
  <c r="AK29" i="8" s="1"/>
  <c r="AA9" i="5"/>
  <c r="AA19" i="5"/>
  <c r="AA11" i="5"/>
  <c r="AA15" i="5"/>
  <c r="AA5" i="3"/>
  <c r="Y5" i="4"/>
  <c r="AA9" i="3"/>
  <c r="AA17" i="3"/>
  <c r="AA13" i="3"/>
  <c r="AA7" i="3"/>
  <c r="AA11" i="3"/>
  <c r="AA15" i="3"/>
  <c r="AH11" i="1"/>
  <c r="AI11" i="1" s="1"/>
  <c r="X15" i="1"/>
  <c r="X17" i="1"/>
  <c r="X11" i="1"/>
  <c r="X7" i="1"/>
  <c r="X9" i="1"/>
  <c r="X13" i="1"/>
  <c r="X5" i="1"/>
  <c r="X19" i="1"/>
  <c r="Z17" i="1"/>
  <c r="Z13" i="1"/>
  <c r="Z19" i="1"/>
  <c r="Z5" i="1"/>
  <c r="Z9" i="1"/>
  <c r="Z15" i="1"/>
  <c r="Z11" i="1"/>
  <c r="Z7" i="1"/>
  <c r="W27" i="12" l="1"/>
  <c r="AK29" i="12" s="1"/>
  <c r="AK28" i="12"/>
  <c r="AK31" i="12" s="1"/>
  <c r="AK32" i="12" s="1"/>
  <c r="W27" i="14"/>
  <c r="AK29" i="14" s="1"/>
  <c r="AK28" i="14"/>
  <c r="AK31" i="8"/>
  <c r="AK32" i="8" s="1"/>
  <c r="AA13" i="1"/>
  <c r="AA7" i="1"/>
  <c r="AA9" i="1"/>
  <c r="AA11" i="1"/>
  <c r="AA17" i="1"/>
  <c r="AA15" i="1"/>
  <c r="AA5" i="1"/>
  <c r="AA19" i="1"/>
  <c r="AK31" i="14" l="1"/>
  <c r="AK32" i="14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<sst xmlns="http://schemas.openxmlformats.org/spreadsheetml/2006/main" count="623" uniqueCount="182">
  <si>
    <t>V</t>
  </si>
  <si>
    <t>D</t>
  </si>
  <si>
    <t>Valuch</t>
  </si>
  <si>
    <t>Ruiz</t>
  </si>
  <si>
    <t>Putuntica</t>
  </si>
  <si>
    <t>rang</t>
  </si>
  <si>
    <t>rang 2</t>
  </si>
  <si>
    <t>nom joueurs</t>
  </si>
  <si>
    <t xml:space="preserve">NB Vict </t>
  </si>
  <si>
    <t>joueurs</t>
  </si>
  <si>
    <t>Qt Match V/D</t>
  </si>
  <si>
    <t>rg victoire</t>
  </si>
  <si>
    <t>rang quot</t>
  </si>
  <si>
    <t>Chaque joueur qui participe aux Challenger Series reçoit 75,- Euro.</t>
  </si>
  <si>
    <t>Pour chaque victoire en phase de groupes, les joueurs reçoivent 60,- Euro.</t>
  </si>
  <si>
    <t>Pour atteindre les demi-finales, les 4 joueurs reçoivent 45,- Euro.</t>
  </si>
  <si>
    <t>Pour la victoire dans le match de la 3ème place, le joueur reçoit 90,- Euro.</t>
  </si>
  <si>
    <t>Pour chaque victoire en demi-finale et en finale, les joueurs reçoivent 180,- Euro.</t>
  </si>
  <si>
    <t>Pour tous les tournois, il n'y a pas de frais d'inscription. Tous les prix sont incl. 15 825 % d'impôt allemand.</t>
  </si>
  <si>
    <t>Total</t>
  </si>
  <si>
    <t>taxe</t>
  </si>
  <si>
    <t>Gain Net</t>
  </si>
  <si>
    <t>gain fixe</t>
  </si>
  <si>
    <t>gain victoire</t>
  </si>
  <si>
    <t>demi</t>
  </si>
  <si>
    <t>DEMI FINALE</t>
  </si>
  <si>
    <t>o</t>
  </si>
  <si>
    <t>NJ</t>
  </si>
  <si>
    <r>
      <t>Huzjak</t>
    </r>
    <r>
      <rPr>
        <sz val="9"/>
        <color rgb="FF333333"/>
        <rFont val="Roboto"/>
      </rPr>
      <t>,</t>
    </r>
  </si>
  <si>
    <t>Mühlbach</t>
  </si>
  <si>
    <t>Turrini</t>
  </si>
  <si>
    <t>Martinko</t>
  </si>
  <si>
    <r>
      <t>Chtchetinine</t>
    </r>
    <r>
      <rPr>
        <sz val="9"/>
        <color rgb="FF333333"/>
        <rFont val="Roboto"/>
      </rPr>
      <t>,</t>
    </r>
  </si>
  <si>
    <t>Ishida Carlos</t>
  </si>
  <si>
    <t>Ruiz Romain</t>
  </si>
  <si>
    <t>Hodaei Amir</t>
  </si>
  <si>
    <t>Valuch Alex</t>
  </si>
  <si>
    <t>Rinderer D</t>
  </si>
  <si>
    <t>Bluhm Fl</t>
  </si>
  <si>
    <t xml:space="preserve">Chambers </t>
  </si>
  <si>
    <t>Walker Sam</t>
  </si>
  <si>
    <t>manches</t>
  </si>
  <si>
    <t>Klein Denis</t>
  </si>
  <si>
    <t>Rossi Carlo</t>
  </si>
  <si>
    <t>Hrnic Kenan</t>
  </si>
  <si>
    <t>Chambers Dillon</t>
  </si>
  <si>
    <t>Huzjak Josip</t>
  </si>
  <si>
    <t>Walker Samuel</t>
  </si>
  <si>
    <t>Rinderer Daniel</t>
  </si>
  <si>
    <t>ROSSI   FORFAIT</t>
  </si>
  <si>
    <r>
      <t>Rinderer</t>
    </r>
    <r>
      <rPr>
        <sz val="9"/>
        <color rgb="FF333333"/>
        <rFont val="Roboto"/>
      </rPr>
      <t>, Daniel</t>
    </r>
  </si>
  <si>
    <r>
      <t>Klein</t>
    </r>
    <r>
      <rPr>
        <sz val="9"/>
        <color rgb="FF333333"/>
        <rFont val="Roboto"/>
      </rPr>
      <t>, Dennis</t>
    </r>
  </si>
  <si>
    <r>
      <t>Köhler</t>
    </r>
    <r>
      <rPr>
        <sz val="9"/>
        <color rgb="FF333333"/>
        <rFont val="Roboto"/>
      </rPr>
      <t>, Felix</t>
    </r>
  </si>
  <si>
    <r>
      <t>Cheaib</t>
    </r>
    <r>
      <rPr>
        <sz val="9"/>
        <color rgb="FF333333"/>
        <rFont val="Roboto"/>
      </rPr>
      <t>, Dauud</t>
    </r>
  </si>
  <si>
    <r>
      <t>Limonov</t>
    </r>
    <r>
      <rPr>
        <sz val="9"/>
        <color rgb="FF333333"/>
        <rFont val="Roboto"/>
      </rPr>
      <t>, Anton</t>
    </r>
  </si>
  <si>
    <r>
      <t>Fadeev</t>
    </r>
    <r>
      <rPr>
        <sz val="9"/>
        <color rgb="FF333333"/>
        <rFont val="Roboto"/>
      </rPr>
      <t>, Kirill</t>
    </r>
  </si>
  <si>
    <r>
      <t>Mühlbach</t>
    </r>
    <r>
      <rPr>
        <sz val="9"/>
        <color rgb="FF333333"/>
        <rFont val="Roboto"/>
      </rPr>
      <t>, Carlos</t>
    </r>
  </si>
  <si>
    <t>Abandon après 2 ème match</t>
  </si>
  <si>
    <t>Limonov</t>
  </si>
  <si>
    <t>Klein</t>
  </si>
  <si>
    <t>Rinderer</t>
  </si>
  <si>
    <t>Finale</t>
  </si>
  <si>
    <t>v</t>
  </si>
  <si>
    <t>Pryschepa</t>
  </si>
  <si>
    <t>finale</t>
  </si>
  <si>
    <t>clt</t>
  </si>
  <si>
    <t>participation</t>
  </si>
  <si>
    <t>60 x victoires</t>
  </si>
  <si>
    <t>si demi</t>
  </si>
  <si>
    <t>victoire demi</t>
  </si>
  <si>
    <t>victoire finale</t>
  </si>
  <si>
    <t>charges</t>
  </si>
  <si>
    <t>Net</t>
  </si>
  <si>
    <t>GAIN</t>
  </si>
  <si>
    <t>GAIN Montant</t>
  </si>
  <si>
    <t>p</t>
  </si>
  <si>
    <t>victoire</t>
  </si>
  <si>
    <t>Gains possibles</t>
  </si>
  <si>
    <t>Challenge république chéque du 04 et 05 Août 2023</t>
  </si>
  <si>
    <t>Rezetka</t>
  </si>
  <si>
    <t>Gavlas</t>
  </si>
  <si>
    <t>Michailidis</t>
  </si>
  <si>
    <t>Obeslo</t>
  </si>
  <si>
    <t>Assar K</t>
  </si>
  <si>
    <t>Abdel aziz</t>
  </si>
  <si>
    <t>Assar</t>
  </si>
  <si>
    <t>-</t>
  </si>
  <si>
    <t>T1</t>
  </si>
  <si>
    <t>T2</t>
  </si>
  <si>
    <t>T3</t>
  </si>
  <si>
    <t>T4</t>
  </si>
  <si>
    <t>T5</t>
  </si>
  <si>
    <t>T6</t>
  </si>
  <si>
    <t>T7</t>
  </si>
  <si>
    <t>posit</t>
  </si>
  <si>
    <t>Vainqueur</t>
  </si>
  <si>
    <t>Place 3 - 4</t>
  </si>
  <si>
    <t>victoire 3/4</t>
  </si>
  <si>
    <t>GAIN, Romain</t>
  </si>
  <si>
    <t>victoire place 3/4</t>
  </si>
  <si>
    <t>Victoire en demi et en finale ,180 €, pas de frais d'inscription , charges impôts 15,825 %</t>
  </si>
  <si>
    <t>Rinderer  D.</t>
  </si>
  <si>
    <t>Spanik T.</t>
  </si>
  <si>
    <t>Reitspies D.</t>
  </si>
  <si>
    <t>David P.</t>
  </si>
  <si>
    <t>Benes M.</t>
  </si>
  <si>
    <t>Chaque joueur reçoit 75 €,- Euro,  pour chaque victoire 60€</t>
  </si>
  <si>
    <t>Pour les demi-finales, les 4 joueurs reçoivent 45 €, victoire place 3/4 , 90€</t>
  </si>
  <si>
    <t>Phase Finale</t>
  </si>
  <si>
    <t>Ranefur E.</t>
  </si>
  <si>
    <t>Qt Vict/Def</t>
  </si>
  <si>
    <t>Demi-Finale</t>
  </si>
  <si>
    <t>****  2/3</t>
  </si>
  <si>
    <t>Pryshchepa E.</t>
  </si>
  <si>
    <t xml:space="preserve"> 3 - 1</t>
  </si>
  <si>
    <t xml:space="preserve"> 3 - 2</t>
  </si>
  <si>
    <t>3 - 0</t>
  </si>
  <si>
    <t>3 - 1</t>
  </si>
  <si>
    <t>Tot Brut</t>
  </si>
  <si>
    <t>d</t>
  </si>
  <si>
    <t>Challenge République Tchéque du 07 et 08 Août 2023</t>
  </si>
  <si>
    <t>GAINS, Romain</t>
  </si>
  <si>
    <t>à saisir</t>
  </si>
  <si>
    <t>Abbasi A</t>
  </si>
  <si>
    <t>Ranefur E</t>
  </si>
  <si>
    <t>Bankosz M</t>
  </si>
  <si>
    <t>Seibert J</t>
  </si>
  <si>
    <t>Ruiz R</t>
  </si>
  <si>
    <t>Konecny T</t>
  </si>
  <si>
    <t>Zelinka J</t>
  </si>
  <si>
    <t>Vrablik J</t>
  </si>
  <si>
    <t>taper :</t>
  </si>
  <si>
    <t>RUIZ R</t>
  </si>
  <si>
    <t>Pour Romain</t>
  </si>
  <si>
    <t xml:space="preserve">Challenge République Tchéque du : </t>
  </si>
  <si>
    <t>important pour</t>
  </si>
  <si>
    <t>calcul</t>
  </si>
  <si>
    <t>25 et 26 Octobre 2023</t>
  </si>
  <si>
    <t xml:space="preserve">à garder </t>
  </si>
  <si>
    <t>Classement tableau</t>
  </si>
  <si>
    <t>Tymofieiev O UKR</t>
  </si>
  <si>
    <t>Pryshchepa I UKR</t>
  </si>
  <si>
    <t>Reitspies D CZE</t>
  </si>
  <si>
    <t>Abbasi A IRN</t>
  </si>
  <si>
    <t>Kveton O CZE</t>
  </si>
  <si>
    <t>Tregler T CZE</t>
  </si>
  <si>
    <t>Yefimov V UKR</t>
  </si>
  <si>
    <t xml:space="preserve">Pryshchepa I </t>
  </si>
  <si>
    <t>Tymofieiev O</t>
  </si>
  <si>
    <t>Yefimov V</t>
  </si>
  <si>
    <t xml:space="preserve">Tregler T </t>
  </si>
  <si>
    <t>Kveton O</t>
  </si>
  <si>
    <t xml:space="preserve">Abbasi A </t>
  </si>
  <si>
    <t xml:space="preserve">Reitspies D </t>
  </si>
  <si>
    <t xml:space="preserve">30 et 31  octobre </t>
  </si>
  <si>
    <t>Ruiz R ou +J2</t>
  </si>
  <si>
    <t>CLASST</t>
  </si>
  <si>
    <t>REEL</t>
  </si>
  <si>
    <t>joués</t>
  </si>
  <si>
    <t>NB def</t>
  </si>
  <si>
    <t>conversion</t>
  </si>
  <si>
    <t>J1</t>
  </si>
  <si>
    <t>J2</t>
  </si>
  <si>
    <t>jour 2</t>
  </si>
  <si>
    <t>9</t>
  </si>
  <si>
    <t xml:space="preserve"> 3 à 0</t>
  </si>
  <si>
    <t>03 et 04 février</t>
  </si>
  <si>
    <t>D. Reitšpies</t>
  </si>
  <si>
    <t>R. Bhanja</t>
  </si>
  <si>
    <t>M. Benes</t>
  </si>
  <si>
    <t>M. Horejsi</t>
  </si>
  <si>
    <t>V. Rozinek</t>
  </si>
  <si>
    <t>I. Pryshchepa</t>
  </si>
  <si>
    <t>L. Devos</t>
  </si>
  <si>
    <t>sommes</t>
  </si>
  <si>
    <t>rang / sommes</t>
  </si>
  <si>
    <t xml:space="preserve">TOTO </t>
  </si>
  <si>
    <t>matchs de TOTO   qu il faut obtenir</t>
  </si>
  <si>
    <t>TOTO</t>
  </si>
  <si>
    <t>j2</t>
  </si>
  <si>
    <t>j1</t>
  </si>
  <si>
    <t>tulipe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</si>
</sst>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8" formatCode="#,##0.00\ &quot;€&quot;;[Red]\-#,##0.00\ &quot;€&quot;"/>
    <numFmt numFmtId="164" formatCode="0.0000"/>
    <numFmt numFmtId="165" formatCode="0.000%"/>
    <numFmt numFmtId="166" formatCode="#,##0.00\ &quot;€&quot;"/>
    <numFmt numFmtId="167" formatCode="0.00_ ;[Red]\-0.00\ "/>
    <numFmt numFmtId="168" formatCode="0;\-0;;@"/>
    <numFmt numFmtId="169" formatCode="0.00_ ;\-0.00\ "/>
    <numFmt numFmtId="170" formatCode="0_ ;\-0\ "/>
    <numFmt numFmtId="171" formatCode="h:mm;@"/>
  </numFmts>
  <fonts count="22" x14ac:knownFonts="1">
    <font>
      <sz val="11"/>
      <color theme="1"/>
      <name val="Calibri"/>
      <family val="2"/>
      <scheme val="minor"/>
    </font>
    <font>
      <b/>
      <sz val="9"/>
      <color rgb="FF333333"/>
      <name val="Roboto"/>
    </font>
    <font>
      <b/>
      <sz val="11"/>
      <color theme="1"/>
      <name val="Calibri"/>
      <family val="2"/>
      <scheme val="minor"/>
    </font>
    <font>
      <b/>
      <sz val="11"/>
      <color rgb="FF3333CC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rgb="FF333333"/>
      <name val="Roboto"/>
    </font>
    <font>
      <sz val="9"/>
      <color rgb="FF333333"/>
      <name val="Roboto"/>
    </font>
    <font>
      <b/>
      <sz val="10"/>
      <color rgb="FF333333"/>
      <name val="Roboto"/>
    </font>
    <font>
      <sz val="10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4"/>
      <color rgb="FFFF0000"/>
      <name val="Calibri"/>
      <family val="2"/>
      <scheme val="minor"/>
    </font>
    <font>
      <sz val="20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rgb="FF000000"/>
      <name val="Calibri"/>
      <family val="2"/>
    </font>
    <font>
      <b/>
      <sz val="9"/>
      <color rgb="FFFF0000"/>
      <name val="Roboto"/>
    </font>
    <font>
      <u/>
      <sz val="11"/>
      <color theme="10"/>
      <name val="Calibri"/>
      <family val="2"/>
      <scheme val="minor"/>
    </font>
    <font>
      <b/>
      <sz val="8"/>
      <color rgb="FF333333"/>
      <name val="Roboto"/>
    </font>
    <font>
      <sz val="8"/>
      <color theme="1"/>
      <name val="Calibri"/>
      <family val="2"/>
      <scheme val="minor"/>
    </font>
    <font>
      <sz val="14"/>
      <color rgb="FFFF0000"/>
      <name val="Arial"/>
      <family val="2"/>
    </font>
    <font>
      <sz val="12"/>
      <color rgb="FFFF0000"/>
      <name val="Arial"/>
      <family val="2"/>
    </font>
    <font>
      <b/>
      <sz val="12"/>
      <color rgb="FFFF0000"/>
      <name val="Calibri"/>
      <family val="2"/>
      <scheme val="minor"/>
    </font>
    <font>
      <sz val="8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5" tint="0.599963377788628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lightGrid">
        <bgColor theme="0" tint="-0.34998626667073579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0000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/>
      <diagonal/>
    </border>
    <border>
      <left style="thick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ck">
        <color indexed="64"/>
      </right>
      <top style="thin">
        <color indexed="64"/>
      </top>
      <bottom/>
      <diagonal/>
    </border>
    <border>
      <left/>
      <right style="thick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5" fillId="0" borderId="0" applyNumberFormat="0" applyFill="0" applyBorder="0" applyAlignment="0" applyProtection="0"/>
  </cellStyleXfs>
  <cellXfs count="326">
    <xf numFmtId="0" fontId="0" fillId="0" borderId="0" xfId="0"/>
    <xf numFmtId="0" fontId="0" fillId="0" borderId="2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2" xfId="0" quotePrefix="1" applyBorder="1" applyAlignment="1">
      <alignment horizontal="center"/>
    </xf>
    <xf numFmtId="0" fontId="0" fillId="0" borderId="1" xfId="0" quotePrefix="1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3" xfId="0" quotePrefix="1" applyBorder="1" applyAlignment="1">
      <alignment horizontal="center"/>
    </xf>
    <xf numFmtId="2" fontId="0" fillId="0" borderId="0" xfId="0" applyNumberFormat="1"/>
    <xf numFmtId="0" fontId="0" fillId="0" borderId="12" xfId="0" applyBorder="1" applyAlignment="1">
      <alignment horizontal="center"/>
    </xf>
    <xf numFmtId="0" fontId="0" fillId="3" borderId="1" xfId="0" applyFill="1" applyBorder="1"/>
    <xf numFmtId="0" fontId="0" fillId="3" borderId="3" xfId="0" applyFill="1" applyBorder="1"/>
    <xf numFmtId="165" fontId="0" fillId="0" borderId="0" xfId="0" applyNumberFormat="1"/>
    <xf numFmtId="166" fontId="0" fillId="0" borderId="0" xfId="0" applyNumberFormat="1"/>
    <xf numFmtId="8" fontId="0" fillId="0" borderId="0" xfId="0" applyNumberFormat="1"/>
    <xf numFmtId="0" fontId="1" fillId="0" borderId="14" xfId="0" applyFont="1" applyBorder="1"/>
    <xf numFmtId="0" fontId="0" fillId="0" borderId="8" xfId="0" applyBorder="1"/>
    <xf numFmtId="0" fontId="1" fillId="0" borderId="9" xfId="0" applyFont="1" applyBorder="1"/>
    <xf numFmtId="0" fontId="1" fillId="0" borderId="0" xfId="0" applyFont="1"/>
    <xf numFmtId="0" fontId="4" fillId="0" borderId="0" xfId="0" applyFont="1"/>
    <xf numFmtId="0" fontId="0" fillId="0" borderId="0" xfId="0" quotePrefix="1"/>
    <xf numFmtId="0" fontId="0" fillId="4" borderId="2" xfId="0" applyFill="1" applyBorder="1" applyAlignment="1">
      <alignment horizontal="center"/>
    </xf>
    <xf numFmtId="0" fontId="0" fillId="4" borderId="1" xfId="0" applyFill="1" applyBorder="1"/>
    <xf numFmtId="0" fontId="0" fillId="4" borderId="3" xfId="0" applyFill="1" applyBorder="1"/>
    <xf numFmtId="0" fontId="0" fillId="4" borderId="2" xfId="0" quotePrefix="1" applyFill="1" applyBorder="1" applyAlignment="1">
      <alignment horizontal="center"/>
    </xf>
    <xf numFmtId="0" fontId="0" fillId="4" borderId="0" xfId="0" applyFill="1" applyAlignment="1">
      <alignment horizontal="center"/>
    </xf>
    <xf numFmtId="0" fontId="2" fillId="0" borderId="7" xfId="0" applyFont="1" applyBorder="1" applyAlignment="1">
      <alignment horizontal="center"/>
    </xf>
    <xf numFmtId="167" fontId="0" fillId="0" borderId="0" xfId="0" applyNumberFormat="1"/>
    <xf numFmtId="167" fontId="9" fillId="0" borderId="0" xfId="0" applyNumberFormat="1" applyFont="1"/>
    <xf numFmtId="0" fontId="2" fillId="0" borderId="0" xfId="0" applyFont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0" fillId="0" borderId="4" xfId="0" applyBorder="1"/>
    <xf numFmtId="0" fontId="0" fillId="0" borderId="5" xfId="0" applyBorder="1"/>
    <xf numFmtId="165" fontId="0" fillId="0" borderId="5" xfId="0" applyNumberFormat="1" applyBorder="1"/>
    <xf numFmtId="0" fontId="0" fillId="0" borderId="6" xfId="0" applyBorder="1"/>
    <xf numFmtId="0" fontId="0" fillId="0" borderId="15" xfId="0" applyBorder="1"/>
    <xf numFmtId="0" fontId="0" fillId="0" borderId="7" xfId="0" applyBorder="1"/>
    <xf numFmtId="0" fontId="2" fillId="0" borderId="0" xfId="0" applyFont="1"/>
    <xf numFmtId="0" fontId="2" fillId="0" borderId="0" xfId="0" applyFont="1" applyAlignment="1">
      <alignment horizontal="center" vertical="center"/>
    </xf>
    <xf numFmtId="0" fontId="0" fillId="0" borderId="2" xfId="0" applyBorder="1"/>
    <xf numFmtId="0" fontId="2" fillId="0" borderId="2" xfId="0" quotePrefix="1" applyFont="1" applyBorder="1" applyAlignment="1">
      <alignment horizontal="center"/>
    </xf>
    <xf numFmtId="0" fontId="0" fillId="0" borderId="3" xfId="0" applyBorder="1"/>
    <xf numFmtId="0" fontId="2" fillId="0" borderId="0" xfId="0" quotePrefix="1" applyFont="1" applyAlignment="1">
      <alignment horizontal="center"/>
    </xf>
    <xf numFmtId="0" fontId="2" fillId="0" borderId="15" xfId="0" quotePrefix="1" applyFont="1" applyBorder="1" applyAlignment="1">
      <alignment horizontal="center"/>
    </xf>
    <xf numFmtId="0" fontId="0" fillId="0" borderId="0" xfId="0" applyAlignment="1">
      <alignment vertical="center"/>
    </xf>
    <xf numFmtId="0" fontId="0" fillId="5" borderId="4" xfId="0" applyFill="1" applyBorder="1"/>
    <xf numFmtId="0" fontId="2" fillId="5" borderId="0" xfId="0" applyFont="1" applyFill="1"/>
    <xf numFmtId="0" fontId="0" fillId="5" borderId="5" xfId="0" applyFill="1" applyBorder="1"/>
    <xf numFmtId="0" fontId="0" fillId="5" borderId="0" xfId="0" applyFill="1"/>
    <xf numFmtId="0" fontId="0" fillId="5" borderId="0" xfId="0" quotePrefix="1" applyFill="1"/>
    <xf numFmtId="0" fontId="0" fillId="5" borderId="6" xfId="0" applyFill="1" applyBorder="1"/>
    <xf numFmtId="0" fontId="0" fillId="5" borderId="15" xfId="0" applyFill="1" applyBorder="1"/>
    <xf numFmtId="0" fontId="0" fillId="5" borderId="7" xfId="0" applyFill="1" applyBorder="1"/>
    <xf numFmtId="0" fontId="2" fillId="0" borderId="2" xfId="0" applyFont="1" applyBorder="1"/>
    <xf numFmtId="0" fontId="2" fillId="0" borderId="5" xfId="0" applyFont="1" applyBorder="1" applyAlignment="1">
      <alignment horizontal="center"/>
    </xf>
    <xf numFmtId="0" fontId="2" fillId="0" borderId="15" xfId="0" applyFont="1" applyBorder="1"/>
    <xf numFmtId="0" fontId="2" fillId="0" borderId="15" xfId="0" applyFont="1" applyBorder="1" applyAlignment="1">
      <alignment horizontal="center"/>
    </xf>
    <xf numFmtId="167" fontId="0" fillId="5" borderId="14" xfId="0" applyNumberFormat="1" applyFill="1" applyBorder="1"/>
    <xf numFmtId="167" fontId="0" fillId="5" borderId="14" xfId="0" quotePrefix="1" applyNumberFormat="1" applyFill="1" applyBorder="1"/>
    <xf numFmtId="0" fontId="0" fillId="5" borderId="14" xfId="0" quotePrefix="1" applyFill="1" applyBorder="1"/>
    <xf numFmtId="167" fontId="9" fillId="5" borderId="14" xfId="0" quotePrefix="1" applyNumberFormat="1" applyFont="1" applyFill="1" applyBorder="1"/>
    <xf numFmtId="166" fontId="4" fillId="5" borderId="17" xfId="0" applyNumberFormat="1" applyFont="1" applyFill="1" applyBorder="1"/>
    <xf numFmtId="0" fontId="4" fillId="5" borderId="18" xfId="0" applyFont="1" applyFill="1" applyBorder="1"/>
    <xf numFmtId="166" fontId="4" fillId="5" borderId="16" xfId="0" applyNumberFormat="1" applyFont="1" applyFill="1" applyBorder="1"/>
    <xf numFmtId="0" fontId="0" fillId="0" borderId="1" xfId="0" applyBorder="1"/>
    <xf numFmtId="16" fontId="0" fillId="5" borderId="0" xfId="0" quotePrefix="1" applyNumberFormat="1" applyFill="1"/>
    <xf numFmtId="0" fontId="0" fillId="5" borderId="15" xfId="0" quotePrefix="1" applyFill="1" applyBorder="1"/>
    <xf numFmtId="168" fontId="2" fillId="0" borderId="2" xfId="0" applyNumberFormat="1" applyFont="1" applyBorder="1"/>
    <xf numFmtId="168" fontId="2" fillId="0" borderId="2" xfId="0" quotePrefix="1" applyNumberFormat="1" applyFont="1" applyBorder="1" applyAlignment="1">
      <alignment horizontal="center"/>
    </xf>
    <xf numFmtId="168" fontId="2" fillId="0" borderId="0" xfId="0" applyNumberFormat="1" applyFont="1"/>
    <xf numFmtId="168" fontId="2" fillId="0" borderId="0" xfId="0" quotePrefix="1" applyNumberFormat="1" applyFont="1" applyAlignment="1">
      <alignment horizontal="center"/>
    </xf>
    <xf numFmtId="168" fontId="2" fillId="0" borderId="15" xfId="0" applyNumberFormat="1" applyFont="1" applyBorder="1"/>
    <xf numFmtId="168" fontId="2" fillId="0" borderId="15" xfId="0" quotePrefix="1" applyNumberFormat="1" applyFont="1" applyBorder="1" applyAlignment="1">
      <alignment horizontal="center"/>
    </xf>
    <xf numFmtId="168" fontId="0" fillId="0" borderId="1" xfId="0" applyNumberFormat="1" applyBorder="1" applyAlignment="1">
      <alignment horizontal="center"/>
    </xf>
    <xf numFmtId="168" fontId="0" fillId="0" borderId="3" xfId="0" applyNumberFormat="1" applyBorder="1" applyAlignment="1">
      <alignment horizontal="center"/>
    </xf>
    <xf numFmtId="168" fontId="0" fillId="0" borderId="2" xfId="0" applyNumberFormat="1" applyBorder="1" applyAlignment="1">
      <alignment horizontal="center"/>
    </xf>
    <xf numFmtId="168" fontId="0" fillId="0" borderId="12" xfId="0" applyNumberFormat="1" applyBorder="1" applyAlignment="1">
      <alignment horizontal="center"/>
    </xf>
    <xf numFmtId="168" fontId="0" fillId="3" borderId="1" xfId="0" applyNumberFormat="1" applyFill="1" applyBorder="1"/>
    <xf numFmtId="168" fontId="0" fillId="3" borderId="3" xfId="0" applyNumberFormat="1" applyFill="1" applyBorder="1"/>
    <xf numFmtId="168" fontId="0" fillId="0" borderId="1" xfId="0" quotePrefix="1" applyNumberFormat="1" applyBorder="1" applyAlignment="1">
      <alignment horizontal="center"/>
    </xf>
    <xf numFmtId="168" fontId="0" fillId="0" borderId="3" xfId="0" quotePrefix="1" applyNumberFormat="1" applyBorder="1" applyAlignment="1">
      <alignment horizontal="center"/>
    </xf>
    <xf numFmtId="168" fontId="0" fillId="0" borderId="2" xfId="0" quotePrefix="1" applyNumberFormat="1" applyBorder="1" applyAlignment="1">
      <alignment horizontal="center"/>
    </xf>
    <xf numFmtId="168" fontId="0" fillId="0" borderId="4" xfId="0" applyNumberFormat="1" applyBorder="1" applyAlignment="1">
      <alignment horizontal="center"/>
    </xf>
    <xf numFmtId="168" fontId="0" fillId="0" borderId="5" xfId="0" applyNumberFormat="1" applyBorder="1" applyAlignment="1">
      <alignment horizontal="center"/>
    </xf>
    <xf numFmtId="168" fontId="0" fillId="0" borderId="0" xfId="0" applyNumberFormat="1" applyAlignment="1">
      <alignment horizontal="center"/>
    </xf>
    <xf numFmtId="0" fontId="1" fillId="4" borderId="14" xfId="0" applyFont="1" applyFill="1" applyBorder="1" applyAlignment="1">
      <alignment horizontal="center"/>
    </xf>
    <xf numFmtId="0" fontId="1" fillId="4" borderId="9" xfId="0" applyFont="1" applyFill="1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10" fillId="0" borderId="0" xfId="0" quotePrefix="1" applyFont="1" applyAlignment="1">
      <alignment horizontal="center"/>
    </xf>
    <xf numFmtId="0" fontId="14" fillId="0" borderId="0" xfId="0" applyFont="1"/>
    <xf numFmtId="0" fontId="0" fillId="0" borderId="19" xfId="0" applyBorder="1"/>
    <xf numFmtId="0" fontId="0" fillId="0" borderId="20" xfId="0" applyBorder="1"/>
    <xf numFmtId="0" fontId="0" fillId="0" borderId="21" xfId="0" applyBorder="1"/>
    <xf numFmtId="169" fontId="4" fillId="5" borderId="16" xfId="0" applyNumberFormat="1" applyFont="1" applyFill="1" applyBorder="1"/>
    <xf numFmtId="0" fontId="0" fillId="5" borderId="4" xfId="0" quotePrefix="1" applyFill="1" applyBorder="1"/>
    <xf numFmtId="0" fontId="0" fillId="5" borderId="5" xfId="0" quotePrefix="1" applyFill="1" applyBorder="1"/>
    <xf numFmtId="2" fontId="12" fillId="5" borderId="6" xfId="0" quotePrefix="1" applyNumberFormat="1" applyFont="1" applyFill="1" applyBorder="1"/>
    <xf numFmtId="0" fontId="0" fillId="5" borderId="16" xfId="0" applyFill="1" applyBorder="1"/>
    <xf numFmtId="2" fontId="0" fillId="5" borderId="14" xfId="0" applyNumberFormat="1" applyFill="1" applyBorder="1"/>
    <xf numFmtId="2" fontId="0" fillId="5" borderId="14" xfId="0" quotePrefix="1" applyNumberFormat="1" applyFill="1" applyBorder="1"/>
    <xf numFmtId="2" fontId="9" fillId="5" borderId="14" xfId="0" quotePrefix="1" applyNumberFormat="1" applyFont="1" applyFill="1" applyBorder="1"/>
    <xf numFmtId="0" fontId="12" fillId="4" borderId="16" xfId="0" applyFont="1" applyFill="1" applyBorder="1" applyAlignment="1">
      <alignment horizontal="center"/>
    </xf>
    <xf numFmtId="0" fontId="12" fillId="4" borderId="14" xfId="0" applyFont="1" applyFill="1" applyBorder="1" applyAlignment="1">
      <alignment horizontal="center"/>
    </xf>
    <xf numFmtId="1" fontId="0" fillId="3" borderId="1" xfId="0" applyNumberFormat="1" applyFill="1" applyBorder="1"/>
    <xf numFmtId="1" fontId="0" fillId="3" borderId="3" xfId="0" applyNumberFormat="1" applyFill="1" applyBorder="1"/>
    <xf numFmtId="1" fontId="0" fillId="0" borderId="1" xfId="0" applyNumberFormat="1" applyBorder="1" applyAlignment="1">
      <alignment horizontal="center"/>
    </xf>
    <xf numFmtId="1" fontId="0" fillId="0" borderId="3" xfId="0" applyNumberFormat="1" applyBorder="1" applyAlignment="1">
      <alignment horizontal="center"/>
    </xf>
    <xf numFmtId="1" fontId="0" fillId="0" borderId="2" xfId="0" applyNumberFormat="1" applyBorder="1" applyAlignment="1">
      <alignment horizontal="center"/>
    </xf>
    <xf numFmtId="1" fontId="0" fillId="0" borderId="12" xfId="0" applyNumberFormat="1" applyBorder="1" applyAlignment="1">
      <alignment horizontal="center"/>
    </xf>
    <xf numFmtId="1" fontId="0" fillId="0" borderId="1" xfId="0" quotePrefix="1" applyNumberFormat="1" applyBorder="1" applyAlignment="1">
      <alignment horizontal="center"/>
    </xf>
    <xf numFmtId="1" fontId="0" fillId="0" borderId="3" xfId="0" quotePrefix="1" applyNumberFormat="1" applyBorder="1" applyAlignment="1">
      <alignment horizontal="center"/>
    </xf>
    <xf numFmtId="1" fontId="0" fillId="0" borderId="2" xfId="0" quotePrefix="1" applyNumberFormat="1" applyBorder="1" applyAlignment="1">
      <alignment horizontal="center"/>
    </xf>
    <xf numFmtId="1" fontId="0" fillId="0" borderId="4" xfId="0" applyNumberFormat="1" applyBorder="1" applyAlignment="1">
      <alignment horizontal="center"/>
    </xf>
    <xf numFmtId="1" fontId="0" fillId="0" borderId="5" xfId="0" applyNumberFormat="1" applyBorder="1" applyAlignment="1">
      <alignment horizontal="center"/>
    </xf>
    <xf numFmtId="1" fontId="0" fillId="0" borderId="0" xfId="0" applyNumberFormat="1" applyAlignment="1">
      <alignment horizontal="center"/>
    </xf>
    <xf numFmtId="0" fontId="12" fillId="0" borderId="0" xfId="0" applyFont="1"/>
    <xf numFmtId="0" fontId="14" fillId="0" borderId="14" xfId="0" applyFont="1" applyBorder="1"/>
    <xf numFmtId="0" fontId="1" fillId="4" borderId="14" xfId="0" applyFont="1" applyFill="1" applyBorder="1" applyAlignment="1">
      <alignment horizontal="left"/>
    </xf>
    <xf numFmtId="2" fontId="0" fillId="5" borderId="5" xfId="0" applyNumberFormat="1" applyFill="1" applyBorder="1"/>
    <xf numFmtId="0" fontId="2" fillId="0" borderId="6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4" fillId="4" borderId="16" xfId="0" applyFont="1" applyFill="1" applyBorder="1" applyAlignment="1">
      <alignment horizontal="center"/>
    </xf>
    <xf numFmtId="0" fontId="15" fillId="0" borderId="0" xfId="1"/>
    <xf numFmtId="171" fontId="14" fillId="0" borderId="14" xfId="0" applyNumberFormat="1" applyFont="1" applyBorder="1"/>
    <xf numFmtId="171" fontId="14" fillId="0" borderId="0" xfId="0" applyNumberFormat="1" applyFont="1"/>
    <xf numFmtId="171" fontId="12" fillId="0" borderId="0" xfId="0" applyNumberFormat="1" applyFont="1"/>
    <xf numFmtId="20" fontId="12" fillId="0" borderId="0" xfId="0" applyNumberFormat="1" applyFont="1"/>
    <xf numFmtId="20" fontId="14" fillId="0" borderId="0" xfId="0" applyNumberFormat="1" applyFont="1"/>
    <xf numFmtId="20" fontId="4" fillId="5" borderId="15" xfId="0" applyNumberFormat="1" applyFont="1" applyFill="1" applyBorder="1"/>
    <xf numFmtId="171" fontId="14" fillId="0" borderId="8" xfId="0" applyNumberFormat="1" applyFont="1" applyBorder="1"/>
    <xf numFmtId="0" fontId="12" fillId="0" borderId="5" xfId="0" applyFont="1" applyBorder="1"/>
    <xf numFmtId="171" fontId="14" fillId="0" borderId="9" xfId="0" applyNumberFormat="1" applyFont="1" applyBorder="1"/>
    <xf numFmtId="0" fontId="2" fillId="0" borderId="4" xfId="0" applyFont="1" applyBorder="1" applyAlignment="1">
      <alignment horizontal="center"/>
    </xf>
    <xf numFmtId="168" fontId="2" fillId="0" borderId="8" xfId="0" applyNumberFormat="1" applyFont="1" applyBorder="1"/>
    <xf numFmtId="168" fontId="2" fillId="0" borderId="14" xfId="0" applyNumberFormat="1" applyFont="1" applyBorder="1"/>
    <xf numFmtId="168" fontId="2" fillId="0" borderId="9" xfId="0" applyNumberFormat="1" applyFont="1" applyBorder="1"/>
    <xf numFmtId="2" fontId="0" fillId="0" borderId="8" xfId="0" quotePrefix="1" applyNumberFormat="1" applyBorder="1"/>
    <xf numFmtId="2" fontId="0" fillId="0" borderId="14" xfId="0" quotePrefix="1" applyNumberFormat="1" applyBorder="1"/>
    <xf numFmtId="2" fontId="0" fillId="0" borderId="9" xfId="0" quotePrefix="1" applyNumberFormat="1" applyBorder="1"/>
    <xf numFmtId="0" fontId="12" fillId="0" borderId="7" xfId="0" applyFont="1" applyBorder="1"/>
    <xf numFmtId="165" fontId="9" fillId="5" borderId="0" xfId="0" applyNumberFormat="1" applyFont="1" applyFill="1" applyAlignment="1">
      <alignment horizontal="center"/>
    </xf>
    <xf numFmtId="0" fontId="18" fillId="0" borderId="0" xfId="0" applyFont="1"/>
    <xf numFmtId="0" fontId="1" fillId="0" borderId="8" xfId="0" applyFont="1" applyBorder="1" applyAlignment="1">
      <alignment horizontal="center"/>
    </xf>
    <xf numFmtId="0" fontId="1" fillId="0" borderId="14" xfId="0" applyFont="1" applyBorder="1" applyAlignment="1">
      <alignment horizontal="center"/>
    </xf>
    <xf numFmtId="0" fontId="4" fillId="0" borderId="14" xfId="0" applyFont="1" applyBorder="1" applyAlignment="1">
      <alignment horizontal="center"/>
    </xf>
    <xf numFmtId="0" fontId="1" fillId="0" borderId="0" xfId="0" applyFont="1" applyAlignment="1">
      <alignment horizontal="center"/>
    </xf>
    <xf numFmtId="1" fontId="0" fillId="0" borderId="0" xfId="0" applyNumberFormat="1"/>
    <xf numFmtId="170" fontId="0" fillId="4" borderId="0" xfId="0" applyNumberFormat="1" applyFill="1"/>
    <xf numFmtId="0" fontId="0" fillId="6" borderId="0" xfId="0" applyFill="1"/>
    <xf numFmtId="168" fontId="2" fillId="6" borderId="0" xfId="0" applyNumberFormat="1" applyFont="1" applyFill="1"/>
    <xf numFmtId="0" fontId="2" fillId="6" borderId="0" xfId="0" applyFont="1" applyFill="1"/>
    <xf numFmtId="168" fontId="2" fillId="0" borderId="9" xfId="0" quotePrefix="1" applyNumberFormat="1" applyFont="1" applyBorder="1"/>
    <xf numFmtId="168" fontId="4" fillId="0" borderId="15" xfId="0" applyNumberFormat="1" applyFont="1" applyBorder="1"/>
    <xf numFmtId="168" fontId="4" fillId="0" borderId="0" xfId="0" applyNumberFormat="1" applyFont="1"/>
    <xf numFmtId="168" fontId="4" fillId="0" borderId="2" xfId="0" applyNumberFormat="1" applyFont="1" applyBorder="1"/>
    <xf numFmtId="0" fontId="0" fillId="7" borderId="16" xfId="0" applyFill="1" applyBorder="1"/>
    <xf numFmtId="171" fontId="14" fillId="7" borderId="16" xfId="0" applyNumberFormat="1" applyFont="1" applyFill="1" applyBorder="1"/>
    <xf numFmtId="0" fontId="0" fillId="4" borderId="0" xfId="0" applyFill="1"/>
    <xf numFmtId="0" fontId="0" fillId="8" borderId="0" xfId="0" applyFill="1"/>
    <xf numFmtId="0" fontId="0" fillId="0" borderId="3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2" borderId="1" xfId="0" applyFill="1" applyBorder="1" applyAlignment="1">
      <alignment horizontal="center" vertical="center" textRotation="104"/>
    </xf>
    <xf numFmtId="0" fontId="0" fillId="2" borderId="6" xfId="0" applyFill="1" applyBorder="1" applyAlignment="1">
      <alignment horizontal="center" vertical="center" textRotation="104"/>
    </xf>
    <xf numFmtId="164" fontId="1" fillId="0" borderId="8" xfId="0" applyNumberFormat="1" applyFont="1" applyBorder="1" applyAlignment="1">
      <alignment horizontal="center" vertical="center"/>
    </xf>
    <xf numFmtId="164" fontId="0" fillId="0" borderId="9" xfId="0" applyNumberForma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0" fillId="2" borderId="12" xfId="0" applyFill="1" applyBorder="1" applyAlignment="1">
      <alignment horizontal="center" vertical="center"/>
    </xf>
    <xf numFmtId="0" fontId="0" fillId="2" borderId="13" xfId="0" applyFill="1" applyBorder="1" applyAlignment="1">
      <alignment horizontal="center" vertical="center"/>
    </xf>
    <xf numFmtId="0" fontId="1" fillId="2" borderId="10" xfId="0" applyFont="1" applyFill="1" applyBorder="1" applyAlignment="1">
      <alignment horizontal="center" vertical="center"/>
    </xf>
    <xf numFmtId="0" fontId="0" fillId="2" borderId="11" xfId="0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2" fillId="0" borderId="6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2" fillId="3" borderId="6" xfId="0" applyFont="1" applyFill="1" applyBorder="1" applyAlignment="1">
      <alignment horizontal="center"/>
    </xf>
    <xf numFmtId="0" fontId="2" fillId="3" borderId="7" xfId="0" applyFont="1" applyFill="1" applyBorder="1" applyAlignment="1">
      <alignment horizont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3" borderId="6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0" borderId="15" xfId="0" applyBorder="1" applyAlignment="1">
      <alignment horizontal="center"/>
    </xf>
    <xf numFmtId="0" fontId="7" fillId="2" borderId="1" xfId="0" applyFont="1" applyFill="1" applyBorder="1" applyAlignment="1">
      <alignment horizontal="center" vertical="center"/>
    </xf>
    <xf numFmtId="0" fontId="8" fillId="2" borderId="3" xfId="0" applyFont="1" applyFill="1" applyBorder="1" applyAlignment="1">
      <alignment horizontal="center" vertical="center"/>
    </xf>
    <xf numFmtId="0" fontId="8" fillId="2" borderId="6" xfId="0" applyFont="1" applyFill="1" applyBorder="1" applyAlignment="1">
      <alignment horizontal="center" vertical="center"/>
    </xf>
    <xf numFmtId="0" fontId="8" fillId="2" borderId="7" xfId="0" applyFont="1" applyFill="1" applyBorder="1" applyAlignment="1">
      <alignment horizontal="center" vertical="center"/>
    </xf>
    <xf numFmtId="0" fontId="8" fillId="2" borderId="12" xfId="0" applyFont="1" applyFill="1" applyBorder="1" applyAlignment="1">
      <alignment horizontal="center" vertical="center"/>
    </xf>
    <xf numFmtId="0" fontId="8" fillId="2" borderId="13" xfId="0" applyFont="1" applyFill="1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9" fillId="2" borderId="3" xfId="0" applyFont="1" applyFill="1" applyBorder="1" applyAlignment="1">
      <alignment horizontal="center" vertical="center"/>
    </xf>
    <xf numFmtId="0" fontId="9" fillId="2" borderId="6" xfId="0" applyFont="1" applyFill="1" applyBorder="1" applyAlignment="1">
      <alignment horizontal="center" vertical="center"/>
    </xf>
    <xf numFmtId="0" fontId="9" fillId="2" borderId="7" xfId="0" applyFont="1" applyFill="1" applyBorder="1" applyAlignment="1">
      <alignment horizontal="center" vertical="center"/>
    </xf>
    <xf numFmtId="0" fontId="9" fillId="2" borderId="12" xfId="0" applyFont="1" applyFill="1" applyBorder="1" applyAlignment="1">
      <alignment horizontal="center" vertical="center"/>
    </xf>
    <xf numFmtId="0" fontId="9" fillId="2" borderId="13" xfId="0" applyFont="1" applyFill="1" applyBorder="1" applyAlignment="1">
      <alignment horizontal="center" vertical="center"/>
    </xf>
    <xf numFmtId="0" fontId="2" fillId="4" borderId="6" xfId="0" applyFont="1" applyFill="1" applyBorder="1" applyAlignment="1">
      <alignment horizontal="center"/>
    </xf>
    <xf numFmtId="0" fontId="2" fillId="4" borderId="7" xfId="0" applyFont="1" applyFill="1" applyBorder="1" applyAlignment="1">
      <alignment horizontal="center"/>
    </xf>
    <xf numFmtId="0" fontId="5" fillId="2" borderId="8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5" fillId="2" borderId="14" xfId="0" applyFont="1" applyFill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10" fillId="0" borderId="6" xfId="0" applyFont="1" applyBorder="1" applyAlignment="1">
      <alignment horizontal="center" vertical="center"/>
    </xf>
    <xf numFmtId="0" fontId="10" fillId="0" borderId="7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0" fillId="4" borderId="8" xfId="0" applyFill="1" applyBorder="1" applyAlignment="1">
      <alignment horizontal="center" vertical="center"/>
    </xf>
    <xf numFmtId="0" fontId="0" fillId="4" borderId="14" xfId="0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0" fontId="5" fillId="5" borderId="8" xfId="0" applyFont="1" applyFill="1" applyBorder="1" applyAlignment="1">
      <alignment horizontal="center" vertical="center"/>
    </xf>
    <xf numFmtId="0" fontId="5" fillId="5" borderId="9" xfId="0" applyFont="1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0" fontId="0" fillId="5" borderId="3" xfId="0" applyFill="1" applyBorder="1" applyAlignment="1">
      <alignment horizontal="center" vertical="center"/>
    </xf>
    <xf numFmtId="0" fontId="0" fillId="5" borderId="6" xfId="0" applyFill="1" applyBorder="1" applyAlignment="1">
      <alignment horizontal="center" vertical="center"/>
    </xf>
    <xf numFmtId="0" fontId="0" fillId="5" borderId="7" xfId="0" applyFill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2" fillId="5" borderId="1" xfId="0" applyFont="1" applyFill="1" applyBorder="1" applyAlignment="1">
      <alignment horizontal="center" vertical="center"/>
    </xf>
    <xf numFmtId="0" fontId="2" fillId="5" borderId="2" xfId="0" applyFont="1" applyFill="1" applyBorder="1" applyAlignment="1">
      <alignment horizontal="center" vertical="center"/>
    </xf>
    <xf numFmtId="0" fontId="2" fillId="5" borderId="3" xfId="0" applyFont="1" applyFill="1" applyBorder="1" applyAlignment="1">
      <alignment horizontal="center" vertical="center"/>
    </xf>
    <xf numFmtId="0" fontId="2" fillId="5" borderId="6" xfId="0" applyFont="1" applyFill="1" applyBorder="1" applyAlignment="1">
      <alignment horizontal="center" vertical="center"/>
    </xf>
    <xf numFmtId="0" fontId="2" fillId="5" borderId="15" xfId="0" applyFont="1" applyFill="1" applyBorder="1" applyAlignment="1">
      <alignment horizontal="center" vertical="center"/>
    </xf>
    <xf numFmtId="0" fontId="2" fillId="5" borderId="7" xfId="0" applyFont="1" applyFill="1" applyBorder="1" applyAlignment="1">
      <alignment horizontal="center" vertical="center"/>
    </xf>
    <xf numFmtId="0" fontId="5" fillId="5" borderId="14" xfId="0" applyFont="1" applyFill="1" applyBorder="1" applyAlignment="1">
      <alignment horizontal="center" vertical="center"/>
    </xf>
    <xf numFmtId="0" fontId="10" fillId="5" borderId="1" xfId="0" applyFont="1" applyFill="1" applyBorder="1" applyAlignment="1">
      <alignment horizontal="center" vertical="center"/>
    </xf>
    <xf numFmtId="0" fontId="10" fillId="5" borderId="2" xfId="0" applyFont="1" applyFill="1" applyBorder="1" applyAlignment="1">
      <alignment horizontal="center" vertical="center"/>
    </xf>
    <xf numFmtId="0" fontId="10" fillId="5" borderId="3" xfId="0" applyFont="1" applyFill="1" applyBorder="1" applyAlignment="1">
      <alignment horizontal="center" vertical="center"/>
    </xf>
    <xf numFmtId="0" fontId="10" fillId="5" borderId="4" xfId="0" applyFont="1" applyFill="1" applyBorder="1" applyAlignment="1">
      <alignment horizontal="center" vertical="center"/>
    </xf>
    <xf numFmtId="0" fontId="10" fillId="5" borderId="0" xfId="0" applyFont="1" applyFill="1" applyAlignment="1">
      <alignment horizontal="center" vertical="center"/>
    </xf>
    <xf numFmtId="0" fontId="10" fillId="5" borderId="5" xfId="0" applyFont="1" applyFill="1" applyBorder="1" applyAlignment="1">
      <alignment horizontal="center" vertical="center"/>
    </xf>
    <xf numFmtId="0" fontId="10" fillId="5" borderId="6" xfId="0" applyFont="1" applyFill="1" applyBorder="1" applyAlignment="1">
      <alignment horizontal="center" vertical="center"/>
    </xf>
    <xf numFmtId="0" fontId="10" fillId="5" borderId="15" xfId="0" applyFont="1" applyFill="1" applyBorder="1" applyAlignment="1">
      <alignment horizontal="center" vertical="center"/>
    </xf>
    <xf numFmtId="0" fontId="10" fillId="5" borderId="7" xfId="0" applyFont="1" applyFill="1" applyBorder="1" applyAlignment="1">
      <alignment horizontal="center" vertical="center"/>
    </xf>
    <xf numFmtId="165" fontId="9" fillId="5" borderId="5" xfId="0" applyNumberFormat="1" applyFont="1" applyFill="1" applyBorder="1" applyAlignment="1">
      <alignment horizontal="center"/>
    </xf>
    <xf numFmtId="0" fontId="2" fillId="5" borderId="1" xfId="0" applyFont="1" applyFill="1" applyBorder="1" applyAlignment="1">
      <alignment horizontal="center"/>
    </xf>
    <xf numFmtId="0" fontId="2" fillId="5" borderId="2" xfId="0" applyFont="1" applyFill="1" applyBorder="1" applyAlignment="1">
      <alignment horizontal="center"/>
    </xf>
    <xf numFmtId="0" fontId="2" fillId="5" borderId="3" xfId="0" applyFont="1" applyFill="1" applyBorder="1" applyAlignment="1">
      <alignment horizontal="center"/>
    </xf>
    <xf numFmtId="0" fontId="2" fillId="5" borderId="0" xfId="0" applyFont="1" applyFill="1" applyAlignment="1">
      <alignment horizontal="center"/>
    </xf>
    <xf numFmtId="0" fontId="2" fillId="5" borderId="5" xfId="0" applyFont="1" applyFill="1" applyBorder="1" applyAlignment="1">
      <alignment horizontal="center"/>
    </xf>
    <xf numFmtId="0" fontId="11" fillId="0" borderId="3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168" fontId="11" fillId="0" borderId="3" xfId="0" applyNumberFormat="1" applyFont="1" applyBorder="1" applyAlignment="1">
      <alignment horizontal="center" vertical="center"/>
    </xf>
    <xf numFmtId="168" fontId="11" fillId="0" borderId="7" xfId="0" applyNumberFormat="1" applyFont="1" applyBorder="1" applyAlignment="1">
      <alignment horizontal="center" vertical="center"/>
    </xf>
    <xf numFmtId="168" fontId="3" fillId="0" borderId="10" xfId="0" applyNumberFormat="1" applyFont="1" applyBorder="1" applyAlignment="1">
      <alignment horizontal="center" vertical="center"/>
    </xf>
    <xf numFmtId="168" fontId="3" fillId="0" borderId="11" xfId="0" applyNumberFormat="1" applyFont="1" applyBorder="1" applyAlignment="1">
      <alignment horizontal="center" vertical="center"/>
    </xf>
    <xf numFmtId="168" fontId="4" fillId="0" borderId="8" xfId="0" applyNumberFormat="1" applyFont="1" applyBorder="1" applyAlignment="1">
      <alignment horizontal="center" vertical="center"/>
    </xf>
    <xf numFmtId="168" fontId="4" fillId="0" borderId="9" xfId="0" applyNumberFormat="1" applyFont="1" applyBorder="1" applyAlignment="1">
      <alignment horizontal="center" vertical="center"/>
    </xf>
    <xf numFmtId="168" fontId="0" fillId="0" borderId="8" xfId="0" applyNumberFormat="1" applyBorder="1" applyAlignment="1">
      <alignment horizontal="center" vertical="center"/>
    </xf>
    <xf numFmtId="168" fontId="0" fillId="0" borderId="9" xfId="0" applyNumberFormat="1" applyBorder="1" applyAlignment="1">
      <alignment horizontal="center" vertical="center"/>
    </xf>
    <xf numFmtId="168" fontId="2" fillId="3" borderId="6" xfId="0" applyNumberFormat="1" applyFont="1" applyFill="1" applyBorder="1" applyAlignment="1">
      <alignment horizontal="center"/>
    </xf>
    <xf numFmtId="168" fontId="2" fillId="3" borderId="7" xfId="0" applyNumberFormat="1" applyFont="1" applyFill="1" applyBorder="1" applyAlignment="1">
      <alignment horizontal="center"/>
    </xf>
    <xf numFmtId="168" fontId="2" fillId="0" borderId="6" xfId="0" applyNumberFormat="1" applyFont="1" applyBorder="1" applyAlignment="1">
      <alignment horizontal="center"/>
    </xf>
    <xf numFmtId="168" fontId="2" fillId="0" borderId="7" xfId="0" applyNumberFormat="1" applyFont="1" applyBorder="1" applyAlignment="1">
      <alignment horizontal="center"/>
    </xf>
    <xf numFmtId="168" fontId="5" fillId="2" borderId="1" xfId="0" applyNumberFormat="1" applyFont="1" applyFill="1" applyBorder="1" applyAlignment="1">
      <alignment horizontal="center" vertical="center"/>
    </xf>
    <xf numFmtId="168" fontId="0" fillId="2" borderId="6" xfId="0" applyNumberFormat="1" applyFill="1" applyBorder="1" applyAlignment="1">
      <alignment horizontal="center" vertical="center"/>
    </xf>
    <xf numFmtId="169" fontId="1" fillId="0" borderId="8" xfId="0" applyNumberFormat="1" applyFont="1" applyBorder="1" applyAlignment="1">
      <alignment horizontal="center" vertical="center"/>
    </xf>
    <xf numFmtId="169" fontId="0" fillId="0" borderId="9" xfId="0" applyNumberFormat="1" applyBorder="1" applyAlignment="1">
      <alignment horizontal="center" vertical="center"/>
    </xf>
    <xf numFmtId="168" fontId="1" fillId="2" borderId="1" xfId="0" applyNumberFormat="1" applyFont="1" applyFill="1" applyBorder="1" applyAlignment="1">
      <alignment horizontal="center" vertical="center"/>
    </xf>
    <xf numFmtId="168" fontId="1" fillId="2" borderId="8" xfId="0" applyNumberFormat="1" applyFont="1" applyFill="1" applyBorder="1" applyAlignment="1">
      <alignment horizontal="center" vertical="center"/>
    </xf>
    <xf numFmtId="168" fontId="0" fillId="2" borderId="9" xfId="0" applyNumberFormat="1" applyFill="1" applyBorder="1" applyAlignment="1">
      <alignment horizontal="center" vertical="center"/>
    </xf>
    <xf numFmtId="168" fontId="7" fillId="2" borderId="1" xfId="0" applyNumberFormat="1" applyFont="1" applyFill="1" applyBorder="1" applyAlignment="1">
      <alignment horizontal="center" vertical="center"/>
    </xf>
    <xf numFmtId="168" fontId="8" fillId="2" borderId="3" xfId="0" applyNumberFormat="1" applyFont="1" applyFill="1" applyBorder="1" applyAlignment="1">
      <alignment horizontal="center" vertical="center"/>
    </xf>
    <xf numFmtId="168" fontId="8" fillId="2" borderId="6" xfId="0" applyNumberFormat="1" applyFont="1" applyFill="1" applyBorder="1" applyAlignment="1">
      <alignment horizontal="center" vertical="center"/>
    </xf>
    <xf numFmtId="168" fontId="8" fillId="2" borderId="7" xfId="0" applyNumberFormat="1" applyFont="1" applyFill="1" applyBorder="1" applyAlignment="1">
      <alignment horizontal="center" vertical="center"/>
    </xf>
    <xf numFmtId="168" fontId="8" fillId="2" borderId="12" xfId="0" applyNumberFormat="1" applyFont="1" applyFill="1" applyBorder="1" applyAlignment="1">
      <alignment horizontal="center" vertical="center"/>
    </xf>
    <xf numFmtId="168" fontId="8" fillId="2" borderId="13" xfId="0" applyNumberFormat="1" applyFont="1" applyFill="1" applyBorder="1" applyAlignment="1">
      <alignment horizontal="center" vertical="center"/>
    </xf>
    <xf numFmtId="168" fontId="1" fillId="2" borderId="10" xfId="0" applyNumberFormat="1" applyFont="1" applyFill="1" applyBorder="1" applyAlignment="1">
      <alignment horizontal="center" vertical="center"/>
    </xf>
    <xf numFmtId="168" fontId="0" fillId="2" borderId="11" xfId="0" applyNumberFormat="1" applyFill="1" applyBorder="1" applyAlignment="1">
      <alignment horizontal="center" vertical="center"/>
    </xf>
    <xf numFmtId="168" fontId="0" fillId="3" borderId="6" xfId="0" applyNumberFormat="1" applyFill="1" applyBorder="1" applyAlignment="1">
      <alignment horizontal="center"/>
    </xf>
    <xf numFmtId="168" fontId="0" fillId="3" borderId="7" xfId="0" applyNumberFormat="1" applyFill="1" applyBorder="1" applyAlignment="1">
      <alignment horizontal="center"/>
    </xf>
    <xf numFmtId="168" fontId="2" fillId="0" borderId="6" xfId="0" quotePrefix="1" applyNumberFormat="1" applyFont="1" applyBorder="1" applyAlignment="1">
      <alignment horizontal="center"/>
    </xf>
    <xf numFmtId="168" fontId="2" fillId="0" borderId="7" xfId="0" quotePrefix="1" applyNumberFormat="1" applyFont="1" applyBorder="1" applyAlignment="1">
      <alignment horizontal="center"/>
    </xf>
    <xf numFmtId="168" fontId="0" fillId="2" borderId="1" xfId="0" applyNumberFormat="1" applyFill="1" applyBorder="1" applyAlignment="1">
      <alignment horizontal="center" vertical="center" textRotation="104"/>
    </xf>
    <xf numFmtId="168" fontId="0" fillId="2" borderId="6" xfId="0" applyNumberFormat="1" applyFill="1" applyBorder="1" applyAlignment="1">
      <alignment horizontal="center" vertical="center" textRotation="104"/>
    </xf>
    <xf numFmtId="168" fontId="11" fillId="0" borderId="8" xfId="0" applyNumberFormat="1" applyFont="1" applyBorder="1" applyAlignment="1">
      <alignment horizontal="center" vertical="center"/>
    </xf>
    <xf numFmtId="168" fontId="11" fillId="0" borderId="9" xfId="0" applyNumberFormat="1" applyFont="1" applyBorder="1" applyAlignment="1">
      <alignment horizontal="center" vertical="center"/>
    </xf>
    <xf numFmtId="1" fontId="2" fillId="0" borderId="6" xfId="0" applyNumberFormat="1" applyFont="1" applyBorder="1" applyAlignment="1">
      <alignment horizontal="center"/>
    </xf>
    <xf numFmtId="1" fontId="2" fillId="0" borderId="7" xfId="0" applyNumberFormat="1" applyFont="1" applyBorder="1" applyAlignment="1">
      <alignment horizontal="center"/>
    </xf>
    <xf numFmtId="170" fontId="3" fillId="0" borderId="10" xfId="0" applyNumberFormat="1" applyFont="1" applyBorder="1" applyAlignment="1">
      <alignment horizontal="center" vertical="center"/>
    </xf>
    <xf numFmtId="170" fontId="3" fillId="0" borderId="11" xfId="0" applyNumberFormat="1" applyFont="1" applyBorder="1" applyAlignment="1">
      <alignment horizontal="center" vertical="center"/>
    </xf>
    <xf numFmtId="1" fontId="4" fillId="0" borderId="8" xfId="0" applyNumberFormat="1" applyFont="1" applyBorder="1" applyAlignment="1">
      <alignment horizontal="center" vertical="center"/>
    </xf>
    <xf numFmtId="1" fontId="4" fillId="0" borderId="9" xfId="0" applyNumberFormat="1" applyFont="1" applyBorder="1" applyAlignment="1">
      <alignment horizontal="center" vertical="center"/>
    </xf>
    <xf numFmtId="1" fontId="0" fillId="0" borderId="8" xfId="0" applyNumberFormat="1" applyBorder="1" applyAlignment="1">
      <alignment horizontal="center" vertical="center"/>
    </xf>
    <xf numFmtId="1" fontId="0" fillId="0" borderId="9" xfId="0" applyNumberFormat="1" applyBorder="1" applyAlignment="1">
      <alignment horizontal="center" vertical="center"/>
    </xf>
    <xf numFmtId="1" fontId="0" fillId="3" borderId="6" xfId="0" applyNumberFormat="1" applyFill="1" applyBorder="1" applyAlignment="1">
      <alignment horizontal="center"/>
    </xf>
    <xf numFmtId="1" fontId="0" fillId="3" borderId="7" xfId="0" applyNumberFormat="1" applyFill="1" applyBorder="1" applyAlignment="1">
      <alignment horizontal="center"/>
    </xf>
    <xf numFmtId="1" fontId="2" fillId="3" borderId="6" xfId="0" applyNumberFormat="1" applyFont="1" applyFill="1" applyBorder="1" applyAlignment="1">
      <alignment horizontal="center"/>
    </xf>
    <xf numFmtId="1" fontId="2" fillId="3" borderId="7" xfId="0" applyNumberFormat="1" applyFont="1" applyFill="1" applyBorder="1" applyAlignment="1">
      <alignment horizontal="center"/>
    </xf>
    <xf numFmtId="0" fontId="20" fillId="0" borderId="1" xfId="0" applyFont="1" applyBorder="1" applyAlignment="1">
      <alignment horizontal="center"/>
    </xf>
    <xf numFmtId="0" fontId="20" fillId="0" borderId="2" xfId="0" applyFont="1" applyBorder="1" applyAlignment="1">
      <alignment horizontal="center"/>
    </xf>
    <xf numFmtId="0" fontId="20" fillId="0" borderId="3" xfId="0" applyFont="1" applyBorder="1" applyAlignment="1">
      <alignment horizontal="center"/>
    </xf>
    <xf numFmtId="0" fontId="0" fillId="4" borderId="1" xfId="0" applyFill="1" applyBorder="1" applyAlignment="1">
      <alignment horizontal="center" vertical="center"/>
    </xf>
    <xf numFmtId="0" fontId="0" fillId="4" borderId="4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165" fontId="9" fillId="5" borderId="7" xfId="0" applyNumberFormat="1" applyFont="1" applyFill="1" applyBorder="1" applyAlignment="1">
      <alignment horizontal="center"/>
    </xf>
    <xf numFmtId="20" fontId="4" fillId="5" borderId="15" xfId="0" quotePrefix="1" applyNumberFormat="1" applyFont="1" applyFill="1" applyBorder="1" applyAlignment="1">
      <alignment horizontal="center"/>
    </xf>
    <xf numFmtId="20" fontId="4" fillId="5" borderId="15" xfId="0" applyNumberFormat="1" applyFont="1" applyFill="1" applyBorder="1" applyAlignment="1">
      <alignment horizontal="center"/>
    </xf>
    <xf numFmtId="168" fontId="11" fillId="0" borderId="8" xfId="0" quotePrefix="1" applyNumberFormat="1" applyFont="1" applyBorder="1" applyAlignment="1">
      <alignment horizontal="center" vertical="center"/>
    </xf>
    <xf numFmtId="168" fontId="11" fillId="0" borderId="9" xfId="0" quotePrefix="1" applyNumberFormat="1" applyFont="1" applyBorder="1" applyAlignment="1">
      <alignment horizontal="center" vertical="center"/>
    </xf>
    <xf numFmtId="168" fontId="16" fillId="2" borderId="1" xfId="0" applyNumberFormat="1" applyFont="1" applyFill="1" applyBorder="1" applyAlignment="1">
      <alignment horizontal="center" vertical="center"/>
    </xf>
    <xf numFmtId="168" fontId="17" fillId="2" borderId="6" xfId="0" applyNumberFormat="1" applyFont="1" applyFill="1" applyBorder="1" applyAlignment="1">
      <alignment horizontal="center" vertical="center"/>
    </xf>
    <xf numFmtId="168" fontId="6" fillId="2" borderId="8" xfId="0" applyNumberFormat="1" applyFont="1" applyFill="1" applyBorder="1" applyAlignment="1">
      <alignment horizontal="center" vertical="center"/>
    </xf>
    <xf numFmtId="0" fontId="19" fillId="0" borderId="0" xfId="0" applyFont="1" applyAlignment="1">
      <alignment horizontal="center"/>
    </xf>
    <xf numFmtId="168" fontId="2" fillId="0" borderId="0" xfId="0" applyNumberFormat="1" applyFont="1" applyFill="1" applyBorder="1"/>
    <xf numFmtId="168" fontId="2" fillId="9" borderId="16" xfId="0" applyNumberFormat="1" applyFont="1" applyFill="1" applyBorder="1"/>
    <xf numFmtId="0" fontId="0" fillId="9" borderId="16" xfId="0" applyFill="1" applyBorder="1"/>
    <xf numFmtId="171" fontId="14" fillId="9" borderId="16" xfId="0" applyNumberFormat="1" applyFont="1" applyFill="1" applyBorder="1"/>
    <xf numFmtId="0" fontId="0" fillId="4" borderId="16" xfId="0" applyFill="1" applyBorder="1"/>
    <xf numFmtId="0" fontId="0" fillId="10" borderId="0" xfId="0" applyFill="1"/>
  </cellXfs>
  <cellStyles count="2">
    <cellStyle name="Lien hypertexte" xfId="1" builtinId="8"/>
    <cellStyle name="Normal" xfId="0" builtinId="0"/>
  </cellStyles>
  <dxfs count="203">
    <dxf>
      <font>
        <b/>
        <i val="0"/>
        <color rgb="FF3333CC"/>
      </font>
      <fill>
        <patternFill>
          <bgColor theme="8" tint="0.79998168889431442"/>
        </patternFill>
      </fill>
    </dxf>
    <dxf>
      <font>
        <b/>
        <i val="0"/>
        <color rgb="FFFF0000"/>
      </font>
      <fill>
        <patternFill>
          <fgColor rgb="FFFFFF00"/>
          <bgColor rgb="FFFFFF00"/>
        </patternFill>
      </fill>
    </dxf>
    <dxf>
      <font>
        <b/>
        <i val="0"/>
        <color rgb="FF3333CC"/>
      </font>
      <fill>
        <patternFill>
          <bgColor theme="8" tint="0.79998168889431442"/>
        </patternFill>
      </fill>
    </dxf>
    <dxf>
      <font>
        <b/>
        <i val="0"/>
        <color rgb="FFFF0000"/>
      </font>
      <fill>
        <patternFill>
          <fgColor rgb="FFFFFF00"/>
          <bgColor rgb="FFFFFF00"/>
        </patternFill>
      </fill>
    </dxf>
    <dxf>
      <font>
        <b/>
        <i val="0"/>
        <color rgb="FF3333CC"/>
      </font>
      <fill>
        <patternFill>
          <bgColor theme="8" tint="0.79998168889431442"/>
        </patternFill>
      </fill>
    </dxf>
    <dxf>
      <font>
        <b/>
        <i val="0"/>
        <color rgb="FFFF0000"/>
      </font>
      <fill>
        <patternFill>
          <fgColor rgb="FFFFFF00"/>
          <bgColor rgb="FFFFFF00"/>
        </patternFill>
      </fill>
    </dxf>
    <dxf>
      <font>
        <b/>
        <i val="0"/>
        <color rgb="FF3333CC"/>
      </font>
      <fill>
        <patternFill>
          <bgColor theme="8" tint="0.79998168889431442"/>
        </patternFill>
      </fill>
    </dxf>
    <dxf>
      <font>
        <b/>
        <i val="0"/>
        <color rgb="FFFF0000"/>
      </font>
      <fill>
        <patternFill>
          <fgColor rgb="FFFFFF00"/>
          <bgColor rgb="FFFFFF00"/>
        </patternFill>
      </fill>
    </dxf>
    <dxf>
      <font>
        <b/>
        <i val="0"/>
        <color rgb="FF3333CC"/>
      </font>
      <fill>
        <patternFill>
          <bgColor theme="8" tint="0.79998168889431442"/>
        </patternFill>
      </fill>
    </dxf>
    <dxf>
      <font>
        <b/>
        <i val="0"/>
        <color rgb="FFFF0000"/>
      </font>
      <fill>
        <patternFill>
          <fgColor rgb="FFFFFF00"/>
          <bgColor rgb="FFFFFF00"/>
        </patternFill>
      </fill>
    </dxf>
    <dxf>
      <font>
        <b/>
        <i val="0"/>
        <color rgb="FF3333CC"/>
      </font>
      <fill>
        <patternFill>
          <bgColor theme="8" tint="0.79998168889431442"/>
        </patternFill>
      </fill>
    </dxf>
    <dxf>
      <font>
        <b/>
        <i val="0"/>
        <color rgb="FFFF0000"/>
      </font>
      <fill>
        <patternFill>
          <fgColor rgb="FFFFFF00"/>
          <bgColor rgb="FFFFFF00"/>
        </patternFill>
      </fill>
    </dxf>
    <dxf>
      <font>
        <b/>
        <i val="0"/>
        <color rgb="FF3333CC"/>
      </font>
      <fill>
        <patternFill>
          <bgColor theme="8" tint="0.79998168889431442"/>
        </patternFill>
      </fill>
    </dxf>
    <dxf>
      <font>
        <b/>
        <i val="0"/>
        <color rgb="FFFF0000"/>
      </font>
      <fill>
        <patternFill>
          <fgColor rgb="FFFFFF00"/>
          <bgColor rgb="FFFFFF00"/>
        </patternFill>
      </fill>
    </dxf>
    <dxf>
      <font>
        <b/>
        <i val="0"/>
        <color rgb="FF3333CC"/>
      </font>
      <fill>
        <patternFill>
          <bgColor theme="8" tint="0.79998168889431442"/>
        </patternFill>
      </fill>
    </dxf>
    <dxf>
      <font>
        <b/>
        <i val="0"/>
        <color rgb="FFFF0000"/>
      </font>
      <fill>
        <patternFill>
          <fgColor rgb="FFFFFF00"/>
          <bgColor rgb="FFFFFF00"/>
        </patternFill>
      </fill>
    </dxf>
    <dxf>
      <font>
        <b/>
        <i val="0"/>
        <color rgb="FF3333CC"/>
      </font>
      <fill>
        <patternFill>
          <bgColor theme="8" tint="0.79998168889431442"/>
        </patternFill>
      </fill>
    </dxf>
    <dxf>
      <font>
        <b/>
        <i val="0"/>
        <color rgb="FFFF0000"/>
      </font>
      <fill>
        <patternFill>
          <fgColor rgb="FFFFFF00"/>
          <bgColor rgb="FFFFFF00"/>
        </patternFill>
      </fill>
    </dxf>
    <dxf>
      <font>
        <b/>
        <i val="0"/>
        <color rgb="FF3333CC"/>
      </font>
      <fill>
        <patternFill>
          <bgColor theme="8" tint="0.79998168889431442"/>
        </patternFill>
      </fill>
    </dxf>
    <dxf>
      <font>
        <b/>
        <i val="0"/>
        <color rgb="FFFF0000"/>
      </font>
      <fill>
        <patternFill>
          <fgColor rgb="FFFFFF00"/>
          <bgColor rgb="FFFFFF00"/>
        </patternFill>
      </fill>
    </dxf>
    <dxf>
      <font>
        <b/>
        <i val="0"/>
        <color rgb="FF3333CC"/>
      </font>
      <fill>
        <patternFill>
          <bgColor theme="8" tint="0.79998168889431442"/>
        </patternFill>
      </fill>
    </dxf>
    <dxf>
      <font>
        <b/>
        <i val="0"/>
        <color rgb="FFFF0000"/>
      </font>
      <fill>
        <patternFill>
          <fgColor rgb="FFFFFF00"/>
          <bgColor rgb="FFFFFF00"/>
        </patternFill>
      </fill>
    </dxf>
    <dxf>
      <font>
        <b/>
        <i val="0"/>
        <color rgb="FF3333CC"/>
      </font>
      <fill>
        <patternFill>
          <bgColor theme="8" tint="0.79998168889431442"/>
        </patternFill>
      </fill>
    </dxf>
    <dxf>
      <font>
        <b/>
        <i val="0"/>
        <color rgb="FFFF0000"/>
      </font>
      <fill>
        <patternFill>
          <fgColor rgb="FFFFFF00"/>
          <bgColor rgb="FFFFFF00"/>
        </patternFill>
      </fill>
    </dxf>
    <dxf>
      <font>
        <b/>
        <i val="0"/>
        <color rgb="FF3333CC"/>
      </font>
      <fill>
        <patternFill>
          <bgColor theme="8" tint="0.79998168889431442"/>
        </patternFill>
      </fill>
    </dxf>
    <dxf>
      <font>
        <b/>
        <i val="0"/>
        <color rgb="FFFF0000"/>
      </font>
      <fill>
        <patternFill>
          <fgColor rgb="FFFFFF00"/>
          <bgColor rgb="FFFFFF00"/>
        </patternFill>
      </fill>
    </dxf>
    <dxf>
      <font>
        <b/>
        <i val="0"/>
        <color rgb="FF3333CC"/>
      </font>
      <fill>
        <patternFill>
          <bgColor theme="8" tint="0.79998168889431442"/>
        </patternFill>
      </fill>
    </dxf>
    <dxf>
      <font>
        <b/>
        <i val="0"/>
        <color rgb="FFFF0000"/>
      </font>
      <fill>
        <patternFill>
          <fgColor rgb="FFFFFF00"/>
          <bgColor rgb="FFFFFF00"/>
        </patternFill>
      </fill>
    </dxf>
    <dxf>
      <font>
        <b/>
        <i val="0"/>
        <color rgb="FF3333CC"/>
      </font>
      <fill>
        <patternFill>
          <bgColor theme="8" tint="0.79998168889431442"/>
        </patternFill>
      </fill>
    </dxf>
    <dxf>
      <font>
        <b/>
        <i val="0"/>
        <color rgb="FFFF0000"/>
      </font>
      <fill>
        <patternFill>
          <fgColor rgb="FFFFFF00"/>
          <bgColor rgb="FFFFFF00"/>
        </patternFill>
      </fill>
    </dxf>
    <dxf>
      <font>
        <b/>
        <i val="0"/>
        <color rgb="FF3333CC"/>
      </font>
      <fill>
        <patternFill>
          <bgColor theme="8" tint="0.79998168889431442"/>
        </patternFill>
      </fill>
    </dxf>
    <dxf>
      <font>
        <b/>
        <i val="0"/>
        <color rgb="FFFF0000"/>
      </font>
      <fill>
        <patternFill>
          <fgColor rgb="FFFFFF00"/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3333CC"/>
      </font>
      <fill>
        <patternFill>
          <bgColor theme="8" tint="0.79998168889431442"/>
        </patternFill>
      </fill>
    </dxf>
    <dxf>
      <font>
        <b/>
        <i val="0"/>
        <color rgb="FFFF0000"/>
      </font>
      <fill>
        <patternFill>
          <fgColor rgb="FFFFFF00"/>
          <bgColor rgb="FFFFFF00"/>
        </patternFill>
      </fill>
    </dxf>
    <dxf>
      <font>
        <b/>
        <i val="0"/>
        <color rgb="FF3333CC"/>
      </font>
      <fill>
        <patternFill>
          <bgColor theme="8" tint="0.79998168889431442"/>
        </patternFill>
      </fill>
    </dxf>
    <dxf>
      <font>
        <b/>
        <i val="0"/>
        <color rgb="FFFF0000"/>
      </font>
      <fill>
        <patternFill>
          <fgColor rgb="FFFFFF00"/>
          <bgColor rgb="FFFFFF00"/>
        </patternFill>
      </fill>
    </dxf>
    <dxf>
      <font>
        <b/>
        <i val="0"/>
        <color rgb="FF3333CC"/>
      </font>
      <fill>
        <patternFill>
          <bgColor theme="8" tint="0.79998168889431442"/>
        </patternFill>
      </fill>
    </dxf>
    <dxf>
      <font>
        <b/>
        <i val="0"/>
        <color rgb="FFFF0000"/>
      </font>
      <fill>
        <patternFill>
          <fgColor rgb="FFFFFF00"/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3" tint="0.79998168889431442"/>
      </font>
    </dxf>
    <dxf>
      <font>
        <color theme="3" tint="0.79998168889431442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3333CC"/>
      </font>
      <fill>
        <patternFill>
          <bgColor theme="8" tint="0.79998168889431442"/>
        </patternFill>
      </fill>
    </dxf>
    <dxf>
      <font>
        <b/>
        <i val="0"/>
        <color rgb="FFFF0000"/>
      </font>
      <fill>
        <patternFill>
          <fgColor rgb="FFFFFF00"/>
          <bgColor rgb="FFFFFF00"/>
        </patternFill>
      </fill>
    </dxf>
    <dxf>
      <font>
        <b/>
        <i val="0"/>
        <color rgb="FF3333CC"/>
      </font>
      <fill>
        <patternFill>
          <bgColor theme="8" tint="0.79998168889431442"/>
        </patternFill>
      </fill>
    </dxf>
    <dxf>
      <font>
        <b/>
        <i val="0"/>
        <color rgb="FFFF0000"/>
      </font>
      <fill>
        <patternFill>
          <fgColor rgb="FFFFFF00"/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3" tint="0.79998168889431442"/>
      </font>
    </dxf>
    <dxf>
      <font>
        <color theme="3" tint="0.79998168889431442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3333CC"/>
      </font>
      <fill>
        <patternFill>
          <bgColor theme="8" tint="0.79998168889431442"/>
        </patternFill>
      </fill>
    </dxf>
    <dxf>
      <font>
        <b/>
        <i val="0"/>
        <color rgb="FFFF0000"/>
      </font>
      <fill>
        <patternFill>
          <fgColor rgb="FFFFFF00"/>
          <bgColor rgb="FFFFFF00"/>
        </patternFill>
      </fill>
    </dxf>
    <dxf>
      <font>
        <b/>
        <i val="0"/>
        <color rgb="FF3333CC"/>
      </font>
      <fill>
        <patternFill>
          <bgColor theme="8" tint="0.79998168889431442"/>
        </patternFill>
      </fill>
    </dxf>
    <dxf>
      <font>
        <b/>
        <i val="0"/>
        <color rgb="FFFF0000"/>
      </font>
      <fill>
        <patternFill>
          <fgColor rgb="FFFFFF00"/>
          <bgColor rgb="FFFFFF00"/>
        </patternFill>
      </fill>
    </dxf>
    <dxf>
      <font>
        <b/>
        <i val="0"/>
        <color rgb="FF3333CC"/>
      </font>
      <fill>
        <patternFill>
          <bgColor theme="8" tint="0.79998168889431442"/>
        </patternFill>
      </fill>
    </dxf>
    <dxf>
      <font>
        <b/>
        <i val="0"/>
        <color rgb="FFFF0000"/>
      </font>
      <fill>
        <patternFill>
          <fgColor rgb="FFFFFF00"/>
          <bgColor rgb="FFFFFF00"/>
        </patternFill>
      </fill>
    </dxf>
    <dxf>
      <font>
        <b/>
        <i val="0"/>
        <color rgb="FF3333CC"/>
      </font>
      <fill>
        <patternFill>
          <bgColor theme="8" tint="0.79998168889431442"/>
        </patternFill>
      </fill>
    </dxf>
    <dxf>
      <font>
        <b/>
        <i val="0"/>
        <color rgb="FFFF0000"/>
      </font>
      <fill>
        <patternFill>
          <fgColor rgb="FFFFFF00"/>
          <bgColor rgb="FFFFFF00"/>
        </patternFill>
      </fill>
    </dxf>
    <dxf>
      <font>
        <b/>
        <i val="0"/>
        <color rgb="FF3333CC"/>
      </font>
      <fill>
        <patternFill>
          <bgColor theme="8" tint="0.79998168889431442"/>
        </patternFill>
      </fill>
    </dxf>
    <dxf>
      <font>
        <b/>
        <i val="0"/>
        <color rgb="FFFF0000"/>
      </font>
      <fill>
        <patternFill>
          <fgColor rgb="FFFFFF00"/>
          <bgColor rgb="FFFFFF00"/>
        </patternFill>
      </fill>
    </dxf>
    <dxf>
      <font>
        <b/>
        <i val="0"/>
        <color rgb="FF3333CC"/>
      </font>
      <fill>
        <patternFill>
          <bgColor theme="8" tint="0.79998168889431442"/>
        </patternFill>
      </fill>
    </dxf>
    <dxf>
      <font>
        <b/>
        <i val="0"/>
        <color rgb="FFFF0000"/>
      </font>
      <fill>
        <patternFill>
          <fgColor rgb="FFFFFF00"/>
          <bgColor rgb="FFFFFF00"/>
        </patternFill>
      </fill>
    </dxf>
    <dxf>
      <font>
        <b/>
        <i val="0"/>
        <color rgb="FF3333CC"/>
      </font>
      <fill>
        <patternFill>
          <bgColor theme="8" tint="0.79998168889431442"/>
        </patternFill>
      </fill>
    </dxf>
    <dxf>
      <font>
        <b/>
        <i val="0"/>
        <color rgb="FFFF0000"/>
      </font>
      <fill>
        <patternFill>
          <fgColor rgb="FFFFFF00"/>
          <bgColor rgb="FFFFFF00"/>
        </patternFill>
      </fill>
    </dxf>
    <dxf>
      <font>
        <b/>
        <i val="0"/>
        <color rgb="FF3333CC"/>
      </font>
      <fill>
        <patternFill>
          <bgColor theme="8" tint="0.79998168889431442"/>
        </patternFill>
      </fill>
    </dxf>
    <dxf>
      <font>
        <b/>
        <i val="0"/>
        <color rgb="FFFF0000"/>
      </font>
      <fill>
        <patternFill>
          <fgColor rgb="FFFFFF00"/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3" tint="0.79998168889431442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3333CC"/>
      </font>
      <fill>
        <patternFill>
          <bgColor theme="8" tint="0.79998168889431442"/>
        </patternFill>
      </fill>
    </dxf>
    <dxf>
      <font>
        <b/>
        <i val="0"/>
        <color rgb="FFFF0000"/>
      </font>
      <fill>
        <patternFill>
          <fgColor rgb="FFFFFF00"/>
          <bgColor rgb="FFFFFF00"/>
        </patternFill>
      </fill>
    </dxf>
    <dxf>
      <font>
        <b/>
        <i val="0"/>
        <color rgb="FF3333CC"/>
      </font>
      <fill>
        <patternFill>
          <bgColor theme="8" tint="0.79998168889431442"/>
        </patternFill>
      </fill>
    </dxf>
    <dxf>
      <font>
        <b/>
        <i val="0"/>
        <color rgb="FFFF0000"/>
      </font>
      <fill>
        <patternFill>
          <fgColor rgb="FFFFFF00"/>
          <bgColor rgb="FFFFFF00"/>
        </patternFill>
      </fill>
    </dxf>
    <dxf>
      <font>
        <b/>
        <i val="0"/>
        <color rgb="FF3333CC"/>
      </font>
      <fill>
        <patternFill>
          <bgColor theme="8" tint="0.79998168889431442"/>
        </patternFill>
      </fill>
    </dxf>
    <dxf>
      <font>
        <b/>
        <i val="0"/>
        <color rgb="FFFF0000"/>
      </font>
      <fill>
        <patternFill>
          <fgColor rgb="FFFFFF00"/>
          <bgColor rgb="FFFFFF00"/>
        </patternFill>
      </fill>
    </dxf>
    <dxf>
      <font>
        <b/>
        <i val="0"/>
        <color rgb="FF3333CC"/>
      </font>
      <fill>
        <patternFill>
          <bgColor theme="8" tint="0.79998168889431442"/>
        </patternFill>
      </fill>
    </dxf>
    <dxf>
      <font>
        <b/>
        <i val="0"/>
        <color rgb="FFFF0000"/>
      </font>
      <fill>
        <patternFill>
          <fgColor rgb="FFFFFF00"/>
          <bgColor rgb="FFFFFF00"/>
        </patternFill>
      </fill>
    </dxf>
    <dxf>
      <font>
        <b/>
        <i val="0"/>
        <color rgb="FF3333CC"/>
      </font>
      <fill>
        <patternFill>
          <bgColor theme="8" tint="0.79998168889431442"/>
        </patternFill>
      </fill>
    </dxf>
    <dxf>
      <font>
        <b/>
        <i val="0"/>
        <color rgb="FFFF0000"/>
      </font>
      <fill>
        <patternFill>
          <fgColor rgb="FFFFFF00"/>
          <bgColor rgb="FFFFFF00"/>
        </patternFill>
      </fill>
    </dxf>
    <dxf>
      <font>
        <b/>
        <i val="0"/>
        <color rgb="FF3333CC"/>
      </font>
      <fill>
        <patternFill>
          <bgColor theme="8" tint="0.79998168889431442"/>
        </patternFill>
      </fill>
    </dxf>
    <dxf>
      <font>
        <b/>
        <i val="0"/>
        <color rgb="FFFF0000"/>
      </font>
      <fill>
        <patternFill>
          <fgColor rgb="FFFFFF00"/>
          <bgColor rgb="FFFFFF00"/>
        </patternFill>
      </fill>
    </dxf>
    <dxf>
      <font>
        <b/>
        <i val="0"/>
        <color rgb="FF3333CC"/>
      </font>
      <fill>
        <patternFill>
          <bgColor theme="8" tint="0.79998168889431442"/>
        </patternFill>
      </fill>
    </dxf>
    <dxf>
      <font>
        <b/>
        <i val="0"/>
        <color rgb="FFFF0000"/>
      </font>
      <fill>
        <patternFill>
          <fgColor rgb="FFFFFF00"/>
          <bgColor rgb="FFFFFF00"/>
        </patternFill>
      </fill>
    </dxf>
    <dxf>
      <font>
        <b/>
        <i val="0"/>
        <color rgb="FF3333CC"/>
      </font>
      <fill>
        <patternFill>
          <bgColor theme="8" tint="0.79998168889431442"/>
        </patternFill>
      </fill>
    </dxf>
    <dxf>
      <font>
        <b/>
        <i val="0"/>
        <color rgb="FFFF0000"/>
      </font>
      <fill>
        <patternFill>
          <fgColor rgb="FFFFFF00"/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color rgb="FF3333CC"/>
      </font>
      <fill>
        <patternFill>
          <bgColor theme="8" tint="0.79998168889431442"/>
        </patternFill>
      </fill>
    </dxf>
    <dxf>
      <font>
        <b/>
        <i val="0"/>
        <color rgb="FFFF0000"/>
      </font>
      <fill>
        <patternFill>
          <fgColor rgb="FFFFFF00"/>
          <bgColor rgb="FFFFFF00"/>
        </patternFill>
      </fill>
    </dxf>
    <dxf>
      <font>
        <b/>
        <i val="0"/>
        <color rgb="FF3333CC"/>
      </font>
      <fill>
        <patternFill>
          <bgColor theme="8" tint="0.79998168889431442"/>
        </patternFill>
      </fill>
    </dxf>
    <dxf>
      <font>
        <b/>
        <i val="0"/>
        <color rgb="FFFF0000"/>
      </font>
      <fill>
        <patternFill>
          <fgColor rgb="FFFFFF00"/>
          <bgColor rgb="FFFFFF00"/>
        </patternFill>
      </fill>
    </dxf>
    <dxf>
      <font>
        <b/>
        <i val="0"/>
        <color rgb="FF3333CC"/>
      </font>
      <fill>
        <patternFill>
          <bgColor theme="8" tint="0.79998168889431442"/>
        </patternFill>
      </fill>
    </dxf>
    <dxf>
      <font>
        <b/>
        <i val="0"/>
        <color rgb="FFFF0000"/>
      </font>
      <fill>
        <patternFill>
          <fgColor rgb="FFFFFF00"/>
          <bgColor rgb="FFFFFF00"/>
        </patternFill>
      </fill>
    </dxf>
    <dxf>
      <font>
        <b/>
        <i val="0"/>
        <color rgb="FF3333CC"/>
      </font>
      <fill>
        <patternFill>
          <bgColor theme="8" tint="0.79998168889431442"/>
        </patternFill>
      </fill>
    </dxf>
    <dxf>
      <font>
        <b/>
        <i val="0"/>
        <color rgb="FFFF0000"/>
      </font>
      <fill>
        <patternFill>
          <fgColor rgb="FFFFFF00"/>
          <bgColor rgb="FFFFFF00"/>
        </patternFill>
      </fill>
    </dxf>
    <dxf>
      <font>
        <b/>
        <i val="0"/>
        <color rgb="FF3333CC"/>
      </font>
      <fill>
        <patternFill>
          <bgColor theme="8" tint="0.79998168889431442"/>
        </patternFill>
      </fill>
    </dxf>
    <dxf>
      <font>
        <b/>
        <i val="0"/>
        <color rgb="FFFF0000"/>
      </font>
      <fill>
        <patternFill>
          <fgColor rgb="FFFFFF00"/>
          <bgColor rgb="FFFFFF00"/>
        </patternFill>
      </fill>
    </dxf>
    <dxf>
      <font>
        <b/>
        <i val="0"/>
        <color rgb="FF3333CC"/>
      </font>
      <fill>
        <patternFill>
          <bgColor theme="8" tint="0.79998168889431442"/>
        </patternFill>
      </fill>
    </dxf>
    <dxf>
      <font>
        <b/>
        <i val="0"/>
        <color rgb="FFFF0000"/>
      </font>
      <fill>
        <patternFill>
          <fgColor rgb="FFFFFF00"/>
          <bgColor rgb="FFFFFF00"/>
        </patternFill>
      </fill>
    </dxf>
    <dxf>
      <font>
        <b/>
        <i val="0"/>
        <color rgb="FF3333CC"/>
      </font>
      <fill>
        <patternFill>
          <bgColor theme="8" tint="0.79998168889431442"/>
        </patternFill>
      </fill>
    </dxf>
    <dxf>
      <font>
        <b/>
        <i val="0"/>
        <color rgb="FFFF0000"/>
      </font>
      <fill>
        <patternFill>
          <fgColor rgb="FFFFFF00"/>
          <bgColor rgb="FFFFFF00"/>
        </patternFill>
      </fill>
    </dxf>
    <dxf>
      <font>
        <b/>
        <i val="0"/>
        <color rgb="FF3333CC"/>
      </font>
      <fill>
        <patternFill>
          <bgColor theme="8" tint="0.79998168889431442"/>
        </patternFill>
      </fill>
    </dxf>
    <dxf>
      <font>
        <b/>
        <i val="0"/>
        <color rgb="FFFF0000"/>
      </font>
      <fill>
        <patternFill>
          <fgColor rgb="FFFFFF00"/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color rgb="FF3333CC"/>
      </font>
      <fill>
        <patternFill>
          <bgColor theme="8" tint="0.79998168889431442"/>
        </patternFill>
      </fill>
    </dxf>
    <dxf>
      <font>
        <b/>
        <i val="0"/>
        <color rgb="FFFF0000"/>
      </font>
      <fill>
        <patternFill>
          <fgColor rgb="FFFFFF00"/>
          <bgColor rgb="FFFFFF00"/>
        </patternFill>
      </fill>
    </dxf>
    <dxf>
      <font>
        <b/>
        <i val="0"/>
        <color rgb="FF3333CC"/>
      </font>
      <fill>
        <patternFill>
          <bgColor theme="8" tint="0.79998168889431442"/>
        </patternFill>
      </fill>
    </dxf>
    <dxf>
      <font>
        <b/>
        <i val="0"/>
        <color rgb="FFFF0000"/>
      </font>
      <fill>
        <patternFill>
          <fgColor rgb="FFFFFF00"/>
          <bgColor rgb="FFFFFF00"/>
        </patternFill>
      </fill>
    </dxf>
    <dxf>
      <font>
        <b/>
        <i val="0"/>
        <color rgb="FF3333CC"/>
      </font>
      <fill>
        <patternFill>
          <bgColor theme="8" tint="0.79998168889431442"/>
        </patternFill>
      </fill>
    </dxf>
    <dxf>
      <font>
        <b/>
        <i val="0"/>
        <color rgb="FFFF0000"/>
      </font>
      <fill>
        <patternFill>
          <fgColor rgb="FFFFFF00"/>
          <bgColor rgb="FFFFFF00"/>
        </patternFill>
      </fill>
    </dxf>
    <dxf>
      <font>
        <b/>
        <i val="0"/>
        <color rgb="FF3333CC"/>
      </font>
      <fill>
        <patternFill>
          <bgColor theme="8" tint="0.79998168889431442"/>
        </patternFill>
      </fill>
    </dxf>
    <dxf>
      <font>
        <b/>
        <i val="0"/>
        <color rgb="FFFF0000"/>
      </font>
      <fill>
        <patternFill>
          <fgColor rgb="FFFFFF00"/>
          <bgColor rgb="FFFFFF00"/>
        </patternFill>
      </fill>
    </dxf>
    <dxf>
      <font>
        <b/>
        <i val="0"/>
        <color rgb="FF3333CC"/>
      </font>
      <fill>
        <patternFill>
          <bgColor theme="8" tint="0.79998168889431442"/>
        </patternFill>
      </fill>
    </dxf>
    <dxf>
      <font>
        <b/>
        <i val="0"/>
        <color rgb="FFFF0000"/>
      </font>
      <fill>
        <patternFill>
          <fgColor rgb="FFFFFF00"/>
          <bgColor rgb="FFFFFF00"/>
        </patternFill>
      </fill>
    </dxf>
    <dxf>
      <font>
        <b/>
        <i val="0"/>
        <color rgb="FF3333CC"/>
      </font>
      <fill>
        <patternFill>
          <bgColor theme="8" tint="0.79998168889431442"/>
        </patternFill>
      </fill>
    </dxf>
    <dxf>
      <font>
        <b/>
        <i val="0"/>
        <color rgb="FFFF0000"/>
      </font>
      <fill>
        <patternFill>
          <fgColor rgb="FFFFFF00"/>
          <bgColor rgb="FFFFFF00"/>
        </patternFill>
      </fill>
    </dxf>
    <dxf>
      <font>
        <b/>
        <i val="0"/>
        <color rgb="FF3333CC"/>
      </font>
      <fill>
        <patternFill>
          <bgColor theme="8" tint="0.79998168889431442"/>
        </patternFill>
      </fill>
    </dxf>
    <dxf>
      <font>
        <b/>
        <i val="0"/>
        <color rgb="FFFF0000"/>
      </font>
      <fill>
        <patternFill>
          <fgColor rgb="FFFFFF00"/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color rgb="FF3333CC"/>
      </font>
      <fill>
        <patternFill>
          <bgColor theme="8" tint="0.79998168889431442"/>
        </patternFill>
      </fill>
    </dxf>
    <dxf>
      <font>
        <b/>
        <i val="0"/>
        <color rgb="FFFF0000"/>
      </font>
      <fill>
        <patternFill>
          <fgColor rgb="FFFFFF00"/>
          <bgColor rgb="FFFFFF00"/>
        </patternFill>
      </fill>
    </dxf>
    <dxf>
      <font>
        <b/>
        <i val="0"/>
        <color rgb="FF3333CC"/>
      </font>
      <fill>
        <patternFill>
          <bgColor theme="8" tint="0.79998168889431442"/>
        </patternFill>
      </fill>
    </dxf>
    <dxf>
      <font>
        <b/>
        <i val="0"/>
        <color rgb="FFFF0000"/>
      </font>
      <fill>
        <patternFill>
          <fgColor rgb="FFFFFF00"/>
          <bgColor rgb="FFFFFF00"/>
        </patternFill>
      </fill>
    </dxf>
    <dxf>
      <font>
        <b/>
        <i val="0"/>
        <color rgb="FF3333CC"/>
      </font>
      <fill>
        <patternFill>
          <bgColor theme="8" tint="0.79998168889431442"/>
        </patternFill>
      </fill>
    </dxf>
    <dxf>
      <font>
        <b/>
        <i val="0"/>
        <color rgb="FFFF0000"/>
      </font>
      <fill>
        <patternFill>
          <fgColor rgb="FFFFFF00"/>
          <bgColor rgb="FFFFFF00"/>
        </patternFill>
      </fill>
    </dxf>
    <dxf>
      <font>
        <b/>
        <i val="0"/>
        <color rgb="FF3333CC"/>
      </font>
      <fill>
        <patternFill>
          <bgColor theme="8" tint="0.79998168889431442"/>
        </patternFill>
      </fill>
    </dxf>
    <dxf>
      <font>
        <b/>
        <i val="0"/>
        <color rgb="FFFF0000"/>
      </font>
      <fill>
        <patternFill>
          <fgColor rgb="FFFFFF00"/>
          <bgColor rgb="FFFFFF00"/>
        </patternFill>
      </fill>
    </dxf>
    <dxf>
      <font>
        <b/>
        <i val="0"/>
        <color rgb="FF3333CC"/>
      </font>
      <fill>
        <patternFill>
          <bgColor theme="8" tint="0.79998168889431442"/>
        </patternFill>
      </fill>
    </dxf>
    <dxf>
      <font>
        <b/>
        <i val="0"/>
        <color rgb="FFFF0000"/>
      </font>
      <fill>
        <patternFill>
          <fgColor rgb="FFFFFF00"/>
          <bgColor rgb="FFFFFF00"/>
        </patternFill>
      </fill>
    </dxf>
    <dxf>
      <font>
        <b/>
        <i val="0"/>
        <color rgb="FF3333CC"/>
      </font>
      <fill>
        <patternFill>
          <bgColor theme="8" tint="0.79998168889431442"/>
        </patternFill>
      </fill>
    </dxf>
    <dxf>
      <font>
        <b/>
        <i val="0"/>
        <color rgb="FFFF0000"/>
      </font>
      <fill>
        <patternFill>
          <fgColor rgb="FFFFFF00"/>
          <bgColor rgb="FFFFFF00"/>
        </patternFill>
      </fill>
    </dxf>
    <dxf>
      <font>
        <b/>
        <i val="0"/>
        <color rgb="FF3333CC"/>
      </font>
      <fill>
        <patternFill>
          <bgColor theme="8" tint="0.79998168889431442"/>
        </patternFill>
      </fill>
    </dxf>
    <dxf>
      <font>
        <b/>
        <i val="0"/>
        <color rgb="FFFF0000"/>
      </font>
      <fill>
        <patternFill>
          <fgColor rgb="FFFFFF00"/>
          <bgColor rgb="FFFFFF00"/>
        </patternFill>
      </fill>
    </dxf>
    <dxf>
      <font>
        <b/>
        <i val="0"/>
        <color rgb="FF3333CC"/>
      </font>
      <fill>
        <patternFill>
          <bgColor theme="8" tint="0.79998168889431442"/>
        </patternFill>
      </fill>
    </dxf>
    <dxf>
      <font>
        <b/>
        <i val="0"/>
        <color rgb="FFFF0000"/>
      </font>
      <fill>
        <patternFill>
          <fgColor rgb="FFFFFF00"/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color rgb="FF3333CC"/>
      </font>
      <fill>
        <patternFill>
          <bgColor theme="8" tint="0.79998168889431442"/>
        </patternFill>
      </fill>
    </dxf>
    <dxf>
      <font>
        <b/>
        <i val="0"/>
        <color rgb="FFFF0000"/>
      </font>
      <fill>
        <patternFill>
          <fgColor rgb="FFFFFF00"/>
          <bgColor rgb="FFFFFF00"/>
        </patternFill>
      </fill>
    </dxf>
    <dxf>
      <font>
        <b/>
        <i val="0"/>
        <color rgb="FF3333CC"/>
      </font>
      <fill>
        <patternFill>
          <bgColor theme="8" tint="0.79998168889431442"/>
        </patternFill>
      </fill>
    </dxf>
    <dxf>
      <font>
        <b/>
        <i val="0"/>
        <color rgb="FFFF0000"/>
      </font>
      <fill>
        <patternFill>
          <fgColor rgb="FFFFFF00"/>
          <bgColor rgb="FFFFFF00"/>
        </patternFill>
      </fill>
    </dxf>
    <dxf>
      <font>
        <b/>
        <i val="0"/>
        <color rgb="FF3333CC"/>
      </font>
      <fill>
        <patternFill>
          <bgColor theme="8" tint="0.79998168889431442"/>
        </patternFill>
      </fill>
    </dxf>
    <dxf>
      <font>
        <b/>
        <i val="0"/>
        <color rgb="FFFF0000"/>
      </font>
      <fill>
        <patternFill>
          <fgColor rgb="FFFFFF00"/>
          <bgColor rgb="FFFFFF00"/>
        </patternFill>
      </fill>
    </dxf>
    <dxf>
      <font>
        <b/>
        <i val="0"/>
        <color rgb="FF3333CC"/>
      </font>
      <fill>
        <patternFill>
          <bgColor theme="8" tint="0.79998168889431442"/>
        </patternFill>
      </fill>
    </dxf>
    <dxf>
      <font>
        <b/>
        <i val="0"/>
        <color rgb="FFFF0000"/>
      </font>
      <fill>
        <patternFill>
          <fgColor rgb="FFFFFF00"/>
          <bgColor rgb="FFFFFF00"/>
        </patternFill>
      </fill>
    </dxf>
    <dxf>
      <font>
        <b/>
        <i val="0"/>
        <color rgb="FF3333CC"/>
      </font>
      <fill>
        <patternFill>
          <bgColor theme="8" tint="0.79998168889431442"/>
        </patternFill>
      </fill>
    </dxf>
    <dxf>
      <font>
        <b/>
        <i val="0"/>
        <color rgb="FFFF0000"/>
      </font>
      <fill>
        <patternFill>
          <fgColor rgb="FFFFFF00"/>
          <bgColor rgb="FFFFFF00"/>
        </patternFill>
      </fill>
    </dxf>
    <dxf>
      <font>
        <b/>
        <i val="0"/>
        <color rgb="FF3333CC"/>
      </font>
      <fill>
        <patternFill>
          <bgColor theme="8" tint="0.79998168889431442"/>
        </patternFill>
      </fill>
    </dxf>
    <dxf>
      <font>
        <b/>
        <i val="0"/>
        <color rgb="FFFF0000"/>
      </font>
      <fill>
        <patternFill>
          <fgColor rgb="FFFFFF00"/>
          <bgColor rgb="FFFFFF00"/>
        </patternFill>
      </fill>
    </dxf>
    <dxf>
      <font>
        <b/>
        <i val="0"/>
        <color rgb="FF3333CC"/>
      </font>
      <fill>
        <patternFill>
          <bgColor theme="8" tint="0.79998168889431442"/>
        </patternFill>
      </fill>
    </dxf>
    <dxf>
      <font>
        <b/>
        <i val="0"/>
        <color rgb="FFFF0000"/>
      </font>
      <fill>
        <patternFill>
          <fgColor rgb="FFFFFF00"/>
          <bgColor rgb="FFFFFF00"/>
        </patternFill>
      </fill>
    </dxf>
    <dxf>
      <font>
        <b/>
        <i val="0"/>
        <color rgb="FF3333CC"/>
      </font>
      <fill>
        <patternFill>
          <bgColor theme="8" tint="0.79998168889431442"/>
        </patternFill>
      </fill>
    </dxf>
    <dxf>
      <font>
        <b/>
        <i val="0"/>
        <color rgb="FFFF0000"/>
      </font>
      <fill>
        <patternFill>
          <fgColor rgb="FFFFFF00"/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</dxfs>
  <tableStyles count="0" defaultTableStyle="TableStyleMedium2" defaultPivotStyle="PivotStyleLight16"/>
  <colors>
    <mruColors>
      <color rgb="FFFFFFCC"/>
      <color rgb="FF3333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eetMetadata" Target="metadata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795617</xdr:colOff>
      <xdr:row>39</xdr:row>
      <xdr:rowOff>33618</xdr:rowOff>
    </xdr:from>
    <xdr:to>
      <xdr:col>4</xdr:col>
      <xdr:colOff>1011617</xdr:colOff>
      <xdr:row>40</xdr:row>
      <xdr:rowOff>123265</xdr:rowOff>
    </xdr:to>
    <xdr:sp macro="" textlink="">
      <xdr:nvSpPr>
        <xdr:cNvPr id="2" name="Accolade fermante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SpPr/>
      </xdr:nvSpPr>
      <xdr:spPr>
        <a:xfrm>
          <a:off x="2719667" y="7634568"/>
          <a:ext cx="216000" cy="280147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806823</xdr:colOff>
      <xdr:row>42</xdr:row>
      <xdr:rowOff>44823</xdr:rowOff>
    </xdr:from>
    <xdr:to>
      <xdr:col>4</xdr:col>
      <xdr:colOff>1022823</xdr:colOff>
      <xdr:row>43</xdr:row>
      <xdr:rowOff>145676</xdr:rowOff>
    </xdr:to>
    <xdr:sp macro="" textlink="">
      <xdr:nvSpPr>
        <xdr:cNvPr id="3" name="Accolade fermante 2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SpPr/>
      </xdr:nvSpPr>
      <xdr:spPr>
        <a:xfrm>
          <a:off x="2730873" y="8217273"/>
          <a:ext cx="216000" cy="291353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369792</xdr:colOff>
      <xdr:row>39</xdr:row>
      <xdr:rowOff>1</xdr:rowOff>
    </xdr:from>
    <xdr:to>
      <xdr:col>9</xdr:col>
      <xdr:colOff>302559</xdr:colOff>
      <xdr:row>44</xdr:row>
      <xdr:rowOff>11207</xdr:rowOff>
    </xdr:to>
    <xdr:sp macro="" textlink="">
      <xdr:nvSpPr>
        <xdr:cNvPr id="4" name="Accolade fermante 3">
          <a:extLst>
            <a:ext uri="{FF2B5EF4-FFF2-40B4-BE49-F238E27FC236}">
              <a16:creationId xmlns:a16="http://schemas.microsoft.com/office/drawing/2014/main" id="{00000000-0008-0000-0400-000004000000}"/>
            </a:ext>
          </a:extLst>
        </xdr:cNvPr>
        <xdr:cNvSpPr/>
      </xdr:nvSpPr>
      <xdr:spPr>
        <a:xfrm>
          <a:off x="4484592" y="7600951"/>
          <a:ext cx="313767" cy="963706"/>
        </a:xfrm>
        <a:prstGeom prst="rightBrace">
          <a:avLst>
            <a:gd name="adj1" fmla="val 0"/>
            <a:gd name="adj2" fmla="val 50000"/>
          </a:avLst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866775</xdr:colOff>
      <xdr:row>25</xdr:row>
      <xdr:rowOff>28575</xdr:rowOff>
    </xdr:from>
    <xdr:to>
      <xdr:col>14</xdr:col>
      <xdr:colOff>1000125</xdr:colOff>
      <xdr:row>26</xdr:row>
      <xdr:rowOff>152400</xdr:rowOff>
    </xdr:to>
    <xdr:sp macro="" textlink="">
      <xdr:nvSpPr>
        <xdr:cNvPr id="2" name="Légende : flèche vers la droite 1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SpPr/>
      </xdr:nvSpPr>
      <xdr:spPr>
        <a:xfrm>
          <a:off x="6048375" y="4829175"/>
          <a:ext cx="133350" cy="314325"/>
        </a:xfrm>
        <a:prstGeom prst="rightArrowCallout">
          <a:avLst>
            <a:gd name="adj1" fmla="val 50000"/>
            <a:gd name="adj2" fmla="val 25000"/>
            <a:gd name="adj3" fmla="val 25000"/>
            <a:gd name="adj4" fmla="val 64977"/>
          </a:avLst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14</xdr:col>
      <xdr:colOff>857250</xdr:colOff>
      <xdr:row>28</xdr:row>
      <xdr:rowOff>28575</xdr:rowOff>
    </xdr:from>
    <xdr:to>
      <xdr:col>14</xdr:col>
      <xdr:colOff>990600</xdr:colOff>
      <xdr:row>29</xdr:row>
      <xdr:rowOff>152400</xdr:rowOff>
    </xdr:to>
    <xdr:sp macro="" textlink="">
      <xdr:nvSpPr>
        <xdr:cNvPr id="3" name="Légende : flèche vers la droite 2">
          <a:extLst>
            <a:ext uri="{FF2B5EF4-FFF2-40B4-BE49-F238E27FC236}">
              <a16:creationId xmlns:a16="http://schemas.microsoft.com/office/drawing/2014/main" id="{00000000-0008-0000-0500-000003000000}"/>
            </a:ext>
          </a:extLst>
        </xdr:cNvPr>
        <xdr:cNvSpPr/>
      </xdr:nvSpPr>
      <xdr:spPr>
        <a:xfrm>
          <a:off x="6038850" y="5448300"/>
          <a:ext cx="133350" cy="314325"/>
        </a:xfrm>
        <a:prstGeom prst="rightArrowCallout">
          <a:avLst>
            <a:gd name="adj1" fmla="val 50000"/>
            <a:gd name="adj2" fmla="val 25000"/>
            <a:gd name="adj3" fmla="val 25000"/>
            <a:gd name="adj4" fmla="val 64977"/>
          </a:avLst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14</xdr:col>
      <xdr:colOff>847725</xdr:colOff>
      <xdr:row>33</xdr:row>
      <xdr:rowOff>9525</xdr:rowOff>
    </xdr:from>
    <xdr:to>
      <xdr:col>14</xdr:col>
      <xdr:colOff>981075</xdr:colOff>
      <xdr:row>34</xdr:row>
      <xdr:rowOff>133350</xdr:rowOff>
    </xdr:to>
    <xdr:sp macro="" textlink="">
      <xdr:nvSpPr>
        <xdr:cNvPr id="4" name="Légende : flèche vers la droite 3">
          <a:extLst>
            <a:ext uri="{FF2B5EF4-FFF2-40B4-BE49-F238E27FC236}">
              <a16:creationId xmlns:a16="http://schemas.microsoft.com/office/drawing/2014/main" id="{00000000-0008-0000-0500-000004000000}"/>
            </a:ext>
          </a:extLst>
        </xdr:cNvPr>
        <xdr:cNvSpPr/>
      </xdr:nvSpPr>
      <xdr:spPr>
        <a:xfrm>
          <a:off x="6029325" y="6381750"/>
          <a:ext cx="133350" cy="314325"/>
        </a:xfrm>
        <a:prstGeom prst="rightArrowCallout">
          <a:avLst>
            <a:gd name="adj1" fmla="val 50000"/>
            <a:gd name="adj2" fmla="val 25000"/>
            <a:gd name="adj3" fmla="val 25000"/>
            <a:gd name="adj4" fmla="val 64977"/>
          </a:avLst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18</xdr:col>
      <xdr:colOff>361950</xdr:colOff>
      <xdr:row>25</xdr:row>
      <xdr:rowOff>57150</xdr:rowOff>
    </xdr:from>
    <xdr:to>
      <xdr:col>19</xdr:col>
      <xdr:colOff>66675</xdr:colOff>
      <xdr:row>29</xdr:row>
      <xdr:rowOff>152400</xdr:rowOff>
    </xdr:to>
    <xdr:sp macro="" textlink="">
      <xdr:nvSpPr>
        <xdr:cNvPr id="5" name="Légende : flèche vers la droite 4">
          <a:extLst>
            <a:ext uri="{FF2B5EF4-FFF2-40B4-BE49-F238E27FC236}">
              <a16:creationId xmlns:a16="http://schemas.microsoft.com/office/drawing/2014/main" id="{00000000-0008-0000-0500-000005000000}"/>
            </a:ext>
          </a:extLst>
        </xdr:cNvPr>
        <xdr:cNvSpPr/>
      </xdr:nvSpPr>
      <xdr:spPr>
        <a:xfrm>
          <a:off x="7734300" y="4857750"/>
          <a:ext cx="85725" cy="904875"/>
        </a:xfrm>
        <a:prstGeom prst="rightArrowCallout">
          <a:avLst>
            <a:gd name="adj1" fmla="val 50000"/>
            <a:gd name="adj2" fmla="val 25000"/>
            <a:gd name="adj3" fmla="val 25000"/>
            <a:gd name="adj4" fmla="val 64977"/>
          </a:avLst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14</xdr:col>
      <xdr:colOff>866775</xdr:colOff>
      <xdr:row>25</xdr:row>
      <xdr:rowOff>28575</xdr:rowOff>
    </xdr:from>
    <xdr:to>
      <xdr:col>14</xdr:col>
      <xdr:colOff>1000125</xdr:colOff>
      <xdr:row>26</xdr:row>
      <xdr:rowOff>152400</xdr:rowOff>
    </xdr:to>
    <xdr:sp macro="" textlink="">
      <xdr:nvSpPr>
        <xdr:cNvPr id="8" name="Légende : flèche vers la droite 7">
          <a:extLst>
            <a:ext uri="{FF2B5EF4-FFF2-40B4-BE49-F238E27FC236}">
              <a16:creationId xmlns:a16="http://schemas.microsoft.com/office/drawing/2014/main" id="{00000000-0008-0000-0500-000008000000}"/>
            </a:ext>
          </a:extLst>
        </xdr:cNvPr>
        <xdr:cNvSpPr/>
      </xdr:nvSpPr>
      <xdr:spPr>
        <a:xfrm>
          <a:off x="6048375" y="4829175"/>
          <a:ext cx="133350" cy="314325"/>
        </a:xfrm>
        <a:prstGeom prst="rightArrowCallout">
          <a:avLst>
            <a:gd name="adj1" fmla="val 50000"/>
            <a:gd name="adj2" fmla="val 25000"/>
            <a:gd name="adj3" fmla="val 25000"/>
            <a:gd name="adj4" fmla="val 64977"/>
          </a:avLst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14</xdr:col>
      <xdr:colOff>857250</xdr:colOff>
      <xdr:row>28</xdr:row>
      <xdr:rowOff>28575</xdr:rowOff>
    </xdr:from>
    <xdr:to>
      <xdr:col>14</xdr:col>
      <xdr:colOff>990600</xdr:colOff>
      <xdr:row>29</xdr:row>
      <xdr:rowOff>152400</xdr:rowOff>
    </xdr:to>
    <xdr:sp macro="" textlink="">
      <xdr:nvSpPr>
        <xdr:cNvPr id="9" name="Légende : flèche vers la droite 8">
          <a:extLst>
            <a:ext uri="{FF2B5EF4-FFF2-40B4-BE49-F238E27FC236}">
              <a16:creationId xmlns:a16="http://schemas.microsoft.com/office/drawing/2014/main" id="{00000000-0008-0000-0500-000009000000}"/>
            </a:ext>
          </a:extLst>
        </xdr:cNvPr>
        <xdr:cNvSpPr/>
      </xdr:nvSpPr>
      <xdr:spPr>
        <a:xfrm>
          <a:off x="6038850" y="5448300"/>
          <a:ext cx="133350" cy="314325"/>
        </a:xfrm>
        <a:prstGeom prst="rightArrowCallout">
          <a:avLst>
            <a:gd name="adj1" fmla="val 50000"/>
            <a:gd name="adj2" fmla="val 25000"/>
            <a:gd name="adj3" fmla="val 25000"/>
            <a:gd name="adj4" fmla="val 64977"/>
          </a:avLst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14</xdr:col>
      <xdr:colOff>847725</xdr:colOff>
      <xdr:row>33</xdr:row>
      <xdr:rowOff>9525</xdr:rowOff>
    </xdr:from>
    <xdr:to>
      <xdr:col>14</xdr:col>
      <xdr:colOff>981075</xdr:colOff>
      <xdr:row>34</xdr:row>
      <xdr:rowOff>133350</xdr:rowOff>
    </xdr:to>
    <xdr:sp macro="" textlink="">
      <xdr:nvSpPr>
        <xdr:cNvPr id="10" name="Légende : flèche vers la droite 9">
          <a:extLst>
            <a:ext uri="{FF2B5EF4-FFF2-40B4-BE49-F238E27FC236}">
              <a16:creationId xmlns:a16="http://schemas.microsoft.com/office/drawing/2014/main" id="{00000000-0008-0000-0500-00000A000000}"/>
            </a:ext>
          </a:extLst>
        </xdr:cNvPr>
        <xdr:cNvSpPr/>
      </xdr:nvSpPr>
      <xdr:spPr>
        <a:xfrm>
          <a:off x="6029325" y="6381750"/>
          <a:ext cx="133350" cy="314325"/>
        </a:xfrm>
        <a:prstGeom prst="rightArrowCallout">
          <a:avLst>
            <a:gd name="adj1" fmla="val 50000"/>
            <a:gd name="adj2" fmla="val 25000"/>
            <a:gd name="adj3" fmla="val 25000"/>
            <a:gd name="adj4" fmla="val 64977"/>
          </a:avLst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18</xdr:col>
      <xdr:colOff>361950</xdr:colOff>
      <xdr:row>25</xdr:row>
      <xdr:rowOff>57150</xdr:rowOff>
    </xdr:from>
    <xdr:to>
      <xdr:col>19</xdr:col>
      <xdr:colOff>66675</xdr:colOff>
      <xdr:row>29</xdr:row>
      <xdr:rowOff>152400</xdr:rowOff>
    </xdr:to>
    <xdr:sp macro="" textlink="">
      <xdr:nvSpPr>
        <xdr:cNvPr id="11" name="Légende : flèche vers la droite 10">
          <a:extLst>
            <a:ext uri="{FF2B5EF4-FFF2-40B4-BE49-F238E27FC236}">
              <a16:creationId xmlns:a16="http://schemas.microsoft.com/office/drawing/2014/main" id="{00000000-0008-0000-0500-00000B000000}"/>
            </a:ext>
          </a:extLst>
        </xdr:cNvPr>
        <xdr:cNvSpPr/>
      </xdr:nvSpPr>
      <xdr:spPr>
        <a:xfrm>
          <a:off x="7734300" y="4857750"/>
          <a:ext cx="85725" cy="904875"/>
        </a:xfrm>
        <a:prstGeom prst="rightArrowCallout">
          <a:avLst>
            <a:gd name="adj1" fmla="val 50000"/>
            <a:gd name="adj2" fmla="val 25000"/>
            <a:gd name="adj3" fmla="val 25000"/>
            <a:gd name="adj4" fmla="val 64977"/>
          </a:avLst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45720</xdr:colOff>
          <xdr:row>39</xdr:row>
          <xdr:rowOff>22860</xdr:rowOff>
        </xdr:from>
        <xdr:to>
          <xdr:col>22</xdr:col>
          <xdr:colOff>236220</xdr:colOff>
          <xdr:row>40</xdr:row>
          <xdr:rowOff>68580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5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866775</xdr:colOff>
      <xdr:row>25</xdr:row>
      <xdr:rowOff>28575</xdr:rowOff>
    </xdr:from>
    <xdr:to>
      <xdr:col>14</xdr:col>
      <xdr:colOff>1000125</xdr:colOff>
      <xdr:row>26</xdr:row>
      <xdr:rowOff>152400</xdr:rowOff>
    </xdr:to>
    <xdr:sp macro="" textlink="">
      <xdr:nvSpPr>
        <xdr:cNvPr id="2" name="Légende : flèche vers la droite 1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SpPr/>
      </xdr:nvSpPr>
      <xdr:spPr>
        <a:xfrm>
          <a:off x="6048375" y="4829175"/>
          <a:ext cx="133350" cy="314325"/>
        </a:xfrm>
        <a:prstGeom prst="rightArrowCallout">
          <a:avLst>
            <a:gd name="adj1" fmla="val 50000"/>
            <a:gd name="adj2" fmla="val 25000"/>
            <a:gd name="adj3" fmla="val 25000"/>
            <a:gd name="adj4" fmla="val 64977"/>
          </a:avLst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14</xdr:col>
      <xdr:colOff>857250</xdr:colOff>
      <xdr:row>28</xdr:row>
      <xdr:rowOff>28575</xdr:rowOff>
    </xdr:from>
    <xdr:to>
      <xdr:col>14</xdr:col>
      <xdr:colOff>990600</xdr:colOff>
      <xdr:row>29</xdr:row>
      <xdr:rowOff>152400</xdr:rowOff>
    </xdr:to>
    <xdr:sp macro="" textlink="">
      <xdr:nvSpPr>
        <xdr:cNvPr id="3" name="Légende : flèche vers la droite 2"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SpPr/>
      </xdr:nvSpPr>
      <xdr:spPr>
        <a:xfrm>
          <a:off x="6038850" y="5448300"/>
          <a:ext cx="133350" cy="314325"/>
        </a:xfrm>
        <a:prstGeom prst="rightArrowCallout">
          <a:avLst>
            <a:gd name="adj1" fmla="val 50000"/>
            <a:gd name="adj2" fmla="val 25000"/>
            <a:gd name="adj3" fmla="val 25000"/>
            <a:gd name="adj4" fmla="val 64977"/>
          </a:avLst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14</xdr:col>
      <xdr:colOff>847725</xdr:colOff>
      <xdr:row>33</xdr:row>
      <xdr:rowOff>9525</xdr:rowOff>
    </xdr:from>
    <xdr:to>
      <xdr:col>14</xdr:col>
      <xdr:colOff>981075</xdr:colOff>
      <xdr:row>34</xdr:row>
      <xdr:rowOff>133350</xdr:rowOff>
    </xdr:to>
    <xdr:sp macro="" textlink="">
      <xdr:nvSpPr>
        <xdr:cNvPr id="4" name="Légende : flèche vers la droite 3">
          <a:extLst>
            <a:ext uri="{FF2B5EF4-FFF2-40B4-BE49-F238E27FC236}">
              <a16:creationId xmlns:a16="http://schemas.microsoft.com/office/drawing/2014/main" id="{00000000-0008-0000-0600-000004000000}"/>
            </a:ext>
          </a:extLst>
        </xdr:cNvPr>
        <xdr:cNvSpPr/>
      </xdr:nvSpPr>
      <xdr:spPr>
        <a:xfrm>
          <a:off x="6029325" y="6381750"/>
          <a:ext cx="133350" cy="314325"/>
        </a:xfrm>
        <a:prstGeom prst="rightArrowCallout">
          <a:avLst>
            <a:gd name="adj1" fmla="val 50000"/>
            <a:gd name="adj2" fmla="val 25000"/>
            <a:gd name="adj3" fmla="val 25000"/>
            <a:gd name="adj4" fmla="val 64977"/>
          </a:avLst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18</xdr:col>
      <xdr:colOff>361950</xdr:colOff>
      <xdr:row>25</xdr:row>
      <xdr:rowOff>57150</xdr:rowOff>
    </xdr:from>
    <xdr:to>
      <xdr:col>19</xdr:col>
      <xdr:colOff>66675</xdr:colOff>
      <xdr:row>29</xdr:row>
      <xdr:rowOff>152400</xdr:rowOff>
    </xdr:to>
    <xdr:sp macro="" textlink="">
      <xdr:nvSpPr>
        <xdr:cNvPr id="5" name="Légende : flèche vers la droite 4">
          <a:extLst>
            <a:ext uri="{FF2B5EF4-FFF2-40B4-BE49-F238E27FC236}">
              <a16:creationId xmlns:a16="http://schemas.microsoft.com/office/drawing/2014/main" id="{00000000-0008-0000-0600-000005000000}"/>
            </a:ext>
          </a:extLst>
        </xdr:cNvPr>
        <xdr:cNvSpPr/>
      </xdr:nvSpPr>
      <xdr:spPr>
        <a:xfrm>
          <a:off x="7734300" y="4857750"/>
          <a:ext cx="85725" cy="904875"/>
        </a:xfrm>
        <a:prstGeom prst="rightArrowCallout">
          <a:avLst>
            <a:gd name="adj1" fmla="val 50000"/>
            <a:gd name="adj2" fmla="val 25000"/>
            <a:gd name="adj3" fmla="val 25000"/>
            <a:gd name="adj4" fmla="val 64977"/>
          </a:avLst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14</xdr:col>
      <xdr:colOff>866775</xdr:colOff>
      <xdr:row>25</xdr:row>
      <xdr:rowOff>28575</xdr:rowOff>
    </xdr:from>
    <xdr:to>
      <xdr:col>14</xdr:col>
      <xdr:colOff>1000125</xdr:colOff>
      <xdr:row>26</xdr:row>
      <xdr:rowOff>152400</xdr:rowOff>
    </xdr:to>
    <xdr:sp macro="" textlink="">
      <xdr:nvSpPr>
        <xdr:cNvPr id="6" name="Légende : flèche vers la droite 5">
          <a:extLst>
            <a:ext uri="{FF2B5EF4-FFF2-40B4-BE49-F238E27FC236}">
              <a16:creationId xmlns:a16="http://schemas.microsoft.com/office/drawing/2014/main" id="{00000000-0008-0000-0600-000006000000}"/>
            </a:ext>
          </a:extLst>
        </xdr:cNvPr>
        <xdr:cNvSpPr/>
      </xdr:nvSpPr>
      <xdr:spPr>
        <a:xfrm>
          <a:off x="6048375" y="4829175"/>
          <a:ext cx="133350" cy="314325"/>
        </a:xfrm>
        <a:prstGeom prst="rightArrowCallout">
          <a:avLst>
            <a:gd name="adj1" fmla="val 50000"/>
            <a:gd name="adj2" fmla="val 25000"/>
            <a:gd name="adj3" fmla="val 25000"/>
            <a:gd name="adj4" fmla="val 64977"/>
          </a:avLst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14</xdr:col>
      <xdr:colOff>847725</xdr:colOff>
      <xdr:row>33</xdr:row>
      <xdr:rowOff>9525</xdr:rowOff>
    </xdr:from>
    <xdr:to>
      <xdr:col>14</xdr:col>
      <xdr:colOff>981075</xdr:colOff>
      <xdr:row>34</xdr:row>
      <xdr:rowOff>133350</xdr:rowOff>
    </xdr:to>
    <xdr:sp macro="" textlink="">
      <xdr:nvSpPr>
        <xdr:cNvPr id="7" name="Légende : flèche vers la droite 6">
          <a:extLst>
            <a:ext uri="{FF2B5EF4-FFF2-40B4-BE49-F238E27FC236}">
              <a16:creationId xmlns:a16="http://schemas.microsoft.com/office/drawing/2014/main" id="{00000000-0008-0000-0600-000007000000}"/>
            </a:ext>
          </a:extLst>
        </xdr:cNvPr>
        <xdr:cNvSpPr/>
      </xdr:nvSpPr>
      <xdr:spPr>
        <a:xfrm>
          <a:off x="6029325" y="6381750"/>
          <a:ext cx="133350" cy="314325"/>
        </a:xfrm>
        <a:prstGeom prst="rightArrowCallout">
          <a:avLst>
            <a:gd name="adj1" fmla="val 50000"/>
            <a:gd name="adj2" fmla="val 25000"/>
            <a:gd name="adj3" fmla="val 25000"/>
            <a:gd name="adj4" fmla="val 64977"/>
          </a:avLst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18</xdr:col>
      <xdr:colOff>361950</xdr:colOff>
      <xdr:row>25</xdr:row>
      <xdr:rowOff>57150</xdr:rowOff>
    </xdr:from>
    <xdr:to>
      <xdr:col>19</xdr:col>
      <xdr:colOff>66675</xdr:colOff>
      <xdr:row>29</xdr:row>
      <xdr:rowOff>152400</xdr:rowOff>
    </xdr:to>
    <xdr:sp macro="" textlink="">
      <xdr:nvSpPr>
        <xdr:cNvPr id="8" name="Légende : flèche vers la droite 7">
          <a:extLst>
            <a:ext uri="{FF2B5EF4-FFF2-40B4-BE49-F238E27FC236}">
              <a16:creationId xmlns:a16="http://schemas.microsoft.com/office/drawing/2014/main" id="{00000000-0008-0000-0600-000008000000}"/>
            </a:ext>
          </a:extLst>
        </xdr:cNvPr>
        <xdr:cNvSpPr/>
      </xdr:nvSpPr>
      <xdr:spPr>
        <a:xfrm>
          <a:off x="7734300" y="4857750"/>
          <a:ext cx="85725" cy="904875"/>
        </a:xfrm>
        <a:prstGeom prst="rightArrowCallout">
          <a:avLst>
            <a:gd name="adj1" fmla="val 50000"/>
            <a:gd name="adj2" fmla="val 25000"/>
            <a:gd name="adj3" fmla="val 25000"/>
            <a:gd name="adj4" fmla="val 64977"/>
          </a:avLst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866775</xdr:colOff>
      <xdr:row>25</xdr:row>
      <xdr:rowOff>28575</xdr:rowOff>
    </xdr:from>
    <xdr:to>
      <xdr:col>14</xdr:col>
      <xdr:colOff>1000125</xdr:colOff>
      <xdr:row>26</xdr:row>
      <xdr:rowOff>152400</xdr:rowOff>
    </xdr:to>
    <xdr:sp macro="" textlink="">
      <xdr:nvSpPr>
        <xdr:cNvPr id="2" name="Légende : flèche vers la droite 1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SpPr/>
      </xdr:nvSpPr>
      <xdr:spPr>
        <a:xfrm>
          <a:off x="6048375" y="4838700"/>
          <a:ext cx="133350" cy="314325"/>
        </a:xfrm>
        <a:prstGeom prst="rightArrowCallout">
          <a:avLst>
            <a:gd name="adj1" fmla="val 50000"/>
            <a:gd name="adj2" fmla="val 25000"/>
            <a:gd name="adj3" fmla="val 25000"/>
            <a:gd name="adj4" fmla="val 64977"/>
          </a:avLst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14</xdr:col>
      <xdr:colOff>857250</xdr:colOff>
      <xdr:row>28</xdr:row>
      <xdr:rowOff>28575</xdr:rowOff>
    </xdr:from>
    <xdr:to>
      <xdr:col>14</xdr:col>
      <xdr:colOff>990600</xdr:colOff>
      <xdr:row>29</xdr:row>
      <xdr:rowOff>152400</xdr:rowOff>
    </xdr:to>
    <xdr:sp macro="" textlink="">
      <xdr:nvSpPr>
        <xdr:cNvPr id="3" name="Légende : flèche vers la droite 2">
          <a:extLst>
            <a:ext uri="{FF2B5EF4-FFF2-40B4-BE49-F238E27FC236}">
              <a16:creationId xmlns:a16="http://schemas.microsoft.com/office/drawing/2014/main" id="{00000000-0008-0000-0700-000003000000}"/>
            </a:ext>
          </a:extLst>
        </xdr:cNvPr>
        <xdr:cNvSpPr/>
      </xdr:nvSpPr>
      <xdr:spPr>
        <a:xfrm>
          <a:off x="6038850" y="5457825"/>
          <a:ext cx="133350" cy="314325"/>
        </a:xfrm>
        <a:prstGeom prst="rightArrowCallout">
          <a:avLst>
            <a:gd name="adj1" fmla="val 50000"/>
            <a:gd name="adj2" fmla="val 25000"/>
            <a:gd name="adj3" fmla="val 25000"/>
            <a:gd name="adj4" fmla="val 64977"/>
          </a:avLst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14</xdr:col>
      <xdr:colOff>847725</xdr:colOff>
      <xdr:row>33</xdr:row>
      <xdr:rowOff>9525</xdr:rowOff>
    </xdr:from>
    <xdr:to>
      <xdr:col>14</xdr:col>
      <xdr:colOff>981075</xdr:colOff>
      <xdr:row>34</xdr:row>
      <xdr:rowOff>133350</xdr:rowOff>
    </xdr:to>
    <xdr:sp macro="" textlink="">
      <xdr:nvSpPr>
        <xdr:cNvPr id="4" name="Légende : flèche vers la droite 3">
          <a:extLst>
            <a:ext uri="{FF2B5EF4-FFF2-40B4-BE49-F238E27FC236}">
              <a16:creationId xmlns:a16="http://schemas.microsoft.com/office/drawing/2014/main" id="{00000000-0008-0000-0700-000004000000}"/>
            </a:ext>
          </a:extLst>
        </xdr:cNvPr>
        <xdr:cNvSpPr/>
      </xdr:nvSpPr>
      <xdr:spPr>
        <a:xfrm>
          <a:off x="6029325" y="6391275"/>
          <a:ext cx="133350" cy="314325"/>
        </a:xfrm>
        <a:prstGeom prst="rightArrowCallout">
          <a:avLst>
            <a:gd name="adj1" fmla="val 50000"/>
            <a:gd name="adj2" fmla="val 25000"/>
            <a:gd name="adj3" fmla="val 25000"/>
            <a:gd name="adj4" fmla="val 64977"/>
          </a:avLst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18</xdr:col>
      <xdr:colOff>361950</xdr:colOff>
      <xdr:row>25</xdr:row>
      <xdr:rowOff>57150</xdr:rowOff>
    </xdr:from>
    <xdr:to>
      <xdr:col>19</xdr:col>
      <xdr:colOff>66675</xdr:colOff>
      <xdr:row>29</xdr:row>
      <xdr:rowOff>152400</xdr:rowOff>
    </xdr:to>
    <xdr:sp macro="" textlink="">
      <xdr:nvSpPr>
        <xdr:cNvPr id="5" name="Légende : flèche vers la droite 4">
          <a:extLst>
            <a:ext uri="{FF2B5EF4-FFF2-40B4-BE49-F238E27FC236}">
              <a16:creationId xmlns:a16="http://schemas.microsoft.com/office/drawing/2014/main" id="{00000000-0008-0000-0700-000005000000}"/>
            </a:ext>
          </a:extLst>
        </xdr:cNvPr>
        <xdr:cNvSpPr/>
      </xdr:nvSpPr>
      <xdr:spPr>
        <a:xfrm>
          <a:off x="7734300" y="4867275"/>
          <a:ext cx="85725" cy="904875"/>
        </a:xfrm>
        <a:prstGeom prst="rightArrowCallout">
          <a:avLst>
            <a:gd name="adj1" fmla="val 50000"/>
            <a:gd name="adj2" fmla="val 25000"/>
            <a:gd name="adj3" fmla="val 25000"/>
            <a:gd name="adj4" fmla="val 64977"/>
          </a:avLst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14</xdr:col>
      <xdr:colOff>866775</xdr:colOff>
      <xdr:row>25</xdr:row>
      <xdr:rowOff>28575</xdr:rowOff>
    </xdr:from>
    <xdr:to>
      <xdr:col>14</xdr:col>
      <xdr:colOff>1000125</xdr:colOff>
      <xdr:row>26</xdr:row>
      <xdr:rowOff>152400</xdr:rowOff>
    </xdr:to>
    <xdr:sp macro="" textlink="">
      <xdr:nvSpPr>
        <xdr:cNvPr id="6" name="Légende : flèche vers la droite 5">
          <a:extLst>
            <a:ext uri="{FF2B5EF4-FFF2-40B4-BE49-F238E27FC236}">
              <a16:creationId xmlns:a16="http://schemas.microsoft.com/office/drawing/2014/main" id="{00000000-0008-0000-0700-000006000000}"/>
            </a:ext>
          </a:extLst>
        </xdr:cNvPr>
        <xdr:cNvSpPr/>
      </xdr:nvSpPr>
      <xdr:spPr>
        <a:xfrm>
          <a:off x="6048375" y="4838700"/>
          <a:ext cx="133350" cy="314325"/>
        </a:xfrm>
        <a:prstGeom prst="rightArrowCallout">
          <a:avLst>
            <a:gd name="adj1" fmla="val 50000"/>
            <a:gd name="adj2" fmla="val 25000"/>
            <a:gd name="adj3" fmla="val 25000"/>
            <a:gd name="adj4" fmla="val 64977"/>
          </a:avLst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14</xdr:col>
      <xdr:colOff>847725</xdr:colOff>
      <xdr:row>33</xdr:row>
      <xdr:rowOff>9525</xdr:rowOff>
    </xdr:from>
    <xdr:to>
      <xdr:col>14</xdr:col>
      <xdr:colOff>981075</xdr:colOff>
      <xdr:row>34</xdr:row>
      <xdr:rowOff>133350</xdr:rowOff>
    </xdr:to>
    <xdr:sp macro="" textlink="">
      <xdr:nvSpPr>
        <xdr:cNvPr id="7" name="Légende : flèche vers la droite 6">
          <a:extLst>
            <a:ext uri="{FF2B5EF4-FFF2-40B4-BE49-F238E27FC236}">
              <a16:creationId xmlns:a16="http://schemas.microsoft.com/office/drawing/2014/main" id="{00000000-0008-0000-0700-000007000000}"/>
            </a:ext>
          </a:extLst>
        </xdr:cNvPr>
        <xdr:cNvSpPr/>
      </xdr:nvSpPr>
      <xdr:spPr>
        <a:xfrm>
          <a:off x="6029325" y="6391275"/>
          <a:ext cx="133350" cy="314325"/>
        </a:xfrm>
        <a:prstGeom prst="rightArrowCallout">
          <a:avLst>
            <a:gd name="adj1" fmla="val 50000"/>
            <a:gd name="adj2" fmla="val 25000"/>
            <a:gd name="adj3" fmla="val 25000"/>
            <a:gd name="adj4" fmla="val 64977"/>
          </a:avLst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18</xdr:col>
      <xdr:colOff>361950</xdr:colOff>
      <xdr:row>25</xdr:row>
      <xdr:rowOff>57150</xdr:rowOff>
    </xdr:from>
    <xdr:to>
      <xdr:col>19</xdr:col>
      <xdr:colOff>66675</xdr:colOff>
      <xdr:row>29</xdr:row>
      <xdr:rowOff>152400</xdr:rowOff>
    </xdr:to>
    <xdr:sp macro="" textlink="">
      <xdr:nvSpPr>
        <xdr:cNvPr id="8" name="Légende : flèche vers la droite 7">
          <a:extLst>
            <a:ext uri="{FF2B5EF4-FFF2-40B4-BE49-F238E27FC236}">
              <a16:creationId xmlns:a16="http://schemas.microsoft.com/office/drawing/2014/main" id="{00000000-0008-0000-0700-000008000000}"/>
            </a:ext>
          </a:extLst>
        </xdr:cNvPr>
        <xdr:cNvSpPr/>
      </xdr:nvSpPr>
      <xdr:spPr>
        <a:xfrm>
          <a:off x="7734300" y="4867275"/>
          <a:ext cx="85725" cy="904875"/>
        </a:xfrm>
        <a:prstGeom prst="rightArrowCallout">
          <a:avLst>
            <a:gd name="adj1" fmla="val 50000"/>
            <a:gd name="adj2" fmla="val 25000"/>
            <a:gd name="adj3" fmla="val 25000"/>
            <a:gd name="adj4" fmla="val 64977"/>
          </a:avLst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27</xdr:col>
          <xdr:colOff>22860</xdr:colOff>
          <xdr:row>20</xdr:row>
          <xdr:rowOff>190500</xdr:rowOff>
        </xdr:from>
        <xdr:to>
          <xdr:col>27</xdr:col>
          <xdr:colOff>213360</xdr:colOff>
          <xdr:row>21</xdr:row>
          <xdr:rowOff>68580</xdr:rowOff>
        </xdr:to>
        <xdr:sp macro="" textlink="">
          <xdr:nvSpPr>
            <xdr:cNvPr id="10241" name="Button 1" hidden="1">
              <a:extLst>
                <a:ext uri="{63B3BB69-23CF-44E3-9099-C40C66FF867C}">
                  <a14:compatExt spid="_x0000_s10241"/>
                </a:ext>
                <a:ext uri="{FF2B5EF4-FFF2-40B4-BE49-F238E27FC236}">
                  <a16:creationId xmlns:a16="http://schemas.microsoft.com/office/drawing/2014/main" id="{00000000-0008-0000-0700-000001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xdr:twoCellAnchor>
    <xdr:from>
      <xdr:col>14</xdr:col>
      <xdr:colOff>866775</xdr:colOff>
      <xdr:row>25</xdr:row>
      <xdr:rowOff>28575</xdr:rowOff>
    </xdr:from>
    <xdr:to>
      <xdr:col>14</xdr:col>
      <xdr:colOff>1000125</xdr:colOff>
      <xdr:row>26</xdr:row>
      <xdr:rowOff>152400</xdr:rowOff>
    </xdr:to>
    <xdr:sp macro="" textlink="">
      <xdr:nvSpPr>
        <xdr:cNvPr id="9" name="Légende : flèche vers la droite 8">
          <a:extLst>
            <a:ext uri="{FF2B5EF4-FFF2-40B4-BE49-F238E27FC236}">
              <a16:creationId xmlns:a16="http://schemas.microsoft.com/office/drawing/2014/main" id="{00000000-0008-0000-0700-000009000000}"/>
            </a:ext>
          </a:extLst>
        </xdr:cNvPr>
        <xdr:cNvSpPr/>
      </xdr:nvSpPr>
      <xdr:spPr>
        <a:xfrm>
          <a:off x="6048375" y="4838700"/>
          <a:ext cx="133350" cy="314325"/>
        </a:xfrm>
        <a:prstGeom prst="rightArrowCallout">
          <a:avLst>
            <a:gd name="adj1" fmla="val 50000"/>
            <a:gd name="adj2" fmla="val 25000"/>
            <a:gd name="adj3" fmla="val 25000"/>
            <a:gd name="adj4" fmla="val 64977"/>
          </a:avLst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14</xdr:col>
      <xdr:colOff>857250</xdr:colOff>
      <xdr:row>28</xdr:row>
      <xdr:rowOff>28575</xdr:rowOff>
    </xdr:from>
    <xdr:to>
      <xdr:col>14</xdr:col>
      <xdr:colOff>990600</xdr:colOff>
      <xdr:row>29</xdr:row>
      <xdr:rowOff>152400</xdr:rowOff>
    </xdr:to>
    <xdr:sp macro="" textlink="">
      <xdr:nvSpPr>
        <xdr:cNvPr id="10" name="Légende : flèche vers la droite 9">
          <a:extLst>
            <a:ext uri="{FF2B5EF4-FFF2-40B4-BE49-F238E27FC236}">
              <a16:creationId xmlns:a16="http://schemas.microsoft.com/office/drawing/2014/main" id="{00000000-0008-0000-0700-00000A000000}"/>
            </a:ext>
          </a:extLst>
        </xdr:cNvPr>
        <xdr:cNvSpPr/>
      </xdr:nvSpPr>
      <xdr:spPr>
        <a:xfrm>
          <a:off x="6038850" y="5457825"/>
          <a:ext cx="133350" cy="314325"/>
        </a:xfrm>
        <a:prstGeom prst="rightArrowCallout">
          <a:avLst>
            <a:gd name="adj1" fmla="val 50000"/>
            <a:gd name="adj2" fmla="val 25000"/>
            <a:gd name="adj3" fmla="val 25000"/>
            <a:gd name="adj4" fmla="val 64977"/>
          </a:avLst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14</xdr:col>
      <xdr:colOff>847725</xdr:colOff>
      <xdr:row>33</xdr:row>
      <xdr:rowOff>9525</xdr:rowOff>
    </xdr:from>
    <xdr:to>
      <xdr:col>14</xdr:col>
      <xdr:colOff>981075</xdr:colOff>
      <xdr:row>34</xdr:row>
      <xdr:rowOff>133350</xdr:rowOff>
    </xdr:to>
    <xdr:sp macro="" textlink="">
      <xdr:nvSpPr>
        <xdr:cNvPr id="11" name="Légende : flèche vers la droite 10">
          <a:extLst>
            <a:ext uri="{FF2B5EF4-FFF2-40B4-BE49-F238E27FC236}">
              <a16:creationId xmlns:a16="http://schemas.microsoft.com/office/drawing/2014/main" id="{00000000-0008-0000-0700-00000B000000}"/>
            </a:ext>
          </a:extLst>
        </xdr:cNvPr>
        <xdr:cNvSpPr/>
      </xdr:nvSpPr>
      <xdr:spPr>
        <a:xfrm>
          <a:off x="6029325" y="6391275"/>
          <a:ext cx="133350" cy="314325"/>
        </a:xfrm>
        <a:prstGeom prst="rightArrowCallout">
          <a:avLst>
            <a:gd name="adj1" fmla="val 50000"/>
            <a:gd name="adj2" fmla="val 25000"/>
            <a:gd name="adj3" fmla="val 25000"/>
            <a:gd name="adj4" fmla="val 64977"/>
          </a:avLst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18</xdr:col>
      <xdr:colOff>361950</xdr:colOff>
      <xdr:row>25</xdr:row>
      <xdr:rowOff>57150</xdr:rowOff>
    </xdr:from>
    <xdr:to>
      <xdr:col>19</xdr:col>
      <xdr:colOff>66675</xdr:colOff>
      <xdr:row>29</xdr:row>
      <xdr:rowOff>152400</xdr:rowOff>
    </xdr:to>
    <xdr:sp macro="" textlink="">
      <xdr:nvSpPr>
        <xdr:cNvPr id="12" name="Légende : flèche vers la droite 11">
          <a:extLst>
            <a:ext uri="{FF2B5EF4-FFF2-40B4-BE49-F238E27FC236}">
              <a16:creationId xmlns:a16="http://schemas.microsoft.com/office/drawing/2014/main" id="{00000000-0008-0000-0700-00000C000000}"/>
            </a:ext>
          </a:extLst>
        </xdr:cNvPr>
        <xdr:cNvSpPr/>
      </xdr:nvSpPr>
      <xdr:spPr>
        <a:xfrm>
          <a:off x="7734300" y="4867275"/>
          <a:ext cx="85725" cy="904875"/>
        </a:xfrm>
        <a:prstGeom prst="rightArrowCallout">
          <a:avLst>
            <a:gd name="adj1" fmla="val 50000"/>
            <a:gd name="adj2" fmla="val 25000"/>
            <a:gd name="adj3" fmla="val 25000"/>
            <a:gd name="adj4" fmla="val 64977"/>
          </a:avLst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14</xdr:col>
      <xdr:colOff>866775</xdr:colOff>
      <xdr:row>25</xdr:row>
      <xdr:rowOff>28575</xdr:rowOff>
    </xdr:from>
    <xdr:to>
      <xdr:col>14</xdr:col>
      <xdr:colOff>1000125</xdr:colOff>
      <xdr:row>26</xdr:row>
      <xdr:rowOff>152400</xdr:rowOff>
    </xdr:to>
    <xdr:sp macro="" textlink="">
      <xdr:nvSpPr>
        <xdr:cNvPr id="13" name="Légende : flèche vers la droite 12">
          <a:extLst>
            <a:ext uri="{FF2B5EF4-FFF2-40B4-BE49-F238E27FC236}">
              <a16:creationId xmlns:a16="http://schemas.microsoft.com/office/drawing/2014/main" id="{00000000-0008-0000-0700-00000D000000}"/>
            </a:ext>
          </a:extLst>
        </xdr:cNvPr>
        <xdr:cNvSpPr/>
      </xdr:nvSpPr>
      <xdr:spPr>
        <a:xfrm>
          <a:off x="6048375" y="4838700"/>
          <a:ext cx="133350" cy="314325"/>
        </a:xfrm>
        <a:prstGeom prst="rightArrowCallout">
          <a:avLst>
            <a:gd name="adj1" fmla="val 50000"/>
            <a:gd name="adj2" fmla="val 25000"/>
            <a:gd name="adj3" fmla="val 25000"/>
            <a:gd name="adj4" fmla="val 64977"/>
          </a:avLst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14</xdr:col>
      <xdr:colOff>847725</xdr:colOff>
      <xdr:row>33</xdr:row>
      <xdr:rowOff>9525</xdr:rowOff>
    </xdr:from>
    <xdr:to>
      <xdr:col>14</xdr:col>
      <xdr:colOff>981075</xdr:colOff>
      <xdr:row>34</xdr:row>
      <xdr:rowOff>133350</xdr:rowOff>
    </xdr:to>
    <xdr:sp macro="" textlink="">
      <xdr:nvSpPr>
        <xdr:cNvPr id="14" name="Légende : flèche vers la droite 13">
          <a:extLst>
            <a:ext uri="{FF2B5EF4-FFF2-40B4-BE49-F238E27FC236}">
              <a16:creationId xmlns:a16="http://schemas.microsoft.com/office/drawing/2014/main" id="{00000000-0008-0000-0700-00000E000000}"/>
            </a:ext>
          </a:extLst>
        </xdr:cNvPr>
        <xdr:cNvSpPr/>
      </xdr:nvSpPr>
      <xdr:spPr>
        <a:xfrm>
          <a:off x="6029325" y="6391275"/>
          <a:ext cx="133350" cy="314325"/>
        </a:xfrm>
        <a:prstGeom prst="rightArrowCallout">
          <a:avLst>
            <a:gd name="adj1" fmla="val 50000"/>
            <a:gd name="adj2" fmla="val 25000"/>
            <a:gd name="adj3" fmla="val 25000"/>
            <a:gd name="adj4" fmla="val 64977"/>
          </a:avLst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18</xdr:col>
      <xdr:colOff>361950</xdr:colOff>
      <xdr:row>25</xdr:row>
      <xdr:rowOff>57150</xdr:rowOff>
    </xdr:from>
    <xdr:to>
      <xdr:col>19</xdr:col>
      <xdr:colOff>66675</xdr:colOff>
      <xdr:row>29</xdr:row>
      <xdr:rowOff>152400</xdr:rowOff>
    </xdr:to>
    <xdr:sp macro="" textlink="">
      <xdr:nvSpPr>
        <xdr:cNvPr id="15" name="Légende : flèche vers la droite 14">
          <a:extLst>
            <a:ext uri="{FF2B5EF4-FFF2-40B4-BE49-F238E27FC236}">
              <a16:creationId xmlns:a16="http://schemas.microsoft.com/office/drawing/2014/main" id="{00000000-0008-0000-0700-00000F000000}"/>
            </a:ext>
          </a:extLst>
        </xdr:cNvPr>
        <xdr:cNvSpPr/>
      </xdr:nvSpPr>
      <xdr:spPr>
        <a:xfrm>
          <a:off x="7734300" y="4867275"/>
          <a:ext cx="85725" cy="904875"/>
        </a:xfrm>
        <a:prstGeom prst="rightArrowCallout">
          <a:avLst>
            <a:gd name="adj1" fmla="val 50000"/>
            <a:gd name="adj2" fmla="val 25000"/>
            <a:gd name="adj3" fmla="val 25000"/>
            <a:gd name="adj4" fmla="val 64977"/>
          </a:avLst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14</xdr:col>
      <xdr:colOff>866775</xdr:colOff>
      <xdr:row>25</xdr:row>
      <xdr:rowOff>28575</xdr:rowOff>
    </xdr:from>
    <xdr:to>
      <xdr:col>14</xdr:col>
      <xdr:colOff>1000125</xdr:colOff>
      <xdr:row>26</xdr:row>
      <xdr:rowOff>152400</xdr:rowOff>
    </xdr:to>
    <xdr:sp macro="" textlink="">
      <xdr:nvSpPr>
        <xdr:cNvPr id="16" name="Légende : flèche vers la droite 15">
          <a:extLst>
            <a:ext uri="{FF2B5EF4-FFF2-40B4-BE49-F238E27FC236}">
              <a16:creationId xmlns:a16="http://schemas.microsoft.com/office/drawing/2014/main" id="{00000000-0008-0000-0700-000010000000}"/>
            </a:ext>
          </a:extLst>
        </xdr:cNvPr>
        <xdr:cNvSpPr/>
      </xdr:nvSpPr>
      <xdr:spPr>
        <a:xfrm>
          <a:off x="6048375" y="4829175"/>
          <a:ext cx="133350" cy="314325"/>
        </a:xfrm>
        <a:prstGeom prst="rightArrowCallout">
          <a:avLst>
            <a:gd name="adj1" fmla="val 50000"/>
            <a:gd name="adj2" fmla="val 25000"/>
            <a:gd name="adj3" fmla="val 25000"/>
            <a:gd name="adj4" fmla="val 64977"/>
          </a:avLst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14</xdr:col>
      <xdr:colOff>857250</xdr:colOff>
      <xdr:row>28</xdr:row>
      <xdr:rowOff>28575</xdr:rowOff>
    </xdr:from>
    <xdr:to>
      <xdr:col>14</xdr:col>
      <xdr:colOff>990600</xdr:colOff>
      <xdr:row>29</xdr:row>
      <xdr:rowOff>152400</xdr:rowOff>
    </xdr:to>
    <xdr:sp macro="" textlink="">
      <xdr:nvSpPr>
        <xdr:cNvPr id="17" name="Légende : flèche vers la droite 16">
          <a:extLst>
            <a:ext uri="{FF2B5EF4-FFF2-40B4-BE49-F238E27FC236}">
              <a16:creationId xmlns:a16="http://schemas.microsoft.com/office/drawing/2014/main" id="{00000000-0008-0000-0700-000011000000}"/>
            </a:ext>
          </a:extLst>
        </xdr:cNvPr>
        <xdr:cNvSpPr/>
      </xdr:nvSpPr>
      <xdr:spPr>
        <a:xfrm>
          <a:off x="6038850" y="5448300"/>
          <a:ext cx="133350" cy="314325"/>
        </a:xfrm>
        <a:prstGeom prst="rightArrowCallout">
          <a:avLst>
            <a:gd name="adj1" fmla="val 50000"/>
            <a:gd name="adj2" fmla="val 25000"/>
            <a:gd name="adj3" fmla="val 25000"/>
            <a:gd name="adj4" fmla="val 64977"/>
          </a:avLst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14</xdr:col>
      <xdr:colOff>866775</xdr:colOff>
      <xdr:row>25</xdr:row>
      <xdr:rowOff>28575</xdr:rowOff>
    </xdr:from>
    <xdr:to>
      <xdr:col>14</xdr:col>
      <xdr:colOff>1000125</xdr:colOff>
      <xdr:row>26</xdr:row>
      <xdr:rowOff>152400</xdr:rowOff>
    </xdr:to>
    <xdr:sp macro="" textlink="">
      <xdr:nvSpPr>
        <xdr:cNvPr id="18" name="Légende : flèche vers la droite 17">
          <a:extLst>
            <a:ext uri="{FF2B5EF4-FFF2-40B4-BE49-F238E27FC236}">
              <a16:creationId xmlns:a16="http://schemas.microsoft.com/office/drawing/2014/main" id="{00000000-0008-0000-0700-000012000000}"/>
            </a:ext>
          </a:extLst>
        </xdr:cNvPr>
        <xdr:cNvSpPr/>
      </xdr:nvSpPr>
      <xdr:spPr>
        <a:xfrm>
          <a:off x="6048375" y="4829175"/>
          <a:ext cx="133350" cy="314325"/>
        </a:xfrm>
        <a:prstGeom prst="rightArrowCallout">
          <a:avLst>
            <a:gd name="adj1" fmla="val 50000"/>
            <a:gd name="adj2" fmla="val 25000"/>
            <a:gd name="adj3" fmla="val 25000"/>
            <a:gd name="adj4" fmla="val 64977"/>
          </a:avLst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14</xdr:col>
      <xdr:colOff>866775</xdr:colOff>
      <xdr:row>25</xdr:row>
      <xdr:rowOff>28575</xdr:rowOff>
    </xdr:from>
    <xdr:to>
      <xdr:col>14</xdr:col>
      <xdr:colOff>1000125</xdr:colOff>
      <xdr:row>26</xdr:row>
      <xdr:rowOff>152400</xdr:rowOff>
    </xdr:to>
    <xdr:sp macro="" textlink="">
      <xdr:nvSpPr>
        <xdr:cNvPr id="19" name="Légende : flèche vers la droite 18">
          <a:extLst>
            <a:ext uri="{FF2B5EF4-FFF2-40B4-BE49-F238E27FC236}">
              <a16:creationId xmlns:a16="http://schemas.microsoft.com/office/drawing/2014/main" id="{00000000-0008-0000-0700-000013000000}"/>
            </a:ext>
          </a:extLst>
        </xdr:cNvPr>
        <xdr:cNvSpPr/>
      </xdr:nvSpPr>
      <xdr:spPr>
        <a:xfrm>
          <a:off x="6048375" y="4829175"/>
          <a:ext cx="133350" cy="314325"/>
        </a:xfrm>
        <a:prstGeom prst="rightArrowCallout">
          <a:avLst>
            <a:gd name="adj1" fmla="val 50000"/>
            <a:gd name="adj2" fmla="val 25000"/>
            <a:gd name="adj3" fmla="val 25000"/>
            <a:gd name="adj4" fmla="val 64977"/>
          </a:avLst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14</xdr:col>
      <xdr:colOff>857250</xdr:colOff>
      <xdr:row>28</xdr:row>
      <xdr:rowOff>28575</xdr:rowOff>
    </xdr:from>
    <xdr:to>
      <xdr:col>14</xdr:col>
      <xdr:colOff>990600</xdr:colOff>
      <xdr:row>29</xdr:row>
      <xdr:rowOff>152400</xdr:rowOff>
    </xdr:to>
    <xdr:sp macro="" textlink="">
      <xdr:nvSpPr>
        <xdr:cNvPr id="20" name="Légende : flèche vers la droite 19">
          <a:extLst>
            <a:ext uri="{FF2B5EF4-FFF2-40B4-BE49-F238E27FC236}">
              <a16:creationId xmlns:a16="http://schemas.microsoft.com/office/drawing/2014/main" id="{00000000-0008-0000-0700-000014000000}"/>
            </a:ext>
          </a:extLst>
        </xdr:cNvPr>
        <xdr:cNvSpPr/>
      </xdr:nvSpPr>
      <xdr:spPr>
        <a:xfrm>
          <a:off x="6038850" y="5448300"/>
          <a:ext cx="133350" cy="314325"/>
        </a:xfrm>
        <a:prstGeom prst="rightArrowCallout">
          <a:avLst>
            <a:gd name="adj1" fmla="val 50000"/>
            <a:gd name="adj2" fmla="val 25000"/>
            <a:gd name="adj3" fmla="val 25000"/>
            <a:gd name="adj4" fmla="val 64977"/>
          </a:avLst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14</xdr:col>
      <xdr:colOff>866775</xdr:colOff>
      <xdr:row>25</xdr:row>
      <xdr:rowOff>28575</xdr:rowOff>
    </xdr:from>
    <xdr:to>
      <xdr:col>14</xdr:col>
      <xdr:colOff>1000125</xdr:colOff>
      <xdr:row>26</xdr:row>
      <xdr:rowOff>152400</xdr:rowOff>
    </xdr:to>
    <xdr:sp macro="" textlink="">
      <xdr:nvSpPr>
        <xdr:cNvPr id="21" name="Légende : flèche vers la droite 20">
          <a:extLst>
            <a:ext uri="{FF2B5EF4-FFF2-40B4-BE49-F238E27FC236}">
              <a16:creationId xmlns:a16="http://schemas.microsoft.com/office/drawing/2014/main" id="{00000000-0008-0000-0700-000015000000}"/>
            </a:ext>
          </a:extLst>
        </xdr:cNvPr>
        <xdr:cNvSpPr/>
      </xdr:nvSpPr>
      <xdr:spPr>
        <a:xfrm>
          <a:off x="6048375" y="4829175"/>
          <a:ext cx="133350" cy="314325"/>
        </a:xfrm>
        <a:prstGeom prst="rightArrowCallout">
          <a:avLst>
            <a:gd name="adj1" fmla="val 50000"/>
            <a:gd name="adj2" fmla="val 25000"/>
            <a:gd name="adj3" fmla="val 25000"/>
            <a:gd name="adj4" fmla="val 64977"/>
          </a:avLst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14</xdr:col>
      <xdr:colOff>866775</xdr:colOff>
      <xdr:row>25</xdr:row>
      <xdr:rowOff>28575</xdr:rowOff>
    </xdr:from>
    <xdr:to>
      <xdr:col>14</xdr:col>
      <xdr:colOff>1000125</xdr:colOff>
      <xdr:row>26</xdr:row>
      <xdr:rowOff>152400</xdr:rowOff>
    </xdr:to>
    <xdr:sp macro="" textlink="">
      <xdr:nvSpPr>
        <xdr:cNvPr id="22" name="Légende : flèche vers la droite 21">
          <a:extLst>
            <a:ext uri="{FF2B5EF4-FFF2-40B4-BE49-F238E27FC236}">
              <a16:creationId xmlns:a16="http://schemas.microsoft.com/office/drawing/2014/main" id="{00000000-0008-0000-0700-000016000000}"/>
            </a:ext>
          </a:extLst>
        </xdr:cNvPr>
        <xdr:cNvSpPr/>
      </xdr:nvSpPr>
      <xdr:spPr>
        <a:xfrm>
          <a:off x="6048375" y="4829175"/>
          <a:ext cx="133350" cy="314325"/>
        </a:xfrm>
        <a:prstGeom prst="rightArrowCallout">
          <a:avLst>
            <a:gd name="adj1" fmla="val 50000"/>
            <a:gd name="adj2" fmla="val 25000"/>
            <a:gd name="adj3" fmla="val 25000"/>
            <a:gd name="adj4" fmla="val 64977"/>
          </a:avLst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14</xdr:col>
      <xdr:colOff>857250</xdr:colOff>
      <xdr:row>28</xdr:row>
      <xdr:rowOff>28575</xdr:rowOff>
    </xdr:from>
    <xdr:to>
      <xdr:col>14</xdr:col>
      <xdr:colOff>990600</xdr:colOff>
      <xdr:row>29</xdr:row>
      <xdr:rowOff>152400</xdr:rowOff>
    </xdr:to>
    <xdr:sp macro="" textlink="">
      <xdr:nvSpPr>
        <xdr:cNvPr id="23" name="Légende : flèche vers la droite 22">
          <a:extLst>
            <a:ext uri="{FF2B5EF4-FFF2-40B4-BE49-F238E27FC236}">
              <a16:creationId xmlns:a16="http://schemas.microsoft.com/office/drawing/2014/main" id="{00000000-0008-0000-0700-000017000000}"/>
            </a:ext>
          </a:extLst>
        </xdr:cNvPr>
        <xdr:cNvSpPr/>
      </xdr:nvSpPr>
      <xdr:spPr>
        <a:xfrm>
          <a:off x="6038850" y="5448300"/>
          <a:ext cx="133350" cy="314325"/>
        </a:xfrm>
        <a:prstGeom prst="rightArrowCallout">
          <a:avLst>
            <a:gd name="adj1" fmla="val 50000"/>
            <a:gd name="adj2" fmla="val 25000"/>
            <a:gd name="adj3" fmla="val 25000"/>
            <a:gd name="adj4" fmla="val 64977"/>
          </a:avLst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14</xdr:col>
      <xdr:colOff>866775</xdr:colOff>
      <xdr:row>25</xdr:row>
      <xdr:rowOff>28575</xdr:rowOff>
    </xdr:from>
    <xdr:to>
      <xdr:col>14</xdr:col>
      <xdr:colOff>1000125</xdr:colOff>
      <xdr:row>26</xdr:row>
      <xdr:rowOff>152400</xdr:rowOff>
    </xdr:to>
    <xdr:sp macro="" textlink="">
      <xdr:nvSpPr>
        <xdr:cNvPr id="24" name="Légende : flèche vers la droite 23">
          <a:extLst>
            <a:ext uri="{FF2B5EF4-FFF2-40B4-BE49-F238E27FC236}">
              <a16:creationId xmlns:a16="http://schemas.microsoft.com/office/drawing/2014/main" id="{00000000-0008-0000-0700-000018000000}"/>
            </a:ext>
          </a:extLst>
        </xdr:cNvPr>
        <xdr:cNvSpPr/>
      </xdr:nvSpPr>
      <xdr:spPr>
        <a:xfrm>
          <a:off x="6048375" y="4829175"/>
          <a:ext cx="133350" cy="314325"/>
        </a:xfrm>
        <a:prstGeom prst="rightArrowCallout">
          <a:avLst>
            <a:gd name="adj1" fmla="val 50000"/>
            <a:gd name="adj2" fmla="val 25000"/>
            <a:gd name="adj3" fmla="val 25000"/>
            <a:gd name="adj4" fmla="val 64977"/>
          </a:avLst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14</xdr:col>
      <xdr:colOff>866775</xdr:colOff>
      <xdr:row>25</xdr:row>
      <xdr:rowOff>28575</xdr:rowOff>
    </xdr:from>
    <xdr:to>
      <xdr:col>14</xdr:col>
      <xdr:colOff>1000125</xdr:colOff>
      <xdr:row>26</xdr:row>
      <xdr:rowOff>152400</xdr:rowOff>
    </xdr:to>
    <xdr:sp macro="" textlink="">
      <xdr:nvSpPr>
        <xdr:cNvPr id="25" name="Légende : flèche vers la droite 24">
          <a:extLst>
            <a:ext uri="{FF2B5EF4-FFF2-40B4-BE49-F238E27FC236}">
              <a16:creationId xmlns:a16="http://schemas.microsoft.com/office/drawing/2014/main" id="{00000000-0008-0000-0700-000019000000}"/>
            </a:ext>
          </a:extLst>
        </xdr:cNvPr>
        <xdr:cNvSpPr/>
      </xdr:nvSpPr>
      <xdr:spPr>
        <a:xfrm>
          <a:off x="6048375" y="4829175"/>
          <a:ext cx="133350" cy="314325"/>
        </a:xfrm>
        <a:prstGeom prst="rightArrowCallout">
          <a:avLst>
            <a:gd name="adj1" fmla="val 50000"/>
            <a:gd name="adj2" fmla="val 25000"/>
            <a:gd name="adj3" fmla="val 25000"/>
            <a:gd name="adj4" fmla="val 64977"/>
          </a:avLst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14</xdr:col>
      <xdr:colOff>857250</xdr:colOff>
      <xdr:row>28</xdr:row>
      <xdr:rowOff>28575</xdr:rowOff>
    </xdr:from>
    <xdr:to>
      <xdr:col>14</xdr:col>
      <xdr:colOff>990600</xdr:colOff>
      <xdr:row>29</xdr:row>
      <xdr:rowOff>152400</xdr:rowOff>
    </xdr:to>
    <xdr:sp macro="" textlink="">
      <xdr:nvSpPr>
        <xdr:cNvPr id="26" name="Légende : flèche vers la droite 25">
          <a:extLst>
            <a:ext uri="{FF2B5EF4-FFF2-40B4-BE49-F238E27FC236}">
              <a16:creationId xmlns:a16="http://schemas.microsoft.com/office/drawing/2014/main" id="{00000000-0008-0000-0700-00001A000000}"/>
            </a:ext>
          </a:extLst>
        </xdr:cNvPr>
        <xdr:cNvSpPr/>
      </xdr:nvSpPr>
      <xdr:spPr>
        <a:xfrm>
          <a:off x="6038850" y="5448300"/>
          <a:ext cx="133350" cy="314325"/>
        </a:xfrm>
        <a:prstGeom prst="rightArrowCallout">
          <a:avLst>
            <a:gd name="adj1" fmla="val 50000"/>
            <a:gd name="adj2" fmla="val 25000"/>
            <a:gd name="adj3" fmla="val 25000"/>
            <a:gd name="adj4" fmla="val 64977"/>
          </a:avLst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14</xdr:col>
      <xdr:colOff>866775</xdr:colOff>
      <xdr:row>25</xdr:row>
      <xdr:rowOff>28575</xdr:rowOff>
    </xdr:from>
    <xdr:to>
      <xdr:col>14</xdr:col>
      <xdr:colOff>1000125</xdr:colOff>
      <xdr:row>26</xdr:row>
      <xdr:rowOff>152400</xdr:rowOff>
    </xdr:to>
    <xdr:sp macro="" textlink="">
      <xdr:nvSpPr>
        <xdr:cNvPr id="27" name="Légende : flèche vers la droite 26">
          <a:extLst>
            <a:ext uri="{FF2B5EF4-FFF2-40B4-BE49-F238E27FC236}">
              <a16:creationId xmlns:a16="http://schemas.microsoft.com/office/drawing/2014/main" id="{00000000-0008-0000-0700-00001B000000}"/>
            </a:ext>
          </a:extLst>
        </xdr:cNvPr>
        <xdr:cNvSpPr/>
      </xdr:nvSpPr>
      <xdr:spPr>
        <a:xfrm>
          <a:off x="6048375" y="4829175"/>
          <a:ext cx="133350" cy="314325"/>
        </a:xfrm>
        <a:prstGeom prst="rightArrowCallout">
          <a:avLst>
            <a:gd name="adj1" fmla="val 50000"/>
            <a:gd name="adj2" fmla="val 25000"/>
            <a:gd name="adj3" fmla="val 25000"/>
            <a:gd name="adj4" fmla="val 64977"/>
          </a:avLst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866775</xdr:colOff>
      <xdr:row>25</xdr:row>
      <xdr:rowOff>28575</xdr:rowOff>
    </xdr:from>
    <xdr:to>
      <xdr:col>15</xdr:col>
      <xdr:colOff>1000125</xdr:colOff>
      <xdr:row>26</xdr:row>
      <xdr:rowOff>152400</xdr:rowOff>
    </xdr:to>
    <xdr:sp macro="" textlink="">
      <xdr:nvSpPr>
        <xdr:cNvPr id="2" name="Légende : flèche vers la droite 1">
          <a:extLst>
            <a:ext uri="{FF2B5EF4-FFF2-40B4-BE49-F238E27FC236}">
              <a16:creationId xmlns:a16="http://schemas.microsoft.com/office/drawing/2014/main" id="{ADBCA06B-5907-49F7-8C8A-6D9DF2B08BCC}"/>
            </a:ext>
          </a:extLst>
        </xdr:cNvPr>
        <xdr:cNvSpPr/>
      </xdr:nvSpPr>
      <xdr:spPr>
        <a:xfrm>
          <a:off x="6734175" y="4867275"/>
          <a:ext cx="133350" cy="314325"/>
        </a:xfrm>
        <a:prstGeom prst="rightArrowCallout">
          <a:avLst>
            <a:gd name="adj1" fmla="val 50000"/>
            <a:gd name="adj2" fmla="val 25000"/>
            <a:gd name="adj3" fmla="val 25000"/>
            <a:gd name="adj4" fmla="val 64977"/>
          </a:avLst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15</xdr:col>
      <xdr:colOff>857250</xdr:colOff>
      <xdr:row>28</xdr:row>
      <xdr:rowOff>28575</xdr:rowOff>
    </xdr:from>
    <xdr:to>
      <xdr:col>15</xdr:col>
      <xdr:colOff>990600</xdr:colOff>
      <xdr:row>29</xdr:row>
      <xdr:rowOff>152400</xdr:rowOff>
    </xdr:to>
    <xdr:sp macro="" textlink="">
      <xdr:nvSpPr>
        <xdr:cNvPr id="3" name="Légende : flèche vers la droite 2">
          <a:extLst>
            <a:ext uri="{FF2B5EF4-FFF2-40B4-BE49-F238E27FC236}">
              <a16:creationId xmlns:a16="http://schemas.microsoft.com/office/drawing/2014/main" id="{C087769E-64DE-4808-8520-4E5645F9A48B}"/>
            </a:ext>
          </a:extLst>
        </xdr:cNvPr>
        <xdr:cNvSpPr/>
      </xdr:nvSpPr>
      <xdr:spPr>
        <a:xfrm>
          <a:off x="6724650" y="5486400"/>
          <a:ext cx="133350" cy="314325"/>
        </a:xfrm>
        <a:prstGeom prst="rightArrowCallout">
          <a:avLst>
            <a:gd name="adj1" fmla="val 50000"/>
            <a:gd name="adj2" fmla="val 25000"/>
            <a:gd name="adj3" fmla="val 25000"/>
            <a:gd name="adj4" fmla="val 64977"/>
          </a:avLst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15</xdr:col>
      <xdr:colOff>847725</xdr:colOff>
      <xdr:row>33</xdr:row>
      <xdr:rowOff>9525</xdr:rowOff>
    </xdr:from>
    <xdr:to>
      <xdr:col>15</xdr:col>
      <xdr:colOff>981075</xdr:colOff>
      <xdr:row>34</xdr:row>
      <xdr:rowOff>133350</xdr:rowOff>
    </xdr:to>
    <xdr:sp macro="" textlink="">
      <xdr:nvSpPr>
        <xdr:cNvPr id="4" name="Légende : flèche vers la droite 3">
          <a:extLst>
            <a:ext uri="{FF2B5EF4-FFF2-40B4-BE49-F238E27FC236}">
              <a16:creationId xmlns:a16="http://schemas.microsoft.com/office/drawing/2014/main" id="{D3274948-471F-4E35-AF6B-6B070E6354CB}"/>
            </a:ext>
          </a:extLst>
        </xdr:cNvPr>
        <xdr:cNvSpPr/>
      </xdr:nvSpPr>
      <xdr:spPr>
        <a:xfrm>
          <a:off x="6715125" y="6419850"/>
          <a:ext cx="133350" cy="314325"/>
        </a:xfrm>
        <a:prstGeom prst="rightArrowCallout">
          <a:avLst>
            <a:gd name="adj1" fmla="val 50000"/>
            <a:gd name="adj2" fmla="val 25000"/>
            <a:gd name="adj3" fmla="val 25000"/>
            <a:gd name="adj4" fmla="val 64977"/>
          </a:avLst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19</xdr:col>
      <xdr:colOff>361950</xdr:colOff>
      <xdr:row>25</xdr:row>
      <xdr:rowOff>57150</xdr:rowOff>
    </xdr:from>
    <xdr:to>
      <xdr:col>20</xdr:col>
      <xdr:colOff>66675</xdr:colOff>
      <xdr:row>29</xdr:row>
      <xdr:rowOff>152400</xdr:rowOff>
    </xdr:to>
    <xdr:sp macro="" textlink="">
      <xdr:nvSpPr>
        <xdr:cNvPr id="5" name="Légende : flèche vers la droite 4">
          <a:extLst>
            <a:ext uri="{FF2B5EF4-FFF2-40B4-BE49-F238E27FC236}">
              <a16:creationId xmlns:a16="http://schemas.microsoft.com/office/drawing/2014/main" id="{BE4B62F1-3F1D-4C24-81EC-C602DFC35F53}"/>
            </a:ext>
          </a:extLst>
        </xdr:cNvPr>
        <xdr:cNvSpPr/>
      </xdr:nvSpPr>
      <xdr:spPr>
        <a:xfrm>
          <a:off x="8420100" y="4895850"/>
          <a:ext cx="85725" cy="904875"/>
        </a:xfrm>
        <a:prstGeom prst="rightArrowCallout">
          <a:avLst>
            <a:gd name="adj1" fmla="val 50000"/>
            <a:gd name="adj2" fmla="val 25000"/>
            <a:gd name="adj3" fmla="val 25000"/>
            <a:gd name="adj4" fmla="val 64977"/>
          </a:avLst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15</xdr:col>
      <xdr:colOff>866775</xdr:colOff>
      <xdr:row>25</xdr:row>
      <xdr:rowOff>28575</xdr:rowOff>
    </xdr:from>
    <xdr:to>
      <xdr:col>15</xdr:col>
      <xdr:colOff>1000125</xdr:colOff>
      <xdr:row>26</xdr:row>
      <xdr:rowOff>152400</xdr:rowOff>
    </xdr:to>
    <xdr:sp macro="" textlink="">
      <xdr:nvSpPr>
        <xdr:cNvPr id="6" name="Légende : flèche vers la droite 5">
          <a:extLst>
            <a:ext uri="{FF2B5EF4-FFF2-40B4-BE49-F238E27FC236}">
              <a16:creationId xmlns:a16="http://schemas.microsoft.com/office/drawing/2014/main" id="{5F8C1E00-556C-446D-8C92-3E4423F6D07B}"/>
            </a:ext>
          </a:extLst>
        </xdr:cNvPr>
        <xdr:cNvSpPr/>
      </xdr:nvSpPr>
      <xdr:spPr>
        <a:xfrm>
          <a:off x="6734175" y="4867275"/>
          <a:ext cx="133350" cy="314325"/>
        </a:xfrm>
        <a:prstGeom prst="rightArrowCallout">
          <a:avLst>
            <a:gd name="adj1" fmla="val 50000"/>
            <a:gd name="adj2" fmla="val 25000"/>
            <a:gd name="adj3" fmla="val 25000"/>
            <a:gd name="adj4" fmla="val 64977"/>
          </a:avLst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15</xdr:col>
      <xdr:colOff>847725</xdr:colOff>
      <xdr:row>33</xdr:row>
      <xdr:rowOff>9525</xdr:rowOff>
    </xdr:from>
    <xdr:to>
      <xdr:col>15</xdr:col>
      <xdr:colOff>981075</xdr:colOff>
      <xdr:row>34</xdr:row>
      <xdr:rowOff>133350</xdr:rowOff>
    </xdr:to>
    <xdr:sp macro="" textlink="">
      <xdr:nvSpPr>
        <xdr:cNvPr id="7" name="Légende : flèche vers la droite 6">
          <a:extLst>
            <a:ext uri="{FF2B5EF4-FFF2-40B4-BE49-F238E27FC236}">
              <a16:creationId xmlns:a16="http://schemas.microsoft.com/office/drawing/2014/main" id="{C972E5AA-6E75-4075-9E8F-E43057F37302}"/>
            </a:ext>
          </a:extLst>
        </xdr:cNvPr>
        <xdr:cNvSpPr/>
      </xdr:nvSpPr>
      <xdr:spPr>
        <a:xfrm>
          <a:off x="6715125" y="6419850"/>
          <a:ext cx="133350" cy="314325"/>
        </a:xfrm>
        <a:prstGeom prst="rightArrowCallout">
          <a:avLst>
            <a:gd name="adj1" fmla="val 50000"/>
            <a:gd name="adj2" fmla="val 25000"/>
            <a:gd name="adj3" fmla="val 25000"/>
            <a:gd name="adj4" fmla="val 64977"/>
          </a:avLst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19</xdr:col>
      <xdr:colOff>361950</xdr:colOff>
      <xdr:row>25</xdr:row>
      <xdr:rowOff>57150</xdr:rowOff>
    </xdr:from>
    <xdr:to>
      <xdr:col>20</xdr:col>
      <xdr:colOff>66675</xdr:colOff>
      <xdr:row>29</xdr:row>
      <xdr:rowOff>152400</xdr:rowOff>
    </xdr:to>
    <xdr:sp macro="" textlink="">
      <xdr:nvSpPr>
        <xdr:cNvPr id="8" name="Légende : flèche vers la droite 7">
          <a:extLst>
            <a:ext uri="{FF2B5EF4-FFF2-40B4-BE49-F238E27FC236}">
              <a16:creationId xmlns:a16="http://schemas.microsoft.com/office/drawing/2014/main" id="{A06DC7EF-68CD-4674-B6D9-B7AB567AB968}"/>
            </a:ext>
          </a:extLst>
        </xdr:cNvPr>
        <xdr:cNvSpPr/>
      </xdr:nvSpPr>
      <xdr:spPr>
        <a:xfrm>
          <a:off x="8420100" y="4895850"/>
          <a:ext cx="85725" cy="904875"/>
        </a:xfrm>
        <a:prstGeom prst="rightArrowCallout">
          <a:avLst>
            <a:gd name="adj1" fmla="val 50000"/>
            <a:gd name="adj2" fmla="val 25000"/>
            <a:gd name="adj3" fmla="val 25000"/>
            <a:gd name="adj4" fmla="val 64977"/>
          </a:avLst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15</xdr:col>
      <xdr:colOff>866775</xdr:colOff>
      <xdr:row>25</xdr:row>
      <xdr:rowOff>28575</xdr:rowOff>
    </xdr:from>
    <xdr:to>
      <xdr:col>15</xdr:col>
      <xdr:colOff>1000125</xdr:colOff>
      <xdr:row>26</xdr:row>
      <xdr:rowOff>152400</xdr:rowOff>
    </xdr:to>
    <xdr:sp macro="" textlink="">
      <xdr:nvSpPr>
        <xdr:cNvPr id="9" name="Légende : flèche vers la droite 8">
          <a:extLst>
            <a:ext uri="{FF2B5EF4-FFF2-40B4-BE49-F238E27FC236}">
              <a16:creationId xmlns:a16="http://schemas.microsoft.com/office/drawing/2014/main" id="{2B773F41-F3A9-4BBB-854B-C6185A8D4A6A}"/>
            </a:ext>
          </a:extLst>
        </xdr:cNvPr>
        <xdr:cNvSpPr/>
      </xdr:nvSpPr>
      <xdr:spPr>
        <a:xfrm>
          <a:off x="6734175" y="4867275"/>
          <a:ext cx="133350" cy="314325"/>
        </a:xfrm>
        <a:prstGeom prst="rightArrowCallout">
          <a:avLst>
            <a:gd name="adj1" fmla="val 50000"/>
            <a:gd name="adj2" fmla="val 25000"/>
            <a:gd name="adj3" fmla="val 25000"/>
            <a:gd name="adj4" fmla="val 64977"/>
          </a:avLst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15</xdr:col>
      <xdr:colOff>857250</xdr:colOff>
      <xdr:row>28</xdr:row>
      <xdr:rowOff>28575</xdr:rowOff>
    </xdr:from>
    <xdr:to>
      <xdr:col>15</xdr:col>
      <xdr:colOff>990600</xdr:colOff>
      <xdr:row>29</xdr:row>
      <xdr:rowOff>152400</xdr:rowOff>
    </xdr:to>
    <xdr:sp macro="" textlink="">
      <xdr:nvSpPr>
        <xdr:cNvPr id="10" name="Légende : flèche vers la droite 9">
          <a:extLst>
            <a:ext uri="{FF2B5EF4-FFF2-40B4-BE49-F238E27FC236}">
              <a16:creationId xmlns:a16="http://schemas.microsoft.com/office/drawing/2014/main" id="{7925C4A7-A615-4CE8-9746-2A2844A2BB40}"/>
            </a:ext>
          </a:extLst>
        </xdr:cNvPr>
        <xdr:cNvSpPr/>
      </xdr:nvSpPr>
      <xdr:spPr>
        <a:xfrm>
          <a:off x="6724650" y="5486400"/>
          <a:ext cx="133350" cy="314325"/>
        </a:xfrm>
        <a:prstGeom prst="rightArrowCallout">
          <a:avLst>
            <a:gd name="adj1" fmla="val 50000"/>
            <a:gd name="adj2" fmla="val 25000"/>
            <a:gd name="adj3" fmla="val 25000"/>
            <a:gd name="adj4" fmla="val 64977"/>
          </a:avLst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15</xdr:col>
      <xdr:colOff>847725</xdr:colOff>
      <xdr:row>33</xdr:row>
      <xdr:rowOff>9525</xdr:rowOff>
    </xdr:from>
    <xdr:to>
      <xdr:col>15</xdr:col>
      <xdr:colOff>981075</xdr:colOff>
      <xdr:row>34</xdr:row>
      <xdr:rowOff>133350</xdr:rowOff>
    </xdr:to>
    <xdr:sp macro="" textlink="">
      <xdr:nvSpPr>
        <xdr:cNvPr id="11" name="Légende : flèche vers la droite 10">
          <a:extLst>
            <a:ext uri="{FF2B5EF4-FFF2-40B4-BE49-F238E27FC236}">
              <a16:creationId xmlns:a16="http://schemas.microsoft.com/office/drawing/2014/main" id="{AE37BE93-40D2-4232-8059-C7F025D21A07}"/>
            </a:ext>
          </a:extLst>
        </xdr:cNvPr>
        <xdr:cNvSpPr/>
      </xdr:nvSpPr>
      <xdr:spPr>
        <a:xfrm>
          <a:off x="6715125" y="6419850"/>
          <a:ext cx="133350" cy="314325"/>
        </a:xfrm>
        <a:prstGeom prst="rightArrowCallout">
          <a:avLst>
            <a:gd name="adj1" fmla="val 50000"/>
            <a:gd name="adj2" fmla="val 25000"/>
            <a:gd name="adj3" fmla="val 25000"/>
            <a:gd name="adj4" fmla="val 64977"/>
          </a:avLst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19</xdr:col>
      <xdr:colOff>361950</xdr:colOff>
      <xdr:row>25</xdr:row>
      <xdr:rowOff>57150</xdr:rowOff>
    </xdr:from>
    <xdr:to>
      <xdr:col>20</xdr:col>
      <xdr:colOff>66675</xdr:colOff>
      <xdr:row>29</xdr:row>
      <xdr:rowOff>152400</xdr:rowOff>
    </xdr:to>
    <xdr:sp macro="" textlink="">
      <xdr:nvSpPr>
        <xdr:cNvPr id="12" name="Légende : flèche vers la droite 11">
          <a:extLst>
            <a:ext uri="{FF2B5EF4-FFF2-40B4-BE49-F238E27FC236}">
              <a16:creationId xmlns:a16="http://schemas.microsoft.com/office/drawing/2014/main" id="{6B8FAB9A-7406-43F2-AC67-902BB5675532}"/>
            </a:ext>
          </a:extLst>
        </xdr:cNvPr>
        <xdr:cNvSpPr/>
      </xdr:nvSpPr>
      <xdr:spPr>
        <a:xfrm>
          <a:off x="8420100" y="4895850"/>
          <a:ext cx="85725" cy="904875"/>
        </a:xfrm>
        <a:prstGeom prst="rightArrowCallout">
          <a:avLst>
            <a:gd name="adj1" fmla="val 50000"/>
            <a:gd name="adj2" fmla="val 25000"/>
            <a:gd name="adj3" fmla="val 25000"/>
            <a:gd name="adj4" fmla="val 64977"/>
          </a:avLst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15</xdr:col>
      <xdr:colOff>866775</xdr:colOff>
      <xdr:row>25</xdr:row>
      <xdr:rowOff>28575</xdr:rowOff>
    </xdr:from>
    <xdr:to>
      <xdr:col>15</xdr:col>
      <xdr:colOff>1000125</xdr:colOff>
      <xdr:row>26</xdr:row>
      <xdr:rowOff>152400</xdr:rowOff>
    </xdr:to>
    <xdr:sp macro="" textlink="">
      <xdr:nvSpPr>
        <xdr:cNvPr id="13" name="Légende : flèche vers la droite 12">
          <a:extLst>
            <a:ext uri="{FF2B5EF4-FFF2-40B4-BE49-F238E27FC236}">
              <a16:creationId xmlns:a16="http://schemas.microsoft.com/office/drawing/2014/main" id="{2A12FBAE-6332-4ED6-A48D-80ADEAB960B2}"/>
            </a:ext>
          </a:extLst>
        </xdr:cNvPr>
        <xdr:cNvSpPr/>
      </xdr:nvSpPr>
      <xdr:spPr>
        <a:xfrm>
          <a:off x="6734175" y="4867275"/>
          <a:ext cx="133350" cy="314325"/>
        </a:xfrm>
        <a:prstGeom prst="rightArrowCallout">
          <a:avLst>
            <a:gd name="adj1" fmla="val 50000"/>
            <a:gd name="adj2" fmla="val 25000"/>
            <a:gd name="adj3" fmla="val 25000"/>
            <a:gd name="adj4" fmla="val 64977"/>
          </a:avLst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15</xdr:col>
      <xdr:colOff>847725</xdr:colOff>
      <xdr:row>33</xdr:row>
      <xdr:rowOff>9525</xdr:rowOff>
    </xdr:from>
    <xdr:to>
      <xdr:col>15</xdr:col>
      <xdr:colOff>981075</xdr:colOff>
      <xdr:row>34</xdr:row>
      <xdr:rowOff>133350</xdr:rowOff>
    </xdr:to>
    <xdr:sp macro="" textlink="">
      <xdr:nvSpPr>
        <xdr:cNvPr id="14" name="Légende : flèche vers la droite 13">
          <a:extLst>
            <a:ext uri="{FF2B5EF4-FFF2-40B4-BE49-F238E27FC236}">
              <a16:creationId xmlns:a16="http://schemas.microsoft.com/office/drawing/2014/main" id="{99E60D12-126E-4F20-93D8-C536E197847D}"/>
            </a:ext>
          </a:extLst>
        </xdr:cNvPr>
        <xdr:cNvSpPr/>
      </xdr:nvSpPr>
      <xdr:spPr>
        <a:xfrm>
          <a:off x="6715125" y="6419850"/>
          <a:ext cx="133350" cy="314325"/>
        </a:xfrm>
        <a:prstGeom prst="rightArrowCallout">
          <a:avLst>
            <a:gd name="adj1" fmla="val 50000"/>
            <a:gd name="adj2" fmla="val 25000"/>
            <a:gd name="adj3" fmla="val 25000"/>
            <a:gd name="adj4" fmla="val 64977"/>
          </a:avLst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19</xdr:col>
      <xdr:colOff>361950</xdr:colOff>
      <xdr:row>25</xdr:row>
      <xdr:rowOff>57150</xdr:rowOff>
    </xdr:from>
    <xdr:to>
      <xdr:col>20</xdr:col>
      <xdr:colOff>66675</xdr:colOff>
      <xdr:row>29</xdr:row>
      <xdr:rowOff>152400</xdr:rowOff>
    </xdr:to>
    <xdr:sp macro="" textlink="">
      <xdr:nvSpPr>
        <xdr:cNvPr id="15" name="Légende : flèche vers la droite 14">
          <a:extLst>
            <a:ext uri="{FF2B5EF4-FFF2-40B4-BE49-F238E27FC236}">
              <a16:creationId xmlns:a16="http://schemas.microsoft.com/office/drawing/2014/main" id="{58CF4AF1-AEC6-4CE2-9E8E-4AD44D018469}"/>
            </a:ext>
          </a:extLst>
        </xdr:cNvPr>
        <xdr:cNvSpPr/>
      </xdr:nvSpPr>
      <xdr:spPr>
        <a:xfrm>
          <a:off x="8420100" y="4895850"/>
          <a:ext cx="85725" cy="904875"/>
        </a:xfrm>
        <a:prstGeom prst="rightArrowCallout">
          <a:avLst>
            <a:gd name="adj1" fmla="val 50000"/>
            <a:gd name="adj2" fmla="val 25000"/>
            <a:gd name="adj3" fmla="val 25000"/>
            <a:gd name="adj4" fmla="val 64977"/>
          </a:avLst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15</xdr:col>
      <xdr:colOff>866775</xdr:colOff>
      <xdr:row>25</xdr:row>
      <xdr:rowOff>28575</xdr:rowOff>
    </xdr:from>
    <xdr:to>
      <xdr:col>15</xdr:col>
      <xdr:colOff>1000125</xdr:colOff>
      <xdr:row>26</xdr:row>
      <xdr:rowOff>152400</xdr:rowOff>
    </xdr:to>
    <xdr:sp macro="" textlink="">
      <xdr:nvSpPr>
        <xdr:cNvPr id="16" name="Légende : flèche vers la droite 15">
          <a:extLst>
            <a:ext uri="{FF2B5EF4-FFF2-40B4-BE49-F238E27FC236}">
              <a16:creationId xmlns:a16="http://schemas.microsoft.com/office/drawing/2014/main" id="{E41F9BB7-1815-4FAD-AD56-88A21E43CD18}"/>
            </a:ext>
          </a:extLst>
        </xdr:cNvPr>
        <xdr:cNvSpPr/>
      </xdr:nvSpPr>
      <xdr:spPr>
        <a:xfrm>
          <a:off x="6734175" y="4867275"/>
          <a:ext cx="133350" cy="314325"/>
        </a:xfrm>
        <a:prstGeom prst="rightArrowCallout">
          <a:avLst>
            <a:gd name="adj1" fmla="val 50000"/>
            <a:gd name="adj2" fmla="val 25000"/>
            <a:gd name="adj3" fmla="val 25000"/>
            <a:gd name="adj4" fmla="val 64977"/>
          </a:avLst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15</xdr:col>
      <xdr:colOff>857250</xdr:colOff>
      <xdr:row>28</xdr:row>
      <xdr:rowOff>28575</xdr:rowOff>
    </xdr:from>
    <xdr:to>
      <xdr:col>15</xdr:col>
      <xdr:colOff>990600</xdr:colOff>
      <xdr:row>29</xdr:row>
      <xdr:rowOff>152400</xdr:rowOff>
    </xdr:to>
    <xdr:sp macro="" textlink="">
      <xdr:nvSpPr>
        <xdr:cNvPr id="17" name="Légende : flèche vers la droite 16">
          <a:extLst>
            <a:ext uri="{FF2B5EF4-FFF2-40B4-BE49-F238E27FC236}">
              <a16:creationId xmlns:a16="http://schemas.microsoft.com/office/drawing/2014/main" id="{D08191F8-A47D-4A1C-AACE-259DFE68C075}"/>
            </a:ext>
          </a:extLst>
        </xdr:cNvPr>
        <xdr:cNvSpPr/>
      </xdr:nvSpPr>
      <xdr:spPr>
        <a:xfrm>
          <a:off x="6724650" y="5486400"/>
          <a:ext cx="133350" cy="314325"/>
        </a:xfrm>
        <a:prstGeom prst="rightArrowCallout">
          <a:avLst>
            <a:gd name="adj1" fmla="val 50000"/>
            <a:gd name="adj2" fmla="val 25000"/>
            <a:gd name="adj3" fmla="val 25000"/>
            <a:gd name="adj4" fmla="val 64977"/>
          </a:avLst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15</xdr:col>
      <xdr:colOff>866775</xdr:colOff>
      <xdr:row>25</xdr:row>
      <xdr:rowOff>28575</xdr:rowOff>
    </xdr:from>
    <xdr:to>
      <xdr:col>15</xdr:col>
      <xdr:colOff>1000125</xdr:colOff>
      <xdr:row>26</xdr:row>
      <xdr:rowOff>152400</xdr:rowOff>
    </xdr:to>
    <xdr:sp macro="" textlink="">
      <xdr:nvSpPr>
        <xdr:cNvPr id="18" name="Légende : flèche vers la droite 17">
          <a:extLst>
            <a:ext uri="{FF2B5EF4-FFF2-40B4-BE49-F238E27FC236}">
              <a16:creationId xmlns:a16="http://schemas.microsoft.com/office/drawing/2014/main" id="{835A3979-D381-4237-BBA1-FE1841788E00}"/>
            </a:ext>
          </a:extLst>
        </xdr:cNvPr>
        <xdr:cNvSpPr/>
      </xdr:nvSpPr>
      <xdr:spPr>
        <a:xfrm>
          <a:off x="6734175" y="4867275"/>
          <a:ext cx="133350" cy="314325"/>
        </a:xfrm>
        <a:prstGeom prst="rightArrowCallout">
          <a:avLst>
            <a:gd name="adj1" fmla="val 50000"/>
            <a:gd name="adj2" fmla="val 25000"/>
            <a:gd name="adj3" fmla="val 25000"/>
            <a:gd name="adj4" fmla="val 64977"/>
          </a:avLst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15</xdr:col>
      <xdr:colOff>866775</xdr:colOff>
      <xdr:row>25</xdr:row>
      <xdr:rowOff>28575</xdr:rowOff>
    </xdr:from>
    <xdr:to>
      <xdr:col>15</xdr:col>
      <xdr:colOff>1000125</xdr:colOff>
      <xdr:row>26</xdr:row>
      <xdr:rowOff>152400</xdr:rowOff>
    </xdr:to>
    <xdr:sp macro="" textlink="">
      <xdr:nvSpPr>
        <xdr:cNvPr id="19" name="Légende : flèche vers la droite 18">
          <a:extLst>
            <a:ext uri="{FF2B5EF4-FFF2-40B4-BE49-F238E27FC236}">
              <a16:creationId xmlns:a16="http://schemas.microsoft.com/office/drawing/2014/main" id="{8B60DBB4-2F6D-40E2-9838-A5AE093B7EA6}"/>
            </a:ext>
          </a:extLst>
        </xdr:cNvPr>
        <xdr:cNvSpPr/>
      </xdr:nvSpPr>
      <xdr:spPr>
        <a:xfrm>
          <a:off x="6734175" y="4867275"/>
          <a:ext cx="133350" cy="314325"/>
        </a:xfrm>
        <a:prstGeom prst="rightArrowCallout">
          <a:avLst>
            <a:gd name="adj1" fmla="val 50000"/>
            <a:gd name="adj2" fmla="val 25000"/>
            <a:gd name="adj3" fmla="val 25000"/>
            <a:gd name="adj4" fmla="val 64977"/>
          </a:avLst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15</xdr:col>
      <xdr:colOff>857250</xdr:colOff>
      <xdr:row>28</xdr:row>
      <xdr:rowOff>28575</xdr:rowOff>
    </xdr:from>
    <xdr:to>
      <xdr:col>15</xdr:col>
      <xdr:colOff>990600</xdr:colOff>
      <xdr:row>29</xdr:row>
      <xdr:rowOff>152400</xdr:rowOff>
    </xdr:to>
    <xdr:sp macro="" textlink="">
      <xdr:nvSpPr>
        <xdr:cNvPr id="20" name="Légende : flèche vers la droite 19">
          <a:extLst>
            <a:ext uri="{FF2B5EF4-FFF2-40B4-BE49-F238E27FC236}">
              <a16:creationId xmlns:a16="http://schemas.microsoft.com/office/drawing/2014/main" id="{FCB8DC25-D63E-42AF-97CA-0335C2BA4495}"/>
            </a:ext>
          </a:extLst>
        </xdr:cNvPr>
        <xdr:cNvSpPr/>
      </xdr:nvSpPr>
      <xdr:spPr>
        <a:xfrm>
          <a:off x="6724650" y="5486400"/>
          <a:ext cx="133350" cy="314325"/>
        </a:xfrm>
        <a:prstGeom prst="rightArrowCallout">
          <a:avLst>
            <a:gd name="adj1" fmla="val 50000"/>
            <a:gd name="adj2" fmla="val 25000"/>
            <a:gd name="adj3" fmla="val 25000"/>
            <a:gd name="adj4" fmla="val 64977"/>
          </a:avLst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15</xdr:col>
      <xdr:colOff>866775</xdr:colOff>
      <xdr:row>25</xdr:row>
      <xdr:rowOff>28575</xdr:rowOff>
    </xdr:from>
    <xdr:to>
      <xdr:col>15</xdr:col>
      <xdr:colOff>1000125</xdr:colOff>
      <xdr:row>26</xdr:row>
      <xdr:rowOff>152400</xdr:rowOff>
    </xdr:to>
    <xdr:sp macro="" textlink="">
      <xdr:nvSpPr>
        <xdr:cNvPr id="21" name="Légende : flèche vers la droite 20">
          <a:extLst>
            <a:ext uri="{FF2B5EF4-FFF2-40B4-BE49-F238E27FC236}">
              <a16:creationId xmlns:a16="http://schemas.microsoft.com/office/drawing/2014/main" id="{5806B074-DE4B-400E-8349-074BBDC0C650}"/>
            </a:ext>
          </a:extLst>
        </xdr:cNvPr>
        <xdr:cNvSpPr/>
      </xdr:nvSpPr>
      <xdr:spPr>
        <a:xfrm>
          <a:off x="6734175" y="4867275"/>
          <a:ext cx="133350" cy="314325"/>
        </a:xfrm>
        <a:prstGeom prst="rightArrowCallout">
          <a:avLst>
            <a:gd name="adj1" fmla="val 50000"/>
            <a:gd name="adj2" fmla="val 25000"/>
            <a:gd name="adj3" fmla="val 25000"/>
            <a:gd name="adj4" fmla="val 64977"/>
          </a:avLst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15</xdr:col>
      <xdr:colOff>866775</xdr:colOff>
      <xdr:row>25</xdr:row>
      <xdr:rowOff>28575</xdr:rowOff>
    </xdr:from>
    <xdr:to>
      <xdr:col>15</xdr:col>
      <xdr:colOff>1000125</xdr:colOff>
      <xdr:row>26</xdr:row>
      <xdr:rowOff>152400</xdr:rowOff>
    </xdr:to>
    <xdr:sp macro="" textlink="">
      <xdr:nvSpPr>
        <xdr:cNvPr id="22" name="Légende : flèche vers la droite 21">
          <a:extLst>
            <a:ext uri="{FF2B5EF4-FFF2-40B4-BE49-F238E27FC236}">
              <a16:creationId xmlns:a16="http://schemas.microsoft.com/office/drawing/2014/main" id="{A659BDA6-6C11-494D-9B79-B551CEAC0CD6}"/>
            </a:ext>
          </a:extLst>
        </xdr:cNvPr>
        <xdr:cNvSpPr/>
      </xdr:nvSpPr>
      <xdr:spPr>
        <a:xfrm>
          <a:off x="6734175" y="4867275"/>
          <a:ext cx="133350" cy="314325"/>
        </a:xfrm>
        <a:prstGeom prst="rightArrowCallout">
          <a:avLst>
            <a:gd name="adj1" fmla="val 50000"/>
            <a:gd name="adj2" fmla="val 25000"/>
            <a:gd name="adj3" fmla="val 25000"/>
            <a:gd name="adj4" fmla="val 64977"/>
          </a:avLst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15</xdr:col>
      <xdr:colOff>857250</xdr:colOff>
      <xdr:row>28</xdr:row>
      <xdr:rowOff>28575</xdr:rowOff>
    </xdr:from>
    <xdr:to>
      <xdr:col>15</xdr:col>
      <xdr:colOff>990600</xdr:colOff>
      <xdr:row>29</xdr:row>
      <xdr:rowOff>152400</xdr:rowOff>
    </xdr:to>
    <xdr:sp macro="" textlink="">
      <xdr:nvSpPr>
        <xdr:cNvPr id="23" name="Légende : flèche vers la droite 22">
          <a:extLst>
            <a:ext uri="{FF2B5EF4-FFF2-40B4-BE49-F238E27FC236}">
              <a16:creationId xmlns:a16="http://schemas.microsoft.com/office/drawing/2014/main" id="{1DD7F6E2-D1C7-4AC1-B8BC-506168D15294}"/>
            </a:ext>
          </a:extLst>
        </xdr:cNvPr>
        <xdr:cNvSpPr/>
      </xdr:nvSpPr>
      <xdr:spPr>
        <a:xfrm>
          <a:off x="6724650" y="5486400"/>
          <a:ext cx="133350" cy="314325"/>
        </a:xfrm>
        <a:prstGeom prst="rightArrowCallout">
          <a:avLst>
            <a:gd name="adj1" fmla="val 50000"/>
            <a:gd name="adj2" fmla="val 25000"/>
            <a:gd name="adj3" fmla="val 25000"/>
            <a:gd name="adj4" fmla="val 64977"/>
          </a:avLst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15</xdr:col>
      <xdr:colOff>866775</xdr:colOff>
      <xdr:row>25</xdr:row>
      <xdr:rowOff>28575</xdr:rowOff>
    </xdr:from>
    <xdr:to>
      <xdr:col>15</xdr:col>
      <xdr:colOff>1000125</xdr:colOff>
      <xdr:row>26</xdr:row>
      <xdr:rowOff>152400</xdr:rowOff>
    </xdr:to>
    <xdr:sp macro="" textlink="">
      <xdr:nvSpPr>
        <xdr:cNvPr id="24" name="Légende : flèche vers la droite 23">
          <a:extLst>
            <a:ext uri="{FF2B5EF4-FFF2-40B4-BE49-F238E27FC236}">
              <a16:creationId xmlns:a16="http://schemas.microsoft.com/office/drawing/2014/main" id="{D3815449-8FA1-4191-A7B7-D121C3DDD3C6}"/>
            </a:ext>
          </a:extLst>
        </xdr:cNvPr>
        <xdr:cNvSpPr/>
      </xdr:nvSpPr>
      <xdr:spPr>
        <a:xfrm>
          <a:off x="6734175" y="4867275"/>
          <a:ext cx="133350" cy="314325"/>
        </a:xfrm>
        <a:prstGeom prst="rightArrowCallout">
          <a:avLst>
            <a:gd name="adj1" fmla="val 50000"/>
            <a:gd name="adj2" fmla="val 25000"/>
            <a:gd name="adj3" fmla="val 25000"/>
            <a:gd name="adj4" fmla="val 64977"/>
          </a:avLst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15</xdr:col>
      <xdr:colOff>866775</xdr:colOff>
      <xdr:row>25</xdr:row>
      <xdr:rowOff>28575</xdr:rowOff>
    </xdr:from>
    <xdr:to>
      <xdr:col>15</xdr:col>
      <xdr:colOff>1000125</xdr:colOff>
      <xdr:row>26</xdr:row>
      <xdr:rowOff>152400</xdr:rowOff>
    </xdr:to>
    <xdr:sp macro="" textlink="">
      <xdr:nvSpPr>
        <xdr:cNvPr id="25" name="Légende : flèche vers la droite 24">
          <a:extLst>
            <a:ext uri="{FF2B5EF4-FFF2-40B4-BE49-F238E27FC236}">
              <a16:creationId xmlns:a16="http://schemas.microsoft.com/office/drawing/2014/main" id="{950311A3-C99D-402E-9776-1A214E7A49B5}"/>
            </a:ext>
          </a:extLst>
        </xdr:cNvPr>
        <xdr:cNvSpPr/>
      </xdr:nvSpPr>
      <xdr:spPr>
        <a:xfrm>
          <a:off x="6734175" y="4867275"/>
          <a:ext cx="133350" cy="314325"/>
        </a:xfrm>
        <a:prstGeom prst="rightArrowCallout">
          <a:avLst>
            <a:gd name="adj1" fmla="val 50000"/>
            <a:gd name="adj2" fmla="val 25000"/>
            <a:gd name="adj3" fmla="val 25000"/>
            <a:gd name="adj4" fmla="val 64977"/>
          </a:avLst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15</xdr:col>
      <xdr:colOff>857250</xdr:colOff>
      <xdr:row>28</xdr:row>
      <xdr:rowOff>28575</xdr:rowOff>
    </xdr:from>
    <xdr:to>
      <xdr:col>15</xdr:col>
      <xdr:colOff>990600</xdr:colOff>
      <xdr:row>29</xdr:row>
      <xdr:rowOff>152400</xdr:rowOff>
    </xdr:to>
    <xdr:sp macro="" textlink="">
      <xdr:nvSpPr>
        <xdr:cNvPr id="26" name="Légende : flèche vers la droite 25">
          <a:extLst>
            <a:ext uri="{FF2B5EF4-FFF2-40B4-BE49-F238E27FC236}">
              <a16:creationId xmlns:a16="http://schemas.microsoft.com/office/drawing/2014/main" id="{86DCFF3B-1F87-4F47-B406-0968B46415C3}"/>
            </a:ext>
          </a:extLst>
        </xdr:cNvPr>
        <xdr:cNvSpPr/>
      </xdr:nvSpPr>
      <xdr:spPr>
        <a:xfrm>
          <a:off x="6724650" y="5486400"/>
          <a:ext cx="133350" cy="314325"/>
        </a:xfrm>
        <a:prstGeom prst="rightArrowCallout">
          <a:avLst>
            <a:gd name="adj1" fmla="val 50000"/>
            <a:gd name="adj2" fmla="val 25000"/>
            <a:gd name="adj3" fmla="val 25000"/>
            <a:gd name="adj4" fmla="val 64977"/>
          </a:avLst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15</xdr:col>
      <xdr:colOff>866775</xdr:colOff>
      <xdr:row>25</xdr:row>
      <xdr:rowOff>28575</xdr:rowOff>
    </xdr:from>
    <xdr:to>
      <xdr:col>15</xdr:col>
      <xdr:colOff>1000125</xdr:colOff>
      <xdr:row>26</xdr:row>
      <xdr:rowOff>152400</xdr:rowOff>
    </xdr:to>
    <xdr:sp macro="" textlink="">
      <xdr:nvSpPr>
        <xdr:cNvPr id="27" name="Légende : flèche vers la droite 26">
          <a:extLst>
            <a:ext uri="{FF2B5EF4-FFF2-40B4-BE49-F238E27FC236}">
              <a16:creationId xmlns:a16="http://schemas.microsoft.com/office/drawing/2014/main" id="{CEC45F03-8706-405A-87A7-720A98722C3F}"/>
            </a:ext>
          </a:extLst>
        </xdr:cNvPr>
        <xdr:cNvSpPr/>
      </xdr:nvSpPr>
      <xdr:spPr>
        <a:xfrm>
          <a:off x="6734175" y="4867275"/>
          <a:ext cx="133350" cy="314325"/>
        </a:xfrm>
        <a:prstGeom prst="rightArrowCallout">
          <a:avLst>
            <a:gd name="adj1" fmla="val 50000"/>
            <a:gd name="adj2" fmla="val 25000"/>
            <a:gd name="adj3" fmla="val 25000"/>
            <a:gd name="adj4" fmla="val 64977"/>
          </a:avLst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15</xdr:col>
      <xdr:colOff>866775</xdr:colOff>
      <xdr:row>25</xdr:row>
      <xdr:rowOff>28575</xdr:rowOff>
    </xdr:from>
    <xdr:to>
      <xdr:col>15</xdr:col>
      <xdr:colOff>1000125</xdr:colOff>
      <xdr:row>26</xdr:row>
      <xdr:rowOff>152400</xdr:rowOff>
    </xdr:to>
    <xdr:sp macro="" textlink="">
      <xdr:nvSpPr>
        <xdr:cNvPr id="28" name="Légende : flèche vers la droite 27">
          <a:extLst>
            <a:ext uri="{FF2B5EF4-FFF2-40B4-BE49-F238E27FC236}">
              <a16:creationId xmlns:a16="http://schemas.microsoft.com/office/drawing/2014/main" id="{0A7F8CC3-574D-4DBE-AA10-0715DB56CF35}"/>
            </a:ext>
          </a:extLst>
        </xdr:cNvPr>
        <xdr:cNvSpPr/>
      </xdr:nvSpPr>
      <xdr:spPr>
        <a:xfrm>
          <a:off x="6734175" y="4867275"/>
          <a:ext cx="133350" cy="314325"/>
        </a:xfrm>
        <a:prstGeom prst="rightArrowCallout">
          <a:avLst>
            <a:gd name="adj1" fmla="val 50000"/>
            <a:gd name="adj2" fmla="val 25000"/>
            <a:gd name="adj3" fmla="val 25000"/>
            <a:gd name="adj4" fmla="val 64977"/>
          </a:avLst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15</xdr:col>
      <xdr:colOff>857250</xdr:colOff>
      <xdr:row>28</xdr:row>
      <xdr:rowOff>28575</xdr:rowOff>
    </xdr:from>
    <xdr:to>
      <xdr:col>15</xdr:col>
      <xdr:colOff>990600</xdr:colOff>
      <xdr:row>29</xdr:row>
      <xdr:rowOff>152400</xdr:rowOff>
    </xdr:to>
    <xdr:sp macro="" textlink="">
      <xdr:nvSpPr>
        <xdr:cNvPr id="29" name="Légende : flèche vers la droite 28">
          <a:extLst>
            <a:ext uri="{FF2B5EF4-FFF2-40B4-BE49-F238E27FC236}">
              <a16:creationId xmlns:a16="http://schemas.microsoft.com/office/drawing/2014/main" id="{64AE32E6-B7D6-4459-A101-EDD418058731}"/>
            </a:ext>
          </a:extLst>
        </xdr:cNvPr>
        <xdr:cNvSpPr/>
      </xdr:nvSpPr>
      <xdr:spPr>
        <a:xfrm>
          <a:off x="6724650" y="5486400"/>
          <a:ext cx="133350" cy="314325"/>
        </a:xfrm>
        <a:prstGeom prst="rightArrowCallout">
          <a:avLst>
            <a:gd name="adj1" fmla="val 50000"/>
            <a:gd name="adj2" fmla="val 25000"/>
            <a:gd name="adj3" fmla="val 25000"/>
            <a:gd name="adj4" fmla="val 64977"/>
          </a:avLst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15</xdr:col>
      <xdr:colOff>847725</xdr:colOff>
      <xdr:row>33</xdr:row>
      <xdr:rowOff>9525</xdr:rowOff>
    </xdr:from>
    <xdr:to>
      <xdr:col>15</xdr:col>
      <xdr:colOff>981075</xdr:colOff>
      <xdr:row>34</xdr:row>
      <xdr:rowOff>133350</xdr:rowOff>
    </xdr:to>
    <xdr:sp macro="" textlink="">
      <xdr:nvSpPr>
        <xdr:cNvPr id="30" name="Légende : flèche vers la droite 29">
          <a:extLst>
            <a:ext uri="{FF2B5EF4-FFF2-40B4-BE49-F238E27FC236}">
              <a16:creationId xmlns:a16="http://schemas.microsoft.com/office/drawing/2014/main" id="{95FE2E88-6348-4A9B-9032-58B864965660}"/>
            </a:ext>
          </a:extLst>
        </xdr:cNvPr>
        <xdr:cNvSpPr/>
      </xdr:nvSpPr>
      <xdr:spPr>
        <a:xfrm>
          <a:off x="6715125" y="6419850"/>
          <a:ext cx="133350" cy="314325"/>
        </a:xfrm>
        <a:prstGeom prst="rightArrowCallout">
          <a:avLst>
            <a:gd name="adj1" fmla="val 50000"/>
            <a:gd name="adj2" fmla="val 25000"/>
            <a:gd name="adj3" fmla="val 25000"/>
            <a:gd name="adj4" fmla="val 64977"/>
          </a:avLst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19</xdr:col>
      <xdr:colOff>361950</xdr:colOff>
      <xdr:row>25</xdr:row>
      <xdr:rowOff>57150</xdr:rowOff>
    </xdr:from>
    <xdr:to>
      <xdr:col>20</xdr:col>
      <xdr:colOff>66675</xdr:colOff>
      <xdr:row>29</xdr:row>
      <xdr:rowOff>152400</xdr:rowOff>
    </xdr:to>
    <xdr:sp macro="" textlink="">
      <xdr:nvSpPr>
        <xdr:cNvPr id="31" name="Légende : flèche vers la droite 30">
          <a:extLst>
            <a:ext uri="{FF2B5EF4-FFF2-40B4-BE49-F238E27FC236}">
              <a16:creationId xmlns:a16="http://schemas.microsoft.com/office/drawing/2014/main" id="{F64CDEDD-6C1D-494A-8BBD-CC4980D71648}"/>
            </a:ext>
          </a:extLst>
        </xdr:cNvPr>
        <xdr:cNvSpPr/>
      </xdr:nvSpPr>
      <xdr:spPr>
        <a:xfrm>
          <a:off x="8420100" y="4895850"/>
          <a:ext cx="85725" cy="904875"/>
        </a:xfrm>
        <a:prstGeom prst="rightArrowCallout">
          <a:avLst>
            <a:gd name="adj1" fmla="val 50000"/>
            <a:gd name="adj2" fmla="val 25000"/>
            <a:gd name="adj3" fmla="val 25000"/>
            <a:gd name="adj4" fmla="val 64977"/>
          </a:avLst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15</xdr:col>
      <xdr:colOff>866775</xdr:colOff>
      <xdr:row>25</xdr:row>
      <xdr:rowOff>28575</xdr:rowOff>
    </xdr:from>
    <xdr:to>
      <xdr:col>15</xdr:col>
      <xdr:colOff>1000125</xdr:colOff>
      <xdr:row>26</xdr:row>
      <xdr:rowOff>152400</xdr:rowOff>
    </xdr:to>
    <xdr:sp macro="" textlink="">
      <xdr:nvSpPr>
        <xdr:cNvPr id="32" name="Légende : flèche vers la droite 31">
          <a:extLst>
            <a:ext uri="{FF2B5EF4-FFF2-40B4-BE49-F238E27FC236}">
              <a16:creationId xmlns:a16="http://schemas.microsoft.com/office/drawing/2014/main" id="{AEB5ED10-5F75-4E80-AAC5-9D16B4AF8585}"/>
            </a:ext>
          </a:extLst>
        </xdr:cNvPr>
        <xdr:cNvSpPr/>
      </xdr:nvSpPr>
      <xdr:spPr>
        <a:xfrm>
          <a:off x="6734175" y="4867275"/>
          <a:ext cx="133350" cy="314325"/>
        </a:xfrm>
        <a:prstGeom prst="rightArrowCallout">
          <a:avLst>
            <a:gd name="adj1" fmla="val 50000"/>
            <a:gd name="adj2" fmla="val 25000"/>
            <a:gd name="adj3" fmla="val 25000"/>
            <a:gd name="adj4" fmla="val 64977"/>
          </a:avLst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15</xdr:col>
      <xdr:colOff>847725</xdr:colOff>
      <xdr:row>33</xdr:row>
      <xdr:rowOff>9525</xdr:rowOff>
    </xdr:from>
    <xdr:to>
      <xdr:col>15</xdr:col>
      <xdr:colOff>981075</xdr:colOff>
      <xdr:row>34</xdr:row>
      <xdr:rowOff>133350</xdr:rowOff>
    </xdr:to>
    <xdr:sp macro="" textlink="">
      <xdr:nvSpPr>
        <xdr:cNvPr id="33" name="Légende : flèche vers la droite 32">
          <a:extLst>
            <a:ext uri="{FF2B5EF4-FFF2-40B4-BE49-F238E27FC236}">
              <a16:creationId xmlns:a16="http://schemas.microsoft.com/office/drawing/2014/main" id="{245F3607-AA75-469F-B955-CBD538809452}"/>
            </a:ext>
          </a:extLst>
        </xdr:cNvPr>
        <xdr:cNvSpPr/>
      </xdr:nvSpPr>
      <xdr:spPr>
        <a:xfrm>
          <a:off x="6715125" y="6419850"/>
          <a:ext cx="133350" cy="314325"/>
        </a:xfrm>
        <a:prstGeom prst="rightArrowCallout">
          <a:avLst>
            <a:gd name="adj1" fmla="val 50000"/>
            <a:gd name="adj2" fmla="val 25000"/>
            <a:gd name="adj3" fmla="val 25000"/>
            <a:gd name="adj4" fmla="val 64977"/>
          </a:avLst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19</xdr:col>
      <xdr:colOff>361950</xdr:colOff>
      <xdr:row>25</xdr:row>
      <xdr:rowOff>57150</xdr:rowOff>
    </xdr:from>
    <xdr:to>
      <xdr:col>20</xdr:col>
      <xdr:colOff>66675</xdr:colOff>
      <xdr:row>29</xdr:row>
      <xdr:rowOff>152400</xdr:rowOff>
    </xdr:to>
    <xdr:sp macro="" textlink="">
      <xdr:nvSpPr>
        <xdr:cNvPr id="34" name="Légende : flèche vers la droite 33">
          <a:extLst>
            <a:ext uri="{FF2B5EF4-FFF2-40B4-BE49-F238E27FC236}">
              <a16:creationId xmlns:a16="http://schemas.microsoft.com/office/drawing/2014/main" id="{898EF541-1D52-4FBB-8F3A-4CD27B0B946A}"/>
            </a:ext>
          </a:extLst>
        </xdr:cNvPr>
        <xdr:cNvSpPr/>
      </xdr:nvSpPr>
      <xdr:spPr>
        <a:xfrm>
          <a:off x="8420100" y="4895850"/>
          <a:ext cx="85725" cy="904875"/>
        </a:xfrm>
        <a:prstGeom prst="rightArrowCallout">
          <a:avLst>
            <a:gd name="adj1" fmla="val 50000"/>
            <a:gd name="adj2" fmla="val 25000"/>
            <a:gd name="adj3" fmla="val 25000"/>
            <a:gd name="adj4" fmla="val 64977"/>
          </a:avLst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15</xdr:col>
      <xdr:colOff>866775</xdr:colOff>
      <xdr:row>25</xdr:row>
      <xdr:rowOff>28575</xdr:rowOff>
    </xdr:from>
    <xdr:to>
      <xdr:col>15</xdr:col>
      <xdr:colOff>1000125</xdr:colOff>
      <xdr:row>26</xdr:row>
      <xdr:rowOff>152400</xdr:rowOff>
    </xdr:to>
    <xdr:sp macro="" textlink="">
      <xdr:nvSpPr>
        <xdr:cNvPr id="35" name="Légende : flèche vers la droite 34">
          <a:extLst>
            <a:ext uri="{FF2B5EF4-FFF2-40B4-BE49-F238E27FC236}">
              <a16:creationId xmlns:a16="http://schemas.microsoft.com/office/drawing/2014/main" id="{C3F4F9D5-D3C4-4A67-9759-8F09F2E85F16}"/>
            </a:ext>
          </a:extLst>
        </xdr:cNvPr>
        <xdr:cNvSpPr/>
      </xdr:nvSpPr>
      <xdr:spPr>
        <a:xfrm>
          <a:off x="6734175" y="4867275"/>
          <a:ext cx="133350" cy="314325"/>
        </a:xfrm>
        <a:prstGeom prst="rightArrowCallout">
          <a:avLst>
            <a:gd name="adj1" fmla="val 50000"/>
            <a:gd name="adj2" fmla="val 25000"/>
            <a:gd name="adj3" fmla="val 25000"/>
            <a:gd name="adj4" fmla="val 64977"/>
          </a:avLst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15</xdr:col>
      <xdr:colOff>857250</xdr:colOff>
      <xdr:row>28</xdr:row>
      <xdr:rowOff>28575</xdr:rowOff>
    </xdr:from>
    <xdr:to>
      <xdr:col>15</xdr:col>
      <xdr:colOff>990600</xdr:colOff>
      <xdr:row>29</xdr:row>
      <xdr:rowOff>152400</xdr:rowOff>
    </xdr:to>
    <xdr:sp macro="" textlink="">
      <xdr:nvSpPr>
        <xdr:cNvPr id="36" name="Légende : flèche vers la droite 35">
          <a:extLst>
            <a:ext uri="{FF2B5EF4-FFF2-40B4-BE49-F238E27FC236}">
              <a16:creationId xmlns:a16="http://schemas.microsoft.com/office/drawing/2014/main" id="{0A128B5B-6695-428D-A91A-0E697AFB2EF4}"/>
            </a:ext>
          </a:extLst>
        </xdr:cNvPr>
        <xdr:cNvSpPr/>
      </xdr:nvSpPr>
      <xdr:spPr>
        <a:xfrm>
          <a:off x="6724650" y="5486400"/>
          <a:ext cx="133350" cy="314325"/>
        </a:xfrm>
        <a:prstGeom prst="rightArrowCallout">
          <a:avLst>
            <a:gd name="adj1" fmla="val 50000"/>
            <a:gd name="adj2" fmla="val 25000"/>
            <a:gd name="adj3" fmla="val 25000"/>
            <a:gd name="adj4" fmla="val 64977"/>
          </a:avLst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15</xdr:col>
      <xdr:colOff>847725</xdr:colOff>
      <xdr:row>33</xdr:row>
      <xdr:rowOff>9525</xdr:rowOff>
    </xdr:from>
    <xdr:to>
      <xdr:col>15</xdr:col>
      <xdr:colOff>981075</xdr:colOff>
      <xdr:row>34</xdr:row>
      <xdr:rowOff>133350</xdr:rowOff>
    </xdr:to>
    <xdr:sp macro="" textlink="">
      <xdr:nvSpPr>
        <xdr:cNvPr id="37" name="Légende : flèche vers la droite 36">
          <a:extLst>
            <a:ext uri="{FF2B5EF4-FFF2-40B4-BE49-F238E27FC236}">
              <a16:creationId xmlns:a16="http://schemas.microsoft.com/office/drawing/2014/main" id="{FE86F3D2-3E24-4E64-89AE-83B502AA3D08}"/>
            </a:ext>
          </a:extLst>
        </xdr:cNvPr>
        <xdr:cNvSpPr/>
      </xdr:nvSpPr>
      <xdr:spPr>
        <a:xfrm>
          <a:off x="6715125" y="6419850"/>
          <a:ext cx="133350" cy="314325"/>
        </a:xfrm>
        <a:prstGeom prst="rightArrowCallout">
          <a:avLst>
            <a:gd name="adj1" fmla="val 50000"/>
            <a:gd name="adj2" fmla="val 25000"/>
            <a:gd name="adj3" fmla="val 25000"/>
            <a:gd name="adj4" fmla="val 64977"/>
          </a:avLst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19</xdr:col>
      <xdr:colOff>361950</xdr:colOff>
      <xdr:row>25</xdr:row>
      <xdr:rowOff>57150</xdr:rowOff>
    </xdr:from>
    <xdr:to>
      <xdr:col>20</xdr:col>
      <xdr:colOff>66675</xdr:colOff>
      <xdr:row>29</xdr:row>
      <xdr:rowOff>152400</xdr:rowOff>
    </xdr:to>
    <xdr:sp macro="" textlink="">
      <xdr:nvSpPr>
        <xdr:cNvPr id="38" name="Légende : flèche vers la droite 37">
          <a:extLst>
            <a:ext uri="{FF2B5EF4-FFF2-40B4-BE49-F238E27FC236}">
              <a16:creationId xmlns:a16="http://schemas.microsoft.com/office/drawing/2014/main" id="{7D4CA132-2F01-43A9-B9FE-26EA12F3C434}"/>
            </a:ext>
          </a:extLst>
        </xdr:cNvPr>
        <xdr:cNvSpPr/>
      </xdr:nvSpPr>
      <xdr:spPr>
        <a:xfrm>
          <a:off x="8420100" y="4895850"/>
          <a:ext cx="85725" cy="904875"/>
        </a:xfrm>
        <a:prstGeom prst="rightArrowCallout">
          <a:avLst>
            <a:gd name="adj1" fmla="val 50000"/>
            <a:gd name="adj2" fmla="val 25000"/>
            <a:gd name="adj3" fmla="val 25000"/>
            <a:gd name="adj4" fmla="val 64977"/>
          </a:avLst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15</xdr:col>
      <xdr:colOff>866775</xdr:colOff>
      <xdr:row>25</xdr:row>
      <xdr:rowOff>28575</xdr:rowOff>
    </xdr:from>
    <xdr:to>
      <xdr:col>15</xdr:col>
      <xdr:colOff>1000125</xdr:colOff>
      <xdr:row>26</xdr:row>
      <xdr:rowOff>152400</xdr:rowOff>
    </xdr:to>
    <xdr:sp macro="" textlink="">
      <xdr:nvSpPr>
        <xdr:cNvPr id="39" name="Légende : flèche vers la droite 38">
          <a:extLst>
            <a:ext uri="{FF2B5EF4-FFF2-40B4-BE49-F238E27FC236}">
              <a16:creationId xmlns:a16="http://schemas.microsoft.com/office/drawing/2014/main" id="{A75AAEC4-3EA1-484E-A7E0-FC714333488F}"/>
            </a:ext>
          </a:extLst>
        </xdr:cNvPr>
        <xdr:cNvSpPr/>
      </xdr:nvSpPr>
      <xdr:spPr>
        <a:xfrm>
          <a:off x="6734175" y="4867275"/>
          <a:ext cx="133350" cy="314325"/>
        </a:xfrm>
        <a:prstGeom prst="rightArrowCallout">
          <a:avLst>
            <a:gd name="adj1" fmla="val 50000"/>
            <a:gd name="adj2" fmla="val 25000"/>
            <a:gd name="adj3" fmla="val 25000"/>
            <a:gd name="adj4" fmla="val 64977"/>
          </a:avLst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15</xdr:col>
      <xdr:colOff>847725</xdr:colOff>
      <xdr:row>33</xdr:row>
      <xdr:rowOff>9525</xdr:rowOff>
    </xdr:from>
    <xdr:to>
      <xdr:col>15</xdr:col>
      <xdr:colOff>981075</xdr:colOff>
      <xdr:row>34</xdr:row>
      <xdr:rowOff>133350</xdr:rowOff>
    </xdr:to>
    <xdr:sp macro="" textlink="">
      <xdr:nvSpPr>
        <xdr:cNvPr id="40" name="Légende : flèche vers la droite 39">
          <a:extLst>
            <a:ext uri="{FF2B5EF4-FFF2-40B4-BE49-F238E27FC236}">
              <a16:creationId xmlns:a16="http://schemas.microsoft.com/office/drawing/2014/main" id="{1E45AE91-0DA7-4453-A80A-4A06FA5978B0}"/>
            </a:ext>
          </a:extLst>
        </xdr:cNvPr>
        <xdr:cNvSpPr/>
      </xdr:nvSpPr>
      <xdr:spPr>
        <a:xfrm>
          <a:off x="6715125" y="6419850"/>
          <a:ext cx="133350" cy="314325"/>
        </a:xfrm>
        <a:prstGeom prst="rightArrowCallout">
          <a:avLst>
            <a:gd name="adj1" fmla="val 50000"/>
            <a:gd name="adj2" fmla="val 25000"/>
            <a:gd name="adj3" fmla="val 25000"/>
            <a:gd name="adj4" fmla="val 64977"/>
          </a:avLst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19</xdr:col>
      <xdr:colOff>361950</xdr:colOff>
      <xdr:row>25</xdr:row>
      <xdr:rowOff>57150</xdr:rowOff>
    </xdr:from>
    <xdr:to>
      <xdr:col>20</xdr:col>
      <xdr:colOff>66675</xdr:colOff>
      <xdr:row>29</xdr:row>
      <xdr:rowOff>152400</xdr:rowOff>
    </xdr:to>
    <xdr:sp macro="" textlink="">
      <xdr:nvSpPr>
        <xdr:cNvPr id="41" name="Légende : flèche vers la droite 40">
          <a:extLst>
            <a:ext uri="{FF2B5EF4-FFF2-40B4-BE49-F238E27FC236}">
              <a16:creationId xmlns:a16="http://schemas.microsoft.com/office/drawing/2014/main" id="{04B6303C-D6DD-4319-8B58-D748E0368B08}"/>
            </a:ext>
          </a:extLst>
        </xdr:cNvPr>
        <xdr:cNvSpPr/>
      </xdr:nvSpPr>
      <xdr:spPr>
        <a:xfrm>
          <a:off x="8420100" y="4895850"/>
          <a:ext cx="85725" cy="904875"/>
        </a:xfrm>
        <a:prstGeom prst="rightArrowCallout">
          <a:avLst>
            <a:gd name="adj1" fmla="val 50000"/>
            <a:gd name="adj2" fmla="val 25000"/>
            <a:gd name="adj3" fmla="val 25000"/>
            <a:gd name="adj4" fmla="val 64977"/>
          </a:avLst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15</xdr:col>
      <xdr:colOff>866775</xdr:colOff>
      <xdr:row>25</xdr:row>
      <xdr:rowOff>28575</xdr:rowOff>
    </xdr:from>
    <xdr:to>
      <xdr:col>15</xdr:col>
      <xdr:colOff>1000125</xdr:colOff>
      <xdr:row>26</xdr:row>
      <xdr:rowOff>152400</xdr:rowOff>
    </xdr:to>
    <xdr:sp macro="" textlink="">
      <xdr:nvSpPr>
        <xdr:cNvPr id="42" name="Légende : flèche vers la droite 41">
          <a:extLst>
            <a:ext uri="{FF2B5EF4-FFF2-40B4-BE49-F238E27FC236}">
              <a16:creationId xmlns:a16="http://schemas.microsoft.com/office/drawing/2014/main" id="{4D2168C0-DB6E-4BC8-B144-E4857A0BA149}"/>
            </a:ext>
          </a:extLst>
        </xdr:cNvPr>
        <xdr:cNvSpPr/>
      </xdr:nvSpPr>
      <xdr:spPr>
        <a:xfrm>
          <a:off x="6734175" y="4867275"/>
          <a:ext cx="133350" cy="314325"/>
        </a:xfrm>
        <a:prstGeom prst="rightArrowCallout">
          <a:avLst>
            <a:gd name="adj1" fmla="val 50000"/>
            <a:gd name="adj2" fmla="val 25000"/>
            <a:gd name="adj3" fmla="val 25000"/>
            <a:gd name="adj4" fmla="val 64977"/>
          </a:avLst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15</xdr:col>
      <xdr:colOff>857250</xdr:colOff>
      <xdr:row>28</xdr:row>
      <xdr:rowOff>28575</xdr:rowOff>
    </xdr:from>
    <xdr:to>
      <xdr:col>15</xdr:col>
      <xdr:colOff>990600</xdr:colOff>
      <xdr:row>29</xdr:row>
      <xdr:rowOff>152400</xdr:rowOff>
    </xdr:to>
    <xdr:sp macro="" textlink="">
      <xdr:nvSpPr>
        <xdr:cNvPr id="43" name="Légende : flèche vers la droite 42">
          <a:extLst>
            <a:ext uri="{FF2B5EF4-FFF2-40B4-BE49-F238E27FC236}">
              <a16:creationId xmlns:a16="http://schemas.microsoft.com/office/drawing/2014/main" id="{A8837F66-8010-47E1-B70D-DCA058E0B0F6}"/>
            </a:ext>
          </a:extLst>
        </xdr:cNvPr>
        <xdr:cNvSpPr/>
      </xdr:nvSpPr>
      <xdr:spPr>
        <a:xfrm>
          <a:off x="6724650" y="5486400"/>
          <a:ext cx="133350" cy="314325"/>
        </a:xfrm>
        <a:prstGeom prst="rightArrowCallout">
          <a:avLst>
            <a:gd name="adj1" fmla="val 50000"/>
            <a:gd name="adj2" fmla="val 25000"/>
            <a:gd name="adj3" fmla="val 25000"/>
            <a:gd name="adj4" fmla="val 64977"/>
          </a:avLst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15</xdr:col>
      <xdr:colOff>847725</xdr:colOff>
      <xdr:row>33</xdr:row>
      <xdr:rowOff>9525</xdr:rowOff>
    </xdr:from>
    <xdr:to>
      <xdr:col>15</xdr:col>
      <xdr:colOff>981075</xdr:colOff>
      <xdr:row>34</xdr:row>
      <xdr:rowOff>133350</xdr:rowOff>
    </xdr:to>
    <xdr:sp macro="" textlink="">
      <xdr:nvSpPr>
        <xdr:cNvPr id="44" name="Légende : flèche vers la droite 43">
          <a:extLst>
            <a:ext uri="{FF2B5EF4-FFF2-40B4-BE49-F238E27FC236}">
              <a16:creationId xmlns:a16="http://schemas.microsoft.com/office/drawing/2014/main" id="{78DB725D-76C2-4AE2-8E3B-5DAE1158E264}"/>
            </a:ext>
          </a:extLst>
        </xdr:cNvPr>
        <xdr:cNvSpPr/>
      </xdr:nvSpPr>
      <xdr:spPr>
        <a:xfrm>
          <a:off x="6715125" y="6419850"/>
          <a:ext cx="133350" cy="314325"/>
        </a:xfrm>
        <a:prstGeom prst="rightArrowCallout">
          <a:avLst>
            <a:gd name="adj1" fmla="val 50000"/>
            <a:gd name="adj2" fmla="val 25000"/>
            <a:gd name="adj3" fmla="val 25000"/>
            <a:gd name="adj4" fmla="val 64977"/>
          </a:avLst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19</xdr:col>
      <xdr:colOff>361950</xdr:colOff>
      <xdr:row>25</xdr:row>
      <xdr:rowOff>57150</xdr:rowOff>
    </xdr:from>
    <xdr:to>
      <xdr:col>20</xdr:col>
      <xdr:colOff>66675</xdr:colOff>
      <xdr:row>29</xdr:row>
      <xdr:rowOff>152400</xdr:rowOff>
    </xdr:to>
    <xdr:sp macro="" textlink="">
      <xdr:nvSpPr>
        <xdr:cNvPr id="45" name="Légende : flèche vers la droite 44">
          <a:extLst>
            <a:ext uri="{FF2B5EF4-FFF2-40B4-BE49-F238E27FC236}">
              <a16:creationId xmlns:a16="http://schemas.microsoft.com/office/drawing/2014/main" id="{3116B055-92C9-47AE-BB5A-A9FAD21EFA84}"/>
            </a:ext>
          </a:extLst>
        </xdr:cNvPr>
        <xdr:cNvSpPr/>
      </xdr:nvSpPr>
      <xdr:spPr>
        <a:xfrm>
          <a:off x="8420100" y="4895850"/>
          <a:ext cx="85725" cy="904875"/>
        </a:xfrm>
        <a:prstGeom prst="rightArrowCallout">
          <a:avLst>
            <a:gd name="adj1" fmla="val 50000"/>
            <a:gd name="adj2" fmla="val 25000"/>
            <a:gd name="adj3" fmla="val 25000"/>
            <a:gd name="adj4" fmla="val 64977"/>
          </a:avLst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15</xdr:col>
      <xdr:colOff>866775</xdr:colOff>
      <xdr:row>25</xdr:row>
      <xdr:rowOff>28575</xdr:rowOff>
    </xdr:from>
    <xdr:to>
      <xdr:col>15</xdr:col>
      <xdr:colOff>1000125</xdr:colOff>
      <xdr:row>26</xdr:row>
      <xdr:rowOff>152400</xdr:rowOff>
    </xdr:to>
    <xdr:sp macro="" textlink="">
      <xdr:nvSpPr>
        <xdr:cNvPr id="46" name="Légende : flèche vers la droite 45">
          <a:extLst>
            <a:ext uri="{FF2B5EF4-FFF2-40B4-BE49-F238E27FC236}">
              <a16:creationId xmlns:a16="http://schemas.microsoft.com/office/drawing/2014/main" id="{77CC4136-0FBF-4250-A163-5932CC084F2F}"/>
            </a:ext>
          </a:extLst>
        </xdr:cNvPr>
        <xdr:cNvSpPr/>
      </xdr:nvSpPr>
      <xdr:spPr>
        <a:xfrm>
          <a:off x="6734175" y="4867275"/>
          <a:ext cx="133350" cy="314325"/>
        </a:xfrm>
        <a:prstGeom prst="rightArrowCallout">
          <a:avLst>
            <a:gd name="adj1" fmla="val 50000"/>
            <a:gd name="adj2" fmla="val 25000"/>
            <a:gd name="adj3" fmla="val 25000"/>
            <a:gd name="adj4" fmla="val 64977"/>
          </a:avLst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15</xdr:col>
      <xdr:colOff>847725</xdr:colOff>
      <xdr:row>33</xdr:row>
      <xdr:rowOff>9525</xdr:rowOff>
    </xdr:from>
    <xdr:to>
      <xdr:col>15</xdr:col>
      <xdr:colOff>981075</xdr:colOff>
      <xdr:row>34</xdr:row>
      <xdr:rowOff>133350</xdr:rowOff>
    </xdr:to>
    <xdr:sp macro="" textlink="">
      <xdr:nvSpPr>
        <xdr:cNvPr id="47" name="Légende : flèche vers la droite 46">
          <a:extLst>
            <a:ext uri="{FF2B5EF4-FFF2-40B4-BE49-F238E27FC236}">
              <a16:creationId xmlns:a16="http://schemas.microsoft.com/office/drawing/2014/main" id="{D6FAFC53-6D8E-4ED4-8DA3-E49B1981208B}"/>
            </a:ext>
          </a:extLst>
        </xdr:cNvPr>
        <xdr:cNvSpPr/>
      </xdr:nvSpPr>
      <xdr:spPr>
        <a:xfrm>
          <a:off x="6715125" y="6419850"/>
          <a:ext cx="133350" cy="314325"/>
        </a:xfrm>
        <a:prstGeom prst="rightArrowCallout">
          <a:avLst>
            <a:gd name="adj1" fmla="val 50000"/>
            <a:gd name="adj2" fmla="val 25000"/>
            <a:gd name="adj3" fmla="val 25000"/>
            <a:gd name="adj4" fmla="val 64977"/>
          </a:avLst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19</xdr:col>
      <xdr:colOff>361950</xdr:colOff>
      <xdr:row>25</xdr:row>
      <xdr:rowOff>57150</xdr:rowOff>
    </xdr:from>
    <xdr:to>
      <xdr:col>20</xdr:col>
      <xdr:colOff>66675</xdr:colOff>
      <xdr:row>29</xdr:row>
      <xdr:rowOff>152400</xdr:rowOff>
    </xdr:to>
    <xdr:sp macro="" textlink="">
      <xdr:nvSpPr>
        <xdr:cNvPr id="48" name="Légende : flèche vers la droite 47">
          <a:extLst>
            <a:ext uri="{FF2B5EF4-FFF2-40B4-BE49-F238E27FC236}">
              <a16:creationId xmlns:a16="http://schemas.microsoft.com/office/drawing/2014/main" id="{F985F9CF-18BE-400E-8F4F-E4D4580184DF}"/>
            </a:ext>
          </a:extLst>
        </xdr:cNvPr>
        <xdr:cNvSpPr/>
      </xdr:nvSpPr>
      <xdr:spPr>
        <a:xfrm>
          <a:off x="8420100" y="4895850"/>
          <a:ext cx="85725" cy="904875"/>
        </a:xfrm>
        <a:prstGeom prst="rightArrowCallout">
          <a:avLst>
            <a:gd name="adj1" fmla="val 50000"/>
            <a:gd name="adj2" fmla="val 25000"/>
            <a:gd name="adj3" fmla="val 25000"/>
            <a:gd name="adj4" fmla="val 64977"/>
          </a:avLst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15</xdr:col>
      <xdr:colOff>866775</xdr:colOff>
      <xdr:row>25</xdr:row>
      <xdr:rowOff>28575</xdr:rowOff>
    </xdr:from>
    <xdr:to>
      <xdr:col>15</xdr:col>
      <xdr:colOff>1000125</xdr:colOff>
      <xdr:row>26</xdr:row>
      <xdr:rowOff>152400</xdr:rowOff>
    </xdr:to>
    <xdr:sp macro="" textlink="">
      <xdr:nvSpPr>
        <xdr:cNvPr id="49" name="Légende : flèche vers la droite 48">
          <a:extLst>
            <a:ext uri="{FF2B5EF4-FFF2-40B4-BE49-F238E27FC236}">
              <a16:creationId xmlns:a16="http://schemas.microsoft.com/office/drawing/2014/main" id="{F2A9C61E-956E-48CF-9544-2AB440718A8D}"/>
            </a:ext>
          </a:extLst>
        </xdr:cNvPr>
        <xdr:cNvSpPr/>
      </xdr:nvSpPr>
      <xdr:spPr>
        <a:xfrm>
          <a:off x="6734175" y="4867275"/>
          <a:ext cx="133350" cy="314325"/>
        </a:xfrm>
        <a:prstGeom prst="rightArrowCallout">
          <a:avLst>
            <a:gd name="adj1" fmla="val 50000"/>
            <a:gd name="adj2" fmla="val 25000"/>
            <a:gd name="adj3" fmla="val 25000"/>
            <a:gd name="adj4" fmla="val 64977"/>
          </a:avLst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15</xdr:col>
      <xdr:colOff>857250</xdr:colOff>
      <xdr:row>28</xdr:row>
      <xdr:rowOff>28575</xdr:rowOff>
    </xdr:from>
    <xdr:to>
      <xdr:col>15</xdr:col>
      <xdr:colOff>990600</xdr:colOff>
      <xdr:row>29</xdr:row>
      <xdr:rowOff>152400</xdr:rowOff>
    </xdr:to>
    <xdr:sp macro="" textlink="">
      <xdr:nvSpPr>
        <xdr:cNvPr id="50" name="Légende : flèche vers la droite 49">
          <a:extLst>
            <a:ext uri="{FF2B5EF4-FFF2-40B4-BE49-F238E27FC236}">
              <a16:creationId xmlns:a16="http://schemas.microsoft.com/office/drawing/2014/main" id="{C0C821B5-41F3-43E3-87FA-81CF3BEFA73C}"/>
            </a:ext>
          </a:extLst>
        </xdr:cNvPr>
        <xdr:cNvSpPr/>
      </xdr:nvSpPr>
      <xdr:spPr>
        <a:xfrm>
          <a:off x="6724650" y="5486400"/>
          <a:ext cx="133350" cy="314325"/>
        </a:xfrm>
        <a:prstGeom prst="rightArrowCallout">
          <a:avLst>
            <a:gd name="adj1" fmla="val 50000"/>
            <a:gd name="adj2" fmla="val 25000"/>
            <a:gd name="adj3" fmla="val 25000"/>
            <a:gd name="adj4" fmla="val 64977"/>
          </a:avLst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15</xdr:col>
      <xdr:colOff>847725</xdr:colOff>
      <xdr:row>33</xdr:row>
      <xdr:rowOff>9525</xdr:rowOff>
    </xdr:from>
    <xdr:to>
      <xdr:col>15</xdr:col>
      <xdr:colOff>981075</xdr:colOff>
      <xdr:row>34</xdr:row>
      <xdr:rowOff>133350</xdr:rowOff>
    </xdr:to>
    <xdr:sp macro="" textlink="">
      <xdr:nvSpPr>
        <xdr:cNvPr id="51" name="Légende : flèche vers la droite 50">
          <a:extLst>
            <a:ext uri="{FF2B5EF4-FFF2-40B4-BE49-F238E27FC236}">
              <a16:creationId xmlns:a16="http://schemas.microsoft.com/office/drawing/2014/main" id="{556169CE-6494-4C0E-89EB-EA11B2585A78}"/>
            </a:ext>
          </a:extLst>
        </xdr:cNvPr>
        <xdr:cNvSpPr/>
      </xdr:nvSpPr>
      <xdr:spPr>
        <a:xfrm>
          <a:off x="6715125" y="6419850"/>
          <a:ext cx="133350" cy="314325"/>
        </a:xfrm>
        <a:prstGeom prst="rightArrowCallout">
          <a:avLst>
            <a:gd name="adj1" fmla="val 50000"/>
            <a:gd name="adj2" fmla="val 25000"/>
            <a:gd name="adj3" fmla="val 25000"/>
            <a:gd name="adj4" fmla="val 64977"/>
          </a:avLst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19</xdr:col>
      <xdr:colOff>361950</xdr:colOff>
      <xdr:row>25</xdr:row>
      <xdr:rowOff>57150</xdr:rowOff>
    </xdr:from>
    <xdr:to>
      <xdr:col>20</xdr:col>
      <xdr:colOff>66675</xdr:colOff>
      <xdr:row>29</xdr:row>
      <xdr:rowOff>152400</xdr:rowOff>
    </xdr:to>
    <xdr:sp macro="" textlink="">
      <xdr:nvSpPr>
        <xdr:cNvPr id="52" name="Légende : flèche vers la droite 51">
          <a:extLst>
            <a:ext uri="{FF2B5EF4-FFF2-40B4-BE49-F238E27FC236}">
              <a16:creationId xmlns:a16="http://schemas.microsoft.com/office/drawing/2014/main" id="{8F10F757-1100-4094-9E00-C66A83209060}"/>
            </a:ext>
          </a:extLst>
        </xdr:cNvPr>
        <xdr:cNvSpPr/>
      </xdr:nvSpPr>
      <xdr:spPr>
        <a:xfrm>
          <a:off x="8420100" y="4895850"/>
          <a:ext cx="85725" cy="904875"/>
        </a:xfrm>
        <a:prstGeom prst="rightArrowCallout">
          <a:avLst>
            <a:gd name="adj1" fmla="val 50000"/>
            <a:gd name="adj2" fmla="val 25000"/>
            <a:gd name="adj3" fmla="val 25000"/>
            <a:gd name="adj4" fmla="val 64977"/>
          </a:avLst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15</xdr:col>
      <xdr:colOff>866775</xdr:colOff>
      <xdr:row>25</xdr:row>
      <xdr:rowOff>28575</xdr:rowOff>
    </xdr:from>
    <xdr:to>
      <xdr:col>15</xdr:col>
      <xdr:colOff>1000125</xdr:colOff>
      <xdr:row>26</xdr:row>
      <xdr:rowOff>152400</xdr:rowOff>
    </xdr:to>
    <xdr:sp macro="" textlink="">
      <xdr:nvSpPr>
        <xdr:cNvPr id="53" name="Légende : flèche vers la droite 52">
          <a:extLst>
            <a:ext uri="{FF2B5EF4-FFF2-40B4-BE49-F238E27FC236}">
              <a16:creationId xmlns:a16="http://schemas.microsoft.com/office/drawing/2014/main" id="{024F8A90-B34F-48E2-A095-C83B8DBFFAB4}"/>
            </a:ext>
          </a:extLst>
        </xdr:cNvPr>
        <xdr:cNvSpPr/>
      </xdr:nvSpPr>
      <xdr:spPr>
        <a:xfrm>
          <a:off x="6734175" y="4867275"/>
          <a:ext cx="133350" cy="314325"/>
        </a:xfrm>
        <a:prstGeom prst="rightArrowCallout">
          <a:avLst>
            <a:gd name="adj1" fmla="val 50000"/>
            <a:gd name="adj2" fmla="val 25000"/>
            <a:gd name="adj3" fmla="val 25000"/>
            <a:gd name="adj4" fmla="val 64977"/>
          </a:avLst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15</xdr:col>
      <xdr:colOff>847725</xdr:colOff>
      <xdr:row>33</xdr:row>
      <xdr:rowOff>9525</xdr:rowOff>
    </xdr:from>
    <xdr:to>
      <xdr:col>15</xdr:col>
      <xdr:colOff>981075</xdr:colOff>
      <xdr:row>34</xdr:row>
      <xdr:rowOff>133350</xdr:rowOff>
    </xdr:to>
    <xdr:sp macro="" textlink="">
      <xdr:nvSpPr>
        <xdr:cNvPr id="54" name="Légende : flèche vers la droite 53">
          <a:extLst>
            <a:ext uri="{FF2B5EF4-FFF2-40B4-BE49-F238E27FC236}">
              <a16:creationId xmlns:a16="http://schemas.microsoft.com/office/drawing/2014/main" id="{7C52203C-B067-45DD-89AC-00B78D9CF005}"/>
            </a:ext>
          </a:extLst>
        </xdr:cNvPr>
        <xdr:cNvSpPr/>
      </xdr:nvSpPr>
      <xdr:spPr>
        <a:xfrm>
          <a:off x="6715125" y="6419850"/>
          <a:ext cx="133350" cy="314325"/>
        </a:xfrm>
        <a:prstGeom prst="rightArrowCallout">
          <a:avLst>
            <a:gd name="adj1" fmla="val 50000"/>
            <a:gd name="adj2" fmla="val 25000"/>
            <a:gd name="adj3" fmla="val 25000"/>
            <a:gd name="adj4" fmla="val 64977"/>
          </a:avLst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19</xdr:col>
      <xdr:colOff>361950</xdr:colOff>
      <xdr:row>25</xdr:row>
      <xdr:rowOff>57150</xdr:rowOff>
    </xdr:from>
    <xdr:to>
      <xdr:col>20</xdr:col>
      <xdr:colOff>66675</xdr:colOff>
      <xdr:row>29</xdr:row>
      <xdr:rowOff>152400</xdr:rowOff>
    </xdr:to>
    <xdr:sp macro="" textlink="">
      <xdr:nvSpPr>
        <xdr:cNvPr id="55" name="Légende : flèche vers la droite 54">
          <a:extLst>
            <a:ext uri="{FF2B5EF4-FFF2-40B4-BE49-F238E27FC236}">
              <a16:creationId xmlns:a16="http://schemas.microsoft.com/office/drawing/2014/main" id="{82A18EF7-5E1E-4C34-8771-FAD22DE2ACB7}"/>
            </a:ext>
          </a:extLst>
        </xdr:cNvPr>
        <xdr:cNvSpPr/>
      </xdr:nvSpPr>
      <xdr:spPr>
        <a:xfrm>
          <a:off x="8420100" y="4895850"/>
          <a:ext cx="85725" cy="904875"/>
        </a:xfrm>
        <a:prstGeom prst="rightArrowCallout">
          <a:avLst>
            <a:gd name="adj1" fmla="val 50000"/>
            <a:gd name="adj2" fmla="val 25000"/>
            <a:gd name="adj3" fmla="val 25000"/>
            <a:gd name="adj4" fmla="val 64977"/>
          </a:avLst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15</xdr:col>
      <xdr:colOff>866775</xdr:colOff>
      <xdr:row>25</xdr:row>
      <xdr:rowOff>28575</xdr:rowOff>
    </xdr:from>
    <xdr:to>
      <xdr:col>15</xdr:col>
      <xdr:colOff>1000125</xdr:colOff>
      <xdr:row>26</xdr:row>
      <xdr:rowOff>152400</xdr:rowOff>
    </xdr:to>
    <xdr:sp macro="" textlink="">
      <xdr:nvSpPr>
        <xdr:cNvPr id="56" name="Légende : flèche vers la droite 55">
          <a:extLst>
            <a:ext uri="{FF2B5EF4-FFF2-40B4-BE49-F238E27FC236}">
              <a16:creationId xmlns:a16="http://schemas.microsoft.com/office/drawing/2014/main" id="{855517AA-639E-4830-A459-EC925186D361}"/>
            </a:ext>
          </a:extLst>
        </xdr:cNvPr>
        <xdr:cNvSpPr/>
      </xdr:nvSpPr>
      <xdr:spPr>
        <a:xfrm>
          <a:off x="6734175" y="4867275"/>
          <a:ext cx="133350" cy="314325"/>
        </a:xfrm>
        <a:prstGeom prst="rightArrowCallout">
          <a:avLst>
            <a:gd name="adj1" fmla="val 50000"/>
            <a:gd name="adj2" fmla="val 25000"/>
            <a:gd name="adj3" fmla="val 25000"/>
            <a:gd name="adj4" fmla="val 64977"/>
          </a:avLst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15</xdr:col>
      <xdr:colOff>857250</xdr:colOff>
      <xdr:row>28</xdr:row>
      <xdr:rowOff>28575</xdr:rowOff>
    </xdr:from>
    <xdr:to>
      <xdr:col>15</xdr:col>
      <xdr:colOff>990600</xdr:colOff>
      <xdr:row>29</xdr:row>
      <xdr:rowOff>152400</xdr:rowOff>
    </xdr:to>
    <xdr:sp macro="" textlink="">
      <xdr:nvSpPr>
        <xdr:cNvPr id="57" name="Légende : flèche vers la droite 56">
          <a:extLst>
            <a:ext uri="{FF2B5EF4-FFF2-40B4-BE49-F238E27FC236}">
              <a16:creationId xmlns:a16="http://schemas.microsoft.com/office/drawing/2014/main" id="{3F751729-7D9E-4E0A-BA64-7EF9A815F189}"/>
            </a:ext>
          </a:extLst>
        </xdr:cNvPr>
        <xdr:cNvSpPr/>
      </xdr:nvSpPr>
      <xdr:spPr>
        <a:xfrm>
          <a:off x="6724650" y="5486400"/>
          <a:ext cx="133350" cy="314325"/>
        </a:xfrm>
        <a:prstGeom prst="rightArrowCallout">
          <a:avLst>
            <a:gd name="adj1" fmla="val 50000"/>
            <a:gd name="adj2" fmla="val 25000"/>
            <a:gd name="adj3" fmla="val 25000"/>
            <a:gd name="adj4" fmla="val 64977"/>
          </a:avLst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15</xdr:col>
      <xdr:colOff>847725</xdr:colOff>
      <xdr:row>33</xdr:row>
      <xdr:rowOff>9525</xdr:rowOff>
    </xdr:from>
    <xdr:to>
      <xdr:col>15</xdr:col>
      <xdr:colOff>981075</xdr:colOff>
      <xdr:row>34</xdr:row>
      <xdr:rowOff>133350</xdr:rowOff>
    </xdr:to>
    <xdr:sp macro="" textlink="">
      <xdr:nvSpPr>
        <xdr:cNvPr id="58" name="Légende : flèche vers la droite 57">
          <a:extLst>
            <a:ext uri="{FF2B5EF4-FFF2-40B4-BE49-F238E27FC236}">
              <a16:creationId xmlns:a16="http://schemas.microsoft.com/office/drawing/2014/main" id="{7558613C-3F4A-4C4A-860E-BCFB451D2A65}"/>
            </a:ext>
          </a:extLst>
        </xdr:cNvPr>
        <xdr:cNvSpPr/>
      </xdr:nvSpPr>
      <xdr:spPr>
        <a:xfrm>
          <a:off x="6715125" y="6419850"/>
          <a:ext cx="133350" cy="314325"/>
        </a:xfrm>
        <a:prstGeom prst="rightArrowCallout">
          <a:avLst>
            <a:gd name="adj1" fmla="val 50000"/>
            <a:gd name="adj2" fmla="val 25000"/>
            <a:gd name="adj3" fmla="val 25000"/>
            <a:gd name="adj4" fmla="val 64977"/>
          </a:avLst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19</xdr:col>
      <xdr:colOff>361950</xdr:colOff>
      <xdr:row>25</xdr:row>
      <xdr:rowOff>57150</xdr:rowOff>
    </xdr:from>
    <xdr:to>
      <xdr:col>20</xdr:col>
      <xdr:colOff>66675</xdr:colOff>
      <xdr:row>29</xdr:row>
      <xdr:rowOff>152400</xdr:rowOff>
    </xdr:to>
    <xdr:sp macro="" textlink="">
      <xdr:nvSpPr>
        <xdr:cNvPr id="59" name="Légende : flèche vers la droite 58">
          <a:extLst>
            <a:ext uri="{FF2B5EF4-FFF2-40B4-BE49-F238E27FC236}">
              <a16:creationId xmlns:a16="http://schemas.microsoft.com/office/drawing/2014/main" id="{EDB5AB0B-0FCF-478B-B7A1-C11BB549C3B7}"/>
            </a:ext>
          </a:extLst>
        </xdr:cNvPr>
        <xdr:cNvSpPr/>
      </xdr:nvSpPr>
      <xdr:spPr>
        <a:xfrm>
          <a:off x="8420100" y="4895850"/>
          <a:ext cx="85725" cy="904875"/>
        </a:xfrm>
        <a:prstGeom prst="rightArrowCallout">
          <a:avLst>
            <a:gd name="adj1" fmla="val 50000"/>
            <a:gd name="adj2" fmla="val 25000"/>
            <a:gd name="adj3" fmla="val 25000"/>
            <a:gd name="adj4" fmla="val 64977"/>
          </a:avLst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15</xdr:col>
      <xdr:colOff>866775</xdr:colOff>
      <xdr:row>25</xdr:row>
      <xdr:rowOff>28575</xdr:rowOff>
    </xdr:from>
    <xdr:to>
      <xdr:col>15</xdr:col>
      <xdr:colOff>1000125</xdr:colOff>
      <xdr:row>26</xdr:row>
      <xdr:rowOff>152400</xdr:rowOff>
    </xdr:to>
    <xdr:sp macro="" textlink="">
      <xdr:nvSpPr>
        <xdr:cNvPr id="60" name="Légende : flèche vers la droite 59">
          <a:extLst>
            <a:ext uri="{FF2B5EF4-FFF2-40B4-BE49-F238E27FC236}">
              <a16:creationId xmlns:a16="http://schemas.microsoft.com/office/drawing/2014/main" id="{05373554-78EC-426B-8BB0-F1416D5E435D}"/>
            </a:ext>
          </a:extLst>
        </xdr:cNvPr>
        <xdr:cNvSpPr/>
      </xdr:nvSpPr>
      <xdr:spPr>
        <a:xfrm>
          <a:off x="6734175" y="4867275"/>
          <a:ext cx="133350" cy="314325"/>
        </a:xfrm>
        <a:prstGeom prst="rightArrowCallout">
          <a:avLst>
            <a:gd name="adj1" fmla="val 50000"/>
            <a:gd name="adj2" fmla="val 25000"/>
            <a:gd name="adj3" fmla="val 25000"/>
            <a:gd name="adj4" fmla="val 64977"/>
          </a:avLst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15</xdr:col>
      <xdr:colOff>847725</xdr:colOff>
      <xdr:row>33</xdr:row>
      <xdr:rowOff>9525</xdr:rowOff>
    </xdr:from>
    <xdr:to>
      <xdr:col>15</xdr:col>
      <xdr:colOff>981075</xdr:colOff>
      <xdr:row>34</xdr:row>
      <xdr:rowOff>133350</xdr:rowOff>
    </xdr:to>
    <xdr:sp macro="" textlink="">
      <xdr:nvSpPr>
        <xdr:cNvPr id="61" name="Légende : flèche vers la droite 60">
          <a:extLst>
            <a:ext uri="{FF2B5EF4-FFF2-40B4-BE49-F238E27FC236}">
              <a16:creationId xmlns:a16="http://schemas.microsoft.com/office/drawing/2014/main" id="{8B7979F7-FE11-413D-8799-D10E401FB793}"/>
            </a:ext>
          </a:extLst>
        </xdr:cNvPr>
        <xdr:cNvSpPr/>
      </xdr:nvSpPr>
      <xdr:spPr>
        <a:xfrm>
          <a:off x="6715125" y="6419850"/>
          <a:ext cx="133350" cy="314325"/>
        </a:xfrm>
        <a:prstGeom prst="rightArrowCallout">
          <a:avLst>
            <a:gd name="adj1" fmla="val 50000"/>
            <a:gd name="adj2" fmla="val 25000"/>
            <a:gd name="adj3" fmla="val 25000"/>
            <a:gd name="adj4" fmla="val 64977"/>
          </a:avLst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19</xdr:col>
      <xdr:colOff>361950</xdr:colOff>
      <xdr:row>25</xdr:row>
      <xdr:rowOff>57150</xdr:rowOff>
    </xdr:from>
    <xdr:to>
      <xdr:col>20</xdr:col>
      <xdr:colOff>66675</xdr:colOff>
      <xdr:row>29</xdr:row>
      <xdr:rowOff>152400</xdr:rowOff>
    </xdr:to>
    <xdr:sp macro="" textlink="">
      <xdr:nvSpPr>
        <xdr:cNvPr id="62" name="Légende : flèche vers la droite 61">
          <a:extLst>
            <a:ext uri="{FF2B5EF4-FFF2-40B4-BE49-F238E27FC236}">
              <a16:creationId xmlns:a16="http://schemas.microsoft.com/office/drawing/2014/main" id="{CB13F1FA-FB71-44FD-9F52-2E2BF626C98D}"/>
            </a:ext>
          </a:extLst>
        </xdr:cNvPr>
        <xdr:cNvSpPr/>
      </xdr:nvSpPr>
      <xdr:spPr>
        <a:xfrm>
          <a:off x="8420100" y="4895850"/>
          <a:ext cx="85725" cy="904875"/>
        </a:xfrm>
        <a:prstGeom prst="rightArrowCallout">
          <a:avLst>
            <a:gd name="adj1" fmla="val 50000"/>
            <a:gd name="adj2" fmla="val 25000"/>
            <a:gd name="adj3" fmla="val 25000"/>
            <a:gd name="adj4" fmla="val 64977"/>
          </a:avLst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15</xdr:col>
      <xdr:colOff>866775</xdr:colOff>
      <xdr:row>25</xdr:row>
      <xdr:rowOff>28575</xdr:rowOff>
    </xdr:from>
    <xdr:to>
      <xdr:col>15</xdr:col>
      <xdr:colOff>1000125</xdr:colOff>
      <xdr:row>26</xdr:row>
      <xdr:rowOff>152400</xdr:rowOff>
    </xdr:to>
    <xdr:sp macro="" textlink="">
      <xdr:nvSpPr>
        <xdr:cNvPr id="63" name="Légende : flèche vers la droite 62">
          <a:extLst>
            <a:ext uri="{FF2B5EF4-FFF2-40B4-BE49-F238E27FC236}">
              <a16:creationId xmlns:a16="http://schemas.microsoft.com/office/drawing/2014/main" id="{465D9B67-6DE1-4BFE-9036-2628342B9B63}"/>
            </a:ext>
          </a:extLst>
        </xdr:cNvPr>
        <xdr:cNvSpPr/>
      </xdr:nvSpPr>
      <xdr:spPr>
        <a:xfrm>
          <a:off x="6734175" y="4867275"/>
          <a:ext cx="133350" cy="314325"/>
        </a:xfrm>
        <a:prstGeom prst="rightArrowCallout">
          <a:avLst>
            <a:gd name="adj1" fmla="val 50000"/>
            <a:gd name="adj2" fmla="val 25000"/>
            <a:gd name="adj3" fmla="val 25000"/>
            <a:gd name="adj4" fmla="val 64977"/>
          </a:avLst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15</xdr:col>
      <xdr:colOff>857250</xdr:colOff>
      <xdr:row>28</xdr:row>
      <xdr:rowOff>28575</xdr:rowOff>
    </xdr:from>
    <xdr:to>
      <xdr:col>15</xdr:col>
      <xdr:colOff>990600</xdr:colOff>
      <xdr:row>29</xdr:row>
      <xdr:rowOff>152400</xdr:rowOff>
    </xdr:to>
    <xdr:sp macro="" textlink="">
      <xdr:nvSpPr>
        <xdr:cNvPr id="64" name="Légende : flèche vers la droite 63">
          <a:extLst>
            <a:ext uri="{FF2B5EF4-FFF2-40B4-BE49-F238E27FC236}">
              <a16:creationId xmlns:a16="http://schemas.microsoft.com/office/drawing/2014/main" id="{CF564EA0-7D5D-429B-8905-ECE6025E3072}"/>
            </a:ext>
          </a:extLst>
        </xdr:cNvPr>
        <xdr:cNvSpPr/>
      </xdr:nvSpPr>
      <xdr:spPr>
        <a:xfrm>
          <a:off x="6724650" y="5486400"/>
          <a:ext cx="133350" cy="314325"/>
        </a:xfrm>
        <a:prstGeom prst="rightArrowCallout">
          <a:avLst>
            <a:gd name="adj1" fmla="val 50000"/>
            <a:gd name="adj2" fmla="val 25000"/>
            <a:gd name="adj3" fmla="val 25000"/>
            <a:gd name="adj4" fmla="val 64977"/>
          </a:avLst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15</xdr:col>
      <xdr:colOff>847725</xdr:colOff>
      <xdr:row>33</xdr:row>
      <xdr:rowOff>9525</xdr:rowOff>
    </xdr:from>
    <xdr:to>
      <xdr:col>15</xdr:col>
      <xdr:colOff>981075</xdr:colOff>
      <xdr:row>34</xdr:row>
      <xdr:rowOff>133350</xdr:rowOff>
    </xdr:to>
    <xdr:sp macro="" textlink="">
      <xdr:nvSpPr>
        <xdr:cNvPr id="65" name="Légende : flèche vers la droite 64">
          <a:extLst>
            <a:ext uri="{FF2B5EF4-FFF2-40B4-BE49-F238E27FC236}">
              <a16:creationId xmlns:a16="http://schemas.microsoft.com/office/drawing/2014/main" id="{D2D33510-2371-4F2B-8B81-0A5029B66EAD}"/>
            </a:ext>
          </a:extLst>
        </xdr:cNvPr>
        <xdr:cNvSpPr/>
      </xdr:nvSpPr>
      <xdr:spPr>
        <a:xfrm>
          <a:off x="6715125" y="6419850"/>
          <a:ext cx="133350" cy="314325"/>
        </a:xfrm>
        <a:prstGeom prst="rightArrowCallout">
          <a:avLst>
            <a:gd name="adj1" fmla="val 50000"/>
            <a:gd name="adj2" fmla="val 25000"/>
            <a:gd name="adj3" fmla="val 25000"/>
            <a:gd name="adj4" fmla="val 64977"/>
          </a:avLst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19</xdr:col>
      <xdr:colOff>361950</xdr:colOff>
      <xdr:row>25</xdr:row>
      <xdr:rowOff>57150</xdr:rowOff>
    </xdr:from>
    <xdr:to>
      <xdr:col>20</xdr:col>
      <xdr:colOff>66675</xdr:colOff>
      <xdr:row>29</xdr:row>
      <xdr:rowOff>152400</xdr:rowOff>
    </xdr:to>
    <xdr:sp macro="" textlink="">
      <xdr:nvSpPr>
        <xdr:cNvPr id="66" name="Légende : flèche vers la droite 65">
          <a:extLst>
            <a:ext uri="{FF2B5EF4-FFF2-40B4-BE49-F238E27FC236}">
              <a16:creationId xmlns:a16="http://schemas.microsoft.com/office/drawing/2014/main" id="{A1BFA2A4-4586-424C-B956-DBE68A982C98}"/>
            </a:ext>
          </a:extLst>
        </xdr:cNvPr>
        <xdr:cNvSpPr/>
      </xdr:nvSpPr>
      <xdr:spPr>
        <a:xfrm>
          <a:off x="8420100" y="4895850"/>
          <a:ext cx="85725" cy="904875"/>
        </a:xfrm>
        <a:prstGeom prst="rightArrowCallout">
          <a:avLst>
            <a:gd name="adj1" fmla="val 50000"/>
            <a:gd name="adj2" fmla="val 25000"/>
            <a:gd name="adj3" fmla="val 25000"/>
            <a:gd name="adj4" fmla="val 64977"/>
          </a:avLst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15</xdr:col>
      <xdr:colOff>866775</xdr:colOff>
      <xdr:row>25</xdr:row>
      <xdr:rowOff>28575</xdr:rowOff>
    </xdr:from>
    <xdr:to>
      <xdr:col>15</xdr:col>
      <xdr:colOff>1000125</xdr:colOff>
      <xdr:row>26</xdr:row>
      <xdr:rowOff>152400</xdr:rowOff>
    </xdr:to>
    <xdr:sp macro="" textlink="">
      <xdr:nvSpPr>
        <xdr:cNvPr id="67" name="Légende : flèche vers la droite 66">
          <a:extLst>
            <a:ext uri="{FF2B5EF4-FFF2-40B4-BE49-F238E27FC236}">
              <a16:creationId xmlns:a16="http://schemas.microsoft.com/office/drawing/2014/main" id="{61964548-2E65-41B8-99AB-A14F817775D7}"/>
            </a:ext>
          </a:extLst>
        </xdr:cNvPr>
        <xdr:cNvSpPr/>
      </xdr:nvSpPr>
      <xdr:spPr>
        <a:xfrm>
          <a:off x="6734175" y="4867275"/>
          <a:ext cx="133350" cy="314325"/>
        </a:xfrm>
        <a:prstGeom prst="rightArrowCallout">
          <a:avLst>
            <a:gd name="adj1" fmla="val 50000"/>
            <a:gd name="adj2" fmla="val 25000"/>
            <a:gd name="adj3" fmla="val 25000"/>
            <a:gd name="adj4" fmla="val 64977"/>
          </a:avLst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15</xdr:col>
      <xdr:colOff>847725</xdr:colOff>
      <xdr:row>33</xdr:row>
      <xdr:rowOff>9525</xdr:rowOff>
    </xdr:from>
    <xdr:to>
      <xdr:col>15</xdr:col>
      <xdr:colOff>981075</xdr:colOff>
      <xdr:row>34</xdr:row>
      <xdr:rowOff>133350</xdr:rowOff>
    </xdr:to>
    <xdr:sp macro="" textlink="">
      <xdr:nvSpPr>
        <xdr:cNvPr id="68" name="Légende : flèche vers la droite 67">
          <a:extLst>
            <a:ext uri="{FF2B5EF4-FFF2-40B4-BE49-F238E27FC236}">
              <a16:creationId xmlns:a16="http://schemas.microsoft.com/office/drawing/2014/main" id="{1044340D-A286-4DB7-A67B-7ACAFC41A61E}"/>
            </a:ext>
          </a:extLst>
        </xdr:cNvPr>
        <xdr:cNvSpPr/>
      </xdr:nvSpPr>
      <xdr:spPr>
        <a:xfrm>
          <a:off x="6715125" y="6419850"/>
          <a:ext cx="133350" cy="314325"/>
        </a:xfrm>
        <a:prstGeom prst="rightArrowCallout">
          <a:avLst>
            <a:gd name="adj1" fmla="val 50000"/>
            <a:gd name="adj2" fmla="val 25000"/>
            <a:gd name="adj3" fmla="val 25000"/>
            <a:gd name="adj4" fmla="val 64977"/>
          </a:avLst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19</xdr:col>
      <xdr:colOff>361950</xdr:colOff>
      <xdr:row>25</xdr:row>
      <xdr:rowOff>57150</xdr:rowOff>
    </xdr:from>
    <xdr:to>
      <xdr:col>20</xdr:col>
      <xdr:colOff>66675</xdr:colOff>
      <xdr:row>29</xdr:row>
      <xdr:rowOff>152400</xdr:rowOff>
    </xdr:to>
    <xdr:sp macro="" textlink="">
      <xdr:nvSpPr>
        <xdr:cNvPr id="69" name="Légende : flèche vers la droite 68">
          <a:extLst>
            <a:ext uri="{FF2B5EF4-FFF2-40B4-BE49-F238E27FC236}">
              <a16:creationId xmlns:a16="http://schemas.microsoft.com/office/drawing/2014/main" id="{CF21741A-BF9C-48EC-99F8-BA73DAA262D4}"/>
            </a:ext>
          </a:extLst>
        </xdr:cNvPr>
        <xdr:cNvSpPr/>
      </xdr:nvSpPr>
      <xdr:spPr>
        <a:xfrm>
          <a:off x="8420100" y="4895850"/>
          <a:ext cx="85725" cy="904875"/>
        </a:xfrm>
        <a:prstGeom prst="rightArrowCallout">
          <a:avLst>
            <a:gd name="adj1" fmla="val 50000"/>
            <a:gd name="adj2" fmla="val 25000"/>
            <a:gd name="adj3" fmla="val 25000"/>
            <a:gd name="adj4" fmla="val 64977"/>
          </a:avLst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15</xdr:col>
      <xdr:colOff>866775</xdr:colOff>
      <xdr:row>25</xdr:row>
      <xdr:rowOff>28575</xdr:rowOff>
    </xdr:from>
    <xdr:to>
      <xdr:col>15</xdr:col>
      <xdr:colOff>1000125</xdr:colOff>
      <xdr:row>26</xdr:row>
      <xdr:rowOff>152400</xdr:rowOff>
    </xdr:to>
    <xdr:sp macro="" textlink="">
      <xdr:nvSpPr>
        <xdr:cNvPr id="70" name="Légende : flèche vers la droite 69">
          <a:extLst>
            <a:ext uri="{FF2B5EF4-FFF2-40B4-BE49-F238E27FC236}">
              <a16:creationId xmlns:a16="http://schemas.microsoft.com/office/drawing/2014/main" id="{D7F11BE9-DB10-42AE-A423-327B549BEB61}"/>
            </a:ext>
          </a:extLst>
        </xdr:cNvPr>
        <xdr:cNvSpPr/>
      </xdr:nvSpPr>
      <xdr:spPr>
        <a:xfrm>
          <a:off x="6734175" y="4867275"/>
          <a:ext cx="133350" cy="314325"/>
        </a:xfrm>
        <a:prstGeom prst="rightArrowCallout">
          <a:avLst>
            <a:gd name="adj1" fmla="val 50000"/>
            <a:gd name="adj2" fmla="val 25000"/>
            <a:gd name="adj3" fmla="val 25000"/>
            <a:gd name="adj4" fmla="val 64977"/>
          </a:avLst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15</xdr:col>
      <xdr:colOff>857250</xdr:colOff>
      <xdr:row>28</xdr:row>
      <xdr:rowOff>28575</xdr:rowOff>
    </xdr:from>
    <xdr:to>
      <xdr:col>15</xdr:col>
      <xdr:colOff>990600</xdr:colOff>
      <xdr:row>29</xdr:row>
      <xdr:rowOff>152400</xdr:rowOff>
    </xdr:to>
    <xdr:sp macro="" textlink="">
      <xdr:nvSpPr>
        <xdr:cNvPr id="71" name="Légende : flèche vers la droite 70">
          <a:extLst>
            <a:ext uri="{FF2B5EF4-FFF2-40B4-BE49-F238E27FC236}">
              <a16:creationId xmlns:a16="http://schemas.microsoft.com/office/drawing/2014/main" id="{5AD81967-A469-4CBD-A37A-956B5830030B}"/>
            </a:ext>
          </a:extLst>
        </xdr:cNvPr>
        <xdr:cNvSpPr/>
      </xdr:nvSpPr>
      <xdr:spPr>
        <a:xfrm>
          <a:off x="6724650" y="5486400"/>
          <a:ext cx="133350" cy="314325"/>
        </a:xfrm>
        <a:prstGeom prst="rightArrowCallout">
          <a:avLst>
            <a:gd name="adj1" fmla="val 50000"/>
            <a:gd name="adj2" fmla="val 25000"/>
            <a:gd name="adj3" fmla="val 25000"/>
            <a:gd name="adj4" fmla="val 64977"/>
          </a:avLst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15</xdr:col>
      <xdr:colOff>866775</xdr:colOff>
      <xdr:row>25</xdr:row>
      <xdr:rowOff>28575</xdr:rowOff>
    </xdr:from>
    <xdr:to>
      <xdr:col>15</xdr:col>
      <xdr:colOff>1000125</xdr:colOff>
      <xdr:row>26</xdr:row>
      <xdr:rowOff>152400</xdr:rowOff>
    </xdr:to>
    <xdr:sp macro="" textlink="">
      <xdr:nvSpPr>
        <xdr:cNvPr id="72" name="Légende : flèche vers la droite 71">
          <a:extLst>
            <a:ext uri="{FF2B5EF4-FFF2-40B4-BE49-F238E27FC236}">
              <a16:creationId xmlns:a16="http://schemas.microsoft.com/office/drawing/2014/main" id="{1E23D2B1-EC59-4580-B7BA-79C026B5DDD2}"/>
            </a:ext>
          </a:extLst>
        </xdr:cNvPr>
        <xdr:cNvSpPr/>
      </xdr:nvSpPr>
      <xdr:spPr>
        <a:xfrm>
          <a:off x="6734175" y="4867275"/>
          <a:ext cx="133350" cy="314325"/>
        </a:xfrm>
        <a:prstGeom prst="rightArrowCallout">
          <a:avLst>
            <a:gd name="adj1" fmla="val 50000"/>
            <a:gd name="adj2" fmla="val 25000"/>
            <a:gd name="adj3" fmla="val 25000"/>
            <a:gd name="adj4" fmla="val 64977"/>
          </a:avLst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15</xdr:col>
      <xdr:colOff>866775</xdr:colOff>
      <xdr:row>25</xdr:row>
      <xdr:rowOff>28575</xdr:rowOff>
    </xdr:from>
    <xdr:to>
      <xdr:col>15</xdr:col>
      <xdr:colOff>1000125</xdr:colOff>
      <xdr:row>26</xdr:row>
      <xdr:rowOff>152400</xdr:rowOff>
    </xdr:to>
    <xdr:sp macro="" textlink="">
      <xdr:nvSpPr>
        <xdr:cNvPr id="73" name="Légende : flèche vers la droite 72">
          <a:extLst>
            <a:ext uri="{FF2B5EF4-FFF2-40B4-BE49-F238E27FC236}">
              <a16:creationId xmlns:a16="http://schemas.microsoft.com/office/drawing/2014/main" id="{B82136E3-F461-4D29-A312-91D54C6AA5B7}"/>
            </a:ext>
          </a:extLst>
        </xdr:cNvPr>
        <xdr:cNvSpPr/>
      </xdr:nvSpPr>
      <xdr:spPr>
        <a:xfrm>
          <a:off x="6734175" y="4867275"/>
          <a:ext cx="133350" cy="314325"/>
        </a:xfrm>
        <a:prstGeom prst="rightArrowCallout">
          <a:avLst>
            <a:gd name="adj1" fmla="val 50000"/>
            <a:gd name="adj2" fmla="val 25000"/>
            <a:gd name="adj3" fmla="val 25000"/>
            <a:gd name="adj4" fmla="val 64977"/>
          </a:avLst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15</xdr:col>
      <xdr:colOff>857250</xdr:colOff>
      <xdr:row>28</xdr:row>
      <xdr:rowOff>28575</xdr:rowOff>
    </xdr:from>
    <xdr:to>
      <xdr:col>15</xdr:col>
      <xdr:colOff>990600</xdr:colOff>
      <xdr:row>29</xdr:row>
      <xdr:rowOff>152400</xdr:rowOff>
    </xdr:to>
    <xdr:sp macro="" textlink="">
      <xdr:nvSpPr>
        <xdr:cNvPr id="74" name="Légende : flèche vers la droite 73">
          <a:extLst>
            <a:ext uri="{FF2B5EF4-FFF2-40B4-BE49-F238E27FC236}">
              <a16:creationId xmlns:a16="http://schemas.microsoft.com/office/drawing/2014/main" id="{D9B7F314-D5EE-410C-A380-E224C48C380C}"/>
            </a:ext>
          </a:extLst>
        </xdr:cNvPr>
        <xdr:cNvSpPr/>
      </xdr:nvSpPr>
      <xdr:spPr>
        <a:xfrm>
          <a:off x="6724650" y="5486400"/>
          <a:ext cx="133350" cy="314325"/>
        </a:xfrm>
        <a:prstGeom prst="rightArrowCallout">
          <a:avLst>
            <a:gd name="adj1" fmla="val 50000"/>
            <a:gd name="adj2" fmla="val 25000"/>
            <a:gd name="adj3" fmla="val 25000"/>
            <a:gd name="adj4" fmla="val 64977"/>
          </a:avLst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15</xdr:col>
      <xdr:colOff>866775</xdr:colOff>
      <xdr:row>25</xdr:row>
      <xdr:rowOff>28575</xdr:rowOff>
    </xdr:from>
    <xdr:to>
      <xdr:col>15</xdr:col>
      <xdr:colOff>1000125</xdr:colOff>
      <xdr:row>26</xdr:row>
      <xdr:rowOff>152400</xdr:rowOff>
    </xdr:to>
    <xdr:sp macro="" textlink="">
      <xdr:nvSpPr>
        <xdr:cNvPr id="75" name="Légende : flèche vers la droite 74">
          <a:extLst>
            <a:ext uri="{FF2B5EF4-FFF2-40B4-BE49-F238E27FC236}">
              <a16:creationId xmlns:a16="http://schemas.microsoft.com/office/drawing/2014/main" id="{77F1E6D1-D9C2-48E1-AE07-D4D39BC70388}"/>
            </a:ext>
          </a:extLst>
        </xdr:cNvPr>
        <xdr:cNvSpPr/>
      </xdr:nvSpPr>
      <xdr:spPr>
        <a:xfrm>
          <a:off x="6734175" y="4867275"/>
          <a:ext cx="133350" cy="314325"/>
        </a:xfrm>
        <a:prstGeom prst="rightArrowCallout">
          <a:avLst>
            <a:gd name="adj1" fmla="val 50000"/>
            <a:gd name="adj2" fmla="val 25000"/>
            <a:gd name="adj3" fmla="val 25000"/>
            <a:gd name="adj4" fmla="val 64977"/>
          </a:avLst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15</xdr:col>
      <xdr:colOff>866775</xdr:colOff>
      <xdr:row>25</xdr:row>
      <xdr:rowOff>28575</xdr:rowOff>
    </xdr:from>
    <xdr:to>
      <xdr:col>15</xdr:col>
      <xdr:colOff>1000125</xdr:colOff>
      <xdr:row>26</xdr:row>
      <xdr:rowOff>152400</xdr:rowOff>
    </xdr:to>
    <xdr:sp macro="" textlink="">
      <xdr:nvSpPr>
        <xdr:cNvPr id="76" name="Légende : flèche vers la droite 75">
          <a:extLst>
            <a:ext uri="{FF2B5EF4-FFF2-40B4-BE49-F238E27FC236}">
              <a16:creationId xmlns:a16="http://schemas.microsoft.com/office/drawing/2014/main" id="{B54C23BB-E4AA-427E-B482-83268A46C0EA}"/>
            </a:ext>
          </a:extLst>
        </xdr:cNvPr>
        <xdr:cNvSpPr/>
      </xdr:nvSpPr>
      <xdr:spPr>
        <a:xfrm>
          <a:off x="6734175" y="4867275"/>
          <a:ext cx="133350" cy="314325"/>
        </a:xfrm>
        <a:prstGeom prst="rightArrowCallout">
          <a:avLst>
            <a:gd name="adj1" fmla="val 50000"/>
            <a:gd name="adj2" fmla="val 25000"/>
            <a:gd name="adj3" fmla="val 25000"/>
            <a:gd name="adj4" fmla="val 64977"/>
          </a:avLst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15</xdr:col>
      <xdr:colOff>857250</xdr:colOff>
      <xdr:row>28</xdr:row>
      <xdr:rowOff>28575</xdr:rowOff>
    </xdr:from>
    <xdr:to>
      <xdr:col>15</xdr:col>
      <xdr:colOff>990600</xdr:colOff>
      <xdr:row>29</xdr:row>
      <xdr:rowOff>152400</xdr:rowOff>
    </xdr:to>
    <xdr:sp macro="" textlink="">
      <xdr:nvSpPr>
        <xdr:cNvPr id="77" name="Légende : flèche vers la droite 76">
          <a:extLst>
            <a:ext uri="{FF2B5EF4-FFF2-40B4-BE49-F238E27FC236}">
              <a16:creationId xmlns:a16="http://schemas.microsoft.com/office/drawing/2014/main" id="{642DF1D9-5491-4EE8-AAA4-50320AF3D187}"/>
            </a:ext>
          </a:extLst>
        </xdr:cNvPr>
        <xdr:cNvSpPr/>
      </xdr:nvSpPr>
      <xdr:spPr>
        <a:xfrm>
          <a:off x="6724650" y="5486400"/>
          <a:ext cx="133350" cy="314325"/>
        </a:xfrm>
        <a:prstGeom prst="rightArrowCallout">
          <a:avLst>
            <a:gd name="adj1" fmla="val 50000"/>
            <a:gd name="adj2" fmla="val 25000"/>
            <a:gd name="adj3" fmla="val 25000"/>
            <a:gd name="adj4" fmla="val 64977"/>
          </a:avLst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15</xdr:col>
      <xdr:colOff>866775</xdr:colOff>
      <xdr:row>25</xdr:row>
      <xdr:rowOff>28575</xdr:rowOff>
    </xdr:from>
    <xdr:to>
      <xdr:col>15</xdr:col>
      <xdr:colOff>1000125</xdr:colOff>
      <xdr:row>26</xdr:row>
      <xdr:rowOff>152400</xdr:rowOff>
    </xdr:to>
    <xdr:sp macro="" textlink="">
      <xdr:nvSpPr>
        <xdr:cNvPr id="78" name="Légende : flèche vers la droite 77">
          <a:extLst>
            <a:ext uri="{FF2B5EF4-FFF2-40B4-BE49-F238E27FC236}">
              <a16:creationId xmlns:a16="http://schemas.microsoft.com/office/drawing/2014/main" id="{3CA3DF8B-45C7-4416-8CAE-84BBDC659B2F}"/>
            </a:ext>
          </a:extLst>
        </xdr:cNvPr>
        <xdr:cNvSpPr/>
      </xdr:nvSpPr>
      <xdr:spPr>
        <a:xfrm>
          <a:off x="6734175" y="4867275"/>
          <a:ext cx="133350" cy="314325"/>
        </a:xfrm>
        <a:prstGeom prst="rightArrowCallout">
          <a:avLst>
            <a:gd name="adj1" fmla="val 50000"/>
            <a:gd name="adj2" fmla="val 25000"/>
            <a:gd name="adj3" fmla="val 25000"/>
            <a:gd name="adj4" fmla="val 64977"/>
          </a:avLst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15</xdr:col>
      <xdr:colOff>866775</xdr:colOff>
      <xdr:row>25</xdr:row>
      <xdr:rowOff>28575</xdr:rowOff>
    </xdr:from>
    <xdr:to>
      <xdr:col>15</xdr:col>
      <xdr:colOff>1000125</xdr:colOff>
      <xdr:row>26</xdr:row>
      <xdr:rowOff>152400</xdr:rowOff>
    </xdr:to>
    <xdr:sp macro="" textlink="">
      <xdr:nvSpPr>
        <xdr:cNvPr id="79" name="Légende : flèche vers la droite 78">
          <a:extLst>
            <a:ext uri="{FF2B5EF4-FFF2-40B4-BE49-F238E27FC236}">
              <a16:creationId xmlns:a16="http://schemas.microsoft.com/office/drawing/2014/main" id="{D09EE0BF-514B-4073-9716-F0FD3B982CD2}"/>
            </a:ext>
          </a:extLst>
        </xdr:cNvPr>
        <xdr:cNvSpPr/>
      </xdr:nvSpPr>
      <xdr:spPr>
        <a:xfrm>
          <a:off x="6734175" y="4867275"/>
          <a:ext cx="133350" cy="314325"/>
        </a:xfrm>
        <a:prstGeom prst="rightArrowCallout">
          <a:avLst>
            <a:gd name="adj1" fmla="val 50000"/>
            <a:gd name="adj2" fmla="val 25000"/>
            <a:gd name="adj3" fmla="val 25000"/>
            <a:gd name="adj4" fmla="val 64977"/>
          </a:avLst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15</xdr:col>
      <xdr:colOff>857250</xdr:colOff>
      <xdr:row>28</xdr:row>
      <xdr:rowOff>28575</xdr:rowOff>
    </xdr:from>
    <xdr:to>
      <xdr:col>15</xdr:col>
      <xdr:colOff>990600</xdr:colOff>
      <xdr:row>29</xdr:row>
      <xdr:rowOff>152400</xdr:rowOff>
    </xdr:to>
    <xdr:sp macro="" textlink="">
      <xdr:nvSpPr>
        <xdr:cNvPr id="80" name="Légende : flèche vers la droite 79">
          <a:extLst>
            <a:ext uri="{FF2B5EF4-FFF2-40B4-BE49-F238E27FC236}">
              <a16:creationId xmlns:a16="http://schemas.microsoft.com/office/drawing/2014/main" id="{22DA7161-AD52-4F6F-AFCE-F89019E3513C}"/>
            </a:ext>
          </a:extLst>
        </xdr:cNvPr>
        <xdr:cNvSpPr/>
      </xdr:nvSpPr>
      <xdr:spPr>
        <a:xfrm>
          <a:off x="6724650" y="5486400"/>
          <a:ext cx="133350" cy="314325"/>
        </a:xfrm>
        <a:prstGeom prst="rightArrowCallout">
          <a:avLst>
            <a:gd name="adj1" fmla="val 50000"/>
            <a:gd name="adj2" fmla="val 25000"/>
            <a:gd name="adj3" fmla="val 25000"/>
            <a:gd name="adj4" fmla="val 64977"/>
          </a:avLst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15</xdr:col>
      <xdr:colOff>866775</xdr:colOff>
      <xdr:row>25</xdr:row>
      <xdr:rowOff>28575</xdr:rowOff>
    </xdr:from>
    <xdr:to>
      <xdr:col>15</xdr:col>
      <xdr:colOff>1000125</xdr:colOff>
      <xdr:row>26</xdr:row>
      <xdr:rowOff>152400</xdr:rowOff>
    </xdr:to>
    <xdr:sp macro="" textlink="">
      <xdr:nvSpPr>
        <xdr:cNvPr id="81" name="Légende : flèche vers la droite 80">
          <a:extLst>
            <a:ext uri="{FF2B5EF4-FFF2-40B4-BE49-F238E27FC236}">
              <a16:creationId xmlns:a16="http://schemas.microsoft.com/office/drawing/2014/main" id="{1024D247-9C21-43FD-A193-236C98F6EA19}"/>
            </a:ext>
          </a:extLst>
        </xdr:cNvPr>
        <xdr:cNvSpPr/>
      </xdr:nvSpPr>
      <xdr:spPr>
        <a:xfrm>
          <a:off x="6734175" y="4867275"/>
          <a:ext cx="133350" cy="314325"/>
        </a:xfrm>
        <a:prstGeom prst="rightArrowCallout">
          <a:avLst>
            <a:gd name="adj1" fmla="val 50000"/>
            <a:gd name="adj2" fmla="val 25000"/>
            <a:gd name="adj3" fmla="val 25000"/>
            <a:gd name="adj4" fmla="val 64977"/>
          </a:avLst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15</xdr:col>
      <xdr:colOff>866775</xdr:colOff>
      <xdr:row>25</xdr:row>
      <xdr:rowOff>28575</xdr:rowOff>
    </xdr:from>
    <xdr:to>
      <xdr:col>15</xdr:col>
      <xdr:colOff>1000125</xdr:colOff>
      <xdr:row>26</xdr:row>
      <xdr:rowOff>152400</xdr:rowOff>
    </xdr:to>
    <xdr:sp macro="" textlink="">
      <xdr:nvSpPr>
        <xdr:cNvPr id="82" name="Légende : flèche vers la droite 81">
          <a:extLst>
            <a:ext uri="{FF2B5EF4-FFF2-40B4-BE49-F238E27FC236}">
              <a16:creationId xmlns:a16="http://schemas.microsoft.com/office/drawing/2014/main" id="{075A9542-C617-450F-A549-090A7A9DE25A}"/>
            </a:ext>
          </a:extLst>
        </xdr:cNvPr>
        <xdr:cNvSpPr/>
      </xdr:nvSpPr>
      <xdr:spPr>
        <a:xfrm>
          <a:off x="6734175" y="4867275"/>
          <a:ext cx="133350" cy="314325"/>
        </a:xfrm>
        <a:prstGeom prst="rightArrowCallout">
          <a:avLst>
            <a:gd name="adj1" fmla="val 50000"/>
            <a:gd name="adj2" fmla="val 25000"/>
            <a:gd name="adj3" fmla="val 25000"/>
            <a:gd name="adj4" fmla="val 64977"/>
          </a:avLst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15</xdr:col>
      <xdr:colOff>857250</xdr:colOff>
      <xdr:row>28</xdr:row>
      <xdr:rowOff>28575</xdr:rowOff>
    </xdr:from>
    <xdr:to>
      <xdr:col>15</xdr:col>
      <xdr:colOff>990600</xdr:colOff>
      <xdr:row>29</xdr:row>
      <xdr:rowOff>152400</xdr:rowOff>
    </xdr:to>
    <xdr:sp macro="" textlink="">
      <xdr:nvSpPr>
        <xdr:cNvPr id="83" name="Légende : flèche vers la droite 82">
          <a:extLst>
            <a:ext uri="{FF2B5EF4-FFF2-40B4-BE49-F238E27FC236}">
              <a16:creationId xmlns:a16="http://schemas.microsoft.com/office/drawing/2014/main" id="{BA58E3E5-59BE-4CF2-BF8A-E4F1252CD483}"/>
            </a:ext>
          </a:extLst>
        </xdr:cNvPr>
        <xdr:cNvSpPr/>
      </xdr:nvSpPr>
      <xdr:spPr>
        <a:xfrm>
          <a:off x="6724650" y="5486400"/>
          <a:ext cx="133350" cy="314325"/>
        </a:xfrm>
        <a:prstGeom prst="rightArrowCallout">
          <a:avLst>
            <a:gd name="adj1" fmla="val 50000"/>
            <a:gd name="adj2" fmla="val 25000"/>
            <a:gd name="adj3" fmla="val 25000"/>
            <a:gd name="adj4" fmla="val 64977"/>
          </a:avLst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15</xdr:col>
      <xdr:colOff>847725</xdr:colOff>
      <xdr:row>33</xdr:row>
      <xdr:rowOff>9525</xdr:rowOff>
    </xdr:from>
    <xdr:to>
      <xdr:col>15</xdr:col>
      <xdr:colOff>981075</xdr:colOff>
      <xdr:row>34</xdr:row>
      <xdr:rowOff>133350</xdr:rowOff>
    </xdr:to>
    <xdr:sp macro="" textlink="">
      <xdr:nvSpPr>
        <xdr:cNvPr id="84" name="Légende : flèche vers la droite 83">
          <a:extLst>
            <a:ext uri="{FF2B5EF4-FFF2-40B4-BE49-F238E27FC236}">
              <a16:creationId xmlns:a16="http://schemas.microsoft.com/office/drawing/2014/main" id="{DE2969BC-255E-45BB-AAF4-132999426ACC}"/>
            </a:ext>
          </a:extLst>
        </xdr:cNvPr>
        <xdr:cNvSpPr/>
      </xdr:nvSpPr>
      <xdr:spPr>
        <a:xfrm>
          <a:off x="6715125" y="6419850"/>
          <a:ext cx="133350" cy="314325"/>
        </a:xfrm>
        <a:prstGeom prst="rightArrowCallout">
          <a:avLst>
            <a:gd name="adj1" fmla="val 50000"/>
            <a:gd name="adj2" fmla="val 25000"/>
            <a:gd name="adj3" fmla="val 25000"/>
            <a:gd name="adj4" fmla="val 64977"/>
          </a:avLst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19</xdr:col>
      <xdr:colOff>361950</xdr:colOff>
      <xdr:row>25</xdr:row>
      <xdr:rowOff>57150</xdr:rowOff>
    </xdr:from>
    <xdr:to>
      <xdr:col>20</xdr:col>
      <xdr:colOff>66675</xdr:colOff>
      <xdr:row>29</xdr:row>
      <xdr:rowOff>152400</xdr:rowOff>
    </xdr:to>
    <xdr:sp macro="" textlink="">
      <xdr:nvSpPr>
        <xdr:cNvPr id="85" name="Légende : flèche vers la droite 84">
          <a:extLst>
            <a:ext uri="{FF2B5EF4-FFF2-40B4-BE49-F238E27FC236}">
              <a16:creationId xmlns:a16="http://schemas.microsoft.com/office/drawing/2014/main" id="{00C1756A-0CD1-4936-BAFB-9C6A5A6952D7}"/>
            </a:ext>
          </a:extLst>
        </xdr:cNvPr>
        <xdr:cNvSpPr/>
      </xdr:nvSpPr>
      <xdr:spPr>
        <a:xfrm>
          <a:off x="8420100" y="4895850"/>
          <a:ext cx="85725" cy="904875"/>
        </a:xfrm>
        <a:prstGeom prst="rightArrowCallout">
          <a:avLst>
            <a:gd name="adj1" fmla="val 50000"/>
            <a:gd name="adj2" fmla="val 25000"/>
            <a:gd name="adj3" fmla="val 25000"/>
            <a:gd name="adj4" fmla="val 64977"/>
          </a:avLst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15</xdr:col>
      <xdr:colOff>866775</xdr:colOff>
      <xdr:row>25</xdr:row>
      <xdr:rowOff>28575</xdr:rowOff>
    </xdr:from>
    <xdr:to>
      <xdr:col>15</xdr:col>
      <xdr:colOff>1000125</xdr:colOff>
      <xdr:row>26</xdr:row>
      <xdr:rowOff>152400</xdr:rowOff>
    </xdr:to>
    <xdr:sp macro="" textlink="">
      <xdr:nvSpPr>
        <xdr:cNvPr id="86" name="Légende : flèche vers la droite 85">
          <a:extLst>
            <a:ext uri="{FF2B5EF4-FFF2-40B4-BE49-F238E27FC236}">
              <a16:creationId xmlns:a16="http://schemas.microsoft.com/office/drawing/2014/main" id="{D7CEC188-CC2C-4B5C-9C2F-20D8D06A8E4E}"/>
            </a:ext>
          </a:extLst>
        </xdr:cNvPr>
        <xdr:cNvSpPr/>
      </xdr:nvSpPr>
      <xdr:spPr>
        <a:xfrm>
          <a:off x="6734175" y="4867275"/>
          <a:ext cx="133350" cy="314325"/>
        </a:xfrm>
        <a:prstGeom prst="rightArrowCallout">
          <a:avLst>
            <a:gd name="adj1" fmla="val 50000"/>
            <a:gd name="adj2" fmla="val 25000"/>
            <a:gd name="adj3" fmla="val 25000"/>
            <a:gd name="adj4" fmla="val 64977"/>
          </a:avLst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15</xdr:col>
      <xdr:colOff>847725</xdr:colOff>
      <xdr:row>33</xdr:row>
      <xdr:rowOff>9525</xdr:rowOff>
    </xdr:from>
    <xdr:to>
      <xdr:col>15</xdr:col>
      <xdr:colOff>981075</xdr:colOff>
      <xdr:row>34</xdr:row>
      <xdr:rowOff>133350</xdr:rowOff>
    </xdr:to>
    <xdr:sp macro="" textlink="">
      <xdr:nvSpPr>
        <xdr:cNvPr id="87" name="Légende : flèche vers la droite 86">
          <a:extLst>
            <a:ext uri="{FF2B5EF4-FFF2-40B4-BE49-F238E27FC236}">
              <a16:creationId xmlns:a16="http://schemas.microsoft.com/office/drawing/2014/main" id="{0F62CC23-2668-49C4-BA15-05A9A9202BC4}"/>
            </a:ext>
          </a:extLst>
        </xdr:cNvPr>
        <xdr:cNvSpPr/>
      </xdr:nvSpPr>
      <xdr:spPr>
        <a:xfrm>
          <a:off x="6715125" y="6419850"/>
          <a:ext cx="133350" cy="314325"/>
        </a:xfrm>
        <a:prstGeom prst="rightArrowCallout">
          <a:avLst>
            <a:gd name="adj1" fmla="val 50000"/>
            <a:gd name="adj2" fmla="val 25000"/>
            <a:gd name="adj3" fmla="val 25000"/>
            <a:gd name="adj4" fmla="val 64977"/>
          </a:avLst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19</xdr:col>
      <xdr:colOff>361950</xdr:colOff>
      <xdr:row>25</xdr:row>
      <xdr:rowOff>57150</xdr:rowOff>
    </xdr:from>
    <xdr:to>
      <xdr:col>20</xdr:col>
      <xdr:colOff>66675</xdr:colOff>
      <xdr:row>29</xdr:row>
      <xdr:rowOff>152400</xdr:rowOff>
    </xdr:to>
    <xdr:sp macro="" textlink="">
      <xdr:nvSpPr>
        <xdr:cNvPr id="88" name="Légende : flèche vers la droite 87">
          <a:extLst>
            <a:ext uri="{FF2B5EF4-FFF2-40B4-BE49-F238E27FC236}">
              <a16:creationId xmlns:a16="http://schemas.microsoft.com/office/drawing/2014/main" id="{68DE45E1-3EE4-47CC-8942-6817A7AA5352}"/>
            </a:ext>
          </a:extLst>
        </xdr:cNvPr>
        <xdr:cNvSpPr/>
      </xdr:nvSpPr>
      <xdr:spPr>
        <a:xfrm>
          <a:off x="8420100" y="4895850"/>
          <a:ext cx="85725" cy="904875"/>
        </a:xfrm>
        <a:prstGeom prst="rightArrowCallout">
          <a:avLst>
            <a:gd name="adj1" fmla="val 50000"/>
            <a:gd name="adj2" fmla="val 25000"/>
            <a:gd name="adj3" fmla="val 25000"/>
            <a:gd name="adj4" fmla="val 64977"/>
          </a:avLst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15</xdr:col>
      <xdr:colOff>866775</xdr:colOff>
      <xdr:row>25</xdr:row>
      <xdr:rowOff>28575</xdr:rowOff>
    </xdr:from>
    <xdr:to>
      <xdr:col>15</xdr:col>
      <xdr:colOff>1000125</xdr:colOff>
      <xdr:row>26</xdr:row>
      <xdr:rowOff>152400</xdr:rowOff>
    </xdr:to>
    <xdr:sp macro="" textlink="">
      <xdr:nvSpPr>
        <xdr:cNvPr id="89" name="Légende : flèche vers la droite 88">
          <a:extLst>
            <a:ext uri="{FF2B5EF4-FFF2-40B4-BE49-F238E27FC236}">
              <a16:creationId xmlns:a16="http://schemas.microsoft.com/office/drawing/2014/main" id="{A45BA8FE-9EB1-4780-B0C3-409838ABF216}"/>
            </a:ext>
          </a:extLst>
        </xdr:cNvPr>
        <xdr:cNvSpPr/>
      </xdr:nvSpPr>
      <xdr:spPr>
        <a:xfrm>
          <a:off x="6734175" y="4867275"/>
          <a:ext cx="133350" cy="314325"/>
        </a:xfrm>
        <a:prstGeom prst="rightArrowCallout">
          <a:avLst>
            <a:gd name="adj1" fmla="val 50000"/>
            <a:gd name="adj2" fmla="val 25000"/>
            <a:gd name="adj3" fmla="val 25000"/>
            <a:gd name="adj4" fmla="val 64977"/>
          </a:avLst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15</xdr:col>
      <xdr:colOff>857250</xdr:colOff>
      <xdr:row>28</xdr:row>
      <xdr:rowOff>28575</xdr:rowOff>
    </xdr:from>
    <xdr:to>
      <xdr:col>15</xdr:col>
      <xdr:colOff>990600</xdr:colOff>
      <xdr:row>29</xdr:row>
      <xdr:rowOff>152400</xdr:rowOff>
    </xdr:to>
    <xdr:sp macro="" textlink="">
      <xdr:nvSpPr>
        <xdr:cNvPr id="90" name="Légende : flèche vers la droite 89">
          <a:extLst>
            <a:ext uri="{FF2B5EF4-FFF2-40B4-BE49-F238E27FC236}">
              <a16:creationId xmlns:a16="http://schemas.microsoft.com/office/drawing/2014/main" id="{4A3FC9AE-D94B-4889-BC6D-EE1853110EC8}"/>
            </a:ext>
          </a:extLst>
        </xdr:cNvPr>
        <xdr:cNvSpPr/>
      </xdr:nvSpPr>
      <xdr:spPr>
        <a:xfrm>
          <a:off x="6724650" y="5486400"/>
          <a:ext cx="133350" cy="314325"/>
        </a:xfrm>
        <a:prstGeom prst="rightArrowCallout">
          <a:avLst>
            <a:gd name="adj1" fmla="val 50000"/>
            <a:gd name="adj2" fmla="val 25000"/>
            <a:gd name="adj3" fmla="val 25000"/>
            <a:gd name="adj4" fmla="val 64977"/>
          </a:avLst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15</xdr:col>
      <xdr:colOff>847725</xdr:colOff>
      <xdr:row>33</xdr:row>
      <xdr:rowOff>9525</xdr:rowOff>
    </xdr:from>
    <xdr:to>
      <xdr:col>15</xdr:col>
      <xdr:colOff>981075</xdr:colOff>
      <xdr:row>34</xdr:row>
      <xdr:rowOff>133350</xdr:rowOff>
    </xdr:to>
    <xdr:sp macro="" textlink="">
      <xdr:nvSpPr>
        <xdr:cNvPr id="91" name="Légende : flèche vers la droite 90">
          <a:extLst>
            <a:ext uri="{FF2B5EF4-FFF2-40B4-BE49-F238E27FC236}">
              <a16:creationId xmlns:a16="http://schemas.microsoft.com/office/drawing/2014/main" id="{778C36BD-0940-4E13-B5D9-47C56AA38FED}"/>
            </a:ext>
          </a:extLst>
        </xdr:cNvPr>
        <xdr:cNvSpPr/>
      </xdr:nvSpPr>
      <xdr:spPr>
        <a:xfrm>
          <a:off x="6715125" y="6419850"/>
          <a:ext cx="133350" cy="314325"/>
        </a:xfrm>
        <a:prstGeom prst="rightArrowCallout">
          <a:avLst>
            <a:gd name="adj1" fmla="val 50000"/>
            <a:gd name="adj2" fmla="val 25000"/>
            <a:gd name="adj3" fmla="val 25000"/>
            <a:gd name="adj4" fmla="val 64977"/>
          </a:avLst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19</xdr:col>
      <xdr:colOff>361950</xdr:colOff>
      <xdr:row>25</xdr:row>
      <xdr:rowOff>57150</xdr:rowOff>
    </xdr:from>
    <xdr:to>
      <xdr:col>20</xdr:col>
      <xdr:colOff>66675</xdr:colOff>
      <xdr:row>29</xdr:row>
      <xdr:rowOff>152400</xdr:rowOff>
    </xdr:to>
    <xdr:sp macro="" textlink="">
      <xdr:nvSpPr>
        <xdr:cNvPr id="92" name="Légende : flèche vers la droite 91">
          <a:extLst>
            <a:ext uri="{FF2B5EF4-FFF2-40B4-BE49-F238E27FC236}">
              <a16:creationId xmlns:a16="http://schemas.microsoft.com/office/drawing/2014/main" id="{FAA6F516-B073-4B71-B5C3-80B2FD35D0C2}"/>
            </a:ext>
          </a:extLst>
        </xdr:cNvPr>
        <xdr:cNvSpPr/>
      </xdr:nvSpPr>
      <xdr:spPr>
        <a:xfrm>
          <a:off x="8420100" y="4895850"/>
          <a:ext cx="85725" cy="904875"/>
        </a:xfrm>
        <a:prstGeom prst="rightArrowCallout">
          <a:avLst>
            <a:gd name="adj1" fmla="val 50000"/>
            <a:gd name="adj2" fmla="val 25000"/>
            <a:gd name="adj3" fmla="val 25000"/>
            <a:gd name="adj4" fmla="val 64977"/>
          </a:avLst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15</xdr:col>
      <xdr:colOff>866775</xdr:colOff>
      <xdr:row>25</xdr:row>
      <xdr:rowOff>28575</xdr:rowOff>
    </xdr:from>
    <xdr:to>
      <xdr:col>15</xdr:col>
      <xdr:colOff>1000125</xdr:colOff>
      <xdr:row>26</xdr:row>
      <xdr:rowOff>152400</xdr:rowOff>
    </xdr:to>
    <xdr:sp macro="" textlink="">
      <xdr:nvSpPr>
        <xdr:cNvPr id="93" name="Légende : flèche vers la droite 92">
          <a:extLst>
            <a:ext uri="{FF2B5EF4-FFF2-40B4-BE49-F238E27FC236}">
              <a16:creationId xmlns:a16="http://schemas.microsoft.com/office/drawing/2014/main" id="{2E7AF988-8E7C-405D-8D01-1FCA91B9CC8D}"/>
            </a:ext>
          </a:extLst>
        </xdr:cNvPr>
        <xdr:cNvSpPr/>
      </xdr:nvSpPr>
      <xdr:spPr>
        <a:xfrm>
          <a:off x="6734175" y="4867275"/>
          <a:ext cx="133350" cy="314325"/>
        </a:xfrm>
        <a:prstGeom prst="rightArrowCallout">
          <a:avLst>
            <a:gd name="adj1" fmla="val 50000"/>
            <a:gd name="adj2" fmla="val 25000"/>
            <a:gd name="adj3" fmla="val 25000"/>
            <a:gd name="adj4" fmla="val 64977"/>
          </a:avLst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15</xdr:col>
      <xdr:colOff>847725</xdr:colOff>
      <xdr:row>33</xdr:row>
      <xdr:rowOff>9525</xdr:rowOff>
    </xdr:from>
    <xdr:to>
      <xdr:col>15</xdr:col>
      <xdr:colOff>981075</xdr:colOff>
      <xdr:row>34</xdr:row>
      <xdr:rowOff>133350</xdr:rowOff>
    </xdr:to>
    <xdr:sp macro="" textlink="">
      <xdr:nvSpPr>
        <xdr:cNvPr id="94" name="Légende : flèche vers la droite 93">
          <a:extLst>
            <a:ext uri="{FF2B5EF4-FFF2-40B4-BE49-F238E27FC236}">
              <a16:creationId xmlns:a16="http://schemas.microsoft.com/office/drawing/2014/main" id="{66DB5A2B-35A3-4B75-81D3-97672D178A1D}"/>
            </a:ext>
          </a:extLst>
        </xdr:cNvPr>
        <xdr:cNvSpPr/>
      </xdr:nvSpPr>
      <xdr:spPr>
        <a:xfrm>
          <a:off x="6715125" y="6419850"/>
          <a:ext cx="133350" cy="314325"/>
        </a:xfrm>
        <a:prstGeom prst="rightArrowCallout">
          <a:avLst>
            <a:gd name="adj1" fmla="val 50000"/>
            <a:gd name="adj2" fmla="val 25000"/>
            <a:gd name="adj3" fmla="val 25000"/>
            <a:gd name="adj4" fmla="val 64977"/>
          </a:avLst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19</xdr:col>
      <xdr:colOff>361950</xdr:colOff>
      <xdr:row>25</xdr:row>
      <xdr:rowOff>57150</xdr:rowOff>
    </xdr:from>
    <xdr:to>
      <xdr:col>20</xdr:col>
      <xdr:colOff>66675</xdr:colOff>
      <xdr:row>29</xdr:row>
      <xdr:rowOff>152400</xdr:rowOff>
    </xdr:to>
    <xdr:sp macro="" textlink="">
      <xdr:nvSpPr>
        <xdr:cNvPr id="95" name="Légende : flèche vers la droite 94">
          <a:extLst>
            <a:ext uri="{FF2B5EF4-FFF2-40B4-BE49-F238E27FC236}">
              <a16:creationId xmlns:a16="http://schemas.microsoft.com/office/drawing/2014/main" id="{718DB524-8CA2-43F0-AD65-66A983BC34C1}"/>
            </a:ext>
          </a:extLst>
        </xdr:cNvPr>
        <xdr:cNvSpPr/>
      </xdr:nvSpPr>
      <xdr:spPr>
        <a:xfrm>
          <a:off x="8420100" y="4895850"/>
          <a:ext cx="85725" cy="904875"/>
        </a:xfrm>
        <a:prstGeom prst="rightArrowCallout">
          <a:avLst>
            <a:gd name="adj1" fmla="val 50000"/>
            <a:gd name="adj2" fmla="val 25000"/>
            <a:gd name="adj3" fmla="val 25000"/>
            <a:gd name="adj4" fmla="val 64977"/>
          </a:avLst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15</xdr:col>
      <xdr:colOff>866775</xdr:colOff>
      <xdr:row>25</xdr:row>
      <xdr:rowOff>28575</xdr:rowOff>
    </xdr:from>
    <xdr:to>
      <xdr:col>15</xdr:col>
      <xdr:colOff>1000125</xdr:colOff>
      <xdr:row>26</xdr:row>
      <xdr:rowOff>152400</xdr:rowOff>
    </xdr:to>
    <xdr:sp macro="" textlink="">
      <xdr:nvSpPr>
        <xdr:cNvPr id="96" name="Légende : flèche vers la droite 95">
          <a:extLst>
            <a:ext uri="{FF2B5EF4-FFF2-40B4-BE49-F238E27FC236}">
              <a16:creationId xmlns:a16="http://schemas.microsoft.com/office/drawing/2014/main" id="{D9F7121E-2382-44F9-AF8C-7FF256BA08FE}"/>
            </a:ext>
          </a:extLst>
        </xdr:cNvPr>
        <xdr:cNvSpPr/>
      </xdr:nvSpPr>
      <xdr:spPr>
        <a:xfrm>
          <a:off x="6734175" y="4867275"/>
          <a:ext cx="133350" cy="314325"/>
        </a:xfrm>
        <a:prstGeom prst="rightArrowCallout">
          <a:avLst>
            <a:gd name="adj1" fmla="val 50000"/>
            <a:gd name="adj2" fmla="val 25000"/>
            <a:gd name="adj3" fmla="val 25000"/>
            <a:gd name="adj4" fmla="val 64977"/>
          </a:avLst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15</xdr:col>
      <xdr:colOff>857250</xdr:colOff>
      <xdr:row>28</xdr:row>
      <xdr:rowOff>28575</xdr:rowOff>
    </xdr:from>
    <xdr:to>
      <xdr:col>15</xdr:col>
      <xdr:colOff>990600</xdr:colOff>
      <xdr:row>29</xdr:row>
      <xdr:rowOff>152400</xdr:rowOff>
    </xdr:to>
    <xdr:sp macro="" textlink="">
      <xdr:nvSpPr>
        <xdr:cNvPr id="97" name="Légende : flèche vers la droite 96">
          <a:extLst>
            <a:ext uri="{FF2B5EF4-FFF2-40B4-BE49-F238E27FC236}">
              <a16:creationId xmlns:a16="http://schemas.microsoft.com/office/drawing/2014/main" id="{C5059E8E-66E9-4096-9990-1A1739AD9D74}"/>
            </a:ext>
          </a:extLst>
        </xdr:cNvPr>
        <xdr:cNvSpPr/>
      </xdr:nvSpPr>
      <xdr:spPr>
        <a:xfrm>
          <a:off x="6724650" y="5486400"/>
          <a:ext cx="133350" cy="314325"/>
        </a:xfrm>
        <a:prstGeom prst="rightArrowCallout">
          <a:avLst>
            <a:gd name="adj1" fmla="val 50000"/>
            <a:gd name="adj2" fmla="val 25000"/>
            <a:gd name="adj3" fmla="val 25000"/>
            <a:gd name="adj4" fmla="val 64977"/>
          </a:avLst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15</xdr:col>
      <xdr:colOff>866775</xdr:colOff>
      <xdr:row>25</xdr:row>
      <xdr:rowOff>28575</xdr:rowOff>
    </xdr:from>
    <xdr:to>
      <xdr:col>15</xdr:col>
      <xdr:colOff>1000125</xdr:colOff>
      <xdr:row>26</xdr:row>
      <xdr:rowOff>152400</xdr:rowOff>
    </xdr:to>
    <xdr:sp macro="" textlink="">
      <xdr:nvSpPr>
        <xdr:cNvPr id="98" name="Légende : flèche vers la droite 97">
          <a:extLst>
            <a:ext uri="{FF2B5EF4-FFF2-40B4-BE49-F238E27FC236}">
              <a16:creationId xmlns:a16="http://schemas.microsoft.com/office/drawing/2014/main" id="{428CED07-8B82-46E1-B199-09AA4DF41771}"/>
            </a:ext>
          </a:extLst>
        </xdr:cNvPr>
        <xdr:cNvSpPr/>
      </xdr:nvSpPr>
      <xdr:spPr>
        <a:xfrm>
          <a:off x="6734175" y="4867275"/>
          <a:ext cx="133350" cy="314325"/>
        </a:xfrm>
        <a:prstGeom prst="rightArrowCallout">
          <a:avLst>
            <a:gd name="adj1" fmla="val 50000"/>
            <a:gd name="adj2" fmla="val 25000"/>
            <a:gd name="adj3" fmla="val 25000"/>
            <a:gd name="adj4" fmla="val 64977"/>
          </a:avLst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15</xdr:col>
      <xdr:colOff>866775</xdr:colOff>
      <xdr:row>25</xdr:row>
      <xdr:rowOff>28575</xdr:rowOff>
    </xdr:from>
    <xdr:to>
      <xdr:col>15</xdr:col>
      <xdr:colOff>1000125</xdr:colOff>
      <xdr:row>26</xdr:row>
      <xdr:rowOff>152400</xdr:rowOff>
    </xdr:to>
    <xdr:sp macro="" textlink="">
      <xdr:nvSpPr>
        <xdr:cNvPr id="99" name="Légende : flèche vers la droite 98">
          <a:extLst>
            <a:ext uri="{FF2B5EF4-FFF2-40B4-BE49-F238E27FC236}">
              <a16:creationId xmlns:a16="http://schemas.microsoft.com/office/drawing/2014/main" id="{45BF3F52-8FAB-4389-A8C2-880569225505}"/>
            </a:ext>
          </a:extLst>
        </xdr:cNvPr>
        <xdr:cNvSpPr/>
      </xdr:nvSpPr>
      <xdr:spPr>
        <a:xfrm>
          <a:off x="6734175" y="4867275"/>
          <a:ext cx="133350" cy="314325"/>
        </a:xfrm>
        <a:prstGeom prst="rightArrowCallout">
          <a:avLst>
            <a:gd name="adj1" fmla="val 50000"/>
            <a:gd name="adj2" fmla="val 25000"/>
            <a:gd name="adj3" fmla="val 25000"/>
            <a:gd name="adj4" fmla="val 64977"/>
          </a:avLst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15</xdr:col>
      <xdr:colOff>857250</xdr:colOff>
      <xdr:row>28</xdr:row>
      <xdr:rowOff>28575</xdr:rowOff>
    </xdr:from>
    <xdr:to>
      <xdr:col>15</xdr:col>
      <xdr:colOff>990600</xdr:colOff>
      <xdr:row>29</xdr:row>
      <xdr:rowOff>152400</xdr:rowOff>
    </xdr:to>
    <xdr:sp macro="" textlink="">
      <xdr:nvSpPr>
        <xdr:cNvPr id="100" name="Légende : flèche vers la droite 99">
          <a:extLst>
            <a:ext uri="{FF2B5EF4-FFF2-40B4-BE49-F238E27FC236}">
              <a16:creationId xmlns:a16="http://schemas.microsoft.com/office/drawing/2014/main" id="{73035084-04A0-480C-9320-9940F9FB5DD1}"/>
            </a:ext>
          </a:extLst>
        </xdr:cNvPr>
        <xdr:cNvSpPr/>
      </xdr:nvSpPr>
      <xdr:spPr>
        <a:xfrm>
          <a:off x="6724650" y="5486400"/>
          <a:ext cx="133350" cy="314325"/>
        </a:xfrm>
        <a:prstGeom prst="rightArrowCallout">
          <a:avLst>
            <a:gd name="adj1" fmla="val 50000"/>
            <a:gd name="adj2" fmla="val 25000"/>
            <a:gd name="adj3" fmla="val 25000"/>
            <a:gd name="adj4" fmla="val 64977"/>
          </a:avLst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15</xdr:col>
      <xdr:colOff>866775</xdr:colOff>
      <xdr:row>25</xdr:row>
      <xdr:rowOff>28575</xdr:rowOff>
    </xdr:from>
    <xdr:to>
      <xdr:col>15</xdr:col>
      <xdr:colOff>1000125</xdr:colOff>
      <xdr:row>26</xdr:row>
      <xdr:rowOff>152400</xdr:rowOff>
    </xdr:to>
    <xdr:sp macro="" textlink="">
      <xdr:nvSpPr>
        <xdr:cNvPr id="101" name="Légende : flèche vers la droite 100">
          <a:extLst>
            <a:ext uri="{FF2B5EF4-FFF2-40B4-BE49-F238E27FC236}">
              <a16:creationId xmlns:a16="http://schemas.microsoft.com/office/drawing/2014/main" id="{8162AE83-3012-4CFF-8608-69813A402196}"/>
            </a:ext>
          </a:extLst>
        </xdr:cNvPr>
        <xdr:cNvSpPr/>
      </xdr:nvSpPr>
      <xdr:spPr>
        <a:xfrm>
          <a:off x="6734175" y="4867275"/>
          <a:ext cx="133350" cy="314325"/>
        </a:xfrm>
        <a:prstGeom prst="rightArrowCallout">
          <a:avLst>
            <a:gd name="adj1" fmla="val 50000"/>
            <a:gd name="adj2" fmla="val 25000"/>
            <a:gd name="adj3" fmla="val 25000"/>
            <a:gd name="adj4" fmla="val 64977"/>
          </a:avLst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15</xdr:col>
      <xdr:colOff>866775</xdr:colOff>
      <xdr:row>25</xdr:row>
      <xdr:rowOff>28575</xdr:rowOff>
    </xdr:from>
    <xdr:to>
      <xdr:col>15</xdr:col>
      <xdr:colOff>1000125</xdr:colOff>
      <xdr:row>26</xdr:row>
      <xdr:rowOff>152400</xdr:rowOff>
    </xdr:to>
    <xdr:sp macro="" textlink="">
      <xdr:nvSpPr>
        <xdr:cNvPr id="102" name="Légende : flèche vers la droite 101">
          <a:extLst>
            <a:ext uri="{FF2B5EF4-FFF2-40B4-BE49-F238E27FC236}">
              <a16:creationId xmlns:a16="http://schemas.microsoft.com/office/drawing/2014/main" id="{915CFB6F-6222-43F9-9009-564908E2D41C}"/>
            </a:ext>
          </a:extLst>
        </xdr:cNvPr>
        <xdr:cNvSpPr/>
      </xdr:nvSpPr>
      <xdr:spPr>
        <a:xfrm>
          <a:off x="6734175" y="4867275"/>
          <a:ext cx="133350" cy="314325"/>
        </a:xfrm>
        <a:prstGeom prst="rightArrowCallout">
          <a:avLst>
            <a:gd name="adj1" fmla="val 50000"/>
            <a:gd name="adj2" fmla="val 25000"/>
            <a:gd name="adj3" fmla="val 25000"/>
            <a:gd name="adj4" fmla="val 64977"/>
          </a:avLst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15</xdr:col>
      <xdr:colOff>857250</xdr:colOff>
      <xdr:row>28</xdr:row>
      <xdr:rowOff>28575</xdr:rowOff>
    </xdr:from>
    <xdr:to>
      <xdr:col>15</xdr:col>
      <xdr:colOff>990600</xdr:colOff>
      <xdr:row>29</xdr:row>
      <xdr:rowOff>152400</xdr:rowOff>
    </xdr:to>
    <xdr:sp macro="" textlink="">
      <xdr:nvSpPr>
        <xdr:cNvPr id="103" name="Légende : flèche vers la droite 102">
          <a:extLst>
            <a:ext uri="{FF2B5EF4-FFF2-40B4-BE49-F238E27FC236}">
              <a16:creationId xmlns:a16="http://schemas.microsoft.com/office/drawing/2014/main" id="{1237A03C-9497-41EF-A090-163FFDBC72D7}"/>
            </a:ext>
          </a:extLst>
        </xdr:cNvPr>
        <xdr:cNvSpPr/>
      </xdr:nvSpPr>
      <xdr:spPr>
        <a:xfrm>
          <a:off x="6724650" y="5486400"/>
          <a:ext cx="133350" cy="314325"/>
        </a:xfrm>
        <a:prstGeom prst="rightArrowCallout">
          <a:avLst>
            <a:gd name="adj1" fmla="val 50000"/>
            <a:gd name="adj2" fmla="val 25000"/>
            <a:gd name="adj3" fmla="val 25000"/>
            <a:gd name="adj4" fmla="val 64977"/>
          </a:avLst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15</xdr:col>
      <xdr:colOff>866775</xdr:colOff>
      <xdr:row>25</xdr:row>
      <xdr:rowOff>28575</xdr:rowOff>
    </xdr:from>
    <xdr:to>
      <xdr:col>15</xdr:col>
      <xdr:colOff>1000125</xdr:colOff>
      <xdr:row>26</xdr:row>
      <xdr:rowOff>152400</xdr:rowOff>
    </xdr:to>
    <xdr:sp macro="" textlink="">
      <xdr:nvSpPr>
        <xdr:cNvPr id="104" name="Légende : flèche vers la droite 103">
          <a:extLst>
            <a:ext uri="{FF2B5EF4-FFF2-40B4-BE49-F238E27FC236}">
              <a16:creationId xmlns:a16="http://schemas.microsoft.com/office/drawing/2014/main" id="{D4E4B3DD-C483-4F96-AB7E-CA4E1390E003}"/>
            </a:ext>
          </a:extLst>
        </xdr:cNvPr>
        <xdr:cNvSpPr/>
      </xdr:nvSpPr>
      <xdr:spPr>
        <a:xfrm>
          <a:off x="6734175" y="4867275"/>
          <a:ext cx="133350" cy="314325"/>
        </a:xfrm>
        <a:prstGeom prst="rightArrowCallout">
          <a:avLst>
            <a:gd name="adj1" fmla="val 50000"/>
            <a:gd name="adj2" fmla="val 25000"/>
            <a:gd name="adj3" fmla="val 25000"/>
            <a:gd name="adj4" fmla="val 64977"/>
          </a:avLst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15</xdr:col>
      <xdr:colOff>866775</xdr:colOff>
      <xdr:row>25</xdr:row>
      <xdr:rowOff>28575</xdr:rowOff>
    </xdr:from>
    <xdr:to>
      <xdr:col>15</xdr:col>
      <xdr:colOff>1000125</xdr:colOff>
      <xdr:row>26</xdr:row>
      <xdr:rowOff>152400</xdr:rowOff>
    </xdr:to>
    <xdr:sp macro="" textlink="">
      <xdr:nvSpPr>
        <xdr:cNvPr id="105" name="Légende : flèche vers la droite 104">
          <a:extLst>
            <a:ext uri="{FF2B5EF4-FFF2-40B4-BE49-F238E27FC236}">
              <a16:creationId xmlns:a16="http://schemas.microsoft.com/office/drawing/2014/main" id="{0BB68DA8-7D5C-42B9-B178-1B11EC9F7F76}"/>
            </a:ext>
          </a:extLst>
        </xdr:cNvPr>
        <xdr:cNvSpPr/>
      </xdr:nvSpPr>
      <xdr:spPr>
        <a:xfrm>
          <a:off x="6734175" y="4867275"/>
          <a:ext cx="133350" cy="314325"/>
        </a:xfrm>
        <a:prstGeom prst="rightArrowCallout">
          <a:avLst>
            <a:gd name="adj1" fmla="val 50000"/>
            <a:gd name="adj2" fmla="val 25000"/>
            <a:gd name="adj3" fmla="val 25000"/>
            <a:gd name="adj4" fmla="val 64977"/>
          </a:avLst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15</xdr:col>
      <xdr:colOff>857250</xdr:colOff>
      <xdr:row>28</xdr:row>
      <xdr:rowOff>28575</xdr:rowOff>
    </xdr:from>
    <xdr:to>
      <xdr:col>15</xdr:col>
      <xdr:colOff>990600</xdr:colOff>
      <xdr:row>29</xdr:row>
      <xdr:rowOff>152400</xdr:rowOff>
    </xdr:to>
    <xdr:sp macro="" textlink="">
      <xdr:nvSpPr>
        <xdr:cNvPr id="106" name="Légende : flèche vers la droite 105">
          <a:extLst>
            <a:ext uri="{FF2B5EF4-FFF2-40B4-BE49-F238E27FC236}">
              <a16:creationId xmlns:a16="http://schemas.microsoft.com/office/drawing/2014/main" id="{6704FFDE-4D48-4B30-9B35-E2DD4F2CDB88}"/>
            </a:ext>
          </a:extLst>
        </xdr:cNvPr>
        <xdr:cNvSpPr/>
      </xdr:nvSpPr>
      <xdr:spPr>
        <a:xfrm>
          <a:off x="6724650" y="5486400"/>
          <a:ext cx="133350" cy="314325"/>
        </a:xfrm>
        <a:prstGeom prst="rightArrowCallout">
          <a:avLst>
            <a:gd name="adj1" fmla="val 50000"/>
            <a:gd name="adj2" fmla="val 25000"/>
            <a:gd name="adj3" fmla="val 25000"/>
            <a:gd name="adj4" fmla="val 64977"/>
          </a:avLst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15</xdr:col>
      <xdr:colOff>866775</xdr:colOff>
      <xdr:row>25</xdr:row>
      <xdr:rowOff>28575</xdr:rowOff>
    </xdr:from>
    <xdr:to>
      <xdr:col>15</xdr:col>
      <xdr:colOff>1000125</xdr:colOff>
      <xdr:row>26</xdr:row>
      <xdr:rowOff>152400</xdr:rowOff>
    </xdr:to>
    <xdr:sp macro="" textlink="">
      <xdr:nvSpPr>
        <xdr:cNvPr id="107" name="Légende : flèche vers la droite 106">
          <a:extLst>
            <a:ext uri="{FF2B5EF4-FFF2-40B4-BE49-F238E27FC236}">
              <a16:creationId xmlns:a16="http://schemas.microsoft.com/office/drawing/2014/main" id="{AFE28EE2-B866-4EB5-90B6-0EC67168EE0F}"/>
            </a:ext>
          </a:extLst>
        </xdr:cNvPr>
        <xdr:cNvSpPr/>
      </xdr:nvSpPr>
      <xdr:spPr>
        <a:xfrm>
          <a:off x="6734175" y="4867275"/>
          <a:ext cx="133350" cy="314325"/>
        </a:xfrm>
        <a:prstGeom prst="rightArrowCallout">
          <a:avLst>
            <a:gd name="adj1" fmla="val 50000"/>
            <a:gd name="adj2" fmla="val 25000"/>
            <a:gd name="adj3" fmla="val 25000"/>
            <a:gd name="adj4" fmla="val 64977"/>
          </a:avLst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15</xdr:col>
      <xdr:colOff>866775</xdr:colOff>
      <xdr:row>24</xdr:row>
      <xdr:rowOff>28575</xdr:rowOff>
    </xdr:from>
    <xdr:to>
      <xdr:col>15</xdr:col>
      <xdr:colOff>1000125</xdr:colOff>
      <xdr:row>25</xdr:row>
      <xdr:rowOff>152400</xdr:rowOff>
    </xdr:to>
    <xdr:sp macro="" textlink="">
      <xdr:nvSpPr>
        <xdr:cNvPr id="108" name="Légende : flèche vers la droite 107">
          <a:extLst>
            <a:ext uri="{FF2B5EF4-FFF2-40B4-BE49-F238E27FC236}">
              <a16:creationId xmlns:a16="http://schemas.microsoft.com/office/drawing/2014/main" id="{AD1009E8-FB05-436C-984B-7841264A5143}"/>
            </a:ext>
          </a:extLst>
        </xdr:cNvPr>
        <xdr:cNvSpPr/>
      </xdr:nvSpPr>
      <xdr:spPr>
        <a:xfrm>
          <a:off x="6734175" y="4676775"/>
          <a:ext cx="133350" cy="314325"/>
        </a:xfrm>
        <a:prstGeom prst="rightArrowCallout">
          <a:avLst>
            <a:gd name="adj1" fmla="val 50000"/>
            <a:gd name="adj2" fmla="val 25000"/>
            <a:gd name="adj3" fmla="val 25000"/>
            <a:gd name="adj4" fmla="val 64977"/>
          </a:avLst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15</xdr:col>
      <xdr:colOff>866775</xdr:colOff>
      <xdr:row>24</xdr:row>
      <xdr:rowOff>28575</xdr:rowOff>
    </xdr:from>
    <xdr:to>
      <xdr:col>15</xdr:col>
      <xdr:colOff>1000125</xdr:colOff>
      <xdr:row>25</xdr:row>
      <xdr:rowOff>152400</xdr:rowOff>
    </xdr:to>
    <xdr:sp macro="" textlink="">
      <xdr:nvSpPr>
        <xdr:cNvPr id="109" name="Légende : flèche vers la droite 108">
          <a:extLst>
            <a:ext uri="{FF2B5EF4-FFF2-40B4-BE49-F238E27FC236}">
              <a16:creationId xmlns:a16="http://schemas.microsoft.com/office/drawing/2014/main" id="{BDEC287A-C42B-4642-82D6-23FF6558A38C}"/>
            </a:ext>
          </a:extLst>
        </xdr:cNvPr>
        <xdr:cNvSpPr/>
      </xdr:nvSpPr>
      <xdr:spPr>
        <a:xfrm>
          <a:off x="6734175" y="4676775"/>
          <a:ext cx="133350" cy="314325"/>
        </a:xfrm>
        <a:prstGeom prst="rightArrowCallout">
          <a:avLst>
            <a:gd name="adj1" fmla="val 50000"/>
            <a:gd name="adj2" fmla="val 25000"/>
            <a:gd name="adj3" fmla="val 25000"/>
            <a:gd name="adj4" fmla="val 64977"/>
          </a:avLst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15</xdr:col>
      <xdr:colOff>866775</xdr:colOff>
      <xdr:row>24</xdr:row>
      <xdr:rowOff>28575</xdr:rowOff>
    </xdr:from>
    <xdr:to>
      <xdr:col>15</xdr:col>
      <xdr:colOff>1000125</xdr:colOff>
      <xdr:row>25</xdr:row>
      <xdr:rowOff>152400</xdr:rowOff>
    </xdr:to>
    <xdr:sp macro="" textlink="">
      <xdr:nvSpPr>
        <xdr:cNvPr id="110" name="Légende : flèche vers la droite 109">
          <a:extLst>
            <a:ext uri="{FF2B5EF4-FFF2-40B4-BE49-F238E27FC236}">
              <a16:creationId xmlns:a16="http://schemas.microsoft.com/office/drawing/2014/main" id="{DE4828BE-FEAC-4581-9181-B7869E50E73D}"/>
            </a:ext>
          </a:extLst>
        </xdr:cNvPr>
        <xdr:cNvSpPr/>
      </xdr:nvSpPr>
      <xdr:spPr>
        <a:xfrm>
          <a:off x="6734175" y="4676775"/>
          <a:ext cx="133350" cy="314325"/>
        </a:xfrm>
        <a:prstGeom prst="rightArrowCallout">
          <a:avLst>
            <a:gd name="adj1" fmla="val 50000"/>
            <a:gd name="adj2" fmla="val 25000"/>
            <a:gd name="adj3" fmla="val 25000"/>
            <a:gd name="adj4" fmla="val 64977"/>
          </a:avLst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15</xdr:col>
      <xdr:colOff>866775</xdr:colOff>
      <xdr:row>24</xdr:row>
      <xdr:rowOff>28575</xdr:rowOff>
    </xdr:from>
    <xdr:to>
      <xdr:col>15</xdr:col>
      <xdr:colOff>1000125</xdr:colOff>
      <xdr:row>25</xdr:row>
      <xdr:rowOff>152400</xdr:rowOff>
    </xdr:to>
    <xdr:sp macro="" textlink="">
      <xdr:nvSpPr>
        <xdr:cNvPr id="111" name="Légende : flèche vers la droite 110">
          <a:extLst>
            <a:ext uri="{FF2B5EF4-FFF2-40B4-BE49-F238E27FC236}">
              <a16:creationId xmlns:a16="http://schemas.microsoft.com/office/drawing/2014/main" id="{6CC30E19-7D3D-497F-B7D3-ED60EA5322DF}"/>
            </a:ext>
          </a:extLst>
        </xdr:cNvPr>
        <xdr:cNvSpPr/>
      </xdr:nvSpPr>
      <xdr:spPr>
        <a:xfrm>
          <a:off x="6734175" y="4676775"/>
          <a:ext cx="133350" cy="314325"/>
        </a:xfrm>
        <a:prstGeom prst="rightArrowCallout">
          <a:avLst>
            <a:gd name="adj1" fmla="val 50000"/>
            <a:gd name="adj2" fmla="val 25000"/>
            <a:gd name="adj3" fmla="val 25000"/>
            <a:gd name="adj4" fmla="val 64977"/>
          </a:avLst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15</xdr:col>
      <xdr:colOff>866775</xdr:colOff>
      <xdr:row>24</xdr:row>
      <xdr:rowOff>28575</xdr:rowOff>
    </xdr:from>
    <xdr:to>
      <xdr:col>15</xdr:col>
      <xdr:colOff>1000125</xdr:colOff>
      <xdr:row>25</xdr:row>
      <xdr:rowOff>152400</xdr:rowOff>
    </xdr:to>
    <xdr:sp macro="" textlink="">
      <xdr:nvSpPr>
        <xdr:cNvPr id="112" name="Légende : flèche vers la droite 111">
          <a:extLst>
            <a:ext uri="{FF2B5EF4-FFF2-40B4-BE49-F238E27FC236}">
              <a16:creationId xmlns:a16="http://schemas.microsoft.com/office/drawing/2014/main" id="{6237C8C7-13A4-4F4F-A6BD-4FF67EA1700E}"/>
            </a:ext>
          </a:extLst>
        </xdr:cNvPr>
        <xdr:cNvSpPr/>
      </xdr:nvSpPr>
      <xdr:spPr>
        <a:xfrm>
          <a:off x="6734175" y="4676775"/>
          <a:ext cx="133350" cy="314325"/>
        </a:xfrm>
        <a:prstGeom prst="rightArrowCallout">
          <a:avLst>
            <a:gd name="adj1" fmla="val 50000"/>
            <a:gd name="adj2" fmla="val 25000"/>
            <a:gd name="adj3" fmla="val 25000"/>
            <a:gd name="adj4" fmla="val 64977"/>
          </a:avLst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15</xdr:col>
      <xdr:colOff>866775</xdr:colOff>
      <xdr:row>24</xdr:row>
      <xdr:rowOff>28575</xdr:rowOff>
    </xdr:from>
    <xdr:to>
      <xdr:col>15</xdr:col>
      <xdr:colOff>1000125</xdr:colOff>
      <xdr:row>25</xdr:row>
      <xdr:rowOff>152400</xdr:rowOff>
    </xdr:to>
    <xdr:sp macro="" textlink="">
      <xdr:nvSpPr>
        <xdr:cNvPr id="113" name="Légende : flèche vers la droite 112">
          <a:extLst>
            <a:ext uri="{FF2B5EF4-FFF2-40B4-BE49-F238E27FC236}">
              <a16:creationId xmlns:a16="http://schemas.microsoft.com/office/drawing/2014/main" id="{31848FC9-0A0A-461D-B5C1-CDBB2B7AE16D}"/>
            </a:ext>
          </a:extLst>
        </xdr:cNvPr>
        <xdr:cNvSpPr/>
      </xdr:nvSpPr>
      <xdr:spPr>
        <a:xfrm>
          <a:off x="6734175" y="4676775"/>
          <a:ext cx="133350" cy="314325"/>
        </a:xfrm>
        <a:prstGeom prst="rightArrowCallout">
          <a:avLst>
            <a:gd name="adj1" fmla="val 50000"/>
            <a:gd name="adj2" fmla="val 25000"/>
            <a:gd name="adj3" fmla="val 25000"/>
            <a:gd name="adj4" fmla="val 64977"/>
          </a:avLst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15</xdr:col>
      <xdr:colOff>866775</xdr:colOff>
      <xdr:row>24</xdr:row>
      <xdr:rowOff>28575</xdr:rowOff>
    </xdr:from>
    <xdr:to>
      <xdr:col>15</xdr:col>
      <xdr:colOff>1000125</xdr:colOff>
      <xdr:row>25</xdr:row>
      <xdr:rowOff>152400</xdr:rowOff>
    </xdr:to>
    <xdr:sp macro="" textlink="">
      <xdr:nvSpPr>
        <xdr:cNvPr id="114" name="Légende : flèche vers la droite 113">
          <a:extLst>
            <a:ext uri="{FF2B5EF4-FFF2-40B4-BE49-F238E27FC236}">
              <a16:creationId xmlns:a16="http://schemas.microsoft.com/office/drawing/2014/main" id="{362566B1-E417-42EF-B49E-064A3B6B446D}"/>
            </a:ext>
          </a:extLst>
        </xdr:cNvPr>
        <xdr:cNvSpPr/>
      </xdr:nvSpPr>
      <xdr:spPr>
        <a:xfrm>
          <a:off x="6734175" y="4676775"/>
          <a:ext cx="133350" cy="314325"/>
        </a:xfrm>
        <a:prstGeom prst="rightArrowCallout">
          <a:avLst>
            <a:gd name="adj1" fmla="val 50000"/>
            <a:gd name="adj2" fmla="val 25000"/>
            <a:gd name="adj3" fmla="val 25000"/>
            <a:gd name="adj4" fmla="val 64977"/>
          </a:avLst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15</xdr:col>
      <xdr:colOff>866775</xdr:colOff>
      <xdr:row>24</xdr:row>
      <xdr:rowOff>28575</xdr:rowOff>
    </xdr:from>
    <xdr:to>
      <xdr:col>15</xdr:col>
      <xdr:colOff>1000125</xdr:colOff>
      <xdr:row>25</xdr:row>
      <xdr:rowOff>152400</xdr:rowOff>
    </xdr:to>
    <xdr:sp macro="" textlink="">
      <xdr:nvSpPr>
        <xdr:cNvPr id="115" name="Légende : flèche vers la droite 114">
          <a:extLst>
            <a:ext uri="{FF2B5EF4-FFF2-40B4-BE49-F238E27FC236}">
              <a16:creationId xmlns:a16="http://schemas.microsoft.com/office/drawing/2014/main" id="{04288758-6F1F-4B9A-80EE-DE0078FF746C}"/>
            </a:ext>
          </a:extLst>
        </xdr:cNvPr>
        <xdr:cNvSpPr/>
      </xdr:nvSpPr>
      <xdr:spPr>
        <a:xfrm>
          <a:off x="6734175" y="4676775"/>
          <a:ext cx="133350" cy="314325"/>
        </a:xfrm>
        <a:prstGeom prst="rightArrowCallout">
          <a:avLst>
            <a:gd name="adj1" fmla="val 50000"/>
            <a:gd name="adj2" fmla="val 25000"/>
            <a:gd name="adj3" fmla="val 25000"/>
            <a:gd name="adj4" fmla="val 64977"/>
          </a:avLst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15</xdr:col>
      <xdr:colOff>866775</xdr:colOff>
      <xdr:row>24</xdr:row>
      <xdr:rowOff>28575</xdr:rowOff>
    </xdr:from>
    <xdr:to>
      <xdr:col>15</xdr:col>
      <xdr:colOff>1000125</xdr:colOff>
      <xdr:row>25</xdr:row>
      <xdr:rowOff>152400</xdr:rowOff>
    </xdr:to>
    <xdr:sp macro="" textlink="">
      <xdr:nvSpPr>
        <xdr:cNvPr id="116" name="Légende : flèche vers la droite 115">
          <a:extLst>
            <a:ext uri="{FF2B5EF4-FFF2-40B4-BE49-F238E27FC236}">
              <a16:creationId xmlns:a16="http://schemas.microsoft.com/office/drawing/2014/main" id="{CF1E5FB2-9BF7-4FA3-8456-905F988C1A10}"/>
            </a:ext>
          </a:extLst>
        </xdr:cNvPr>
        <xdr:cNvSpPr/>
      </xdr:nvSpPr>
      <xdr:spPr>
        <a:xfrm>
          <a:off x="6734175" y="4676775"/>
          <a:ext cx="133350" cy="314325"/>
        </a:xfrm>
        <a:prstGeom prst="rightArrowCallout">
          <a:avLst>
            <a:gd name="adj1" fmla="val 50000"/>
            <a:gd name="adj2" fmla="val 25000"/>
            <a:gd name="adj3" fmla="val 25000"/>
            <a:gd name="adj4" fmla="val 64977"/>
          </a:avLst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15</xdr:col>
      <xdr:colOff>866775</xdr:colOff>
      <xdr:row>24</xdr:row>
      <xdr:rowOff>28575</xdr:rowOff>
    </xdr:from>
    <xdr:to>
      <xdr:col>15</xdr:col>
      <xdr:colOff>1000125</xdr:colOff>
      <xdr:row>25</xdr:row>
      <xdr:rowOff>152400</xdr:rowOff>
    </xdr:to>
    <xdr:sp macro="" textlink="">
      <xdr:nvSpPr>
        <xdr:cNvPr id="117" name="Légende : flèche vers la droite 116">
          <a:extLst>
            <a:ext uri="{FF2B5EF4-FFF2-40B4-BE49-F238E27FC236}">
              <a16:creationId xmlns:a16="http://schemas.microsoft.com/office/drawing/2014/main" id="{7A67791F-D2FE-4C68-9754-123137A4374F}"/>
            </a:ext>
          </a:extLst>
        </xdr:cNvPr>
        <xdr:cNvSpPr/>
      </xdr:nvSpPr>
      <xdr:spPr>
        <a:xfrm>
          <a:off x="6734175" y="4676775"/>
          <a:ext cx="133350" cy="314325"/>
        </a:xfrm>
        <a:prstGeom prst="rightArrowCallout">
          <a:avLst>
            <a:gd name="adj1" fmla="val 50000"/>
            <a:gd name="adj2" fmla="val 25000"/>
            <a:gd name="adj3" fmla="val 25000"/>
            <a:gd name="adj4" fmla="val 64977"/>
          </a:avLst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15</xdr:col>
      <xdr:colOff>866775</xdr:colOff>
      <xdr:row>24</xdr:row>
      <xdr:rowOff>28575</xdr:rowOff>
    </xdr:from>
    <xdr:to>
      <xdr:col>15</xdr:col>
      <xdr:colOff>1000125</xdr:colOff>
      <xdr:row>25</xdr:row>
      <xdr:rowOff>152400</xdr:rowOff>
    </xdr:to>
    <xdr:sp macro="" textlink="">
      <xdr:nvSpPr>
        <xdr:cNvPr id="118" name="Légende : flèche vers la droite 117">
          <a:extLst>
            <a:ext uri="{FF2B5EF4-FFF2-40B4-BE49-F238E27FC236}">
              <a16:creationId xmlns:a16="http://schemas.microsoft.com/office/drawing/2014/main" id="{293C68DB-9F7A-4296-B33D-F39C63ACF74D}"/>
            </a:ext>
          </a:extLst>
        </xdr:cNvPr>
        <xdr:cNvSpPr/>
      </xdr:nvSpPr>
      <xdr:spPr>
        <a:xfrm>
          <a:off x="6734175" y="4676775"/>
          <a:ext cx="133350" cy="314325"/>
        </a:xfrm>
        <a:prstGeom prst="rightArrowCallout">
          <a:avLst>
            <a:gd name="adj1" fmla="val 50000"/>
            <a:gd name="adj2" fmla="val 25000"/>
            <a:gd name="adj3" fmla="val 25000"/>
            <a:gd name="adj4" fmla="val 64977"/>
          </a:avLst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15</xdr:col>
      <xdr:colOff>866775</xdr:colOff>
      <xdr:row>24</xdr:row>
      <xdr:rowOff>28575</xdr:rowOff>
    </xdr:from>
    <xdr:to>
      <xdr:col>15</xdr:col>
      <xdr:colOff>1000125</xdr:colOff>
      <xdr:row>25</xdr:row>
      <xdr:rowOff>152400</xdr:rowOff>
    </xdr:to>
    <xdr:sp macro="" textlink="">
      <xdr:nvSpPr>
        <xdr:cNvPr id="119" name="Légende : flèche vers la droite 118">
          <a:extLst>
            <a:ext uri="{FF2B5EF4-FFF2-40B4-BE49-F238E27FC236}">
              <a16:creationId xmlns:a16="http://schemas.microsoft.com/office/drawing/2014/main" id="{1CDFC1D4-F7D2-4E23-AB15-ABCF07E2DAE4}"/>
            </a:ext>
          </a:extLst>
        </xdr:cNvPr>
        <xdr:cNvSpPr/>
      </xdr:nvSpPr>
      <xdr:spPr>
        <a:xfrm>
          <a:off x="6734175" y="4676775"/>
          <a:ext cx="133350" cy="314325"/>
        </a:xfrm>
        <a:prstGeom prst="rightArrowCallout">
          <a:avLst>
            <a:gd name="adj1" fmla="val 50000"/>
            <a:gd name="adj2" fmla="val 25000"/>
            <a:gd name="adj3" fmla="val 25000"/>
            <a:gd name="adj4" fmla="val 64977"/>
          </a:avLst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15</xdr:col>
      <xdr:colOff>866775</xdr:colOff>
      <xdr:row>24</xdr:row>
      <xdr:rowOff>28575</xdr:rowOff>
    </xdr:from>
    <xdr:to>
      <xdr:col>15</xdr:col>
      <xdr:colOff>1000125</xdr:colOff>
      <xdr:row>25</xdr:row>
      <xdr:rowOff>152400</xdr:rowOff>
    </xdr:to>
    <xdr:sp macro="" textlink="">
      <xdr:nvSpPr>
        <xdr:cNvPr id="120" name="Légende : flèche vers la droite 119">
          <a:extLst>
            <a:ext uri="{FF2B5EF4-FFF2-40B4-BE49-F238E27FC236}">
              <a16:creationId xmlns:a16="http://schemas.microsoft.com/office/drawing/2014/main" id="{9DEDEB20-2CE9-4A3D-810F-349E608CF8DF}"/>
            </a:ext>
          </a:extLst>
        </xdr:cNvPr>
        <xdr:cNvSpPr/>
      </xdr:nvSpPr>
      <xdr:spPr>
        <a:xfrm>
          <a:off x="6734175" y="4676775"/>
          <a:ext cx="133350" cy="314325"/>
        </a:xfrm>
        <a:prstGeom prst="rightArrowCallout">
          <a:avLst>
            <a:gd name="adj1" fmla="val 50000"/>
            <a:gd name="adj2" fmla="val 25000"/>
            <a:gd name="adj3" fmla="val 25000"/>
            <a:gd name="adj4" fmla="val 64977"/>
          </a:avLst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15</xdr:col>
      <xdr:colOff>866775</xdr:colOff>
      <xdr:row>24</xdr:row>
      <xdr:rowOff>28575</xdr:rowOff>
    </xdr:from>
    <xdr:to>
      <xdr:col>15</xdr:col>
      <xdr:colOff>1000125</xdr:colOff>
      <xdr:row>25</xdr:row>
      <xdr:rowOff>152400</xdr:rowOff>
    </xdr:to>
    <xdr:sp macro="" textlink="">
      <xdr:nvSpPr>
        <xdr:cNvPr id="121" name="Légende : flèche vers la droite 120">
          <a:extLst>
            <a:ext uri="{FF2B5EF4-FFF2-40B4-BE49-F238E27FC236}">
              <a16:creationId xmlns:a16="http://schemas.microsoft.com/office/drawing/2014/main" id="{FC501EF4-F789-405B-B0B7-2E3C5AC633AC}"/>
            </a:ext>
          </a:extLst>
        </xdr:cNvPr>
        <xdr:cNvSpPr/>
      </xdr:nvSpPr>
      <xdr:spPr>
        <a:xfrm>
          <a:off x="6734175" y="4676775"/>
          <a:ext cx="133350" cy="314325"/>
        </a:xfrm>
        <a:prstGeom prst="rightArrowCallout">
          <a:avLst>
            <a:gd name="adj1" fmla="val 50000"/>
            <a:gd name="adj2" fmla="val 25000"/>
            <a:gd name="adj3" fmla="val 25000"/>
            <a:gd name="adj4" fmla="val 64977"/>
          </a:avLst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15</xdr:col>
      <xdr:colOff>866775</xdr:colOff>
      <xdr:row>24</xdr:row>
      <xdr:rowOff>28575</xdr:rowOff>
    </xdr:from>
    <xdr:to>
      <xdr:col>15</xdr:col>
      <xdr:colOff>1000125</xdr:colOff>
      <xdr:row>25</xdr:row>
      <xdr:rowOff>152400</xdr:rowOff>
    </xdr:to>
    <xdr:sp macro="" textlink="">
      <xdr:nvSpPr>
        <xdr:cNvPr id="122" name="Légende : flèche vers la droite 121">
          <a:extLst>
            <a:ext uri="{FF2B5EF4-FFF2-40B4-BE49-F238E27FC236}">
              <a16:creationId xmlns:a16="http://schemas.microsoft.com/office/drawing/2014/main" id="{6F33BDB5-A9DE-4F2A-9A16-F2928F0DEAA1}"/>
            </a:ext>
          </a:extLst>
        </xdr:cNvPr>
        <xdr:cNvSpPr/>
      </xdr:nvSpPr>
      <xdr:spPr>
        <a:xfrm>
          <a:off x="6734175" y="4676775"/>
          <a:ext cx="133350" cy="314325"/>
        </a:xfrm>
        <a:prstGeom prst="rightArrowCallout">
          <a:avLst>
            <a:gd name="adj1" fmla="val 50000"/>
            <a:gd name="adj2" fmla="val 25000"/>
            <a:gd name="adj3" fmla="val 25000"/>
            <a:gd name="adj4" fmla="val 64977"/>
          </a:avLst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15</xdr:col>
      <xdr:colOff>866775</xdr:colOff>
      <xdr:row>24</xdr:row>
      <xdr:rowOff>28575</xdr:rowOff>
    </xdr:from>
    <xdr:to>
      <xdr:col>15</xdr:col>
      <xdr:colOff>1000125</xdr:colOff>
      <xdr:row>25</xdr:row>
      <xdr:rowOff>152400</xdr:rowOff>
    </xdr:to>
    <xdr:sp macro="" textlink="">
      <xdr:nvSpPr>
        <xdr:cNvPr id="123" name="Légende : flèche vers la droite 122">
          <a:extLst>
            <a:ext uri="{FF2B5EF4-FFF2-40B4-BE49-F238E27FC236}">
              <a16:creationId xmlns:a16="http://schemas.microsoft.com/office/drawing/2014/main" id="{98FE3B49-2134-4F4D-A678-84A5FA69932F}"/>
            </a:ext>
          </a:extLst>
        </xdr:cNvPr>
        <xdr:cNvSpPr/>
      </xdr:nvSpPr>
      <xdr:spPr>
        <a:xfrm>
          <a:off x="6734175" y="4676775"/>
          <a:ext cx="133350" cy="314325"/>
        </a:xfrm>
        <a:prstGeom prst="rightArrowCallout">
          <a:avLst>
            <a:gd name="adj1" fmla="val 50000"/>
            <a:gd name="adj2" fmla="val 25000"/>
            <a:gd name="adj3" fmla="val 25000"/>
            <a:gd name="adj4" fmla="val 64977"/>
          </a:avLst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15</xdr:col>
      <xdr:colOff>866775</xdr:colOff>
      <xdr:row>24</xdr:row>
      <xdr:rowOff>28575</xdr:rowOff>
    </xdr:from>
    <xdr:to>
      <xdr:col>15</xdr:col>
      <xdr:colOff>1000125</xdr:colOff>
      <xdr:row>25</xdr:row>
      <xdr:rowOff>152400</xdr:rowOff>
    </xdr:to>
    <xdr:sp macro="" textlink="">
      <xdr:nvSpPr>
        <xdr:cNvPr id="124" name="Légende : flèche vers la droite 123">
          <a:extLst>
            <a:ext uri="{FF2B5EF4-FFF2-40B4-BE49-F238E27FC236}">
              <a16:creationId xmlns:a16="http://schemas.microsoft.com/office/drawing/2014/main" id="{B346C63B-0968-4A19-B3D3-AE379A7DFA13}"/>
            </a:ext>
          </a:extLst>
        </xdr:cNvPr>
        <xdr:cNvSpPr/>
      </xdr:nvSpPr>
      <xdr:spPr>
        <a:xfrm>
          <a:off x="6734175" y="4676775"/>
          <a:ext cx="133350" cy="314325"/>
        </a:xfrm>
        <a:prstGeom prst="rightArrowCallout">
          <a:avLst>
            <a:gd name="adj1" fmla="val 50000"/>
            <a:gd name="adj2" fmla="val 25000"/>
            <a:gd name="adj3" fmla="val 25000"/>
            <a:gd name="adj4" fmla="val 64977"/>
          </a:avLst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15</xdr:col>
      <xdr:colOff>866775</xdr:colOff>
      <xdr:row>24</xdr:row>
      <xdr:rowOff>28575</xdr:rowOff>
    </xdr:from>
    <xdr:to>
      <xdr:col>15</xdr:col>
      <xdr:colOff>1000125</xdr:colOff>
      <xdr:row>25</xdr:row>
      <xdr:rowOff>152400</xdr:rowOff>
    </xdr:to>
    <xdr:sp macro="" textlink="">
      <xdr:nvSpPr>
        <xdr:cNvPr id="125" name="Légende : flèche vers la droite 124">
          <a:extLst>
            <a:ext uri="{FF2B5EF4-FFF2-40B4-BE49-F238E27FC236}">
              <a16:creationId xmlns:a16="http://schemas.microsoft.com/office/drawing/2014/main" id="{CA7563D4-BA45-49C3-8BAB-7F9D6676F6AB}"/>
            </a:ext>
          </a:extLst>
        </xdr:cNvPr>
        <xdr:cNvSpPr/>
      </xdr:nvSpPr>
      <xdr:spPr>
        <a:xfrm>
          <a:off x="6734175" y="4676775"/>
          <a:ext cx="133350" cy="314325"/>
        </a:xfrm>
        <a:prstGeom prst="rightArrowCallout">
          <a:avLst>
            <a:gd name="adj1" fmla="val 50000"/>
            <a:gd name="adj2" fmla="val 25000"/>
            <a:gd name="adj3" fmla="val 25000"/>
            <a:gd name="adj4" fmla="val 64977"/>
          </a:avLst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15</xdr:col>
      <xdr:colOff>866775</xdr:colOff>
      <xdr:row>24</xdr:row>
      <xdr:rowOff>28575</xdr:rowOff>
    </xdr:from>
    <xdr:to>
      <xdr:col>15</xdr:col>
      <xdr:colOff>1000125</xdr:colOff>
      <xdr:row>25</xdr:row>
      <xdr:rowOff>152400</xdr:rowOff>
    </xdr:to>
    <xdr:sp macro="" textlink="">
      <xdr:nvSpPr>
        <xdr:cNvPr id="126" name="Légende : flèche vers la droite 125">
          <a:extLst>
            <a:ext uri="{FF2B5EF4-FFF2-40B4-BE49-F238E27FC236}">
              <a16:creationId xmlns:a16="http://schemas.microsoft.com/office/drawing/2014/main" id="{E4DAE7A3-1820-400E-AA1F-314864FEA257}"/>
            </a:ext>
          </a:extLst>
        </xdr:cNvPr>
        <xdr:cNvSpPr/>
      </xdr:nvSpPr>
      <xdr:spPr>
        <a:xfrm>
          <a:off x="6734175" y="4676775"/>
          <a:ext cx="133350" cy="314325"/>
        </a:xfrm>
        <a:prstGeom prst="rightArrowCallout">
          <a:avLst>
            <a:gd name="adj1" fmla="val 50000"/>
            <a:gd name="adj2" fmla="val 25000"/>
            <a:gd name="adj3" fmla="val 25000"/>
            <a:gd name="adj4" fmla="val 64977"/>
          </a:avLst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15</xdr:col>
      <xdr:colOff>866775</xdr:colOff>
      <xdr:row>24</xdr:row>
      <xdr:rowOff>28575</xdr:rowOff>
    </xdr:from>
    <xdr:to>
      <xdr:col>15</xdr:col>
      <xdr:colOff>1000125</xdr:colOff>
      <xdr:row>25</xdr:row>
      <xdr:rowOff>152400</xdr:rowOff>
    </xdr:to>
    <xdr:sp macro="" textlink="">
      <xdr:nvSpPr>
        <xdr:cNvPr id="127" name="Légende : flèche vers la droite 126">
          <a:extLst>
            <a:ext uri="{FF2B5EF4-FFF2-40B4-BE49-F238E27FC236}">
              <a16:creationId xmlns:a16="http://schemas.microsoft.com/office/drawing/2014/main" id="{AAC19480-4803-42EE-886C-06FEC6A72585}"/>
            </a:ext>
          </a:extLst>
        </xdr:cNvPr>
        <xdr:cNvSpPr/>
      </xdr:nvSpPr>
      <xdr:spPr>
        <a:xfrm>
          <a:off x="6734175" y="4676775"/>
          <a:ext cx="133350" cy="314325"/>
        </a:xfrm>
        <a:prstGeom prst="rightArrowCallout">
          <a:avLst>
            <a:gd name="adj1" fmla="val 50000"/>
            <a:gd name="adj2" fmla="val 25000"/>
            <a:gd name="adj3" fmla="val 25000"/>
            <a:gd name="adj4" fmla="val 64977"/>
          </a:avLst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15</xdr:col>
      <xdr:colOff>866775</xdr:colOff>
      <xdr:row>24</xdr:row>
      <xdr:rowOff>28575</xdr:rowOff>
    </xdr:from>
    <xdr:to>
      <xdr:col>15</xdr:col>
      <xdr:colOff>1000125</xdr:colOff>
      <xdr:row>25</xdr:row>
      <xdr:rowOff>152400</xdr:rowOff>
    </xdr:to>
    <xdr:sp macro="" textlink="">
      <xdr:nvSpPr>
        <xdr:cNvPr id="128" name="Légende : flèche vers la droite 127">
          <a:extLst>
            <a:ext uri="{FF2B5EF4-FFF2-40B4-BE49-F238E27FC236}">
              <a16:creationId xmlns:a16="http://schemas.microsoft.com/office/drawing/2014/main" id="{73F7F465-C7A1-4A7E-AF3E-919F6D5AA21F}"/>
            </a:ext>
          </a:extLst>
        </xdr:cNvPr>
        <xdr:cNvSpPr/>
      </xdr:nvSpPr>
      <xdr:spPr>
        <a:xfrm>
          <a:off x="6734175" y="4676775"/>
          <a:ext cx="133350" cy="314325"/>
        </a:xfrm>
        <a:prstGeom prst="rightArrowCallout">
          <a:avLst>
            <a:gd name="adj1" fmla="val 50000"/>
            <a:gd name="adj2" fmla="val 25000"/>
            <a:gd name="adj3" fmla="val 25000"/>
            <a:gd name="adj4" fmla="val 64977"/>
          </a:avLst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15</xdr:col>
      <xdr:colOff>866775</xdr:colOff>
      <xdr:row>24</xdr:row>
      <xdr:rowOff>28575</xdr:rowOff>
    </xdr:from>
    <xdr:to>
      <xdr:col>15</xdr:col>
      <xdr:colOff>1000125</xdr:colOff>
      <xdr:row>25</xdr:row>
      <xdr:rowOff>152400</xdr:rowOff>
    </xdr:to>
    <xdr:sp macro="" textlink="">
      <xdr:nvSpPr>
        <xdr:cNvPr id="129" name="Légende : flèche vers la droite 128">
          <a:extLst>
            <a:ext uri="{FF2B5EF4-FFF2-40B4-BE49-F238E27FC236}">
              <a16:creationId xmlns:a16="http://schemas.microsoft.com/office/drawing/2014/main" id="{1DE42668-187A-4C22-AF26-E2DC349BDE96}"/>
            </a:ext>
          </a:extLst>
        </xdr:cNvPr>
        <xdr:cNvSpPr/>
      </xdr:nvSpPr>
      <xdr:spPr>
        <a:xfrm>
          <a:off x="6734175" y="4676775"/>
          <a:ext cx="133350" cy="314325"/>
        </a:xfrm>
        <a:prstGeom prst="rightArrowCallout">
          <a:avLst>
            <a:gd name="adj1" fmla="val 50000"/>
            <a:gd name="adj2" fmla="val 25000"/>
            <a:gd name="adj3" fmla="val 25000"/>
            <a:gd name="adj4" fmla="val 64977"/>
          </a:avLst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15</xdr:col>
      <xdr:colOff>866775</xdr:colOff>
      <xdr:row>24</xdr:row>
      <xdr:rowOff>28575</xdr:rowOff>
    </xdr:from>
    <xdr:to>
      <xdr:col>15</xdr:col>
      <xdr:colOff>1000125</xdr:colOff>
      <xdr:row>25</xdr:row>
      <xdr:rowOff>152400</xdr:rowOff>
    </xdr:to>
    <xdr:sp macro="" textlink="">
      <xdr:nvSpPr>
        <xdr:cNvPr id="130" name="Légende : flèche vers la droite 129">
          <a:extLst>
            <a:ext uri="{FF2B5EF4-FFF2-40B4-BE49-F238E27FC236}">
              <a16:creationId xmlns:a16="http://schemas.microsoft.com/office/drawing/2014/main" id="{CEE5C696-404F-4B2F-AFD2-4018632B0C96}"/>
            </a:ext>
          </a:extLst>
        </xdr:cNvPr>
        <xdr:cNvSpPr/>
      </xdr:nvSpPr>
      <xdr:spPr>
        <a:xfrm>
          <a:off x="6734175" y="4676775"/>
          <a:ext cx="133350" cy="314325"/>
        </a:xfrm>
        <a:prstGeom prst="rightArrowCallout">
          <a:avLst>
            <a:gd name="adj1" fmla="val 50000"/>
            <a:gd name="adj2" fmla="val 25000"/>
            <a:gd name="adj3" fmla="val 25000"/>
            <a:gd name="adj4" fmla="val 64977"/>
          </a:avLst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15</xdr:col>
      <xdr:colOff>866775</xdr:colOff>
      <xdr:row>24</xdr:row>
      <xdr:rowOff>28575</xdr:rowOff>
    </xdr:from>
    <xdr:to>
      <xdr:col>15</xdr:col>
      <xdr:colOff>1000125</xdr:colOff>
      <xdr:row>25</xdr:row>
      <xdr:rowOff>152400</xdr:rowOff>
    </xdr:to>
    <xdr:sp macro="" textlink="">
      <xdr:nvSpPr>
        <xdr:cNvPr id="131" name="Légende : flèche vers la droite 130">
          <a:extLst>
            <a:ext uri="{FF2B5EF4-FFF2-40B4-BE49-F238E27FC236}">
              <a16:creationId xmlns:a16="http://schemas.microsoft.com/office/drawing/2014/main" id="{8C6D9CDD-67BD-4651-BF35-98017494507A}"/>
            </a:ext>
          </a:extLst>
        </xdr:cNvPr>
        <xdr:cNvSpPr/>
      </xdr:nvSpPr>
      <xdr:spPr>
        <a:xfrm>
          <a:off x="6734175" y="4676775"/>
          <a:ext cx="133350" cy="314325"/>
        </a:xfrm>
        <a:prstGeom prst="rightArrowCallout">
          <a:avLst>
            <a:gd name="adj1" fmla="val 50000"/>
            <a:gd name="adj2" fmla="val 25000"/>
            <a:gd name="adj3" fmla="val 25000"/>
            <a:gd name="adj4" fmla="val 64977"/>
          </a:avLst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15</xdr:col>
      <xdr:colOff>866775</xdr:colOff>
      <xdr:row>24</xdr:row>
      <xdr:rowOff>28575</xdr:rowOff>
    </xdr:from>
    <xdr:to>
      <xdr:col>15</xdr:col>
      <xdr:colOff>1000125</xdr:colOff>
      <xdr:row>25</xdr:row>
      <xdr:rowOff>152400</xdr:rowOff>
    </xdr:to>
    <xdr:sp macro="" textlink="">
      <xdr:nvSpPr>
        <xdr:cNvPr id="132" name="Légende : flèche vers la droite 131">
          <a:extLst>
            <a:ext uri="{FF2B5EF4-FFF2-40B4-BE49-F238E27FC236}">
              <a16:creationId xmlns:a16="http://schemas.microsoft.com/office/drawing/2014/main" id="{C65272F2-F641-43C4-A5C0-89A70BBA23C7}"/>
            </a:ext>
          </a:extLst>
        </xdr:cNvPr>
        <xdr:cNvSpPr/>
      </xdr:nvSpPr>
      <xdr:spPr>
        <a:xfrm>
          <a:off x="6734175" y="4676775"/>
          <a:ext cx="133350" cy="314325"/>
        </a:xfrm>
        <a:prstGeom prst="rightArrowCallout">
          <a:avLst>
            <a:gd name="adj1" fmla="val 50000"/>
            <a:gd name="adj2" fmla="val 25000"/>
            <a:gd name="adj3" fmla="val 25000"/>
            <a:gd name="adj4" fmla="val 64977"/>
          </a:avLst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15</xdr:col>
      <xdr:colOff>866775</xdr:colOff>
      <xdr:row>24</xdr:row>
      <xdr:rowOff>28575</xdr:rowOff>
    </xdr:from>
    <xdr:to>
      <xdr:col>15</xdr:col>
      <xdr:colOff>1000125</xdr:colOff>
      <xdr:row>25</xdr:row>
      <xdr:rowOff>152400</xdr:rowOff>
    </xdr:to>
    <xdr:sp macro="" textlink="">
      <xdr:nvSpPr>
        <xdr:cNvPr id="133" name="Légende : flèche vers la droite 132">
          <a:extLst>
            <a:ext uri="{FF2B5EF4-FFF2-40B4-BE49-F238E27FC236}">
              <a16:creationId xmlns:a16="http://schemas.microsoft.com/office/drawing/2014/main" id="{47190C64-8449-48A9-847E-66EBD087FB7E}"/>
            </a:ext>
          </a:extLst>
        </xdr:cNvPr>
        <xdr:cNvSpPr/>
      </xdr:nvSpPr>
      <xdr:spPr>
        <a:xfrm>
          <a:off x="6734175" y="4676775"/>
          <a:ext cx="133350" cy="314325"/>
        </a:xfrm>
        <a:prstGeom prst="rightArrowCallout">
          <a:avLst>
            <a:gd name="adj1" fmla="val 50000"/>
            <a:gd name="adj2" fmla="val 25000"/>
            <a:gd name="adj3" fmla="val 25000"/>
            <a:gd name="adj4" fmla="val 64977"/>
          </a:avLst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15</xdr:col>
      <xdr:colOff>866775</xdr:colOff>
      <xdr:row>24</xdr:row>
      <xdr:rowOff>28575</xdr:rowOff>
    </xdr:from>
    <xdr:to>
      <xdr:col>15</xdr:col>
      <xdr:colOff>1000125</xdr:colOff>
      <xdr:row>25</xdr:row>
      <xdr:rowOff>152400</xdr:rowOff>
    </xdr:to>
    <xdr:sp macro="" textlink="">
      <xdr:nvSpPr>
        <xdr:cNvPr id="134" name="Légende : flèche vers la droite 133">
          <a:extLst>
            <a:ext uri="{FF2B5EF4-FFF2-40B4-BE49-F238E27FC236}">
              <a16:creationId xmlns:a16="http://schemas.microsoft.com/office/drawing/2014/main" id="{3D199E5E-7BB9-4FF5-8555-FBA870D2BE9B}"/>
            </a:ext>
          </a:extLst>
        </xdr:cNvPr>
        <xdr:cNvSpPr/>
      </xdr:nvSpPr>
      <xdr:spPr>
        <a:xfrm>
          <a:off x="6734175" y="4676775"/>
          <a:ext cx="133350" cy="314325"/>
        </a:xfrm>
        <a:prstGeom prst="rightArrowCallout">
          <a:avLst>
            <a:gd name="adj1" fmla="val 50000"/>
            <a:gd name="adj2" fmla="val 25000"/>
            <a:gd name="adj3" fmla="val 25000"/>
            <a:gd name="adj4" fmla="val 64977"/>
          </a:avLst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15</xdr:col>
      <xdr:colOff>866775</xdr:colOff>
      <xdr:row>24</xdr:row>
      <xdr:rowOff>28575</xdr:rowOff>
    </xdr:from>
    <xdr:to>
      <xdr:col>15</xdr:col>
      <xdr:colOff>1000125</xdr:colOff>
      <xdr:row>25</xdr:row>
      <xdr:rowOff>152400</xdr:rowOff>
    </xdr:to>
    <xdr:sp macro="" textlink="">
      <xdr:nvSpPr>
        <xdr:cNvPr id="135" name="Légende : flèche vers la droite 134">
          <a:extLst>
            <a:ext uri="{FF2B5EF4-FFF2-40B4-BE49-F238E27FC236}">
              <a16:creationId xmlns:a16="http://schemas.microsoft.com/office/drawing/2014/main" id="{B8C6B653-6DCA-41FF-A938-F053B9173808}"/>
            </a:ext>
          </a:extLst>
        </xdr:cNvPr>
        <xdr:cNvSpPr/>
      </xdr:nvSpPr>
      <xdr:spPr>
        <a:xfrm>
          <a:off x="6734175" y="4676775"/>
          <a:ext cx="133350" cy="314325"/>
        </a:xfrm>
        <a:prstGeom prst="rightArrowCallout">
          <a:avLst>
            <a:gd name="adj1" fmla="val 50000"/>
            <a:gd name="adj2" fmla="val 25000"/>
            <a:gd name="adj3" fmla="val 25000"/>
            <a:gd name="adj4" fmla="val 64977"/>
          </a:avLst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15</xdr:col>
      <xdr:colOff>866775</xdr:colOff>
      <xdr:row>24</xdr:row>
      <xdr:rowOff>28575</xdr:rowOff>
    </xdr:from>
    <xdr:to>
      <xdr:col>15</xdr:col>
      <xdr:colOff>1000125</xdr:colOff>
      <xdr:row>25</xdr:row>
      <xdr:rowOff>152400</xdr:rowOff>
    </xdr:to>
    <xdr:sp macro="" textlink="">
      <xdr:nvSpPr>
        <xdr:cNvPr id="136" name="Légende : flèche vers la droite 135">
          <a:extLst>
            <a:ext uri="{FF2B5EF4-FFF2-40B4-BE49-F238E27FC236}">
              <a16:creationId xmlns:a16="http://schemas.microsoft.com/office/drawing/2014/main" id="{D03CD594-57A3-4C6C-82FE-E6BB045835D2}"/>
            </a:ext>
          </a:extLst>
        </xdr:cNvPr>
        <xdr:cNvSpPr/>
      </xdr:nvSpPr>
      <xdr:spPr>
        <a:xfrm>
          <a:off x="6734175" y="4676775"/>
          <a:ext cx="133350" cy="314325"/>
        </a:xfrm>
        <a:prstGeom prst="rightArrowCallout">
          <a:avLst>
            <a:gd name="adj1" fmla="val 50000"/>
            <a:gd name="adj2" fmla="val 25000"/>
            <a:gd name="adj3" fmla="val 25000"/>
            <a:gd name="adj4" fmla="val 64977"/>
          </a:avLst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15</xdr:col>
      <xdr:colOff>866775</xdr:colOff>
      <xdr:row>24</xdr:row>
      <xdr:rowOff>28575</xdr:rowOff>
    </xdr:from>
    <xdr:to>
      <xdr:col>15</xdr:col>
      <xdr:colOff>1000125</xdr:colOff>
      <xdr:row>25</xdr:row>
      <xdr:rowOff>152400</xdr:rowOff>
    </xdr:to>
    <xdr:sp macro="" textlink="">
      <xdr:nvSpPr>
        <xdr:cNvPr id="137" name="Légende : flèche vers la droite 136">
          <a:extLst>
            <a:ext uri="{FF2B5EF4-FFF2-40B4-BE49-F238E27FC236}">
              <a16:creationId xmlns:a16="http://schemas.microsoft.com/office/drawing/2014/main" id="{21DCC549-E0AF-4288-B5F4-DD522A66D581}"/>
            </a:ext>
          </a:extLst>
        </xdr:cNvPr>
        <xdr:cNvSpPr/>
      </xdr:nvSpPr>
      <xdr:spPr>
        <a:xfrm>
          <a:off x="6734175" y="4676775"/>
          <a:ext cx="133350" cy="314325"/>
        </a:xfrm>
        <a:prstGeom prst="rightArrowCallout">
          <a:avLst>
            <a:gd name="adj1" fmla="val 50000"/>
            <a:gd name="adj2" fmla="val 25000"/>
            <a:gd name="adj3" fmla="val 25000"/>
            <a:gd name="adj4" fmla="val 64977"/>
          </a:avLst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15</xdr:col>
      <xdr:colOff>866775</xdr:colOff>
      <xdr:row>24</xdr:row>
      <xdr:rowOff>28575</xdr:rowOff>
    </xdr:from>
    <xdr:to>
      <xdr:col>15</xdr:col>
      <xdr:colOff>1000125</xdr:colOff>
      <xdr:row>25</xdr:row>
      <xdr:rowOff>152400</xdr:rowOff>
    </xdr:to>
    <xdr:sp macro="" textlink="">
      <xdr:nvSpPr>
        <xdr:cNvPr id="138" name="Légende : flèche vers la droite 137">
          <a:extLst>
            <a:ext uri="{FF2B5EF4-FFF2-40B4-BE49-F238E27FC236}">
              <a16:creationId xmlns:a16="http://schemas.microsoft.com/office/drawing/2014/main" id="{F8CC1E4F-DA11-41D6-8092-5B495E771AF7}"/>
            </a:ext>
          </a:extLst>
        </xdr:cNvPr>
        <xdr:cNvSpPr/>
      </xdr:nvSpPr>
      <xdr:spPr>
        <a:xfrm>
          <a:off x="6734175" y="4676775"/>
          <a:ext cx="133350" cy="314325"/>
        </a:xfrm>
        <a:prstGeom prst="rightArrowCallout">
          <a:avLst>
            <a:gd name="adj1" fmla="val 50000"/>
            <a:gd name="adj2" fmla="val 25000"/>
            <a:gd name="adj3" fmla="val 25000"/>
            <a:gd name="adj4" fmla="val 64977"/>
          </a:avLst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15</xdr:col>
      <xdr:colOff>866775</xdr:colOff>
      <xdr:row>24</xdr:row>
      <xdr:rowOff>28575</xdr:rowOff>
    </xdr:from>
    <xdr:to>
      <xdr:col>15</xdr:col>
      <xdr:colOff>1000125</xdr:colOff>
      <xdr:row>25</xdr:row>
      <xdr:rowOff>152400</xdr:rowOff>
    </xdr:to>
    <xdr:sp macro="" textlink="">
      <xdr:nvSpPr>
        <xdr:cNvPr id="139" name="Légende : flèche vers la droite 138">
          <a:extLst>
            <a:ext uri="{FF2B5EF4-FFF2-40B4-BE49-F238E27FC236}">
              <a16:creationId xmlns:a16="http://schemas.microsoft.com/office/drawing/2014/main" id="{E303E3D5-001A-4DBC-A8D8-688C427C70BA}"/>
            </a:ext>
          </a:extLst>
        </xdr:cNvPr>
        <xdr:cNvSpPr/>
      </xdr:nvSpPr>
      <xdr:spPr>
        <a:xfrm>
          <a:off x="6734175" y="4676775"/>
          <a:ext cx="133350" cy="314325"/>
        </a:xfrm>
        <a:prstGeom prst="rightArrowCallout">
          <a:avLst>
            <a:gd name="adj1" fmla="val 50000"/>
            <a:gd name="adj2" fmla="val 25000"/>
            <a:gd name="adj3" fmla="val 25000"/>
            <a:gd name="adj4" fmla="val 64977"/>
          </a:avLst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15</xdr:col>
      <xdr:colOff>866775</xdr:colOff>
      <xdr:row>24</xdr:row>
      <xdr:rowOff>28575</xdr:rowOff>
    </xdr:from>
    <xdr:to>
      <xdr:col>15</xdr:col>
      <xdr:colOff>1000125</xdr:colOff>
      <xdr:row>25</xdr:row>
      <xdr:rowOff>152400</xdr:rowOff>
    </xdr:to>
    <xdr:sp macro="" textlink="">
      <xdr:nvSpPr>
        <xdr:cNvPr id="140" name="Légende : flèche vers la droite 139">
          <a:extLst>
            <a:ext uri="{FF2B5EF4-FFF2-40B4-BE49-F238E27FC236}">
              <a16:creationId xmlns:a16="http://schemas.microsoft.com/office/drawing/2014/main" id="{83D11204-FA8F-4B27-84F0-2E2C03C18474}"/>
            </a:ext>
          </a:extLst>
        </xdr:cNvPr>
        <xdr:cNvSpPr/>
      </xdr:nvSpPr>
      <xdr:spPr>
        <a:xfrm>
          <a:off x="6734175" y="4676775"/>
          <a:ext cx="133350" cy="314325"/>
        </a:xfrm>
        <a:prstGeom prst="rightArrowCallout">
          <a:avLst>
            <a:gd name="adj1" fmla="val 50000"/>
            <a:gd name="adj2" fmla="val 25000"/>
            <a:gd name="adj3" fmla="val 25000"/>
            <a:gd name="adj4" fmla="val 64977"/>
          </a:avLst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15</xdr:col>
      <xdr:colOff>866775</xdr:colOff>
      <xdr:row>24</xdr:row>
      <xdr:rowOff>28575</xdr:rowOff>
    </xdr:from>
    <xdr:to>
      <xdr:col>15</xdr:col>
      <xdr:colOff>1000125</xdr:colOff>
      <xdr:row>25</xdr:row>
      <xdr:rowOff>152400</xdr:rowOff>
    </xdr:to>
    <xdr:sp macro="" textlink="">
      <xdr:nvSpPr>
        <xdr:cNvPr id="141" name="Légende : flèche vers la droite 140">
          <a:extLst>
            <a:ext uri="{FF2B5EF4-FFF2-40B4-BE49-F238E27FC236}">
              <a16:creationId xmlns:a16="http://schemas.microsoft.com/office/drawing/2014/main" id="{1C1AB6BC-2475-4870-998A-131DDFBFEA1A}"/>
            </a:ext>
          </a:extLst>
        </xdr:cNvPr>
        <xdr:cNvSpPr/>
      </xdr:nvSpPr>
      <xdr:spPr>
        <a:xfrm>
          <a:off x="6734175" y="4676775"/>
          <a:ext cx="133350" cy="314325"/>
        </a:xfrm>
        <a:prstGeom prst="rightArrowCallout">
          <a:avLst>
            <a:gd name="adj1" fmla="val 50000"/>
            <a:gd name="adj2" fmla="val 25000"/>
            <a:gd name="adj3" fmla="val 25000"/>
            <a:gd name="adj4" fmla="val 64977"/>
          </a:avLst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15</xdr:col>
      <xdr:colOff>866775</xdr:colOff>
      <xdr:row>24</xdr:row>
      <xdr:rowOff>28575</xdr:rowOff>
    </xdr:from>
    <xdr:to>
      <xdr:col>15</xdr:col>
      <xdr:colOff>1000125</xdr:colOff>
      <xdr:row>25</xdr:row>
      <xdr:rowOff>152400</xdr:rowOff>
    </xdr:to>
    <xdr:sp macro="" textlink="">
      <xdr:nvSpPr>
        <xdr:cNvPr id="142" name="Légende : flèche vers la droite 141">
          <a:extLst>
            <a:ext uri="{FF2B5EF4-FFF2-40B4-BE49-F238E27FC236}">
              <a16:creationId xmlns:a16="http://schemas.microsoft.com/office/drawing/2014/main" id="{D7D7D96B-4A37-4C24-AB68-3EE24B5CB329}"/>
            </a:ext>
          </a:extLst>
        </xdr:cNvPr>
        <xdr:cNvSpPr/>
      </xdr:nvSpPr>
      <xdr:spPr>
        <a:xfrm>
          <a:off x="6734175" y="4676775"/>
          <a:ext cx="133350" cy="314325"/>
        </a:xfrm>
        <a:prstGeom prst="rightArrowCallout">
          <a:avLst>
            <a:gd name="adj1" fmla="val 50000"/>
            <a:gd name="adj2" fmla="val 25000"/>
            <a:gd name="adj3" fmla="val 25000"/>
            <a:gd name="adj4" fmla="val 64977"/>
          </a:avLst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15</xdr:col>
      <xdr:colOff>866775</xdr:colOff>
      <xdr:row>24</xdr:row>
      <xdr:rowOff>28575</xdr:rowOff>
    </xdr:from>
    <xdr:to>
      <xdr:col>15</xdr:col>
      <xdr:colOff>1000125</xdr:colOff>
      <xdr:row>25</xdr:row>
      <xdr:rowOff>152400</xdr:rowOff>
    </xdr:to>
    <xdr:sp macro="" textlink="">
      <xdr:nvSpPr>
        <xdr:cNvPr id="143" name="Légende : flèche vers la droite 142">
          <a:extLst>
            <a:ext uri="{FF2B5EF4-FFF2-40B4-BE49-F238E27FC236}">
              <a16:creationId xmlns:a16="http://schemas.microsoft.com/office/drawing/2014/main" id="{B64FBD47-5E50-48FB-BDDF-081A094E4AFB}"/>
            </a:ext>
          </a:extLst>
        </xdr:cNvPr>
        <xdr:cNvSpPr/>
      </xdr:nvSpPr>
      <xdr:spPr>
        <a:xfrm>
          <a:off x="6734175" y="4676775"/>
          <a:ext cx="133350" cy="314325"/>
        </a:xfrm>
        <a:prstGeom prst="rightArrowCallout">
          <a:avLst>
            <a:gd name="adj1" fmla="val 50000"/>
            <a:gd name="adj2" fmla="val 25000"/>
            <a:gd name="adj3" fmla="val 25000"/>
            <a:gd name="adj4" fmla="val 64977"/>
          </a:avLst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15</xdr:col>
      <xdr:colOff>866775</xdr:colOff>
      <xdr:row>24</xdr:row>
      <xdr:rowOff>28575</xdr:rowOff>
    </xdr:from>
    <xdr:to>
      <xdr:col>15</xdr:col>
      <xdr:colOff>1000125</xdr:colOff>
      <xdr:row>25</xdr:row>
      <xdr:rowOff>152400</xdr:rowOff>
    </xdr:to>
    <xdr:sp macro="" textlink="">
      <xdr:nvSpPr>
        <xdr:cNvPr id="144" name="Légende : flèche vers la droite 143">
          <a:extLst>
            <a:ext uri="{FF2B5EF4-FFF2-40B4-BE49-F238E27FC236}">
              <a16:creationId xmlns:a16="http://schemas.microsoft.com/office/drawing/2014/main" id="{EB1AD5D7-96B0-45BB-9ADA-BD40B3A344AE}"/>
            </a:ext>
          </a:extLst>
        </xdr:cNvPr>
        <xdr:cNvSpPr/>
      </xdr:nvSpPr>
      <xdr:spPr>
        <a:xfrm>
          <a:off x="6734175" y="4676775"/>
          <a:ext cx="133350" cy="314325"/>
        </a:xfrm>
        <a:prstGeom prst="rightArrowCallout">
          <a:avLst>
            <a:gd name="adj1" fmla="val 50000"/>
            <a:gd name="adj2" fmla="val 25000"/>
            <a:gd name="adj3" fmla="val 25000"/>
            <a:gd name="adj4" fmla="val 64977"/>
          </a:avLst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15</xdr:col>
      <xdr:colOff>866775</xdr:colOff>
      <xdr:row>24</xdr:row>
      <xdr:rowOff>28575</xdr:rowOff>
    </xdr:from>
    <xdr:to>
      <xdr:col>15</xdr:col>
      <xdr:colOff>1000125</xdr:colOff>
      <xdr:row>25</xdr:row>
      <xdr:rowOff>152400</xdr:rowOff>
    </xdr:to>
    <xdr:sp macro="" textlink="">
      <xdr:nvSpPr>
        <xdr:cNvPr id="145" name="Légende : flèche vers la droite 144">
          <a:extLst>
            <a:ext uri="{FF2B5EF4-FFF2-40B4-BE49-F238E27FC236}">
              <a16:creationId xmlns:a16="http://schemas.microsoft.com/office/drawing/2014/main" id="{E5E35331-4BA1-4C8C-AF1C-8FC8F5935DDA}"/>
            </a:ext>
          </a:extLst>
        </xdr:cNvPr>
        <xdr:cNvSpPr/>
      </xdr:nvSpPr>
      <xdr:spPr>
        <a:xfrm>
          <a:off x="6734175" y="4676775"/>
          <a:ext cx="133350" cy="314325"/>
        </a:xfrm>
        <a:prstGeom prst="rightArrowCallout">
          <a:avLst>
            <a:gd name="adj1" fmla="val 50000"/>
            <a:gd name="adj2" fmla="val 25000"/>
            <a:gd name="adj3" fmla="val 25000"/>
            <a:gd name="adj4" fmla="val 64977"/>
          </a:avLst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15</xdr:col>
      <xdr:colOff>866775</xdr:colOff>
      <xdr:row>24</xdr:row>
      <xdr:rowOff>28575</xdr:rowOff>
    </xdr:from>
    <xdr:to>
      <xdr:col>15</xdr:col>
      <xdr:colOff>1000125</xdr:colOff>
      <xdr:row>25</xdr:row>
      <xdr:rowOff>152400</xdr:rowOff>
    </xdr:to>
    <xdr:sp macro="" textlink="">
      <xdr:nvSpPr>
        <xdr:cNvPr id="146" name="Légende : flèche vers la droite 145">
          <a:extLst>
            <a:ext uri="{FF2B5EF4-FFF2-40B4-BE49-F238E27FC236}">
              <a16:creationId xmlns:a16="http://schemas.microsoft.com/office/drawing/2014/main" id="{508DF610-1327-43A1-859A-0476514EFD70}"/>
            </a:ext>
          </a:extLst>
        </xdr:cNvPr>
        <xdr:cNvSpPr/>
      </xdr:nvSpPr>
      <xdr:spPr>
        <a:xfrm>
          <a:off x="6734175" y="4676775"/>
          <a:ext cx="133350" cy="314325"/>
        </a:xfrm>
        <a:prstGeom prst="rightArrowCallout">
          <a:avLst>
            <a:gd name="adj1" fmla="val 50000"/>
            <a:gd name="adj2" fmla="val 25000"/>
            <a:gd name="adj3" fmla="val 25000"/>
            <a:gd name="adj4" fmla="val 64977"/>
          </a:avLst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15</xdr:col>
      <xdr:colOff>866775</xdr:colOff>
      <xdr:row>24</xdr:row>
      <xdr:rowOff>28575</xdr:rowOff>
    </xdr:from>
    <xdr:to>
      <xdr:col>15</xdr:col>
      <xdr:colOff>1000125</xdr:colOff>
      <xdr:row>25</xdr:row>
      <xdr:rowOff>152400</xdr:rowOff>
    </xdr:to>
    <xdr:sp macro="" textlink="">
      <xdr:nvSpPr>
        <xdr:cNvPr id="147" name="Légende : flèche vers la droite 146">
          <a:extLst>
            <a:ext uri="{FF2B5EF4-FFF2-40B4-BE49-F238E27FC236}">
              <a16:creationId xmlns:a16="http://schemas.microsoft.com/office/drawing/2014/main" id="{DD1CDE44-1296-4B7F-9E48-B3DB6CBF289A}"/>
            </a:ext>
          </a:extLst>
        </xdr:cNvPr>
        <xdr:cNvSpPr/>
      </xdr:nvSpPr>
      <xdr:spPr>
        <a:xfrm>
          <a:off x="6734175" y="4676775"/>
          <a:ext cx="133350" cy="314325"/>
        </a:xfrm>
        <a:prstGeom prst="rightArrowCallout">
          <a:avLst>
            <a:gd name="adj1" fmla="val 50000"/>
            <a:gd name="adj2" fmla="val 25000"/>
            <a:gd name="adj3" fmla="val 25000"/>
            <a:gd name="adj4" fmla="val 64977"/>
          </a:avLst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15</xdr:col>
      <xdr:colOff>866775</xdr:colOff>
      <xdr:row>24</xdr:row>
      <xdr:rowOff>28575</xdr:rowOff>
    </xdr:from>
    <xdr:to>
      <xdr:col>15</xdr:col>
      <xdr:colOff>1000125</xdr:colOff>
      <xdr:row>25</xdr:row>
      <xdr:rowOff>152400</xdr:rowOff>
    </xdr:to>
    <xdr:sp macro="" textlink="">
      <xdr:nvSpPr>
        <xdr:cNvPr id="148" name="Légende : flèche vers la droite 147">
          <a:extLst>
            <a:ext uri="{FF2B5EF4-FFF2-40B4-BE49-F238E27FC236}">
              <a16:creationId xmlns:a16="http://schemas.microsoft.com/office/drawing/2014/main" id="{BBA4A450-9B16-4137-93A7-482BEB7A5360}"/>
            </a:ext>
          </a:extLst>
        </xdr:cNvPr>
        <xdr:cNvSpPr/>
      </xdr:nvSpPr>
      <xdr:spPr>
        <a:xfrm>
          <a:off x="6734175" y="4676775"/>
          <a:ext cx="133350" cy="314325"/>
        </a:xfrm>
        <a:prstGeom prst="rightArrowCallout">
          <a:avLst>
            <a:gd name="adj1" fmla="val 50000"/>
            <a:gd name="adj2" fmla="val 25000"/>
            <a:gd name="adj3" fmla="val 25000"/>
            <a:gd name="adj4" fmla="val 64977"/>
          </a:avLst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15</xdr:col>
      <xdr:colOff>866775</xdr:colOff>
      <xdr:row>24</xdr:row>
      <xdr:rowOff>28575</xdr:rowOff>
    </xdr:from>
    <xdr:to>
      <xdr:col>15</xdr:col>
      <xdr:colOff>1000125</xdr:colOff>
      <xdr:row>25</xdr:row>
      <xdr:rowOff>152400</xdr:rowOff>
    </xdr:to>
    <xdr:sp macro="" textlink="">
      <xdr:nvSpPr>
        <xdr:cNvPr id="149" name="Légende : flèche vers la droite 148">
          <a:extLst>
            <a:ext uri="{FF2B5EF4-FFF2-40B4-BE49-F238E27FC236}">
              <a16:creationId xmlns:a16="http://schemas.microsoft.com/office/drawing/2014/main" id="{92AF8EA2-B75E-435D-BD44-89391763570D}"/>
            </a:ext>
          </a:extLst>
        </xdr:cNvPr>
        <xdr:cNvSpPr/>
      </xdr:nvSpPr>
      <xdr:spPr>
        <a:xfrm>
          <a:off x="6734175" y="4676775"/>
          <a:ext cx="133350" cy="314325"/>
        </a:xfrm>
        <a:prstGeom prst="rightArrowCallout">
          <a:avLst>
            <a:gd name="adj1" fmla="val 50000"/>
            <a:gd name="adj2" fmla="val 25000"/>
            <a:gd name="adj3" fmla="val 25000"/>
            <a:gd name="adj4" fmla="val 64977"/>
          </a:avLst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15</xdr:col>
      <xdr:colOff>866775</xdr:colOff>
      <xdr:row>24</xdr:row>
      <xdr:rowOff>28575</xdr:rowOff>
    </xdr:from>
    <xdr:to>
      <xdr:col>15</xdr:col>
      <xdr:colOff>1000125</xdr:colOff>
      <xdr:row>25</xdr:row>
      <xdr:rowOff>152400</xdr:rowOff>
    </xdr:to>
    <xdr:sp macro="" textlink="">
      <xdr:nvSpPr>
        <xdr:cNvPr id="150" name="Légende : flèche vers la droite 149">
          <a:extLst>
            <a:ext uri="{FF2B5EF4-FFF2-40B4-BE49-F238E27FC236}">
              <a16:creationId xmlns:a16="http://schemas.microsoft.com/office/drawing/2014/main" id="{2B4DE201-6135-4982-9FFA-35DFD75D4473}"/>
            </a:ext>
          </a:extLst>
        </xdr:cNvPr>
        <xdr:cNvSpPr/>
      </xdr:nvSpPr>
      <xdr:spPr>
        <a:xfrm>
          <a:off x="6734175" y="4676775"/>
          <a:ext cx="133350" cy="314325"/>
        </a:xfrm>
        <a:prstGeom prst="rightArrowCallout">
          <a:avLst>
            <a:gd name="adj1" fmla="val 50000"/>
            <a:gd name="adj2" fmla="val 25000"/>
            <a:gd name="adj3" fmla="val 25000"/>
            <a:gd name="adj4" fmla="val 64977"/>
          </a:avLst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15</xdr:col>
      <xdr:colOff>866775</xdr:colOff>
      <xdr:row>24</xdr:row>
      <xdr:rowOff>28575</xdr:rowOff>
    </xdr:from>
    <xdr:to>
      <xdr:col>15</xdr:col>
      <xdr:colOff>1000125</xdr:colOff>
      <xdr:row>25</xdr:row>
      <xdr:rowOff>152400</xdr:rowOff>
    </xdr:to>
    <xdr:sp macro="" textlink="">
      <xdr:nvSpPr>
        <xdr:cNvPr id="151" name="Légende : flèche vers la droite 150">
          <a:extLst>
            <a:ext uri="{FF2B5EF4-FFF2-40B4-BE49-F238E27FC236}">
              <a16:creationId xmlns:a16="http://schemas.microsoft.com/office/drawing/2014/main" id="{6C27380C-EEF0-49AC-A3F8-71F6D4FA113D}"/>
            </a:ext>
          </a:extLst>
        </xdr:cNvPr>
        <xdr:cNvSpPr/>
      </xdr:nvSpPr>
      <xdr:spPr>
        <a:xfrm>
          <a:off x="6734175" y="4676775"/>
          <a:ext cx="133350" cy="314325"/>
        </a:xfrm>
        <a:prstGeom prst="rightArrowCallout">
          <a:avLst>
            <a:gd name="adj1" fmla="val 50000"/>
            <a:gd name="adj2" fmla="val 25000"/>
            <a:gd name="adj3" fmla="val 25000"/>
            <a:gd name="adj4" fmla="val 64977"/>
          </a:avLst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14</xdr:col>
      <xdr:colOff>38100</xdr:colOff>
      <xdr:row>37</xdr:row>
      <xdr:rowOff>38100</xdr:rowOff>
    </xdr:from>
    <xdr:to>
      <xdr:col>20</xdr:col>
      <xdr:colOff>266700</xdr:colOff>
      <xdr:row>49</xdr:row>
      <xdr:rowOff>30480</xdr:rowOff>
    </xdr:to>
    <xdr:sp macro="" textlink="">
      <xdr:nvSpPr>
        <xdr:cNvPr id="152" name="Rectangle 151">
          <a:extLst>
            <a:ext uri="{FF2B5EF4-FFF2-40B4-BE49-F238E27FC236}">
              <a16:creationId xmlns:a16="http://schemas.microsoft.com/office/drawing/2014/main" id="{20D7C4D9-12DE-4F9F-9E1C-16B0D83824DD}"/>
            </a:ext>
          </a:extLst>
        </xdr:cNvPr>
        <xdr:cNvSpPr/>
      </xdr:nvSpPr>
      <xdr:spPr>
        <a:xfrm>
          <a:off x="5745480" y="7094220"/>
          <a:ext cx="4396740" cy="2148840"/>
        </a:xfrm>
        <a:prstGeom prst="rect">
          <a:avLst/>
        </a:prstGeom>
        <a:solidFill>
          <a:schemeClr val="bg1">
            <a:lumMod val="95000"/>
            <a:alpha val="77000"/>
          </a:scheme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5.bin"/><Relationship Id="rId4" Type="http://schemas.openxmlformats.org/officeDocument/2006/relationships/ctrlProp" Target="../ctrlProps/ctrlProp1.x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4.xml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hyperlink" Target="https://ttstar.cz/fr/ttplayer/viktor-yefimov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B77330-204B-4D08-BEB4-C5A095500F77}">
  <dimension ref="A1:AI44"/>
  <sheetViews>
    <sheetView zoomScaleNormal="100" workbookViewId="0">
      <selection activeCell="R28" sqref="R28"/>
    </sheetView>
  </sheetViews>
  <sheetFormatPr baseColWidth="10" defaultRowHeight="14.4" x14ac:dyDescent="0.3"/>
  <cols>
    <col min="1" max="1" width="7.33203125" customWidth="1"/>
    <col min="2" max="2" width="12.109375" bestFit="1" customWidth="1"/>
    <col min="3" max="3" width="7.33203125" customWidth="1"/>
    <col min="5" max="20" width="5.6640625" customWidth="1"/>
    <col min="21" max="22" width="6.44140625" customWidth="1"/>
    <col min="23" max="23" width="8" customWidth="1"/>
    <col min="24" max="24" width="9.109375" customWidth="1"/>
    <col min="25" max="25" width="11.5546875" customWidth="1"/>
    <col min="26" max="26" width="10.109375" customWidth="1"/>
    <col min="27" max="27" width="8.33203125" customWidth="1"/>
    <col min="28" max="28" width="2.44140625" customWidth="1"/>
    <col min="31" max="32" width="8.33203125" customWidth="1"/>
    <col min="34" max="34" width="11.6640625" customWidth="1"/>
  </cols>
  <sheetData>
    <row r="1" spans="1:35" x14ac:dyDescent="0.3">
      <c r="A1" t="s">
        <v>5</v>
      </c>
      <c r="B1" s="18" t="s">
        <v>7</v>
      </c>
      <c r="D1" t="s">
        <v>27</v>
      </c>
      <c r="AD1">
        <v>60</v>
      </c>
      <c r="AE1" t="s">
        <v>24</v>
      </c>
      <c r="AH1" s="14">
        <v>0.15825</v>
      </c>
    </row>
    <row r="2" spans="1:35" x14ac:dyDescent="0.3">
      <c r="A2">
        <v>1</v>
      </c>
      <c r="B2" s="17" t="s">
        <v>28</v>
      </c>
      <c r="AE2">
        <v>45</v>
      </c>
    </row>
    <row r="3" spans="1:35" x14ac:dyDescent="0.3">
      <c r="A3">
        <v>2</v>
      </c>
      <c r="B3" s="17" t="s">
        <v>2</v>
      </c>
      <c r="D3" s="165" t="s">
        <v>9</v>
      </c>
      <c r="E3" s="171" t="str">
        <f>D5</f>
        <v>Huzjak,</v>
      </c>
      <c r="F3" s="173"/>
      <c r="G3" s="171" t="str">
        <f>D7</f>
        <v>Valuch</v>
      </c>
      <c r="H3" s="173"/>
      <c r="I3" s="171" t="str">
        <f>D9</f>
        <v>Ruiz</v>
      </c>
      <c r="J3" s="173"/>
      <c r="K3" s="171" t="str">
        <f>D11</f>
        <v>Mühlbach</v>
      </c>
      <c r="L3" s="173"/>
      <c r="M3" s="171" t="str">
        <f>D13</f>
        <v>Turrini</v>
      </c>
      <c r="N3" s="173"/>
      <c r="O3" s="171" t="str">
        <f>D15</f>
        <v>Martinko</v>
      </c>
      <c r="P3" s="173"/>
      <c r="Q3" s="171" t="str">
        <f>D17</f>
        <v>Putuntica</v>
      </c>
      <c r="R3" s="173"/>
      <c r="S3" s="171" t="str">
        <f>+D19</f>
        <v>Chtchetinine,</v>
      </c>
      <c r="T3" s="175"/>
      <c r="U3" s="177" t="s">
        <v>0</v>
      </c>
      <c r="V3" s="179" t="s">
        <v>1</v>
      </c>
      <c r="W3" s="179" t="s">
        <v>8</v>
      </c>
      <c r="X3" s="179" t="s">
        <v>11</v>
      </c>
      <c r="Y3" s="188" t="s">
        <v>10</v>
      </c>
      <c r="Z3" s="188" t="s">
        <v>12</v>
      </c>
      <c r="AA3" s="8" t="s">
        <v>6</v>
      </c>
      <c r="AC3" t="s">
        <v>22</v>
      </c>
      <c r="AD3" t="s">
        <v>23</v>
      </c>
      <c r="AG3" t="s">
        <v>19</v>
      </c>
      <c r="AH3" t="s">
        <v>20</v>
      </c>
      <c r="AI3" t="s">
        <v>21</v>
      </c>
    </row>
    <row r="4" spans="1:35" x14ac:dyDescent="0.3">
      <c r="A4">
        <v>3</v>
      </c>
      <c r="B4" s="17" t="s">
        <v>3</v>
      </c>
      <c r="D4" s="166"/>
      <c r="E4" s="172"/>
      <c r="F4" s="174"/>
      <c r="G4" s="172"/>
      <c r="H4" s="174"/>
      <c r="I4" s="172"/>
      <c r="J4" s="174"/>
      <c r="K4" s="172"/>
      <c r="L4" s="174"/>
      <c r="M4" s="172"/>
      <c r="N4" s="174"/>
      <c r="O4" s="172"/>
      <c r="P4" s="174"/>
      <c r="Q4" s="172"/>
      <c r="R4" s="174"/>
      <c r="S4" s="172"/>
      <c r="T4" s="176"/>
      <c r="U4" s="178"/>
      <c r="V4" s="172"/>
      <c r="W4" s="172"/>
      <c r="X4" s="172"/>
      <c r="Y4" s="189"/>
      <c r="Z4" s="189"/>
    </row>
    <row r="5" spans="1:35" x14ac:dyDescent="0.3">
      <c r="A5">
        <v>4</v>
      </c>
      <c r="B5" s="17" t="s">
        <v>29</v>
      </c>
      <c r="D5" s="171" t="str">
        <f>+B2</f>
        <v>Huzjak,</v>
      </c>
      <c r="E5" s="12"/>
      <c r="F5" s="13"/>
      <c r="G5" s="2">
        <v>3</v>
      </c>
      <c r="H5" s="3">
        <v>1</v>
      </c>
      <c r="I5" s="2">
        <v>0</v>
      </c>
      <c r="J5" s="3">
        <v>3</v>
      </c>
      <c r="K5" s="2">
        <v>1</v>
      </c>
      <c r="L5" s="3">
        <v>3</v>
      </c>
      <c r="M5" s="1">
        <v>0</v>
      </c>
      <c r="N5" s="1">
        <v>3</v>
      </c>
      <c r="O5" s="2">
        <v>0</v>
      </c>
      <c r="P5" s="3">
        <v>3</v>
      </c>
      <c r="Q5" s="2">
        <v>0</v>
      </c>
      <c r="R5" s="3">
        <v>3</v>
      </c>
      <c r="S5" s="2">
        <v>0</v>
      </c>
      <c r="T5" s="11">
        <v>3</v>
      </c>
      <c r="U5" s="169">
        <f>+E5+G5+I5+K5+M5+O5+Q5+S5</f>
        <v>4</v>
      </c>
      <c r="V5" s="184">
        <f>+F5+H5+J5+L5+N5+P5+R5+T5</f>
        <v>19</v>
      </c>
      <c r="W5" s="186">
        <f>COUNTIF(E6:T6,"V")</f>
        <v>1</v>
      </c>
      <c r="X5" s="186">
        <f>RANK(W5,$W$5:$W$20)</f>
        <v>8</v>
      </c>
      <c r="Y5" s="167">
        <f>+U5/V5</f>
        <v>0.21052631578947367</v>
      </c>
      <c r="Z5" s="163">
        <f>RANK(Y5,$Y$5:$Y$20)</f>
        <v>8</v>
      </c>
      <c r="AA5" s="10">
        <f>(+Z5+X5)/2</f>
        <v>8</v>
      </c>
    </row>
    <row r="6" spans="1:35" x14ac:dyDescent="0.3">
      <c r="A6">
        <v>5</v>
      </c>
      <c r="B6" s="17" t="s">
        <v>30</v>
      </c>
      <c r="D6" s="172"/>
      <c r="E6" s="190" t="str">
        <f>IF(E5="","",IF(E5=3,"V","D"))</f>
        <v/>
      </c>
      <c r="F6" s="191"/>
      <c r="G6" s="180" t="str">
        <f>IF(G5+H5=0,+$D$1,IF(G5=3,"V","D"))</f>
        <v>V</v>
      </c>
      <c r="H6" s="181"/>
      <c r="I6" s="180" t="str">
        <f>IF(I5+J5=0,+$D$1,IF(I5=3,"V","D"))</f>
        <v>D</v>
      </c>
      <c r="J6" s="181"/>
      <c r="K6" s="180" t="str">
        <f>IF(K5+L5=0,+$D$1,IF(K5=3,"V","D"))</f>
        <v>D</v>
      </c>
      <c r="L6" s="181"/>
      <c r="M6" s="180" t="str">
        <f>IF(M5+N5=0,+$D$1,IF(M5=3,"V","D"))</f>
        <v>D</v>
      </c>
      <c r="N6" s="181"/>
      <c r="O6" s="180" t="str">
        <f>IF(O5+P5=0,+$D$1,IF(O5=3,"V","D"))</f>
        <v>D</v>
      </c>
      <c r="P6" s="181"/>
      <c r="Q6" s="180" t="str">
        <f>IF(Q5+R5=0,+$D$1,IF(Q5=3,"V","D"))</f>
        <v>D</v>
      </c>
      <c r="R6" s="181"/>
      <c r="S6" s="180" t="str">
        <f>IF(S5+T5=0,+$D$1,IF(S5=3,"V","D"))</f>
        <v>D</v>
      </c>
      <c r="T6" s="181"/>
      <c r="U6" s="170"/>
      <c r="V6" s="185"/>
      <c r="W6" s="187"/>
      <c r="X6" s="187"/>
      <c r="Y6" s="168"/>
      <c r="Z6" s="164"/>
      <c r="AA6" s="10"/>
    </row>
    <row r="7" spans="1:35" x14ac:dyDescent="0.3">
      <c r="A7">
        <v>6</v>
      </c>
      <c r="B7" s="17" t="s">
        <v>31</v>
      </c>
      <c r="D7" s="171" t="str">
        <f>+B3</f>
        <v>Valuch</v>
      </c>
      <c r="E7" s="2">
        <f>+H5</f>
        <v>1</v>
      </c>
      <c r="F7" s="3">
        <f>+G5</f>
        <v>3</v>
      </c>
      <c r="G7" s="12"/>
      <c r="H7" s="13"/>
      <c r="I7" s="2">
        <v>1</v>
      </c>
      <c r="J7" s="3">
        <v>3</v>
      </c>
      <c r="K7" s="2">
        <v>0</v>
      </c>
      <c r="L7" s="3">
        <v>3</v>
      </c>
      <c r="M7" s="1">
        <v>0</v>
      </c>
      <c r="N7" s="1">
        <v>3</v>
      </c>
      <c r="O7" s="2">
        <v>1</v>
      </c>
      <c r="P7" s="3">
        <v>3</v>
      </c>
      <c r="Q7" s="2">
        <v>3</v>
      </c>
      <c r="R7" s="3">
        <v>0</v>
      </c>
      <c r="S7" s="2">
        <v>3</v>
      </c>
      <c r="T7" s="11">
        <v>2</v>
      </c>
      <c r="U7" s="169">
        <f>+E7+G7+I7+K7+M7+O7+Q7+S7</f>
        <v>9</v>
      </c>
      <c r="V7" s="184">
        <f>+F7+H7+J7+L7+N7+P7+R7+T7</f>
        <v>17</v>
      </c>
      <c r="W7" s="186">
        <f>COUNTIF(E8:T8,"V")</f>
        <v>2</v>
      </c>
      <c r="X7" s="186">
        <f>RANK(W7,$W$5:$W$20)</f>
        <v>5</v>
      </c>
      <c r="Y7" s="167">
        <f>+U7/V7</f>
        <v>0.52941176470588236</v>
      </c>
      <c r="Z7" s="163">
        <f>RANK(Y7,$Y$5:$Y$20)</f>
        <v>7</v>
      </c>
      <c r="AA7" s="10">
        <f>(+Z7+X7)/2</f>
        <v>6</v>
      </c>
    </row>
    <row r="8" spans="1:35" x14ac:dyDescent="0.3">
      <c r="A8">
        <v>7</v>
      </c>
      <c r="B8" s="17" t="s">
        <v>4</v>
      </c>
      <c r="D8" s="172"/>
      <c r="E8" s="180" t="str">
        <f>IF(E7+F7=0,+$D$1,IF(E7=3,"V","D"))</f>
        <v>D</v>
      </c>
      <c r="F8" s="181"/>
      <c r="G8" s="182"/>
      <c r="H8" s="183"/>
      <c r="I8" s="180" t="str">
        <f>IF(I7+J7=0,+$D$1,IF(I7=3,"V","D"))</f>
        <v>D</v>
      </c>
      <c r="J8" s="181"/>
      <c r="K8" s="180" t="str">
        <f>IF(K7+L7=0,+$D$1,IF(K7=3,"V","D"))</f>
        <v>D</v>
      </c>
      <c r="L8" s="181"/>
      <c r="M8" s="180" t="str">
        <f>IF(M7+N7=0,+$D$1,IF(M7=3,"V","D"))</f>
        <v>D</v>
      </c>
      <c r="N8" s="181"/>
      <c r="O8" s="180" t="str">
        <f>IF(O7+P7=0,+$D$1,IF(O7=3,"V","D"))</f>
        <v>D</v>
      </c>
      <c r="P8" s="181"/>
      <c r="Q8" s="180" t="str">
        <f>IF(Q7+R7=0,+$D$1,IF(Q7=3,"V","D"))</f>
        <v>V</v>
      </c>
      <c r="R8" s="181"/>
      <c r="S8" s="180" t="str">
        <f>IF(S7+T7=0,+$D$1,IF(S7=3,"V","D"))</f>
        <v>V</v>
      </c>
      <c r="T8" s="181"/>
      <c r="U8" s="170"/>
      <c r="V8" s="185"/>
      <c r="W8" s="187"/>
      <c r="X8" s="187"/>
      <c r="Y8" s="168"/>
      <c r="Z8" s="164"/>
      <c r="AA8" s="10"/>
    </row>
    <row r="9" spans="1:35" x14ac:dyDescent="0.3">
      <c r="A9">
        <v>8</v>
      </c>
      <c r="B9" s="19" t="s">
        <v>32</v>
      </c>
      <c r="D9" s="171" t="str">
        <f>+B4</f>
        <v>Ruiz</v>
      </c>
      <c r="E9" s="2">
        <f>+J5</f>
        <v>3</v>
      </c>
      <c r="F9" s="3">
        <f>+I5</f>
        <v>0</v>
      </c>
      <c r="G9" s="2">
        <f>+J7</f>
        <v>3</v>
      </c>
      <c r="H9" s="3">
        <f>+I7</f>
        <v>1</v>
      </c>
      <c r="I9" s="12"/>
      <c r="J9" s="13"/>
      <c r="K9" s="2">
        <v>3</v>
      </c>
      <c r="L9" s="3">
        <v>0</v>
      </c>
      <c r="M9" s="1">
        <v>3</v>
      </c>
      <c r="N9" s="1">
        <v>0</v>
      </c>
      <c r="O9" s="2">
        <v>0</v>
      </c>
      <c r="P9" s="3">
        <v>3</v>
      </c>
      <c r="Q9" s="2">
        <v>3</v>
      </c>
      <c r="R9" s="3">
        <v>0</v>
      </c>
      <c r="S9" s="2">
        <v>3</v>
      </c>
      <c r="T9" s="11">
        <v>1</v>
      </c>
      <c r="U9" s="169">
        <f>+E9+G9+I9+K9+M9+O9+Q9+S9</f>
        <v>18</v>
      </c>
      <c r="V9" s="184">
        <f>+F9+H9+J9+L9+N9+P9+R9+T9</f>
        <v>5</v>
      </c>
      <c r="W9" s="186">
        <f>COUNTIF(E10:T10,"V")</f>
        <v>6</v>
      </c>
      <c r="X9" s="186">
        <f>RANK(W9,$W$5:$W$20)</f>
        <v>2</v>
      </c>
      <c r="Y9" s="167">
        <f>+U9/V9</f>
        <v>3.6</v>
      </c>
      <c r="Z9" s="163">
        <f>RANK(Y9,$Y$5:$Y$20)</f>
        <v>2</v>
      </c>
      <c r="AA9" s="10">
        <f>(+Z9+X9)/2</f>
        <v>2</v>
      </c>
    </row>
    <row r="10" spans="1:35" x14ac:dyDescent="0.3">
      <c r="D10" s="172"/>
      <c r="E10" s="180" t="str">
        <f>IF(E9+F9=0,+$D$1,IF(E9=3,"V","D"))</f>
        <v>V</v>
      </c>
      <c r="F10" s="181"/>
      <c r="G10" s="180" t="str">
        <f>IF(G9+H9=0,+$D$1,IF(G9=3,"V","D"))</f>
        <v>V</v>
      </c>
      <c r="H10" s="181"/>
      <c r="I10" s="182"/>
      <c r="J10" s="183"/>
      <c r="K10" s="180" t="str">
        <f>IF(K9+L9=0,+$D$1,IF(K9=3,"V","D"))</f>
        <v>V</v>
      </c>
      <c r="L10" s="181"/>
      <c r="M10" s="180" t="str">
        <f>IF(M9+N9=0,+$D$1,IF(M9=3,"V","D"))</f>
        <v>V</v>
      </c>
      <c r="N10" s="181"/>
      <c r="O10" s="180" t="str">
        <f>IF(O9+P9=0,+$D$1,IF(O9=3,"V","D"))</f>
        <v>D</v>
      </c>
      <c r="P10" s="181"/>
      <c r="Q10" s="180" t="str">
        <f>IF(Q9+R9=0,+$D$1,IF(Q9=3,"V","D"))</f>
        <v>V</v>
      </c>
      <c r="R10" s="181"/>
      <c r="S10" s="180" t="str">
        <f>IF(S9+T9=0,+$D$1,IF(S9=3,"V","D"))</f>
        <v>V</v>
      </c>
      <c r="T10" s="181"/>
      <c r="U10" s="170"/>
      <c r="V10" s="185"/>
      <c r="W10" s="187"/>
      <c r="X10" s="187"/>
      <c r="Y10" s="168"/>
      <c r="Z10" s="164"/>
      <c r="AA10" s="10"/>
      <c r="AE10" t="s">
        <v>26</v>
      </c>
    </row>
    <row r="11" spans="1:35" x14ac:dyDescent="0.3">
      <c r="D11" s="171" t="str">
        <f>+B5</f>
        <v>Mühlbach</v>
      </c>
      <c r="E11" s="5">
        <f>IF(+L5="",0,+L5)</f>
        <v>3</v>
      </c>
      <c r="F11" s="9">
        <f>IF(+K5="",0,+K5)</f>
        <v>1</v>
      </c>
      <c r="G11" s="2">
        <f>IF(+L7="",0,L7)</f>
        <v>3</v>
      </c>
      <c r="H11" s="1">
        <f>IF(+K7="",0,K7)</f>
        <v>0</v>
      </c>
      <c r="I11" s="2">
        <f>IF(+L9="",0,L9)</f>
        <v>0</v>
      </c>
      <c r="J11" s="1">
        <f>IF(+K9="",0,K9)</f>
        <v>3</v>
      </c>
      <c r="K11" s="12"/>
      <c r="L11" s="13"/>
      <c r="M11" s="1">
        <v>3</v>
      </c>
      <c r="N11" s="1">
        <v>0</v>
      </c>
      <c r="O11" s="2">
        <v>0</v>
      </c>
      <c r="P11" s="3">
        <v>3</v>
      </c>
      <c r="Q11" s="2">
        <v>1</v>
      </c>
      <c r="R11" s="3">
        <v>3</v>
      </c>
      <c r="S11" s="2">
        <v>3</v>
      </c>
      <c r="T11" s="11">
        <v>1</v>
      </c>
      <c r="U11" s="169">
        <f>+E11+G11+I11+K11+M11+O11+Q11+S11</f>
        <v>13</v>
      </c>
      <c r="V11" s="184">
        <f>+F11+H11+J11+L11+N11+P11+R11+T11</f>
        <v>11</v>
      </c>
      <c r="W11" s="186">
        <f>COUNTIF(E12:T12,"V")</f>
        <v>4</v>
      </c>
      <c r="X11" s="186">
        <f>RANK(W11,$W$5:$W$20)</f>
        <v>3</v>
      </c>
      <c r="Y11" s="167">
        <f>+U11/V11</f>
        <v>1.1818181818181819</v>
      </c>
      <c r="Z11" s="163">
        <f>RANK(Y11,$Y$5:$Y$20)</f>
        <v>4</v>
      </c>
      <c r="AA11" s="10">
        <f>(+Z11+X11)/2</f>
        <v>3.5</v>
      </c>
      <c r="AC11">
        <v>75</v>
      </c>
      <c r="AD11">
        <f>+AD1*W9</f>
        <v>360</v>
      </c>
      <c r="AE11">
        <f>IF(AE10="O",45,0)</f>
        <v>45</v>
      </c>
      <c r="AF11">
        <f>180*2</f>
        <v>360</v>
      </c>
      <c r="AG11">
        <f>SUM(AC11:AF11)</f>
        <v>840</v>
      </c>
      <c r="AH11" s="16">
        <f>-AG11*AH1</f>
        <v>-132.93</v>
      </c>
      <c r="AI11" s="15">
        <f>+AG11+AH11</f>
        <v>707.06999999999994</v>
      </c>
    </row>
    <row r="12" spans="1:35" x14ac:dyDescent="0.3">
      <c r="D12" s="172"/>
      <c r="E12" s="180" t="str">
        <f>IF(E11+F11=0,+$D$1,IF(E11=3,"V","D"))</f>
        <v>V</v>
      </c>
      <c r="F12" s="181"/>
      <c r="G12" s="180" t="str">
        <f>IF(G11+H11=0,+$D$1,IF(G11=3,"V","D"))</f>
        <v>V</v>
      </c>
      <c r="H12" s="181"/>
      <c r="I12" s="180" t="str">
        <f>IF(I11+J11=0,+$D$1,IF(I11=3,"V","D"))</f>
        <v>D</v>
      </c>
      <c r="J12" s="181"/>
      <c r="K12" s="182"/>
      <c r="L12" s="183"/>
      <c r="M12" s="180" t="str">
        <f>IF(M11+N11=0,+$D$1,IF(M11=3,"V","D"))</f>
        <v>V</v>
      </c>
      <c r="N12" s="181"/>
      <c r="O12" s="180" t="str">
        <f>IF(O11+P11=0,+$D$1,IF(O11=3,"V","D"))</f>
        <v>D</v>
      </c>
      <c r="P12" s="181"/>
      <c r="Q12" s="180" t="str">
        <f>IF(Q11+R11=0,+$D$1,IF(Q11=3,"V","D"))</f>
        <v>D</v>
      </c>
      <c r="R12" s="181"/>
      <c r="S12" s="180" t="str">
        <f>IF(S11+T11=0,+$D$1,IF(S11=3,"V","D"))</f>
        <v>V</v>
      </c>
      <c r="T12" s="181"/>
      <c r="U12" s="170"/>
      <c r="V12" s="185"/>
      <c r="W12" s="187"/>
      <c r="X12" s="187"/>
      <c r="Y12" s="168"/>
      <c r="Z12" s="164"/>
      <c r="AA12" s="10"/>
    </row>
    <row r="13" spans="1:35" x14ac:dyDescent="0.3">
      <c r="D13" s="171" t="str">
        <f>+B6</f>
        <v>Turrini</v>
      </c>
      <c r="E13" s="2">
        <f>IF(+N5="",0,N5)</f>
        <v>3</v>
      </c>
      <c r="F13" s="3">
        <f>IF(+M5="",0,M5)</f>
        <v>0</v>
      </c>
      <c r="G13" s="5">
        <f>IF(+N7="",0,+N7)</f>
        <v>3</v>
      </c>
      <c r="H13" s="4">
        <f>IF(+M7="",0,+M7)</f>
        <v>0</v>
      </c>
      <c r="I13" s="2">
        <f>IF(+N9="",0,+N9)</f>
        <v>0</v>
      </c>
      <c r="J13" s="1">
        <f>IF(+M9="",0,+M9)</f>
        <v>3</v>
      </c>
      <c r="K13" s="2">
        <f>+N11</f>
        <v>0</v>
      </c>
      <c r="L13" s="3">
        <f>+M11</f>
        <v>3</v>
      </c>
      <c r="M13" s="12"/>
      <c r="N13" s="13"/>
      <c r="O13" s="2">
        <v>1</v>
      </c>
      <c r="P13" s="3">
        <v>3</v>
      </c>
      <c r="Q13" s="2">
        <v>3</v>
      </c>
      <c r="R13" s="3">
        <v>0</v>
      </c>
      <c r="S13" s="2">
        <v>3</v>
      </c>
      <c r="T13" s="11">
        <v>0</v>
      </c>
      <c r="U13" s="169">
        <f>+E13+G13+I13+K13+M13+O13+Q13+S13</f>
        <v>13</v>
      </c>
      <c r="V13" s="184">
        <f>+F13+H13+J13+L13+N13+P13+R13+T13</f>
        <v>9</v>
      </c>
      <c r="W13" s="186">
        <f>COUNTIF(E14:T14,"V")</f>
        <v>4</v>
      </c>
      <c r="X13" s="186">
        <f>RANK(W13,$W$5:$W$20)</f>
        <v>3</v>
      </c>
      <c r="Y13" s="167">
        <f>+U13/V13</f>
        <v>1.4444444444444444</v>
      </c>
      <c r="Z13" s="163">
        <f>RANK(Y13,$Y$5:$Y$20)</f>
        <v>3</v>
      </c>
      <c r="AA13" s="10">
        <f>(+Z13+X13)/2</f>
        <v>3</v>
      </c>
    </row>
    <row r="14" spans="1:35" x14ac:dyDescent="0.3">
      <c r="D14" s="172"/>
      <c r="E14" s="180" t="str">
        <f>IF(E13+F13=0,+$D$1,IF(E13=3,"V","D"))</f>
        <v>V</v>
      </c>
      <c r="F14" s="181"/>
      <c r="G14" s="180" t="str">
        <f>IF(G13+H13=0,+$D$1,IF(G13=3,"V","D"))</f>
        <v>V</v>
      </c>
      <c r="H14" s="181"/>
      <c r="I14" s="180" t="str">
        <f>IF(I13+J13=0,+$D$1,IF(I13=3,"V","D"))</f>
        <v>D</v>
      </c>
      <c r="J14" s="181"/>
      <c r="K14" s="180" t="str">
        <f>IF(K13+L13=0,+$D$1,IF(K13=3,"V","D"))</f>
        <v>D</v>
      </c>
      <c r="L14" s="181"/>
      <c r="M14" s="182"/>
      <c r="N14" s="183"/>
      <c r="O14" s="180" t="str">
        <f>IF(O13+P13=0,+$D$1,IF(O13=3,"V","D"))</f>
        <v>D</v>
      </c>
      <c r="P14" s="181"/>
      <c r="Q14" s="180" t="str">
        <f>IF(Q13+R13=0,+$D$1,IF(Q13=3,"V","D"))</f>
        <v>V</v>
      </c>
      <c r="R14" s="181"/>
      <c r="S14" s="180" t="str">
        <f>IF(S13+T13=0,+$D$1,IF(S13=3,"V","D"))</f>
        <v>V</v>
      </c>
      <c r="T14" s="181"/>
      <c r="U14" s="170"/>
      <c r="V14" s="185"/>
      <c r="W14" s="187"/>
      <c r="X14" s="187"/>
      <c r="Y14" s="168"/>
      <c r="Z14" s="164"/>
      <c r="AA14" s="10"/>
    </row>
    <row r="15" spans="1:35" x14ac:dyDescent="0.3">
      <c r="D15" s="171" t="str">
        <f>+B7</f>
        <v>Martinko</v>
      </c>
      <c r="E15" s="5">
        <f>IF(+P5="","0",+P5)</f>
        <v>3</v>
      </c>
      <c r="F15" s="9">
        <f>IF(+O5="",0,+O5)</f>
        <v>0</v>
      </c>
      <c r="G15" s="5">
        <f>IF(+P7="",0,P7)</f>
        <v>3</v>
      </c>
      <c r="H15" s="4">
        <f>IF(+O7="",0,O7)</f>
        <v>1</v>
      </c>
      <c r="I15" s="2">
        <f>+P9</f>
        <v>3</v>
      </c>
      <c r="J15" s="3">
        <f>+O9</f>
        <v>0</v>
      </c>
      <c r="K15" s="2">
        <f>+P11</f>
        <v>3</v>
      </c>
      <c r="L15" s="3">
        <f>+O11</f>
        <v>0</v>
      </c>
      <c r="M15" s="1">
        <f>+P13</f>
        <v>3</v>
      </c>
      <c r="N15" s="1">
        <f>+O13</f>
        <v>1</v>
      </c>
      <c r="O15" s="12"/>
      <c r="P15" s="13"/>
      <c r="Q15" s="2">
        <v>3</v>
      </c>
      <c r="R15" s="3">
        <v>2</v>
      </c>
      <c r="S15" s="2">
        <v>3</v>
      </c>
      <c r="T15" s="11">
        <v>0</v>
      </c>
      <c r="U15" s="169">
        <f>+E15+G15+I15+K15+M15+O15+Q15+S15</f>
        <v>21</v>
      </c>
      <c r="V15" s="184">
        <f>+F15+H15+J15+L15+N15+P15+R15+T15</f>
        <v>4</v>
      </c>
      <c r="W15" s="186">
        <f>COUNTIF(E16:T16,"V")</f>
        <v>7</v>
      </c>
      <c r="X15" s="186">
        <f>RANK(W15,$W$5:$W$20)</f>
        <v>1</v>
      </c>
      <c r="Y15" s="167">
        <f>+U15/V15</f>
        <v>5.25</v>
      </c>
      <c r="Z15" s="163">
        <f>RANK(Y15,$Y$5:$Y$20)</f>
        <v>1</v>
      </c>
      <c r="AA15" s="10">
        <f>(+Z15+X15)/2</f>
        <v>1</v>
      </c>
    </row>
    <row r="16" spans="1:35" x14ac:dyDescent="0.3">
      <c r="D16" s="172"/>
      <c r="E16" s="180" t="str">
        <f>IF(E15+F15=0,+$D$1,IF(E15=3,"V","D"))</f>
        <v>V</v>
      </c>
      <c r="F16" s="181"/>
      <c r="G16" s="180" t="str">
        <f>IF(G15+H15=0,+$D$1,IF(G15=3,"V","D"))</f>
        <v>V</v>
      </c>
      <c r="H16" s="181"/>
      <c r="I16" s="180" t="str">
        <f>IF(I15+J15=0,+$D$1,IF(I15=3,"V","D"))</f>
        <v>V</v>
      </c>
      <c r="J16" s="181"/>
      <c r="K16" s="180" t="str">
        <f>IF(K15+L15=0,+$D$1,IF(K15=3,"V","D"))</f>
        <v>V</v>
      </c>
      <c r="L16" s="181"/>
      <c r="M16" s="180" t="str">
        <f>IF(M15+N15=0,+$D$1,IF(M15=3,"V","D"))</f>
        <v>V</v>
      </c>
      <c r="N16" s="181"/>
      <c r="O16" s="182"/>
      <c r="P16" s="183"/>
      <c r="Q16" s="180" t="str">
        <f>IF(Q15+R15=0,+$D$1,IF(Q15=3,"V","D"))</f>
        <v>V</v>
      </c>
      <c r="R16" s="181"/>
      <c r="S16" s="180" t="str">
        <f>IF(S15+T15=0,+$D$1,IF(S15=3,"V","D"))</f>
        <v>V</v>
      </c>
      <c r="T16" s="181"/>
      <c r="U16" s="170"/>
      <c r="V16" s="185"/>
      <c r="W16" s="187"/>
      <c r="X16" s="187"/>
      <c r="Y16" s="168"/>
      <c r="Z16" s="164"/>
      <c r="AA16" s="10"/>
    </row>
    <row r="17" spans="4:27" x14ac:dyDescent="0.3">
      <c r="D17" s="171" t="str">
        <f>+B8</f>
        <v>Putuntica</v>
      </c>
      <c r="E17" s="2">
        <f>+R5</f>
        <v>3</v>
      </c>
      <c r="F17" s="3">
        <f>+Q5</f>
        <v>0</v>
      </c>
      <c r="G17" s="2">
        <f>+R7</f>
        <v>0</v>
      </c>
      <c r="H17" s="3">
        <f>+Q7</f>
        <v>3</v>
      </c>
      <c r="I17" s="2">
        <f>+R9</f>
        <v>0</v>
      </c>
      <c r="J17" s="3">
        <f>+Q9</f>
        <v>3</v>
      </c>
      <c r="K17" s="2">
        <f>+R11</f>
        <v>3</v>
      </c>
      <c r="L17" s="3">
        <f>+Q11</f>
        <v>1</v>
      </c>
      <c r="M17" s="4">
        <f>IF(+R13="",0,+R13)</f>
        <v>0</v>
      </c>
      <c r="N17" s="4">
        <f>IF(+Q13="",0,+Q13)</f>
        <v>3</v>
      </c>
      <c r="O17" s="5">
        <f>IF(+R15="",0,+R15)</f>
        <v>2</v>
      </c>
      <c r="P17" s="4">
        <f>IF(+Q15="",0,+Q15)</f>
        <v>3</v>
      </c>
      <c r="Q17" s="12"/>
      <c r="R17" s="13"/>
      <c r="S17" s="2">
        <v>2</v>
      </c>
      <c r="T17" s="11">
        <v>3</v>
      </c>
      <c r="U17" s="169">
        <f>+E17+G17+I17+K17+M17+O17+Q17+S17</f>
        <v>10</v>
      </c>
      <c r="V17" s="184">
        <f>+F17+H17+J17+L17+N17+P17+R17+T17</f>
        <v>16</v>
      </c>
      <c r="W17" s="186">
        <f>COUNTIF(E18:T18,"V")</f>
        <v>2</v>
      </c>
      <c r="X17" s="186">
        <f>RANK(W17,$W$5:$W$20)</f>
        <v>5</v>
      </c>
      <c r="Y17" s="167">
        <f>+U17/V17</f>
        <v>0.625</v>
      </c>
      <c r="Z17" s="163">
        <f>RANK(Y17,$Y$5:$Y$20)</f>
        <v>5</v>
      </c>
      <c r="AA17" s="10">
        <f>(+Z17+X17)/2</f>
        <v>5</v>
      </c>
    </row>
    <row r="18" spans="4:27" x14ac:dyDescent="0.3">
      <c r="D18" s="172"/>
      <c r="E18" s="180" t="str">
        <f>IF(E17+F17=0,+$D$1,IF(E17=3,"V","D"))</f>
        <v>V</v>
      </c>
      <c r="F18" s="181"/>
      <c r="G18" s="180" t="str">
        <f>IF(G17+H17=0,+$D$1,IF(G17=3,"V","D"))</f>
        <v>D</v>
      </c>
      <c r="H18" s="181"/>
      <c r="I18" s="180" t="str">
        <f>IF(I17+J17=0,+$D$1,IF(I17=3,"V","D"))</f>
        <v>D</v>
      </c>
      <c r="J18" s="181"/>
      <c r="K18" s="180" t="str">
        <f>IF(K17+L17=0,+$D$1,IF(K17=3,"V","D"))</f>
        <v>V</v>
      </c>
      <c r="L18" s="181"/>
      <c r="M18" s="180" t="str">
        <f>IF(M17+N17=0,+$D$1,IF(M17=3,"V","D"))</f>
        <v>D</v>
      </c>
      <c r="N18" s="181"/>
      <c r="O18" s="180" t="str">
        <f>IF(O17+P17=0,+$D$1,IF(O17=3,"V","D"))</f>
        <v>D</v>
      </c>
      <c r="P18" s="181"/>
      <c r="Q18" s="182"/>
      <c r="R18" s="183"/>
      <c r="S18" s="180" t="str">
        <f>IF(S17+T17=0,+$D$1,IF(S17=3,"V","D"))</f>
        <v>D</v>
      </c>
      <c r="T18" s="181"/>
      <c r="U18" s="170"/>
      <c r="V18" s="185"/>
      <c r="W18" s="187"/>
      <c r="X18" s="187"/>
      <c r="Y18" s="168"/>
      <c r="Z18" s="164"/>
      <c r="AA18" s="10"/>
    </row>
    <row r="19" spans="4:27" x14ac:dyDescent="0.3">
      <c r="D19" s="171" t="str">
        <f>+B9</f>
        <v>Chtchetinine,</v>
      </c>
      <c r="E19" s="6">
        <f>+T5</f>
        <v>3</v>
      </c>
      <c r="F19" s="7">
        <f>+S5</f>
        <v>0</v>
      </c>
      <c r="G19" s="6">
        <f>+T7</f>
        <v>2</v>
      </c>
      <c r="H19" s="7">
        <f>+S7</f>
        <v>3</v>
      </c>
      <c r="I19" s="2">
        <f>+T9</f>
        <v>1</v>
      </c>
      <c r="J19" s="1">
        <f>+S9</f>
        <v>3</v>
      </c>
      <c r="K19" s="5">
        <f>+T11</f>
        <v>1</v>
      </c>
      <c r="L19" s="9">
        <f>+S11</f>
        <v>3</v>
      </c>
      <c r="M19" s="8">
        <f>+T13</f>
        <v>0</v>
      </c>
      <c r="N19" s="8">
        <f>+S13</f>
        <v>3</v>
      </c>
      <c r="O19" s="6">
        <f>+T15</f>
        <v>0</v>
      </c>
      <c r="P19" s="7">
        <f>+S15</f>
        <v>3</v>
      </c>
      <c r="Q19" s="5">
        <f>IF(+T17="",0,+T17)</f>
        <v>3</v>
      </c>
      <c r="R19" s="9">
        <f>IF(+S17="",0,+S17)</f>
        <v>2</v>
      </c>
      <c r="S19" s="12"/>
      <c r="T19" s="13"/>
      <c r="U19" s="169">
        <f>+E19+G19+I19+K19+M19+O19+Q19+S19</f>
        <v>10</v>
      </c>
      <c r="V19" s="184">
        <f>+F19+H19+J19+L19+N19+P19+R19+T19</f>
        <v>17</v>
      </c>
      <c r="W19" s="186">
        <f>COUNTIF(E20:T20,"V")</f>
        <v>2</v>
      </c>
      <c r="X19" s="186">
        <f>RANK(W19,$W$5:$W$20)</f>
        <v>5</v>
      </c>
      <c r="Y19" s="167">
        <f>+U19/V19</f>
        <v>0.58823529411764708</v>
      </c>
      <c r="Z19" s="163">
        <f>RANK(Y19,$Y$5:$Y$20)</f>
        <v>6</v>
      </c>
      <c r="AA19" s="10">
        <f>(+Z19+X19)/2</f>
        <v>5.5</v>
      </c>
    </row>
    <row r="20" spans="4:27" x14ac:dyDescent="0.3">
      <c r="D20" s="172"/>
      <c r="E20" s="180" t="str">
        <f>IF(E19+F19=0,+$D$1,IF(E19=3,"V","D"))</f>
        <v>V</v>
      </c>
      <c r="F20" s="181"/>
      <c r="G20" s="180" t="str">
        <f>IF(G19+H19=0,+$D$1,IF(G19=3,"V","D"))</f>
        <v>D</v>
      </c>
      <c r="H20" s="181"/>
      <c r="I20" s="180" t="str">
        <f>IF(I19+J19=0,+$D$1,IF(I19=3,"V","D"))</f>
        <v>D</v>
      </c>
      <c r="J20" s="181"/>
      <c r="K20" s="180" t="str">
        <f>IF(K19+L19=0,+$D$1,IF(K19=3,"V","D"))</f>
        <v>D</v>
      </c>
      <c r="L20" s="181"/>
      <c r="M20" s="180" t="str">
        <f>IF(M19+N19=0,+$D$1,IF(M19=3,"V","D"))</f>
        <v>D</v>
      </c>
      <c r="N20" s="181"/>
      <c r="O20" s="180" t="str">
        <f>IF(O19+P19=0,+$D$1,IF(O19=3,"V","D"))</f>
        <v>D</v>
      </c>
      <c r="P20" s="181"/>
      <c r="Q20" s="180" t="str">
        <f>IF(Q19+R19=0,+$D$1,IF(Q19=3,"V","D"))</f>
        <v>V</v>
      </c>
      <c r="R20" s="181"/>
      <c r="S20" s="182" t="str">
        <f>IF(S19+T19=0,"",IF(S19=3,"V","D"))</f>
        <v/>
      </c>
      <c r="T20" s="183"/>
      <c r="U20" s="170"/>
      <c r="V20" s="185"/>
      <c r="W20" s="187"/>
      <c r="X20" s="187"/>
      <c r="Y20" s="168"/>
      <c r="Z20" s="164"/>
    </row>
    <row r="21" spans="4:27" ht="16.5" customHeight="1" x14ac:dyDescent="0.3"/>
    <row r="22" spans="4:27" x14ac:dyDescent="0.3">
      <c r="G22" t="s">
        <v>0</v>
      </c>
      <c r="H22" t="s">
        <v>1</v>
      </c>
      <c r="I22" t="s">
        <v>1</v>
      </c>
      <c r="J22" t="s">
        <v>1</v>
      </c>
    </row>
    <row r="23" spans="4:27" x14ac:dyDescent="0.3">
      <c r="G23">
        <v>1</v>
      </c>
      <c r="H23">
        <v>2</v>
      </c>
      <c r="I23">
        <v>3</v>
      </c>
    </row>
    <row r="27" spans="4:27" x14ac:dyDescent="0.3">
      <c r="D27" t="s">
        <v>13</v>
      </c>
    </row>
    <row r="28" spans="4:27" x14ac:dyDescent="0.3">
      <c r="D28" t="s">
        <v>14</v>
      </c>
    </row>
    <row r="30" spans="4:27" x14ac:dyDescent="0.3">
      <c r="D30" t="s">
        <v>15</v>
      </c>
    </row>
    <row r="31" spans="4:27" x14ac:dyDescent="0.3">
      <c r="D31" t="s">
        <v>16</v>
      </c>
    </row>
    <row r="32" spans="4:27" x14ac:dyDescent="0.3">
      <c r="D32" t="s">
        <v>17</v>
      </c>
    </row>
    <row r="34" spans="4:24" x14ac:dyDescent="0.3">
      <c r="D34" t="s">
        <v>18</v>
      </c>
    </row>
    <row r="38" spans="4:24" x14ac:dyDescent="0.3">
      <c r="D38" t="s">
        <v>25</v>
      </c>
      <c r="V38">
        <v>75</v>
      </c>
    </row>
    <row r="39" spans="4:24" x14ac:dyDescent="0.3">
      <c r="V39">
        <v>420</v>
      </c>
    </row>
    <row r="40" spans="4:24" x14ac:dyDescent="0.3">
      <c r="D40" t="s">
        <v>31</v>
      </c>
      <c r="V40">
        <v>45</v>
      </c>
    </row>
    <row r="41" spans="4:24" x14ac:dyDescent="0.3">
      <c r="D41" t="s">
        <v>29</v>
      </c>
      <c r="E41" t="s">
        <v>0</v>
      </c>
      <c r="G41" t="s">
        <v>0</v>
      </c>
      <c r="V41">
        <v>360</v>
      </c>
    </row>
    <row r="42" spans="4:24" x14ac:dyDescent="0.3">
      <c r="V42">
        <f>SUM(V38:V41)</f>
        <v>900</v>
      </c>
      <c r="W42">
        <v>-60</v>
      </c>
      <c r="X42">
        <f>SUM(V42:W42)</f>
        <v>840</v>
      </c>
    </row>
    <row r="43" spans="4:24" x14ac:dyDescent="0.3">
      <c r="D43" t="s">
        <v>3</v>
      </c>
      <c r="E43" t="s">
        <v>0</v>
      </c>
    </row>
    <row r="44" spans="4:24" x14ac:dyDescent="0.3">
      <c r="D44" t="s">
        <v>30</v>
      </c>
    </row>
  </sheetData>
  <mergeCells count="135">
    <mergeCell ref="Q10:R10"/>
    <mergeCell ref="M8:N8"/>
    <mergeCell ref="S10:T10"/>
    <mergeCell ref="E6:F6"/>
    <mergeCell ref="E8:F8"/>
    <mergeCell ref="G8:H8"/>
    <mergeCell ref="I8:J8"/>
    <mergeCell ref="K8:L8"/>
    <mergeCell ref="G6:H6"/>
    <mergeCell ref="I6:J6"/>
    <mergeCell ref="K6:L6"/>
    <mergeCell ref="M6:N6"/>
    <mergeCell ref="O6:P6"/>
    <mergeCell ref="Q6:R6"/>
    <mergeCell ref="S6:T6"/>
    <mergeCell ref="O16:P16"/>
    <mergeCell ref="Q16:R16"/>
    <mergeCell ref="S16:T16"/>
    <mergeCell ref="E14:F14"/>
    <mergeCell ref="G14:H14"/>
    <mergeCell ref="I14:J14"/>
    <mergeCell ref="K14:L14"/>
    <mergeCell ref="M14:N14"/>
    <mergeCell ref="O14:P14"/>
    <mergeCell ref="E16:F16"/>
    <mergeCell ref="G16:H16"/>
    <mergeCell ref="I16:J16"/>
    <mergeCell ref="K16:L16"/>
    <mergeCell ref="M16:N16"/>
    <mergeCell ref="Q14:R14"/>
    <mergeCell ref="S14:T14"/>
    <mergeCell ref="Q18:R18"/>
    <mergeCell ref="S18:T18"/>
    <mergeCell ref="O20:P20"/>
    <mergeCell ref="Q20:R20"/>
    <mergeCell ref="S20:T20"/>
    <mergeCell ref="E18:F18"/>
    <mergeCell ref="G18:H18"/>
    <mergeCell ref="I18:J18"/>
    <mergeCell ref="K18:L18"/>
    <mergeCell ref="M18:N18"/>
    <mergeCell ref="O18:P18"/>
    <mergeCell ref="E20:F20"/>
    <mergeCell ref="G20:H20"/>
    <mergeCell ref="I20:J20"/>
    <mergeCell ref="K20:L20"/>
    <mergeCell ref="M20:N20"/>
    <mergeCell ref="X3:X4"/>
    <mergeCell ref="Y3:Y4"/>
    <mergeCell ref="Z3:Z4"/>
    <mergeCell ref="Y13:Y14"/>
    <mergeCell ref="Y15:Y16"/>
    <mergeCell ref="V5:V6"/>
    <mergeCell ref="V7:V8"/>
    <mergeCell ref="V9:V10"/>
    <mergeCell ref="V11:V12"/>
    <mergeCell ref="V13:V14"/>
    <mergeCell ref="W5:W6"/>
    <mergeCell ref="W7:W8"/>
    <mergeCell ref="W9:W10"/>
    <mergeCell ref="W11:W12"/>
    <mergeCell ref="W13:W14"/>
    <mergeCell ref="W15:W16"/>
    <mergeCell ref="V15:V16"/>
    <mergeCell ref="Z5:Z6"/>
    <mergeCell ref="Z15:Z16"/>
    <mergeCell ref="V17:V18"/>
    <mergeCell ref="V19:V20"/>
    <mergeCell ref="X5:X6"/>
    <mergeCell ref="X7:X8"/>
    <mergeCell ref="X9:X10"/>
    <mergeCell ref="X11:X12"/>
    <mergeCell ref="X13:X14"/>
    <mergeCell ref="X15:X16"/>
    <mergeCell ref="X17:X18"/>
    <mergeCell ref="X19:X20"/>
    <mergeCell ref="W17:W18"/>
    <mergeCell ref="W19:W20"/>
    <mergeCell ref="D7:D8"/>
    <mergeCell ref="D9:D10"/>
    <mergeCell ref="D11:D12"/>
    <mergeCell ref="Y5:Y6"/>
    <mergeCell ref="Y7:Y8"/>
    <mergeCell ref="Y9:Y10"/>
    <mergeCell ref="Y11:Y12"/>
    <mergeCell ref="O12:P12"/>
    <mergeCell ref="Q12:R12"/>
    <mergeCell ref="S12:T12"/>
    <mergeCell ref="E12:F12"/>
    <mergeCell ref="G12:H12"/>
    <mergeCell ref="I12:J12"/>
    <mergeCell ref="K12:L12"/>
    <mergeCell ref="M12:N12"/>
    <mergeCell ref="O8:P8"/>
    <mergeCell ref="Q8:R8"/>
    <mergeCell ref="S8:T8"/>
    <mergeCell ref="E10:F10"/>
    <mergeCell ref="G10:H10"/>
    <mergeCell ref="I10:J10"/>
    <mergeCell ref="K10:L10"/>
    <mergeCell ref="M10:N10"/>
    <mergeCell ref="O10:P10"/>
    <mergeCell ref="K3:L4"/>
    <mergeCell ref="M3:N4"/>
    <mergeCell ref="O3:P4"/>
    <mergeCell ref="Q3:R4"/>
    <mergeCell ref="S3:T4"/>
    <mergeCell ref="U3:U4"/>
    <mergeCell ref="V3:V4"/>
    <mergeCell ref="W3:W4"/>
    <mergeCell ref="D5:D6"/>
    <mergeCell ref="Z17:Z18"/>
    <mergeCell ref="Z19:Z20"/>
    <mergeCell ref="D3:D4"/>
    <mergeCell ref="Z7:Z8"/>
    <mergeCell ref="Z9:Z10"/>
    <mergeCell ref="Z11:Z12"/>
    <mergeCell ref="Z13:Z14"/>
    <mergeCell ref="Y17:Y18"/>
    <mergeCell ref="Y19:Y20"/>
    <mergeCell ref="U5:U6"/>
    <mergeCell ref="U7:U8"/>
    <mergeCell ref="U9:U10"/>
    <mergeCell ref="U11:U12"/>
    <mergeCell ref="U13:U14"/>
    <mergeCell ref="U15:U16"/>
    <mergeCell ref="U17:U18"/>
    <mergeCell ref="U19:U20"/>
    <mergeCell ref="D13:D14"/>
    <mergeCell ref="D15:D16"/>
    <mergeCell ref="D17:D18"/>
    <mergeCell ref="D19:D20"/>
    <mergeCell ref="E3:F4"/>
    <mergeCell ref="G3:H4"/>
    <mergeCell ref="I3:J4"/>
  </mergeCells>
  <conditionalFormatting sqref="E5:T20">
    <cfRule type="cellIs" dxfId="202" priority="17" operator="equal">
      <formula>"D"</formula>
    </cfRule>
    <cfRule type="cellIs" dxfId="201" priority="18" operator="equal">
      <formula>"V"</formula>
    </cfRule>
  </conditionalFormatting>
  <conditionalFormatting sqref="Z5">
    <cfRule type="cellIs" dxfId="200" priority="15" operator="greaterThan">
      <formula>4</formula>
    </cfRule>
    <cfRule type="cellIs" dxfId="199" priority="16" stopIfTrue="1" operator="lessThanOrEqual">
      <formula>4</formula>
    </cfRule>
  </conditionalFormatting>
  <conditionalFormatting sqref="Z7">
    <cfRule type="cellIs" dxfId="198" priority="13" operator="greaterThan">
      <formula>4</formula>
    </cfRule>
    <cfRule type="cellIs" dxfId="197" priority="14" stopIfTrue="1" operator="lessThanOrEqual">
      <formula>4</formula>
    </cfRule>
  </conditionalFormatting>
  <conditionalFormatting sqref="Z9">
    <cfRule type="cellIs" dxfId="196" priority="11" operator="greaterThan">
      <formula>4</formula>
    </cfRule>
    <cfRule type="cellIs" dxfId="195" priority="12" stopIfTrue="1" operator="lessThanOrEqual">
      <formula>4</formula>
    </cfRule>
  </conditionalFormatting>
  <conditionalFormatting sqref="Z11">
    <cfRule type="cellIs" dxfId="194" priority="9" operator="greaterThan">
      <formula>4</formula>
    </cfRule>
    <cfRule type="cellIs" dxfId="193" priority="10" stopIfTrue="1" operator="lessThanOrEqual">
      <formula>4</formula>
    </cfRule>
  </conditionalFormatting>
  <conditionalFormatting sqref="Z13">
    <cfRule type="cellIs" dxfId="192" priority="7" operator="greaterThan">
      <formula>4</formula>
    </cfRule>
    <cfRule type="cellIs" dxfId="191" priority="8" stopIfTrue="1" operator="lessThanOrEqual">
      <formula>4</formula>
    </cfRule>
  </conditionalFormatting>
  <conditionalFormatting sqref="Z15">
    <cfRule type="cellIs" dxfId="190" priority="5" operator="greaterThan">
      <formula>4</formula>
    </cfRule>
    <cfRule type="cellIs" dxfId="189" priority="6" stopIfTrue="1" operator="lessThanOrEqual">
      <formula>4</formula>
    </cfRule>
  </conditionalFormatting>
  <conditionalFormatting sqref="Z17">
    <cfRule type="cellIs" dxfId="188" priority="3" operator="greaterThan">
      <formula>4</formula>
    </cfRule>
    <cfRule type="cellIs" dxfId="187" priority="4" stopIfTrue="1" operator="lessThanOrEqual">
      <formula>4</formula>
    </cfRule>
  </conditionalFormatting>
  <conditionalFormatting sqref="Z19">
    <cfRule type="cellIs" dxfId="186" priority="1" operator="greaterThan">
      <formula>4</formula>
    </cfRule>
    <cfRule type="cellIs" dxfId="185" priority="2" stopIfTrue="1" operator="lessThanOrEqual">
      <formula>4</formula>
    </cfRule>
  </conditionalFormatting>
  <pageMargins left="0.7" right="0.7" top="0.75" bottom="0.75" header="0.3" footer="0.3"/>
  <pageSetup paperSize="9" orientation="portrait" horizontalDpi="4294967293" r:id="rId1"/>
  <ignoredErrors>
    <ignoredError sqref="E7 E9 G9 E13 G13 I13 K13 E15 G15 K15 M15 I17 K17 AH11" formula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19DCC0-D7F0-49C7-9E36-B6D23D0E44A1}">
  <dimension ref="A1:AI44"/>
  <sheetViews>
    <sheetView workbookViewId="0">
      <selection activeCell="D9" sqref="A1:XFD1048576"/>
    </sheetView>
  </sheetViews>
  <sheetFormatPr baseColWidth="10" defaultRowHeight="14.4" x14ac:dyDescent="0.3"/>
  <cols>
    <col min="1" max="1" width="7.33203125" customWidth="1"/>
    <col min="2" max="2" width="12.109375" bestFit="1" customWidth="1"/>
    <col min="3" max="3" width="4.6640625" customWidth="1"/>
    <col min="4" max="4" width="15.6640625" customWidth="1"/>
    <col min="5" max="20" width="5.6640625" customWidth="1"/>
    <col min="21" max="21" width="5.88671875" customWidth="1"/>
    <col min="22" max="22" width="6.44140625" customWidth="1"/>
    <col min="23" max="23" width="8" customWidth="1"/>
    <col min="24" max="24" width="9.109375" customWidth="1"/>
    <col min="25" max="25" width="11.5546875" customWidth="1"/>
    <col min="26" max="26" width="10.109375" customWidth="1"/>
    <col min="27" max="27" width="8.33203125" customWidth="1"/>
    <col min="28" max="28" width="2.44140625" customWidth="1"/>
    <col min="31" max="32" width="8.33203125" customWidth="1"/>
    <col min="34" max="34" width="11.6640625" customWidth="1"/>
  </cols>
  <sheetData>
    <row r="1" spans="1:35" x14ac:dyDescent="0.3">
      <c r="A1" t="s">
        <v>5</v>
      </c>
      <c r="B1" s="18" t="s">
        <v>7</v>
      </c>
      <c r="D1" t="s">
        <v>27</v>
      </c>
      <c r="AD1">
        <v>60</v>
      </c>
      <c r="AE1" t="s">
        <v>24</v>
      </c>
      <c r="AH1" s="14">
        <v>0.15825</v>
      </c>
    </row>
    <row r="2" spans="1:35" x14ac:dyDescent="0.3">
      <c r="A2">
        <v>1</v>
      </c>
      <c r="B2" s="17" t="s">
        <v>35</v>
      </c>
      <c r="U2" s="192" t="s">
        <v>41</v>
      </c>
      <c r="V2" s="192"/>
      <c r="AE2">
        <v>45</v>
      </c>
    </row>
    <row r="3" spans="1:35" x14ac:dyDescent="0.3">
      <c r="A3">
        <v>2</v>
      </c>
      <c r="B3" s="17" t="s">
        <v>38</v>
      </c>
      <c r="D3" s="165" t="s">
        <v>9</v>
      </c>
      <c r="E3" s="193" t="str">
        <f>D5</f>
        <v>Hodaei Amir</v>
      </c>
      <c r="F3" s="194"/>
      <c r="G3" s="193" t="str">
        <f>D7</f>
        <v>Bluhm Fl</v>
      </c>
      <c r="H3" s="194"/>
      <c r="I3" s="193" t="str">
        <f>D9</f>
        <v>Ruiz Romain</v>
      </c>
      <c r="J3" s="194"/>
      <c r="K3" s="193" t="str">
        <f>D11</f>
        <v>Valuch Alex</v>
      </c>
      <c r="L3" s="194"/>
      <c r="M3" s="193" t="str">
        <f>D13</f>
        <v xml:space="preserve">Chambers </v>
      </c>
      <c r="N3" s="194"/>
      <c r="O3" s="193" t="str">
        <f>D15</f>
        <v>Ishida Carlos</v>
      </c>
      <c r="P3" s="194"/>
      <c r="Q3" s="193" t="str">
        <f>D17</f>
        <v>Walker Sam</v>
      </c>
      <c r="R3" s="194"/>
      <c r="S3" s="193" t="str">
        <f>+D19</f>
        <v>Rinderer D</v>
      </c>
      <c r="T3" s="197"/>
      <c r="U3" s="177" t="s">
        <v>0</v>
      </c>
      <c r="V3" s="179" t="s">
        <v>1</v>
      </c>
      <c r="W3" s="179" t="s">
        <v>8</v>
      </c>
      <c r="X3" s="179" t="s">
        <v>11</v>
      </c>
      <c r="Y3" s="188" t="s">
        <v>10</v>
      </c>
      <c r="Z3" s="188" t="s">
        <v>12</v>
      </c>
      <c r="AA3" s="8" t="s">
        <v>6</v>
      </c>
      <c r="AC3" t="s">
        <v>22</v>
      </c>
      <c r="AD3" t="s">
        <v>23</v>
      </c>
      <c r="AG3" t="s">
        <v>19</v>
      </c>
      <c r="AH3" t="s">
        <v>20</v>
      </c>
      <c r="AI3" t="s">
        <v>21</v>
      </c>
    </row>
    <row r="4" spans="1:35" ht="27" customHeight="1" x14ac:dyDescent="0.3">
      <c r="A4">
        <v>3</v>
      </c>
      <c r="B4" s="17" t="s">
        <v>34</v>
      </c>
      <c r="D4" s="166"/>
      <c r="E4" s="195"/>
      <c r="F4" s="196"/>
      <c r="G4" s="195"/>
      <c r="H4" s="196"/>
      <c r="I4" s="195"/>
      <c r="J4" s="196"/>
      <c r="K4" s="195"/>
      <c r="L4" s="196"/>
      <c r="M4" s="195"/>
      <c r="N4" s="196"/>
      <c r="O4" s="195"/>
      <c r="P4" s="196"/>
      <c r="Q4" s="195"/>
      <c r="R4" s="196"/>
      <c r="S4" s="195"/>
      <c r="T4" s="198"/>
      <c r="U4" s="178"/>
      <c r="V4" s="172"/>
      <c r="W4" s="172"/>
      <c r="X4" s="172"/>
      <c r="Y4" s="189"/>
      <c r="Z4" s="189"/>
    </row>
    <row r="5" spans="1:35" x14ac:dyDescent="0.3">
      <c r="A5">
        <v>4</v>
      </c>
      <c r="B5" s="17" t="s">
        <v>36</v>
      </c>
      <c r="C5">
        <v>1</v>
      </c>
      <c r="D5" s="171" t="str">
        <f>VLOOKUP(C5,$A$2:$B$9,2)</f>
        <v>Hodaei Amir</v>
      </c>
      <c r="E5" s="12"/>
      <c r="F5" s="13"/>
      <c r="G5" s="2">
        <v>2</v>
      </c>
      <c r="H5" s="3">
        <v>3</v>
      </c>
      <c r="I5" s="2">
        <v>3</v>
      </c>
      <c r="J5" s="3">
        <v>0</v>
      </c>
      <c r="K5" s="2">
        <v>3</v>
      </c>
      <c r="L5" s="3">
        <v>1</v>
      </c>
      <c r="M5" s="1">
        <v>3</v>
      </c>
      <c r="N5" s="1">
        <v>1</v>
      </c>
      <c r="O5" s="2">
        <v>3</v>
      </c>
      <c r="P5" s="3">
        <v>1</v>
      </c>
      <c r="Q5" s="2">
        <v>3</v>
      </c>
      <c r="R5" s="3">
        <v>1</v>
      </c>
      <c r="S5" s="2">
        <v>3</v>
      </c>
      <c r="T5" s="11">
        <v>1</v>
      </c>
      <c r="U5" s="169">
        <f>+E5+G5+I5+K5+M5+O5+Q5+S5</f>
        <v>20</v>
      </c>
      <c r="V5" s="184">
        <f>+F5+H5+J5+L5+N5+P5+R5+T5</f>
        <v>8</v>
      </c>
      <c r="W5" s="186">
        <f>COUNTIF(E6:T6,"V")</f>
        <v>6</v>
      </c>
      <c r="X5" s="186">
        <f>RANK(W5,$W$5:$W$20)</f>
        <v>1</v>
      </c>
      <c r="Y5" s="167">
        <f>+U5/V5</f>
        <v>2.5</v>
      </c>
      <c r="Z5" s="163">
        <f>RANK(Y5,$Y$5:$Y$20)</f>
        <v>1</v>
      </c>
      <c r="AA5" s="10">
        <f>(+Z5+X5)/2</f>
        <v>1</v>
      </c>
    </row>
    <row r="6" spans="1:35" x14ac:dyDescent="0.3">
      <c r="A6">
        <v>5</v>
      </c>
      <c r="B6" s="17" t="s">
        <v>39</v>
      </c>
      <c r="D6" s="172"/>
      <c r="E6" s="190" t="str">
        <f>IF(E5="","",IF(E5=3,"V","D"))</f>
        <v/>
      </c>
      <c r="F6" s="191"/>
      <c r="G6" s="180" t="str">
        <f>IF(G5+H5=0,+$D$1,IF(G5=3,"V","D"))</f>
        <v>D</v>
      </c>
      <c r="H6" s="181"/>
      <c r="I6" s="180" t="str">
        <f>IF(I5+J5=0,+$D$1,IF(I5=3,"V","D"))</f>
        <v>V</v>
      </c>
      <c r="J6" s="181"/>
      <c r="K6" s="180" t="str">
        <f>IF(K5+L5=0,+$D$1,IF(K5=3,"V","D"))</f>
        <v>V</v>
      </c>
      <c r="L6" s="181"/>
      <c r="M6" s="180" t="str">
        <f>IF(M5+N5=0,+$D$1,IF(M5=3,"V","D"))</f>
        <v>V</v>
      </c>
      <c r="N6" s="181"/>
      <c r="O6" s="180" t="str">
        <f>IF(O5+P5=0,+$D$1,IF(O5=3,"V","D"))</f>
        <v>V</v>
      </c>
      <c r="P6" s="181"/>
      <c r="Q6" s="180" t="str">
        <f>IF(Q5+R5=0,+$D$1,IF(Q5=3,"V","D"))</f>
        <v>V</v>
      </c>
      <c r="R6" s="181"/>
      <c r="S6" s="180" t="str">
        <f>IF(S5+T5=0,+$D$1,IF(S5=3,"V","D"))</f>
        <v>V</v>
      </c>
      <c r="T6" s="181"/>
      <c r="U6" s="170"/>
      <c r="V6" s="185"/>
      <c r="W6" s="187"/>
      <c r="X6" s="187"/>
      <c r="Y6" s="168"/>
      <c r="Z6" s="164"/>
      <c r="AA6" s="10"/>
    </row>
    <row r="7" spans="1:35" x14ac:dyDescent="0.3">
      <c r="A7">
        <v>6</v>
      </c>
      <c r="B7" s="17" t="s">
        <v>33</v>
      </c>
      <c r="C7">
        <v>2</v>
      </c>
      <c r="D7" s="171" t="str">
        <f>VLOOKUP(C7,$A$2:$B$9,2)</f>
        <v>Bluhm Fl</v>
      </c>
      <c r="E7" s="2">
        <f>+H5</f>
        <v>3</v>
      </c>
      <c r="F7" s="3">
        <f>+G5</f>
        <v>2</v>
      </c>
      <c r="G7" s="12"/>
      <c r="H7" s="13"/>
      <c r="I7" s="2">
        <v>0</v>
      </c>
      <c r="J7" s="3">
        <v>3</v>
      </c>
      <c r="K7" s="2">
        <v>3</v>
      </c>
      <c r="L7" s="3">
        <v>2</v>
      </c>
      <c r="M7" s="1">
        <v>3</v>
      </c>
      <c r="N7" s="1">
        <v>0</v>
      </c>
      <c r="O7" s="2">
        <v>3</v>
      </c>
      <c r="P7" s="3">
        <v>0</v>
      </c>
      <c r="Q7" s="2">
        <v>3</v>
      </c>
      <c r="R7" s="3">
        <v>1</v>
      </c>
      <c r="S7" s="2">
        <v>3</v>
      </c>
      <c r="T7" s="11">
        <v>0</v>
      </c>
      <c r="U7" s="169">
        <f>+E7+G7+I7+K7+M7+O7+Q7+S7</f>
        <v>18</v>
      </c>
      <c r="V7" s="184">
        <f>+F7+H7+J7+L7+N7+P7+R7+T7</f>
        <v>8</v>
      </c>
      <c r="W7" s="186">
        <f>COUNTIF(E8:T8,"V")</f>
        <v>6</v>
      </c>
      <c r="X7" s="186">
        <f>RANK(W7,$W$5:$W$20)</f>
        <v>1</v>
      </c>
      <c r="Y7" s="167">
        <f>+U7/V7</f>
        <v>2.25</v>
      </c>
      <c r="Z7" s="163">
        <f>RANK(Y7,$Y$5:$Y$20)</f>
        <v>2</v>
      </c>
      <c r="AA7" s="10">
        <f>(+Z7+X7)/2</f>
        <v>1.5</v>
      </c>
    </row>
    <row r="8" spans="1:35" x14ac:dyDescent="0.3">
      <c r="A8">
        <v>7</v>
      </c>
      <c r="B8" s="17" t="s">
        <v>40</v>
      </c>
      <c r="D8" s="172"/>
      <c r="E8" s="180" t="str">
        <f>IF(E7+F7=0,+$D$1,IF(E7=3,"V","D"))</f>
        <v>V</v>
      </c>
      <c r="F8" s="181"/>
      <c r="G8" s="182"/>
      <c r="H8" s="183"/>
      <c r="I8" s="180" t="str">
        <f>IF(I7+J7=0,+$D$1,IF(I7=3,"V","D"))</f>
        <v>D</v>
      </c>
      <c r="J8" s="181"/>
      <c r="K8" s="180" t="str">
        <f>IF(K7+L7=0,+$D$1,IF(K7=3,"V","D"))</f>
        <v>V</v>
      </c>
      <c r="L8" s="181"/>
      <c r="M8" s="180" t="str">
        <f>IF(M7+N7=0,+$D$1,IF(M7=3,"V","D"))</f>
        <v>V</v>
      </c>
      <c r="N8" s="181"/>
      <c r="O8" s="180" t="str">
        <f>IF(O7+P7=0,+$D$1,IF(O7=3,"V","D"))</f>
        <v>V</v>
      </c>
      <c r="P8" s="181"/>
      <c r="Q8" s="180" t="str">
        <f>IF(Q7+R7=0,+$D$1,IF(Q7=3,"V","D"))</f>
        <v>V</v>
      </c>
      <c r="R8" s="181"/>
      <c r="S8" s="180" t="str">
        <f>IF(S7+T7=0,+$D$1,IF(S7=3,"V","D"))</f>
        <v>V</v>
      </c>
      <c r="T8" s="181"/>
      <c r="U8" s="170"/>
      <c r="V8" s="185"/>
      <c r="W8" s="187"/>
      <c r="X8" s="187"/>
      <c r="Y8" s="168"/>
      <c r="Z8" s="164"/>
      <c r="AA8" s="10"/>
    </row>
    <row r="9" spans="1:35" x14ac:dyDescent="0.3">
      <c r="A9">
        <v>8</v>
      </c>
      <c r="B9" s="19" t="s">
        <v>37</v>
      </c>
      <c r="C9">
        <v>3</v>
      </c>
      <c r="D9" s="171" t="str">
        <f>VLOOKUP(C9,$A$2:$B$9,2)</f>
        <v>Ruiz Romain</v>
      </c>
      <c r="E9" s="2">
        <f>+J5</f>
        <v>0</v>
      </c>
      <c r="F9" s="3">
        <f>+I5</f>
        <v>3</v>
      </c>
      <c r="G9" s="2">
        <f>+J7</f>
        <v>3</v>
      </c>
      <c r="H9" s="3">
        <f>+I7</f>
        <v>0</v>
      </c>
      <c r="I9" s="12"/>
      <c r="J9" s="13"/>
      <c r="K9" s="2">
        <v>3</v>
      </c>
      <c r="L9" s="3">
        <v>1</v>
      </c>
      <c r="M9" s="1">
        <v>3</v>
      </c>
      <c r="N9" s="1">
        <v>0</v>
      </c>
      <c r="O9" s="2">
        <v>1</v>
      </c>
      <c r="P9" s="3">
        <v>3</v>
      </c>
      <c r="Q9" s="2">
        <v>1</v>
      </c>
      <c r="R9" s="3">
        <v>3</v>
      </c>
      <c r="S9" s="2">
        <v>3</v>
      </c>
      <c r="T9" s="11">
        <v>2</v>
      </c>
      <c r="U9" s="169">
        <f>+E9+G9+I9+K9+M9+O9+Q9+S9</f>
        <v>14</v>
      </c>
      <c r="V9" s="184">
        <f>+F9+H9+J9+L9+N9+P9+R9+T9</f>
        <v>12</v>
      </c>
      <c r="W9" s="186">
        <f>COUNTIF(E10:T10,"V")</f>
        <v>4</v>
      </c>
      <c r="X9" s="186">
        <f>RANK(W9,$W$5:$W$20)</f>
        <v>3</v>
      </c>
      <c r="Y9" s="167">
        <f>+U9/V9</f>
        <v>1.1666666666666667</v>
      </c>
      <c r="Z9" s="163">
        <f>RANK(Y9,$Y$5:$Y$20)</f>
        <v>5</v>
      </c>
      <c r="AA9" s="10">
        <f>(+Z9+X9)/2</f>
        <v>4</v>
      </c>
      <c r="AC9">
        <v>75</v>
      </c>
      <c r="AD9">
        <f>+AD1*W9</f>
        <v>240</v>
      </c>
      <c r="AE9">
        <v>0</v>
      </c>
      <c r="AF9">
        <v>0</v>
      </c>
      <c r="AG9">
        <f>SUM(AC9:AF9)</f>
        <v>315</v>
      </c>
      <c r="AH9" s="16">
        <f>-AG9*AH1</f>
        <v>-49.848750000000003</v>
      </c>
      <c r="AI9" s="15">
        <f>+AG9+AH9</f>
        <v>265.15125</v>
      </c>
    </row>
    <row r="10" spans="1:35" x14ac:dyDescent="0.3">
      <c r="D10" s="172"/>
      <c r="E10" s="180" t="str">
        <f>IF(E9+F9=0,+$D$1,IF(E9=3,"V","D"))</f>
        <v>D</v>
      </c>
      <c r="F10" s="181"/>
      <c r="G10" s="180" t="str">
        <f>IF(G9+H9=0,+$D$1,IF(G9=3,"V","D"))</f>
        <v>V</v>
      </c>
      <c r="H10" s="181"/>
      <c r="I10" s="182"/>
      <c r="J10" s="183"/>
      <c r="K10" s="180" t="str">
        <f>IF(K9+L9=0,+$D$1,IF(K9=3,"V","D"))</f>
        <v>V</v>
      </c>
      <c r="L10" s="181"/>
      <c r="M10" s="180" t="str">
        <f>IF(M9+N9=0,+$D$1,IF(M9=3,"V","D"))</f>
        <v>V</v>
      </c>
      <c r="N10" s="181"/>
      <c r="O10" s="180" t="str">
        <f>IF(O9+P9=0,+$D$1,IF(O9=3,"V","D"))</f>
        <v>D</v>
      </c>
      <c r="P10" s="181"/>
      <c r="Q10" s="180" t="str">
        <f>IF(Q9+R9=0,+$D$1,IF(Q9=3,"V","D"))</f>
        <v>D</v>
      </c>
      <c r="R10" s="181"/>
      <c r="S10" s="180" t="str">
        <f>IF(S9+T9=0,+$D$1,IF(S9=3,"V","D"))</f>
        <v>V</v>
      </c>
      <c r="T10" s="181"/>
      <c r="U10" s="170"/>
      <c r="V10" s="185"/>
      <c r="W10" s="187"/>
      <c r="X10" s="187"/>
      <c r="Y10" s="168"/>
      <c r="Z10" s="164"/>
      <c r="AA10" s="10"/>
    </row>
    <row r="11" spans="1:35" x14ac:dyDescent="0.3">
      <c r="C11">
        <v>4</v>
      </c>
      <c r="D11" s="171" t="str">
        <f>VLOOKUP(C11,$A$2:$B$9,2)</f>
        <v>Valuch Alex</v>
      </c>
      <c r="E11" s="5">
        <f>IF(+L5="",0,+L5)</f>
        <v>1</v>
      </c>
      <c r="F11" s="9">
        <f>IF(+K5="",0,+K5)</f>
        <v>3</v>
      </c>
      <c r="G11" s="2">
        <f>IF(+L7="",0,L7)</f>
        <v>2</v>
      </c>
      <c r="H11" s="1">
        <f>IF(+K7="",0,K7)</f>
        <v>3</v>
      </c>
      <c r="I11" s="2">
        <f>IF(+L9="",0,L9)</f>
        <v>1</v>
      </c>
      <c r="J11" s="1">
        <f>IF(+K9="",0,K9)</f>
        <v>3</v>
      </c>
      <c r="K11" s="12"/>
      <c r="L11" s="13"/>
      <c r="M11" s="1">
        <v>3</v>
      </c>
      <c r="N11" s="1">
        <v>1</v>
      </c>
      <c r="O11" s="2">
        <v>0</v>
      </c>
      <c r="P11" s="3">
        <v>3</v>
      </c>
      <c r="Q11" s="2">
        <v>3</v>
      </c>
      <c r="R11" s="3">
        <v>2</v>
      </c>
      <c r="S11" s="2">
        <v>3</v>
      </c>
      <c r="T11" s="11">
        <v>2</v>
      </c>
      <c r="U11" s="169">
        <f>+E11+G11+I11+K11+M11+O11+Q11+S11</f>
        <v>13</v>
      </c>
      <c r="V11" s="184">
        <f>+F11+H11+J11+L11+N11+P11+R11+T11</f>
        <v>17</v>
      </c>
      <c r="W11" s="186">
        <f>COUNTIF(E12:T12,"V")</f>
        <v>3</v>
      </c>
      <c r="X11" s="186">
        <f>RANK(W11,$W$5:$W$20)</f>
        <v>6</v>
      </c>
      <c r="Y11" s="167">
        <f>+U11/V11</f>
        <v>0.76470588235294112</v>
      </c>
      <c r="Z11" s="163">
        <f>RANK(Y11,$Y$5:$Y$20)</f>
        <v>6</v>
      </c>
      <c r="AA11" s="10">
        <f>(+Z11+X11)/2</f>
        <v>6</v>
      </c>
    </row>
    <row r="12" spans="1:35" x14ac:dyDescent="0.3">
      <c r="B12" s="20"/>
      <c r="D12" s="172"/>
      <c r="E12" s="180" t="str">
        <f>IF(E11+F11=0,+$D$1,IF(E11=3,"V","D"))</f>
        <v>D</v>
      </c>
      <c r="F12" s="181"/>
      <c r="G12" s="180" t="str">
        <f>IF(G11+H11=0,+$D$1,IF(G11=3,"V","D"))</f>
        <v>D</v>
      </c>
      <c r="H12" s="181"/>
      <c r="I12" s="180" t="str">
        <f>IF(I11+J11=0,+$D$1,IF(I11=3,"V","D"))</f>
        <v>D</v>
      </c>
      <c r="J12" s="181"/>
      <c r="K12" s="182"/>
      <c r="L12" s="183"/>
      <c r="M12" s="180" t="str">
        <f>IF(M11+N11=0,+$D$1,IF(M11=3,"V","D"))</f>
        <v>V</v>
      </c>
      <c r="N12" s="181"/>
      <c r="O12" s="180" t="str">
        <f>IF(O11+P11=0,+$D$1,IF(O11=3,"V","D"))</f>
        <v>D</v>
      </c>
      <c r="P12" s="181"/>
      <c r="Q12" s="180" t="str">
        <f>IF(Q11+R11=0,+$D$1,IF(Q11=3,"V","D"))</f>
        <v>V</v>
      </c>
      <c r="R12" s="181"/>
      <c r="S12" s="180" t="str">
        <f>IF(S11+T11=0,+$D$1,IF(S11=3,"V","D"))</f>
        <v>V</v>
      </c>
      <c r="T12" s="181"/>
      <c r="U12" s="170"/>
      <c r="V12" s="185"/>
      <c r="W12" s="187"/>
      <c r="X12" s="187"/>
      <c r="Y12" s="168"/>
      <c r="Z12" s="164"/>
      <c r="AA12" s="10"/>
    </row>
    <row r="13" spans="1:35" x14ac:dyDescent="0.3">
      <c r="B13" s="20"/>
      <c r="C13">
        <v>5</v>
      </c>
      <c r="D13" s="171" t="str">
        <f>VLOOKUP(C13,$A$2:$B$9,2)</f>
        <v xml:space="preserve">Chambers </v>
      </c>
      <c r="E13" s="2">
        <f>IF(+N5="",0,N5)</f>
        <v>1</v>
      </c>
      <c r="F13" s="3">
        <f>IF(+M5="",0,M5)</f>
        <v>3</v>
      </c>
      <c r="G13" s="5">
        <f>IF(+N7="",0,+N7)</f>
        <v>0</v>
      </c>
      <c r="H13" s="4">
        <f>IF(+M7="",0,+M7)</f>
        <v>3</v>
      </c>
      <c r="I13" s="2">
        <f>IF(+N9="",0,+N9)</f>
        <v>0</v>
      </c>
      <c r="J13" s="1">
        <f>IF(+M9="",0,+M9)</f>
        <v>3</v>
      </c>
      <c r="K13" s="2">
        <f>+N11</f>
        <v>1</v>
      </c>
      <c r="L13" s="3">
        <f>+M11</f>
        <v>3</v>
      </c>
      <c r="M13" s="12"/>
      <c r="N13" s="13"/>
      <c r="O13" s="2">
        <v>0</v>
      </c>
      <c r="P13" s="3">
        <v>3</v>
      </c>
      <c r="Q13" s="2">
        <v>0</v>
      </c>
      <c r="R13" s="3">
        <v>3</v>
      </c>
      <c r="S13" s="2">
        <v>3</v>
      </c>
      <c r="T13" s="11">
        <v>1</v>
      </c>
      <c r="U13" s="169">
        <f>+E13+G13+I13+K13+M13+O13+Q13+S13</f>
        <v>5</v>
      </c>
      <c r="V13" s="184">
        <f>+F13+H13+J13+L13+N13+P13+R13+T13</f>
        <v>19</v>
      </c>
      <c r="W13" s="186">
        <f>COUNTIF(E14:T14,"V")</f>
        <v>1</v>
      </c>
      <c r="X13" s="186">
        <f>RANK(W13,$W$5:$W$20)</f>
        <v>7</v>
      </c>
      <c r="Y13" s="167">
        <f>+U13/V13</f>
        <v>0.26315789473684209</v>
      </c>
      <c r="Z13" s="163">
        <f>RANK(Y13,$Y$5:$Y$20)</f>
        <v>8</v>
      </c>
      <c r="AA13" s="10">
        <f>(+Z13+X13)/2</f>
        <v>7.5</v>
      </c>
    </row>
    <row r="14" spans="1:35" x14ac:dyDescent="0.3">
      <c r="B14" s="20"/>
      <c r="D14" s="172"/>
      <c r="E14" s="180" t="str">
        <f>IF(E13+F13=0,+$D$1,IF(E13=3,"V","D"))</f>
        <v>D</v>
      </c>
      <c r="F14" s="181"/>
      <c r="G14" s="180" t="str">
        <f>IF(G13+H13=0,+$D$1,IF(G13=3,"V","D"))</f>
        <v>D</v>
      </c>
      <c r="H14" s="181"/>
      <c r="I14" s="180" t="str">
        <f>IF(I13+J13=0,+$D$1,IF(I13=3,"V","D"))</f>
        <v>D</v>
      </c>
      <c r="J14" s="181"/>
      <c r="K14" s="180" t="str">
        <f>IF(K13+L13=0,+$D$1,IF(K13=3,"V","D"))</f>
        <v>D</v>
      </c>
      <c r="L14" s="181"/>
      <c r="M14" s="182"/>
      <c r="N14" s="183"/>
      <c r="O14" s="180" t="str">
        <f>IF(O13+P13=0,+$D$1,IF(O13=3,"V","D"))</f>
        <v>D</v>
      </c>
      <c r="P14" s="181"/>
      <c r="Q14" s="180" t="str">
        <f>IF(Q13+R13=0,+$D$1,IF(Q13=3,"V","D"))</f>
        <v>D</v>
      </c>
      <c r="R14" s="181"/>
      <c r="S14" s="180" t="str">
        <f>IF(S13+T13=0,+$D$1,IF(S13=3,"V","D"))</f>
        <v>V</v>
      </c>
      <c r="T14" s="181"/>
      <c r="U14" s="170"/>
      <c r="V14" s="185"/>
      <c r="W14" s="187"/>
      <c r="X14" s="187"/>
      <c r="Y14" s="168"/>
      <c r="Z14" s="164"/>
      <c r="AA14" s="10"/>
    </row>
    <row r="15" spans="1:35" x14ac:dyDescent="0.3">
      <c r="B15" s="20"/>
      <c r="C15">
        <v>6</v>
      </c>
      <c r="D15" s="171" t="str">
        <f>VLOOKUP(C15,$A$2:$B$9,2)</f>
        <v>Ishida Carlos</v>
      </c>
      <c r="E15" s="5">
        <f>IF(+P5="","0",+P5)</f>
        <v>1</v>
      </c>
      <c r="F15" s="9">
        <f>IF(+O5="",0,+O5)</f>
        <v>3</v>
      </c>
      <c r="G15" s="5">
        <f>IF(+P7="",0,P7)</f>
        <v>0</v>
      </c>
      <c r="H15" s="4">
        <f>IF(+O7="",0,O7)</f>
        <v>3</v>
      </c>
      <c r="I15" s="2">
        <f>+P9</f>
        <v>3</v>
      </c>
      <c r="J15" s="3">
        <f>+O9</f>
        <v>1</v>
      </c>
      <c r="K15" s="2">
        <f>+P11</f>
        <v>3</v>
      </c>
      <c r="L15" s="3">
        <f>+O11</f>
        <v>0</v>
      </c>
      <c r="M15" s="1">
        <f>+P13</f>
        <v>3</v>
      </c>
      <c r="N15" s="1">
        <f>+O13</f>
        <v>0</v>
      </c>
      <c r="O15" s="12"/>
      <c r="P15" s="13"/>
      <c r="Q15" s="2">
        <v>1</v>
      </c>
      <c r="R15" s="3">
        <v>3</v>
      </c>
      <c r="S15" s="2">
        <v>3</v>
      </c>
      <c r="T15" s="11">
        <v>0</v>
      </c>
      <c r="U15" s="169">
        <f>+E15+G15+I15+K15+M15+O15+Q15+S15</f>
        <v>14</v>
      </c>
      <c r="V15" s="184">
        <f>+F15+H15+J15+L15+N15+P15+R15+T15</f>
        <v>10</v>
      </c>
      <c r="W15" s="186">
        <f>COUNTIF(E16:T16,"V")</f>
        <v>4</v>
      </c>
      <c r="X15" s="186">
        <f>RANK(W15,$W$5:$W$20)</f>
        <v>3</v>
      </c>
      <c r="Y15" s="167">
        <f>+U15/V15</f>
        <v>1.4</v>
      </c>
      <c r="Z15" s="163">
        <f>RANK(Y15,$Y$5:$Y$20)</f>
        <v>3</v>
      </c>
      <c r="AA15" s="10">
        <f>(+Z15+X15)/2</f>
        <v>3</v>
      </c>
    </row>
    <row r="16" spans="1:35" x14ac:dyDescent="0.3">
      <c r="B16" s="20"/>
      <c r="D16" s="172"/>
      <c r="E16" s="180" t="str">
        <f>IF(E15+F15=0,+$D$1,IF(E15=3,"V","D"))</f>
        <v>D</v>
      </c>
      <c r="F16" s="181"/>
      <c r="G16" s="180" t="str">
        <f>IF(G15+H15=0,+$D$1,IF(G15=3,"V","D"))</f>
        <v>D</v>
      </c>
      <c r="H16" s="181"/>
      <c r="I16" s="180" t="str">
        <f>IF(I15+J15=0,+$D$1,IF(I15=3,"V","D"))</f>
        <v>V</v>
      </c>
      <c r="J16" s="181"/>
      <c r="K16" s="180" t="str">
        <f>IF(K15+L15=0,+$D$1,IF(K15=3,"V","D"))</f>
        <v>V</v>
      </c>
      <c r="L16" s="181"/>
      <c r="M16" s="180" t="str">
        <f>IF(M15+N15=0,+$D$1,IF(M15=3,"V","D"))</f>
        <v>V</v>
      </c>
      <c r="N16" s="181"/>
      <c r="O16" s="182"/>
      <c r="P16" s="183"/>
      <c r="Q16" s="180" t="str">
        <f>IF(Q15+R15=0,+$D$1,IF(Q15=3,"V","D"))</f>
        <v>D</v>
      </c>
      <c r="R16" s="181"/>
      <c r="S16" s="180" t="str">
        <f>IF(S15+T15=0,+$D$1,IF(S15=3,"V","D"))</f>
        <v>V</v>
      </c>
      <c r="T16" s="181"/>
      <c r="U16" s="170"/>
      <c r="V16" s="185"/>
      <c r="W16" s="187"/>
      <c r="X16" s="187"/>
      <c r="Y16" s="168"/>
      <c r="Z16" s="164"/>
      <c r="AA16" s="10"/>
    </row>
    <row r="17" spans="2:27" x14ac:dyDescent="0.3">
      <c r="B17" s="20"/>
      <c r="C17">
        <v>7</v>
      </c>
      <c r="D17" s="171" t="str">
        <f>VLOOKUP(C17,$A$2:$B$9,2)</f>
        <v>Walker Sam</v>
      </c>
      <c r="E17" s="2">
        <f>+R5</f>
        <v>1</v>
      </c>
      <c r="F17" s="3">
        <f>+Q5</f>
        <v>3</v>
      </c>
      <c r="G17" s="2">
        <f>+R7</f>
        <v>1</v>
      </c>
      <c r="H17" s="3">
        <f>+Q7</f>
        <v>3</v>
      </c>
      <c r="I17" s="2">
        <f>+R9</f>
        <v>3</v>
      </c>
      <c r="J17" s="3">
        <f>+Q9</f>
        <v>1</v>
      </c>
      <c r="K17" s="2">
        <f>+R11</f>
        <v>2</v>
      </c>
      <c r="L17" s="3">
        <f>+Q11</f>
        <v>3</v>
      </c>
      <c r="M17" s="4">
        <f>IF(+R13="",0,+R13)</f>
        <v>3</v>
      </c>
      <c r="N17" s="4">
        <f>IF(+Q13="",0,+Q13)</f>
        <v>0</v>
      </c>
      <c r="O17" s="5">
        <f>IF(+R15="",0,+R15)</f>
        <v>3</v>
      </c>
      <c r="P17" s="4">
        <f>IF(+Q15="",0,+Q15)</f>
        <v>1</v>
      </c>
      <c r="Q17" s="12"/>
      <c r="R17" s="13"/>
      <c r="S17" s="2">
        <v>3</v>
      </c>
      <c r="T17" s="11">
        <v>1</v>
      </c>
      <c r="U17" s="169">
        <f>+E17+G17+I17+K17+M17+O17+Q17+S17</f>
        <v>16</v>
      </c>
      <c r="V17" s="184">
        <f>+F17+H17+J17+L17+N17+P17+R17+T17</f>
        <v>12</v>
      </c>
      <c r="W17" s="186">
        <f>COUNTIF(E18:T18,"V")</f>
        <v>4</v>
      </c>
      <c r="X17" s="186">
        <f>RANK(W17,$W$5:$W$20)</f>
        <v>3</v>
      </c>
      <c r="Y17" s="167">
        <f>+U17/V17</f>
        <v>1.3333333333333333</v>
      </c>
      <c r="Z17" s="163">
        <f>RANK(Y17,$Y$5:$Y$20)</f>
        <v>4</v>
      </c>
      <c r="AA17" s="10">
        <f>(+Z17+X17)/2</f>
        <v>3.5</v>
      </c>
    </row>
    <row r="18" spans="2:27" x14ac:dyDescent="0.3">
      <c r="B18" s="20"/>
      <c r="D18" s="172"/>
      <c r="E18" s="180" t="str">
        <f>IF(E17+F17=0,+$D$1,IF(E17=3,"V","D"))</f>
        <v>D</v>
      </c>
      <c r="F18" s="181"/>
      <c r="G18" s="180" t="str">
        <f>IF(G17+H17=0,+$D$1,IF(G17=3,"V","D"))</f>
        <v>D</v>
      </c>
      <c r="H18" s="181"/>
      <c r="I18" s="180" t="str">
        <f>IF(I17+J17=0,+$D$1,IF(I17=3,"V","D"))</f>
        <v>V</v>
      </c>
      <c r="J18" s="181"/>
      <c r="K18" s="180" t="str">
        <f>IF(K17+L17=0,+$D$1,IF(K17=3,"V","D"))</f>
        <v>D</v>
      </c>
      <c r="L18" s="181"/>
      <c r="M18" s="180" t="str">
        <f>IF(M17+N17=0,+$D$1,IF(M17=3,"V","D"))</f>
        <v>V</v>
      </c>
      <c r="N18" s="181"/>
      <c r="O18" s="180" t="str">
        <f>IF(O17+P17=0,+$D$1,IF(O17=3,"V","D"))</f>
        <v>V</v>
      </c>
      <c r="P18" s="181"/>
      <c r="Q18" s="182"/>
      <c r="R18" s="183"/>
      <c r="S18" s="180" t="str">
        <f>IF(S17+T17=0,+$D$1,IF(S17=3,"V","D"))</f>
        <v>V</v>
      </c>
      <c r="T18" s="181"/>
      <c r="U18" s="170"/>
      <c r="V18" s="185"/>
      <c r="W18" s="187"/>
      <c r="X18" s="187"/>
      <c r="Y18" s="168"/>
      <c r="Z18" s="164"/>
      <c r="AA18" s="10"/>
    </row>
    <row r="19" spans="2:27" x14ac:dyDescent="0.3">
      <c r="B19" s="20"/>
      <c r="C19">
        <v>8</v>
      </c>
      <c r="D19" s="171" t="str">
        <f>VLOOKUP(C19,$A$2:$B$9,2)</f>
        <v>Rinderer D</v>
      </c>
      <c r="E19" s="6">
        <f>+T5</f>
        <v>1</v>
      </c>
      <c r="F19" s="7">
        <f>+S5</f>
        <v>3</v>
      </c>
      <c r="G19" s="6">
        <f>+T7</f>
        <v>0</v>
      </c>
      <c r="H19" s="7">
        <f>+S7</f>
        <v>3</v>
      </c>
      <c r="I19" s="2">
        <f>+T9</f>
        <v>2</v>
      </c>
      <c r="J19" s="1">
        <f>+S9</f>
        <v>3</v>
      </c>
      <c r="K19" s="5">
        <f>+T11</f>
        <v>2</v>
      </c>
      <c r="L19" s="9">
        <f>+S11</f>
        <v>3</v>
      </c>
      <c r="M19" s="8">
        <f>+T13</f>
        <v>1</v>
      </c>
      <c r="N19" s="8">
        <f>+S13</f>
        <v>3</v>
      </c>
      <c r="O19" s="6">
        <f>+T15</f>
        <v>0</v>
      </c>
      <c r="P19" s="7">
        <f>+S15</f>
        <v>3</v>
      </c>
      <c r="Q19" s="5">
        <f>IF(+T17="",0,+T17)</f>
        <v>1</v>
      </c>
      <c r="R19" s="9">
        <f>IF(+S17="",0,+S17)</f>
        <v>3</v>
      </c>
      <c r="S19" s="12"/>
      <c r="T19" s="13"/>
      <c r="U19" s="169">
        <f>+E19+G19+I19+K19+M19+O19+Q19+S19</f>
        <v>7</v>
      </c>
      <c r="V19" s="184">
        <f>+F19+H19+J19+L19+N19+P19+R19+T19</f>
        <v>21</v>
      </c>
      <c r="W19" s="186">
        <f>COUNTIF(E20:T20,"V")</f>
        <v>0</v>
      </c>
      <c r="X19" s="186">
        <f>RANK(W19,$W$5:$W$20)</f>
        <v>8</v>
      </c>
      <c r="Y19" s="167">
        <f>+U19/V19</f>
        <v>0.33333333333333331</v>
      </c>
      <c r="Z19" s="163">
        <f>RANK(Y19,$Y$5:$Y$20)</f>
        <v>7</v>
      </c>
      <c r="AA19" s="10">
        <f>(+Z19+X19)/2</f>
        <v>7.5</v>
      </c>
    </row>
    <row r="20" spans="2:27" x14ac:dyDescent="0.3">
      <c r="D20" s="172"/>
      <c r="E20" s="180" t="str">
        <f>IF(E19+F19=0,+$D$1,IF(E19=3,"V","D"))</f>
        <v>D</v>
      </c>
      <c r="F20" s="181"/>
      <c r="G20" s="180" t="str">
        <f>IF(G19+H19=0,+$D$1,IF(G19=3,"V","D"))</f>
        <v>D</v>
      </c>
      <c r="H20" s="181"/>
      <c r="I20" s="180" t="str">
        <f>IF(I19+J19=0,+$D$1,IF(I19=3,"V","D"))</f>
        <v>D</v>
      </c>
      <c r="J20" s="181"/>
      <c r="K20" s="180" t="str">
        <f>IF(K19+L19=0,+$D$1,IF(K19=3,"V","D"))</f>
        <v>D</v>
      </c>
      <c r="L20" s="181"/>
      <c r="M20" s="180" t="str">
        <f>IF(M19+N19=0,+$D$1,IF(M19=3,"V","D"))</f>
        <v>D</v>
      </c>
      <c r="N20" s="181"/>
      <c r="O20" s="180" t="str">
        <f>IF(O19+P19=0,+$D$1,IF(O19=3,"V","D"))</f>
        <v>D</v>
      </c>
      <c r="P20" s="181"/>
      <c r="Q20" s="180" t="str">
        <f>IF(Q19+R19=0,+$D$1,IF(Q19=3,"V","D"))</f>
        <v>D</v>
      </c>
      <c r="R20" s="181"/>
      <c r="S20" s="182" t="str">
        <f>IF(S19+T19=0,"",IF(S19=3,"V","D"))</f>
        <v/>
      </c>
      <c r="T20" s="183"/>
      <c r="U20" s="170"/>
      <c r="V20" s="185"/>
      <c r="W20" s="187"/>
      <c r="X20" s="187"/>
      <c r="Y20" s="168"/>
      <c r="Z20" s="164"/>
    </row>
    <row r="21" spans="2:27" ht="16.5" customHeight="1" x14ac:dyDescent="0.3"/>
    <row r="27" spans="2:27" x14ac:dyDescent="0.3">
      <c r="D27" t="s">
        <v>13</v>
      </c>
    </row>
    <row r="28" spans="2:27" x14ac:dyDescent="0.3">
      <c r="D28" t="s">
        <v>14</v>
      </c>
    </row>
    <row r="30" spans="2:27" x14ac:dyDescent="0.3">
      <c r="D30" t="s">
        <v>15</v>
      </c>
    </row>
    <row r="31" spans="2:27" x14ac:dyDescent="0.3">
      <c r="D31" t="s">
        <v>16</v>
      </c>
    </row>
    <row r="32" spans="2:27" x14ac:dyDescent="0.3">
      <c r="D32" t="s">
        <v>17</v>
      </c>
    </row>
    <row r="34" spans="4:24" x14ac:dyDescent="0.3">
      <c r="D34" t="s">
        <v>18</v>
      </c>
    </row>
    <row r="38" spans="4:24" x14ac:dyDescent="0.3">
      <c r="D38" t="s">
        <v>25</v>
      </c>
      <c r="V38">
        <v>75</v>
      </c>
    </row>
    <row r="39" spans="4:24" x14ac:dyDescent="0.3">
      <c r="V39">
        <v>420</v>
      </c>
    </row>
    <row r="40" spans="4:24" x14ac:dyDescent="0.3">
      <c r="D40" t="s">
        <v>31</v>
      </c>
      <c r="V40">
        <v>45</v>
      </c>
    </row>
    <row r="41" spans="4:24" x14ac:dyDescent="0.3">
      <c r="D41" t="s">
        <v>29</v>
      </c>
      <c r="E41" t="s">
        <v>0</v>
      </c>
      <c r="G41" t="s">
        <v>0</v>
      </c>
      <c r="V41">
        <v>360</v>
      </c>
    </row>
    <row r="42" spans="4:24" x14ac:dyDescent="0.3">
      <c r="V42">
        <f>SUM(V38:V41)</f>
        <v>900</v>
      </c>
      <c r="W42">
        <v>-60</v>
      </c>
      <c r="X42">
        <f>SUM(V42:W42)</f>
        <v>840</v>
      </c>
    </row>
    <row r="43" spans="4:24" x14ac:dyDescent="0.3">
      <c r="D43" t="s">
        <v>3</v>
      </c>
      <c r="E43" t="s">
        <v>0</v>
      </c>
    </row>
    <row r="44" spans="4:24" x14ac:dyDescent="0.3">
      <c r="D44" t="s">
        <v>30</v>
      </c>
    </row>
  </sheetData>
  <mergeCells count="136">
    <mergeCell ref="D19:D20"/>
    <mergeCell ref="U19:U20"/>
    <mergeCell ref="V19:V20"/>
    <mergeCell ref="D17:D18"/>
    <mergeCell ref="U17:U18"/>
    <mergeCell ref="V17:V18"/>
    <mergeCell ref="W17:W18"/>
    <mergeCell ref="X17:X18"/>
    <mergeCell ref="Y17:Y18"/>
    <mergeCell ref="Z19:Z20"/>
    <mergeCell ref="E20:F20"/>
    <mergeCell ref="G20:H20"/>
    <mergeCell ref="W19:W20"/>
    <mergeCell ref="X19:X20"/>
    <mergeCell ref="Y19:Y20"/>
    <mergeCell ref="Z17:Z18"/>
    <mergeCell ref="E18:F18"/>
    <mergeCell ref="G18:H18"/>
    <mergeCell ref="I18:J18"/>
    <mergeCell ref="K18:L18"/>
    <mergeCell ref="M18:N18"/>
    <mergeCell ref="O18:P18"/>
    <mergeCell ref="Q18:R18"/>
    <mergeCell ref="S18:T18"/>
    <mergeCell ref="I20:J20"/>
    <mergeCell ref="K20:L20"/>
    <mergeCell ref="M20:N20"/>
    <mergeCell ref="O20:P20"/>
    <mergeCell ref="Q20:R20"/>
    <mergeCell ref="S20:T20"/>
    <mergeCell ref="W15:W16"/>
    <mergeCell ref="X15:X16"/>
    <mergeCell ref="Y15:Y16"/>
    <mergeCell ref="Z13:Z14"/>
    <mergeCell ref="E14:F14"/>
    <mergeCell ref="G14:H14"/>
    <mergeCell ref="I14:J14"/>
    <mergeCell ref="K14:L14"/>
    <mergeCell ref="M14:N14"/>
    <mergeCell ref="O14:P14"/>
    <mergeCell ref="Q14:R14"/>
    <mergeCell ref="S14:T14"/>
    <mergeCell ref="U13:U14"/>
    <mergeCell ref="V13:V14"/>
    <mergeCell ref="W13:W14"/>
    <mergeCell ref="X13:X14"/>
    <mergeCell ref="Y13:Y14"/>
    <mergeCell ref="Z15:Z16"/>
    <mergeCell ref="E16:F16"/>
    <mergeCell ref="G16:H16"/>
    <mergeCell ref="I16:J16"/>
    <mergeCell ref="K16:L16"/>
    <mergeCell ref="M16:N16"/>
    <mergeCell ref="O16:P16"/>
    <mergeCell ref="O12:P12"/>
    <mergeCell ref="Q12:R12"/>
    <mergeCell ref="S12:T12"/>
    <mergeCell ref="D15:D16"/>
    <mergeCell ref="U15:U16"/>
    <mergeCell ref="V15:V16"/>
    <mergeCell ref="D13:D14"/>
    <mergeCell ref="Q16:R16"/>
    <mergeCell ref="S16:T16"/>
    <mergeCell ref="D11:D12"/>
    <mergeCell ref="U11:U12"/>
    <mergeCell ref="V11:V12"/>
    <mergeCell ref="D9:D10"/>
    <mergeCell ref="U9:U10"/>
    <mergeCell ref="V9:V10"/>
    <mergeCell ref="W9:W10"/>
    <mergeCell ref="X9:X10"/>
    <mergeCell ref="Y9:Y10"/>
    <mergeCell ref="Z11:Z12"/>
    <mergeCell ref="E12:F12"/>
    <mergeCell ref="G12:H12"/>
    <mergeCell ref="W11:W12"/>
    <mergeCell ref="X11:X12"/>
    <mergeCell ref="Y11:Y12"/>
    <mergeCell ref="Z9:Z10"/>
    <mergeCell ref="E10:F10"/>
    <mergeCell ref="G10:H10"/>
    <mergeCell ref="I10:J10"/>
    <mergeCell ref="K10:L10"/>
    <mergeCell ref="M10:N10"/>
    <mergeCell ref="O10:P10"/>
    <mergeCell ref="Q10:R10"/>
    <mergeCell ref="S10:T10"/>
    <mergeCell ref="I12:J12"/>
    <mergeCell ref="K12:L12"/>
    <mergeCell ref="M12:N12"/>
    <mergeCell ref="X7:X8"/>
    <mergeCell ref="Y7:Y8"/>
    <mergeCell ref="Z7:Z8"/>
    <mergeCell ref="E8:F8"/>
    <mergeCell ref="G8:H8"/>
    <mergeCell ref="I8:J8"/>
    <mergeCell ref="K8:L8"/>
    <mergeCell ref="M8:N8"/>
    <mergeCell ref="O8:P8"/>
    <mergeCell ref="Q8:R8"/>
    <mergeCell ref="S6:T6"/>
    <mergeCell ref="D7:D8"/>
    <mergeCell ref="U7:U8"/>
    <mergeCell ref="V7:V8"/>
    <mergeCell ref="W7:W8"/>
    <mergeCell ref="S8:T8"/>
    <mergeCell ref="E6:F6"/>
    <mergeCell ref="G6:H6"/>
    <mergeCell ref="I6:J6"/>
    <mergeCell ref="K6:L6"/>
    <mergeCell ref="M6:N6"/>
    <mergeCell ref="O6:P6"/>
    <mergeCell ref="U2:V2"/>
    <mergeCell ref="X3:X4"/>
    <mergeCell ref="Y3:Y4"/>
    <mergeCell ref="Z3:Z4"/>
    <mergeCell ref="D5:D6"/>
    <mergeCell ref="U5:U6"/>
    <mergeCell ref="V5:V6"/>
    <mergeCell ref="W5:W6"/>
    <mergeCell ref="X5:X6"/>
    <mergeCell ref="Y5:Y6"/>
    <mergeCell ref="Z5:Z6"/>
    <mergeCell ref="O3:P4"/>
    <mergeCell ref="Q3:R4"/>
    <mergeCell ref="S3:T4"/>
    <mergeCell ref="U3:U4"/>
    <mergeCell ref="V3:V4"/>
    <mergeCell ref="W3:W4"/>
    <mergeCell ref="D3:D4"/>
    <mergeCell ref="E3:F4"/>
    <mergeCell ref="G3:H4"/>
    <mergeCell ref="I3:J4"/>
    <mergeCell ref="K3:L4"/>
    <mergeCell ref="M3:N4"/>
    <mergeCell ref="Q6:R6"/>
  </mergeCells>
  <conditionalFormatting sqref="E5:T20">
    <cfRule type="cellIs" dxfId="184" priority="17" operator="equal">
      <formula>"D"</formula>
    </cfRule>
    <cfRule type="cellIs" dxfId="183" priority="18" operator="equal">
      <formula>"V"</formula>
    </cfRule>
  </conditionalFormatting>
  <conditionalFormatting sqref="Z5">
    <cfRule type="cellIs" dxfId="182" priority="15" operator="greaterThan">
      <formula>4</formula>
    </cfRule>
    <cfRule type="cellIs" dxfId="181" priority="16" stopIfTrue="1" operator="lessThanOrEqual">
      <formula>4</formula>
    </cfRule>
  </conditionalFormatting>
  <conditionalFormatting sqref="Z7">
    <cfRule type="cellIs" dxfId="180" priority="13" operator="greaterThan">
      <formula>4</formula>
    </cfRule>
    <cfRule type="cellIs" dxfId="179" priority="14" stopIfTrue="1" operator="lessThanOrEqual">
      <formula>4</formula>
    </cfRule>
  </conditionalFormatting>
  <conditionalFormatting sqref="Z9">
    <cfRule type="cellIs" dxfId="178" priority="11" operator="greaterThan">
      <formula>4</formula>
    </cfRule>
    <cfRule type="cellIs" dxfId="177" priority="12" stopIfTrue="1" operator="lessThanOrEqual">
      <formula>4</formula>
    </cfRule>
  </conditionalFormatting>
  <conditionalFormatting sqref="Z11">
    <cfRule type="cellIs" dxfId="176" priority="9" operator="greaterThan">
      <formula>4</formula>
    </cfRule>
    <cfRule type="cellIs" dxfId="175" priority="10" stopIfTrue="1" operator="lessThanOrEqual">
      <formula>4</formula>
    </cfRule>
  </conditionalFormatting>
  <conditionalFormatting sqref="Z13">
    <cfRule type="cellIs" dxfId="174" priority="7" operator="greaterThan">
      <formula>4</formula>
    </cfRule>
    <cfRule type="cellIs" dxfId="173" priority="8" stopIfTrue="1" operator="lessThanOrEqual">
      <formula>4</formula>
    </cfRule>
  </conditionalFormatting>
  <conditionalFormatting sqref="Z15">
    <cfRule type="cellIs" dxfId="172" priority="5" operator="greaterThan">
      <formula>4</formula>
    </cfRule>
    <cfRule type="cellIs" dxfId="171" priority="6" stopIfTrue="1" operator="lessThanOrEqual">
      <formula>4</formula>
    </cfRule>
  </conditionalFormatting>
  <conditionalFormatting sqref="Z17">
    <cfRule type="cellIs" dxfId="170" priority="3" operator="greaterThan">
      <formula>4</formula>
    </cfRule>
    <cfRule type="cellIs" dxfId="169" priority="4" stopIfTrue="1" operator="lessThanOrEqual">
      <formula>4</formula>
    </cfRule>
  </conditionalFormatting>
  <conditionalFormatting sqref="Z19">
    <cfRule type="cellIs" dxfId="168" priority="1" operator="greaterThan">
      <formula>4</formula>
    </cfRule>
    <cfRule type="cellIs" dxfId="167" priority="2" stopIfTrue="1" operator="lessThanOrEqual">
      <formula>4</formula>
    </cfRule>
  </conditionalFormatting>
  <pageMargins left="0.7" right="0.7" top="0.75" bottom="0.75" header="0.3" footer="0.3"/>
  <pageSetup paperSize="9" orientation="portrait" horizontalDpi="4294967293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7158B2-0958-49DA-918B-7C7FE711DFB6}">
  <dimension ref="A1:AG36"/>
  <sheetViews>
    <sheetView topLeftCell="A19" workbookViewId="0">
      <selection activeCell="C5" sqref="C5:C6"/>
    </sheetView>
  </sheetViews>
  <sheetFormatPr baseColWidth="10" defaultRowHeight="14.4" x14ac:dyDescent="0.3"/>
  <cols>
    <col min="1" max="1" width="2.44140625" customWidth="1"/>
    <col min="2" max="2" width="16.109375" bestFit="1" customWidth="1"/>
    <col min="3" max="3" width="4.6640625" customWidth="1"/>
    <col min="4" max="4" width="15.6640625" customWidth="1"/>
    <col min="5" max="18" width="5.6640625" customWidth="1"/>
    <col min="19" max="19" width="5.88671875" customWidth="1"/>
    <col min="20" max="20" width="6.44140625" customWidth="1"/>
    <col min="21" max="21" width="8" customWidth="1"/>
    <col min="22" max="22" width="9.109375" customWidth="1"/>
    <col min="23" max="23" width="11.5546875" customWidth="1"/>
    <col min="24" max="24" width="10.109375" customWidth="1"/>
    <col min="25" max="25" width="8.33203125" customWidth="1"/>
    <col min="26" max="26" width="2.44140625" customWidth="1"/>
    <col min="29" max="30" width="8.33203125" customWidth="1"/>
    <col min="32" max="32" width="11.6640625" customWidth="1"/>
  </cols>
  <sheetData>
    <row r="1" spans="1:33" x14ac:dyDescent="0.3">
      <c r="A1" t="s">
        <v>5</v>
      </c>
      <c r="B1" s="18" t="s">
        <v>7</v>
      </c>
      <c r="D1" t="s">
        <v>27</v>
      </c>
      <c r="AB1">
        <v>60</v>
      </c>
      <c r="AC1" t="s">
        <v>24</v>
      </c>
      <c r="AF1" s="14">
        <v>0.15825</v>
      </c>
    </row>
    <row r="2" spans="1:33" x14ac:dyDescent="0.3">
      <c r="A2">
        <v>1</v>
      </c>
      <c r="B2" s="17" t="s">
        <v>42</v>
      </c>
      <c r="S2" s="192" t="s">
        <v>41</v>
      </c>
      <c r="T2" s="192"/>
      <c r="AC2">
        <v>45</v>
      </c>
    </row>
    <row r="3" spans="1:33" x14ac:dyDescent="0.3">
      <c r="A3">
        <v>2</v>
      </c>
      <c r="B3" s="17" t="s">
        <v>48</v>
      </c>
      <c r="D3" s="165" t="s">
        <v>9</v>
      </c>
      <c r="E3" s="179" t="str">
        <f>D5</f>
        <v>Klein Denis</v>
      </c>
      <c r="F3" s="200"/>
      <c r="G3" s="179" t="str">
        <f>D7</f>
        <v>Rinderer Daniel</v>
      </c>
      <c r="H3" s="200"/>
      <c r="I3" s="179" t="str">
        <f>D9</f>
        <v>Chambers Dillon</v>
      </c>
      <c r="J3" s="200"/>
      <c r="K3" s="179" t="str">
        <f>D11</f>
        <v>Walker Samuel</v>
      </c>
      <c r="L3" s="200"/>
      <c r="M3" s="179" t="str">
        <f>D13</f>
        <v>Huzjak Josip</v>
      </c>
      <c r="N3" s="200"/>
      <c r="O3" s="179" t="str">
        <f>D15</f>
        <v>Ruiz Romain</v>
      </c>
      <c r="P3" s="200"/>
      <c r="Q3" s="179" t="str">
        <f>+D17</f>
        <v>Hrnic Kenan</v>
      </c>
      <c r="R3" s="203"/>
      <c r="S3" s="177" t="s">
        <v>0</v>
      </c>
      <c r="T3" s="179" t="s">
        <v>1</v>
      </c>
      <c r="U3" s="179" t="s">
        <v>8</v>
      </c>
      <c r="V3" s="179" t="s">
        <v>11</v>
      </c>
      <c r="W3" s="188" t="s">
        <v>10</v>
      </c>
      <c r="X3" s="188" t="s">
        <v>12</v>
      </c>
      <c r="Y3" s="8" t="s">
        <v>6</v>
      </c>
      <c r="AA3" t="s">
        <v>22</v>
      </c>
      <c r="AB3" t="s">
        <v>23</v>
      </c>
      <c r="AE3" t="s">
        <v>19</v>
      </c>
      <c r="AF3" t="s">
        <v>20</v>
      </c>
      <c r="AG3" t="s">
        <v>21</v>
      </c>
    </row>
    <row r="4" spans="1:33" ht="27" customHeight="1" x14ac:dyDescent="0.3">
      <c r="A4">
        <v>3</v>
      </c>
      <c r="B4" s="17" t="s">
        <v>45</v>
      </c>
      <c r="D4" s="166"/>
      <c r="E4" s="201"/>
      <c r="F4" s="202"/>
      <c r="G4" s="201"/>
      <c r="H4" s="202"/>
      <c r="I4" s="201"/>
      <c r="J4" s="202"/>
      <c r="K4" s="201"/>
      <c r="L4" s="202"/>
      <c r="M4" s="201"/>
      <c r="N4" s="202"/>
      <c r="O4" s="201"/>
      <c r="P4" s="202"/>
      <c r="Q4" s="201"/>
      <c r="R4" s="204"/>
      <c r="S4" s="178"/>
      <c r="T4" s="172"/>
      <c r="U4" s="172"/>
      <c r="V4" s="172"/>
      <c r="W4" s="189"/>
      <c r="X4" s="189"/>
    </row>
    <row r="5" spans="1:33" x14ac:dyDescent="0.3">
      <c r="A5">
        <v>4</v>
      </c>
      <c r="B5" s="17" t="s">
        <v>47</v>
      </c>
      <c r="C5" s="199">
        <v>1</v>
      </c>
      <c r="D5" s="171" t="str">
        <f>VLOOKUP(C5,$A$2:$B$9,2)</f>
        <v>Klein Denis</v>
      </c>
      <c r="E5" s="12"/>
      <c r="F5" s="13"/>
      <c r="G5" s="2">
        <v>3</v>
      </c>
      <c r="H5" s="3">
        <v>1</v>
      </c>
      <c r="I5" s="2">
        <v>3</v>
      </c>
      <c r="J5" s="3">
        <v>0</v>
      </c>
      <c r="K5" s="2">
        <v>1</v>
      </c>
      <c r="L5" s="3">
        <v>3</v>
      </c>
      <c r="M5" s="1">
        <v>3</v>
      </c>
      <c r="N5" s="1">
        <v>1</v>
      </c>
      <c r="O5" s="2">
        <v>1</v>
      </c>
      <c r="P5" s="3">
        <v>3</v>
      </c>
      <c r="Q5" s="2">
        <v>3</v>
      </c>
      <c r="R5" s="11">
        <v>0</v>
      </c>
      <c r="S5" s="169">
        <f>+E5+G5+I5+K5+M5+O5+Q5</f>
        <v>14</v>
      </c>
      <c r="T5" s="184">
        <f>+F5+H5+J5+L5+N5+P5+R5</f>
        <v>8</v>
      </c>
      <c r="U5" s="186">
        <f>COUNTIF(E6:R6,"V")</f>
        <v>4</v>
      </c>
      <c r="V5" s="186">
        <f>RANK(U5,$U$5:$U$18)</f>
        <v>2</v>
      </c>
      <c r="W5" s="167">
        <f>+S5/T5</f>
        <v>1.75</v>
      </c>
      <c r="X5" s="163">
        <f>RANK(W5,$W$5:$W$18)</f>
        <v>2</v>
      </c>
      <c r="Y5" s="10">
        <f>(+X5+V5)/2</f>
        <v>2</v>
      </c>
    </row>
    <row r="6" spans="1:33" x14ac:dyDescent="0.3">
      <c r="A6">
        <v>5</v>
      </c>
      <c r="B6" s="17" t="s">
        <v>46</v>
      </c>
      <c r="C6" s="199"/>
      <c r="D6" s="172"/>
      <c r="E6" s="190" t="str">
        <f>IF(E5="","",IF(E5=3,"V","D"))</f>
        <v/>
      </c>
      <c r="F6" s="191"/>
      <c r="G6" s="180" t="str">
        <f>IF(G5+H5=0,+$D$1,IF(G5=3,"V","D"))</f>
        <v>V</v>
      </c>
      <c r="H6" s="181"/>
      <c r="I6" s="180" t="str">
        <f>IF(I5+J5=0,+$D$1,IF(I5=3,"V","D"))</f>
        <v>V</v>
      </c>
      <c r="J6" s="181"/>
      <c r="K6" s="180" t="str">
        <f>IF(K5+L5=0,+$D$1,IF(K5=3,"V","D"))</f>
        <v>D</v>
      </c>
      <c r="L6" s="181"/>
      <c r="M6" s="180" t="str">
        <f>IF(M5+N5=0,+$D$1,IF(M5=3,"V","D"))</f>
        <v>V</v>
      </c>
      <c r="N6" s="181"/>
      <c r="O6" s="180" t="str">
        <f>IF(O5+P5=0,+$D$1,IF(O5=3,"V","D"))</f>
        <v>D</v>
      </c>
      <c r="P6" s="181"/>
      <c r="Q6" s="180" t="str">
        <f>IF(Q5+R5=0,+$D$1,IF(Q5=3,"V","D"))</f>
        <v>V</v>
      </c>
      <c r="R6" s="181"/>
      <c r="S6" s="170"/>
      <c r="T6" s="185"/>
      <c r="U6" s="187"/>
      <c r="V6" s="187"/>
      <c r="W6" s="168"/>
      <c r="X6" s="164"/>
      <c r="Y6" s="10"/>
    </row>
    <row r="7" spans="1:33" x14ac:dyDescent="0.3">
      <c r="A7">
        <v>6</v>
      </c>
      <c r="B7" s="17" t="s">
        <v>34</v>
      </c>
      <c r="C7">
        <v>2</v>
      </c>
      <c r="D7" s="171" t="str">
        <f>VLOOKUP(C7,$A$2:$B$9,2)</f>
        <v>Rinderer Daniel</v>
      </c>
      <c r="E7" s="2">
        <f>+H5</f>
        <v>1</v>
      </c>
      <c r="F7" s="3">
        <f>+G5</f>
        <v>3</v>
      </c>
      <c r="G7" s="12"/>
      <c r="H7" s="13"/>
      <c r="I7" s="2">
        <v>3</v>
      </c>
      <c r="J7" s="3">
        <v>0</v>
      </c>
      <c r="K7" s="2">
        <v>2</v>
      </c>
      <c r="L7" s="3">
        <v>3</v>
      </c>
      <c r="M7" s="1">
        <v>3</v>
      </c>
      <c r="N7" s="1">
        <v>0</v>
      </c>
      <c r="O7" s="2">
        <v>1</v>
      </c>
      <c r="P7" s="3">
        <v>3</v>
      </c>
      <c r="Q7" s="2">
        <v>3</v>
      </c>
      <c r="R7" s="11">
        <v>0</v>
      </c>
      <c r="S7" s="169">
        <f>+E7+G7+I7+K7+M7+O7+Q7</f>
        <v>13</v>
      </c>
      <c r="T7" s="184">
        <f>+F7+H7+J7+L7+N7+P7+R7</f>
        <v>9</v>
      </c>
      <c r="U7" s="186">
        <f>COUNTIF(E8:R8,"V")</f>
        <v>3</v>
      </c>
      <c r="V7" s="186">
        <f>RANK(U7,$U$5:$U$18)</f>
        <v>4</v>
      </c>
      <c r="W7" s="167">
        <f>+S7/T7</f>
        <v>1.4444444444444444</v>
      </c>
      <c r="X7" s="163">
        <f>RANK(W7,$W$5:$W$18)</f>
        <v>4</v>
      </c>
      <c r="Y7" s="10">
        <f>(+X7+V7)/2</f>
        <v>4</v>
      </c>
    </row>
    <row r="8" spans="1:33" x14ac:dyDescent="0.3">
      <c r="A8">
        <v>7</v>
      </c>
      <c r="B8" s="17" t="s">
        <v>43</v>
      </c>
      <c r="D8" s="172"/>
      <c r="E8" s="180" t="str">
        <f>IF(E7+F7=0,+$D$1,IF(E7=3,"V","D"))</f>
        <v>D</v>
      </c>
      <c r="F8" s="181"/>
      <c r="G8" s="182"/>
      <c r="H8" s="183"/>
      <c r="I8" s="180" t="str">
        <f>IF(I7+J7=0,+$D$1,IF(I7=3,"V","D"))</f>
        <v>V</v>
      </c>
      <c r="J8" s="181"/>
      <c r="K8" s="180" t="str">
        <f>IF(K7+L7=0,+$D$1,IF(K7=3,"V","D"))</f>
        <v>D</v>
      </c>
      <c r="L8" s="181"/>
      <c r="M8" s="180" t="str">
        <f>IF(M7+N7=0,+$D$1,IF(M7=3,"V","D"))</f>
        <v>V</v>
      </c>
      <c r="N8" s="181"/>
      <c r="O8" s="180" t="str">
        <f>IF(O7+P7=0,+$D$1,IF(O7=3,"V","D"))</f>
        <v>D</v>
      </c>
      <c r="P8" s="181"/>
      <c r="Q8" s="180" t="str">
        <f>IF(Q7+R7=0,+$D$1,IF(Q7=3,"V","D"))</f>
        <v>V</v>
      </c>
      <c r="R8" s="181"/>
      <c r="S8" s="170"/>
      <c r="T8" s="185"/>
      <c r="U8" s="187"/>
      <c r="V8" s="187"/>
      <c r="W8" s="168"/>
      <c r="X8" s="164"/>
      <c r="Y8" s="10"/>
    </row>
    <row r="9" spans="1:33" x14ac:dyDescent="0.3">
      <c r="A9">
        <v>8</v>
      </c>
      <c r="B9" s="19" t="s">
        <v>44</v>
      </c>
      <c r="C9">
        <v>3</v>
      </c>
      <c r="D9" s="171" t="str">
        <f>VLOOKUP(C9,$A$2:$B$9,2)</f>
        <v>Chambers Dillon</v>
      </c>
      <c r="E9" s="2">
        <f>+J5</f>
        <v>0</v>
      </c>
      <c r="F9" s="3">
        <f>+I5</f>
        <v>3</v>
      </c>
      <c r="G9" s="2">
        <f>+J7</f>
        <v>0</v>
      </c>
      <c r="H9" s="3">
        <f>+I7</f>
        <v>3</v>
      </c>
      <c r="I9" s="12"/>
      <c r="J9" s="13"/>
      <c r="K9" s="2">
        <v>0</v>
      </c>
      <c r="L9" s="3">
        <v>3</v>
      </c>
      <c r="M9" s="1">
        <v>1</v>
      </c>
      <c r="N9" s="1">
        <v>3</v>
      </c>
      <c r="O9" s="2">
        <v>0</v>
      </c>
      <c r="P9" s="3">
        <v>3</v>
      </c>
      <c r="Q9" s="2">
        <v>3</v>
      </c>
      <c r="R9" s="11">
        <v>2</v>
      </c>
      <c r="S9" s="169">
        <f>+E9+G9+I9+K9+M9+O9++Q9</f>
        <v>4</v>
      </c>
      <c r="T9" s="184">
        <f>+F9+H9+J9+L9+N9+P9+R9</f>
        <v>17</v>
      </c>
      <c r="U9" s="186">
        <f>COUNTIF(E10:R10,"V")</f>
        <v>1</v>
      </c>
      <c r="V9" s="186">
        <f>RANK(U9,$U$5:$U$18)</f>
        <v>6</v>
      </c>
      <c r="W9" s="167">
        <f>+S9/T9</f>
        <v>0.23529411764705882</v>
      </c>
      <c r="X9" s="163">
        <f>RANK(W9,$W$5:$W$18)</f>
        <v>6</v>
      </c>
      <c r="Y9" s="10">
        <f>(+X9+V9)/2</f>
        <v>6</v>
      </c>
    </row>
    <row r="10" spans="1:33" x14ac:dyDescent="0.3">
      <c r="D10" s="172"/>
      <c r="E10" s="180" t="str">
        <f>IF(E9+F9=0,+$D$1,IF(E9=3,"V","D"))</f>
        <v>D</v>
      </c>
      <c r="F10" s="181"/>
      <c r="G10" s="180" t="str">
        <f>IF(G9+H9=0,+$D$1,IF(G9=3,"V","D"))</f>
        <v>D</v>
      </c>
      <c r="H10" s="181"/>
      <c r="I10" s="182"/>
      <c r="J10" s="183"/>
      <c r="K10" s="180" t="str">
        <f>IF(K9+L9=0,+$D$1,IF(K9=3,"V","D"))</f>
        <v>D</v>
      </c>
      <c r="L10" s="181"/>
      <c r="M10" s="180" t="str">
        <f>IF(M9+N9=0,+$D$1,IF(M9=3,"V","D"))</f>
        <v>D</v>
      </c>
      <c r="N10" s="181"/>
      <c r="O10" s="180" t="str">
        <f>IF(O9+P9=0,+$D$1,IF(O9=3,"V","D"))</f>
        <v>D</v>
      </c>
      <c r="P10" s="181"/>
      <c r="Q10" s="180" t="str">
        <f>IF(Q9+R9=0,+$D$1,IF(Q9=3,"V","D"))</f>
        <v>V</v>
      </c>
      <c r="R10" s="181"/>
      <c r="S10" s="170"/>
      <c r="T10" s="185"/>
      <c r="U10" s="187"/>
      <c r="V10" s="187"/>
      <c r="W10" s="168"/>
      <c r="X10" s="164"/>
      <c r="Y10" s="10"/>
    </row>
    <row r="11" spans="1:33" x14ac:dyDescent="0.3">
      <c r="C11">
        <v>4</v>
      </c>
      <c r="D11" s="171" t="str">
        <f>VLOOKUP(C11,$A$2:$B$9,2)</f>
        <v>Walker Samuel</v>
      </c>
      <c r="E11" s="5">
        <f>IF(+L5="",0,+L5)</f>
        <v>3</v>
      </c>
      <c r="F11" s="9">
        <f>IF(+K5="",0,+K5)</f>
        <v>1</v>
      </c>
      <c r="G11" s="2">
        <f>IF(+L7="",0,L7)</f>
        <v>3</v>
      </c>
      <c r="H11" s="1">
        <f>IF(+K7="",0,K7)</f>
        <v>2</v>
      </c>
      <c r="I11" s="2">
        <f>IF(+L9="",0,L9)</f>
        <v>3</v>
      </c>
      <c r="J11" s="1">
        <f>IF(+K9="",0,K9)</f>
        <v>0</v>
      </c>
      <c r="K11" s="12"/>
      <c r="L11" s="13"/>
      <c r="M11" s="1">
        <v>0</v>
      </c>
      <c r="N11" s="1">
        <v>3</v>
      </c>
      <c r="O11" s="2">
        <v>2</v>
      </c>
      <c r="P11" s="3">
        <v>3</v>
      </c>
      <c r="Q11" s="2">
        <v>3</v>
      </c>
      <c r="R11" s="11">
        <v>0</v>
      </c>
      <c r="S11" s="169">
        <f>+E11+G11+I11+K11+M11+O11+Q11</f>
        <v>14</v>
      </c>
      <c r="T11" s="184">
        <f>+F11+H11+J11+L11+N11+P11+R11</f>
        <v>9</v>
      </c>
      <c r="U11" s="186">
        <f>COUNTIF(E12:R12,"V")</f>
        <v>4</v>
      </c>
      <c r="V11" s="186">
        <f>RANK(U11,$U$5:$U$18)</f>
        <v>2</v>
      </c>
      <c r="W11" s="167">
        <f>+S11/T11</f>
        <v>1.5555555555555556</v>
      </c>
      <c r="X11" s="163">
        <f>RANK(W11,$W$5:$W$18)</f>
        <v>3</v>
      </c>
      <c r="Y11" s="10">
        <f>(+X11+V11)/2</f>
        <v>2.5</v>
      </c>
    </row>
    <row r="12" spans="1:33" x14ac:dyDescent="0.3">
      <c r="B12" s="20"/>
      <c r="D12" s="172"/>
      <c r="E12" s="180" t="str">
        <f>IF(E11+F11=0,+$D$1,IF(E11=3,"V","D"))</f>
        <v>V</v>
      </c>
      <c r="F12" s="181"/>
      <c r="G12" s="180" t="str">
        <f>IF(G11+H11=0,+$D$1,IF(G11=3,"V","D"))</f>
        <v>V</v>
      </c>
      <c r="H12" s="181"/>
      <c r="I12" s="180" t="str">
        <f>IF(I11+J11=0,+$D$1,IF(I11=3,"V","D"))</f>
        <v>V</v>
      </c>
      <c r="J12" s="181"/>
      <c r="K12" s="182"/>
      <c r="L12" s="183"/>
      <c r="M12" s="180" t="str">
        <f>IF(M11+N11=0,+$D$1,IF(M11=3,"V","D"))</f>
        <v>D</v>
      </c>
      <c r="N12" s="181"/>
      <c r="O12" s="180" t="str">
        <f>IF(O11+P11=0,+$D$1,IF(O11=3,"V","D"))</f>
        <v>D</v>
      </c>
      <c r="P12" s="181"/>
      <c r="Q12" s="180" t="str">
        <f>IF(Q11+R11=0,+$D$1,IF(Q11=3,"V","D"))</f>
        <v>V</v>
      </c>
      <c r="R12" s="181"/>
      <c r="S12" s="170"/>
      <c r="T12" s="185"/>
      <c r="U12" s="187"/>
      <c r="V12" s="187"/>
      <c r="W12" s="168"/>
      <c r="X12" s="164"/>
      <c r="Y12" s="10"/>
    </row>
    <row r="13" spans="1:33" x14ac:dyDescent="0.3">
      <c r="B13" s="20"/>
      <c r="C13">
        <v>5</v>
      </c>
      <c r="D13" s="171" t="str">
        <f>VLOOKUP(C13,$A$2:$B$9,2)</f>
        <v>Huzjak Josip</v>
      </c>
      <c r="E13" s="2">
        <f>IF(+N5="",0,N5)</f>
        <v>1</v>
      </c>
      <c r="F13" s="3">
        <f>IF(+M5="",0,M5)</f>
        <v>3</v>
      </c>
      <c r="G13" s="5">
        <f>IF(+N7="",0,+N7)</f>
        <v>0</v>
      </c>
      <c r="H13" s="4">
        <f>IF(+M7="",0,+M7)</f>
        <v>3</v>
      </c>
      <c r="I13" s="2">
        <f>IF(+N9="",0,+N9)</f>
        <v>3</v>
      </c>
      <c r="J13" s="1">
        <f>IF(+M9="",0,+M9)</f>
        <v>1</v>
      </c>
      <c r="K13" s="2">
        <f>+N11</f>
        <v>3</v>
      </c>
      <c r="L13" s="3">
        <f>+M11</f>
        <v>0</v>
      </c>
      <c r="M13" s="12"/>
      <c r="N13" s="13"/>
      <c r="O13" s="2">
        <v>0</v>
      </c>
      <c r="P13" s="3">
        <v>3</v>
      </c>
      <c r="Q13" s="2">
        <v>3</v>
      </c>
      <c r="R13" s="11">
        <v>0</v>
      </c>
      <c r="S13" s="169">
        <f>+E13+G13+I13+K13+M13+O13+Q13</f>
        <v>10</v>
      </c>
      <c r="T13" s="184">
        <f>+F13+H13+J13+L13+N13+P13+R13</f>
        <v>10</v>
      </c>
      <c r="U13" s="186">
        <f>COUNTIF(E14:R14,"V")</f>
        <v>3</v>
      </c>
      <c r="V13" s="186">
        <f>RANK(U13,$U$5:$U$18)</f>
        <v>4</v>
      </c>
      <c r="W13" s="167">
        <f>+S13/T13</f>
        <v>1</v>
      </c>
      <c r="X13" s="163">
        <f>RANK(W13,$W$5:$W$18)</f>
        <v>5</v>
      </c>
      <c r="Y13" s="10">
        <f>(+X13+V13)/2</f>
        <v>4.5</v>
      </c>
    </row>
    <row r="14" spans="1:33" x14ac:dyDescent="0.3">
      <c r="B14" s="20"/>
      <c r="D14" s="172"/>
      <c r="E14" s="180" t="str">
        <f>IF(E13+F13=0,+$D$1,IF(E13=3,"V","D"))</f>
        <v>D</v>
      </c>
      <c r="F14" s="181"/>
      <c r="G14" s="180" t="str">
        <f>IF(G13+H13=0,+$D$1,IF(G13=3,"V","D"))</f>
        <v>D</v>
      </c>
      <c r="H14" s="181"/>
      <c r="I14" s="180" t="str">
        <f>IF(I13+J13=0,+$D$1,IF(I13=3,"V","D"))</f>
        <v>V</v>
      </c>
      <c r="J14" s="181"/>
      <c r="K14" s="180" t="str">
        <f>IF(K13+L13=0,+$D$1,IF(K13=3,"V","D"))</f>
        <v>V</v>
      </c>
      <c r="L14" s="181"/>
      <c r="M14" s="182"/>
      <c r="N14" s="183"/>
      <c r="O14" s="180" t="str">
        <f>IF(O13+P13=0,+$D$1,IF(O13=3,"V","D"))</f>
        <v>D</v>
      </c>
      <c r="P14" s="181"/>
      <c r="Q14" s="180" t="str">
        <f>IF(Q13+R13=0,+$D$1,IF(Q13=3,"V","D"))</f>
        <v>V</v>
      </c>
      <c r="R14" s="181"/>
      <c r="S14" s="170"/>
      <c r="T14" s="185"/>
      <c r="U14" s="187"/>
      <c r="V14" s="187"/>
      <c r="W14" s="168"/>
      <c r="X14" s="164"/>
      <c r="Y14" s="10"/>
    </row>
    <row r="15" spans="1:33" x14ac:dyDescent="0.3">
      <c r="B15" s="20"/>
      <c r="C15">
        <v>6</v>
      </c>
      <c r="D15" s="171" t="str">
        <f>VLOOKUP(C15,$A$2:$B$9,2)</f>
        <v>Ruiz Romain</v>
      </c>
      <c r="E15" s="5">
        <f>IF(+P5="","0",+P5)</f>
        <v>3</v>
      </c>
      <c r="F15" s="9">
        <f>IF(+O5="",0,+O5)</f>
        <v>1</v>
      </c>
      <c r="G15" s="5">
        <f>IF(+P7="",0,P7)</f>
        <v>3</v>
      </c>
      <c r="H15" s="4">
        <f>IF(+O7="",0,O7)</f>
        <v>1</v>
      </c>
      <c r="I15" s="2">
        <f>+P9</f>
        <v>3</v>
      </c>
      <c r="J15" s="3">
        <f>+O9</f>
        <v>0</v>
      </c>
      <c r="K15" s="2">
        <f>+P11</f>
        <v>3</v>
      </c>
      <c r="L15" s="3">
        <f>+O11</f>
        <v>2</v>
      </c>
      <c r="M15" s="1">
        <f>+P13</f>
        <v>3</v>
      </c>
      <c r="N15" s="1">
        <f>+O13</f>
        <v>0</v>
      </c>
      <c r="O15" s="12"/>
      <c r="P15" s="13"/>
      <c r="Q15" s="2">
        <v>3</v>
      </c>
      <c r="R15" s="11">
        <v>0</v>
      </c>
      <c r="S15" s="169">
        <f>+E15+G15+I15+K15+M15+O15+Q15</f>
        <v>18</v>
      </c>
      <c r="T15" s="184">
        <f>+F15+H15+J15+L15+N15+P15+R15</f>
        <v>4</v>
      </c>
      <c r="U15" s="186">
        <f>COUNTIF(E16:R16,"V")</f>
        <v>6</v>
      </c>
      <c r="V15" s="186">
        <f>RANK(U15,$U$5:$U$18)</f>
        <v>1</v>
      </c>
      <c r="W15" s="167">
        <f>+S15/T15</f>
        <v>4.5</v>
      </c>
      <c r="X15" s="163">
        <f>RANK(W15,$W$5:$W$18)</f>
        <v>1</v>
      </c>
      <c r="Y15" s="10">
        <f>(+X15+V15)/2</f>
        <v>1</v>
      </c>
      <c r="AA15">
        <v>75</v>
      </c>
      <c r="AB15" s="22">
        <f>+AB1*(VLOOKUP(6,tableau,19))</f>
        <v>360</v>
      </c>
      <c r="AC15">
        <v>45</v>
      </c>
      <c r="AD15">
        <v>0</v>
      </c>
      <c r="AE15">
        <f>SUM(AA15:AD15)</f>
        <v>480</v>
      </c>
      <c r="AF15" s="16">
        <f>-AE15*AF1</f>
        <v>-75.960000000000008</v>
      </c>
      <c r="AG15" s="15">
        <f>+AE15+AF15</f>
        <v>404.03999999999996</v>
      </c>
    </row>
    <row r="16" spans="1:33" x14ac:dyDescent="0.3">
      <c r="B16" s="20"/>
      <c r="D16" s="172"/>
      <c r="E16" s="180" t="str">
        <f>IF(E15+F15=0,+$D$1,IF(E15=3,"V","D"))</f>
        <v>V</v>
      </c>
      <c r="F16" s="181"/>
      <c r="G16" s="180" t="str">
        <f>IF(G15+H15=0,+$D$1,IF(G15=3,"V","D"))</f>
        <v>V</v>
      </c>
      <c r="H16" s="181"/>
      <c r="I16" s="180" t="str">
        <f>IF(I15+J15=0,+$D$1,IF(I15=3,"V","D"))</f>
        <v>V</v>
      </c>
      <c r="J16" s="181"/>
      <c r="K16" s="180" t="str">
        <f>IF(K15+L15=0,+$D$1,IF(K15=3,"V","D"))</f>
        <v>V</v>
      </c>
      <c r="L16" s="181"/>
      <c r="M16" s="180" t="str">
        <f>IF(M15+N15=0,+$D$1,IF(M15=3,"V","D"))</f>
        <v>V</v>
      </c>
      <c r="N16" s="181"/>
      <c r="O16" s="182"/>
      <c r="P16" s="183"/>
      <c r="Q16" s="180" t="str">
        <f>IF(Q15+R15=0,+$D$1,IF(Q15=3,"V","D"))</f>
        <v>V</v>
      </c>
      <c r="R16" s="181"/>
      <c r="S16" s="170"/>
      <c r="T16" s="185"/>
      <c r="U16" s="187"/>
      <c r="V16" s="187"/>
      <c r="W16" s="168"/>
      <c r="X16" s="164"/>
      <c r="Y16" s="10"/>
      <c r="AB16" s="22"/>
    </row>
    <row r="17" spans="2:25" x14ac:dyDescent="0.3">
      <c r="B17" s="20"/>
      <c r="C17">
        <v>8</v>
      </c>
      <c r="D17" s="171" t="str">
        <f>VLOOKUP(C17,$A$2:$B$9,2)</f>
        <v>Hrnic Kenan</v>
      </c>
      <c r="E17" s="6">
        <f>+R5</f>
        <v>0</v>
      </c>
      <c r="F17" s="7">
        <f>+Q5</f>
        <v>3</v>
      </c>
      <c r="G17" s="6">
        <f>+R7</f>
        <v>0</v>
      </c>
      <c r="H17" s="7">
        <f>+Q7</f>
        <v>3</v>
      </c>
      <c r="I17" s="2">
        <f>+R9</f>
        <v>2</v>
      </c>
      <c r="J17" s="1">
        <f>+Q9</f>
        <v>3</v>
      </c>
      <c r="K17" s="5">
        <f>+R11</f>
        <v>0</v>
      </c>
      <c r="L17" s="9">
        <f>+Q11</f>
        <v>3</v>
      </c>
      <c r="M17" s="8">
        <f>+R13</f>
        <v>0</v>
      </c>
      <c r="N17" s="8">
        <f>+Q13</f>
        <v>3</v>
      </c>
      <c r="O17" s="6">
        <f>+R15</f>
        <v>0</v>
      </c>
      <c r="P17" s="7">
        <f>+Q15</f>
        <v>3</v>
      </c>
      <c r="Q17" s="12"/>
      <c r="R17" s="13"/>
      <c r="S17" s="169">
        <f>+E17+G17+I17+K17+M17+O17+Q17</f>
        <v>2</v>
      </c>
      <c r="T17" s="184">
        <f>+F17+H17+J17+L17+N17+P17++R17</f>
        <v>18</v>
      </c>
      <c r="U17" s="186">
        <f>COUNTIF(E18:R18,"V")</f>
        <v>0</v>
      </c>
      <c r="V17" s="186">
        <f>RANK(U17,$U$5:$U$18)</f>
        <v>7</v>
      </c>
      <c r="W17" s="167">
        <f>+S17/T17</f>
        <v>0.1111111111111111</v>
      </c>
      <c r="X17" s="163">
        <f>RANK(W17,$W$5:$W$18)</f>
        <v>7</v>
      </c>
      <c r="Y17" s="10">
        <f>(+X17+V17)/2</f>
        <v>7</v>
      </c>
    </row>
    <row r="18" spans="2:25" x14ac:dyDescent="0.3">
      <c r="D18" s="172"/>
      <c r="E18" s="180" t="str">
        <f>IF(E17+F17=0,+$D$1,IF(E17=3,"V","D"))</f>
        <v>D</v>
      </c>
      <c r="F18" s="181"/>
      <c r="G18" s="180" t="str">
        <f>IF(G17+H17=0,+$D$1,IF(G17=3,"V","D"))</f>
        <v>D</v>
      </c>
      <c r="H18" s="181"/>
      <c r="I18" s="180" t="str">
        <f>IF(I17+J17=0,+$D$1,IF(I17=3,"V","D"))</f>
        <v>D</v>
      </c>
      <c r="J18" s="181"/>
      <c r="K18" s="180" t="str">
        <f>IF(K17+L17=0,+$D$1,IF(K17=3,"V","D"))</f>
        <v>D</v>
      </c>
      <c r="L18" s="181"/>
      <c r="M18" s="180" t="str">
        <f>IF(M17+N17=0,+$D$1,IF(M17=3,"V","D"))</f>
        <v>D</v>
      </c>
      <c r="N18" s="181"/>
      <c r="O18" s="180" t="str">
        <f>IF(O17+P17=0,+$D$1,IF(O17=3,"V","D"))</f>
        <v>D</v>
      </c>
      <c r="P18" s="181"/>
      <c r="Q18" s="182" t="str">
        <f>IF(Q17+R17=0,"",IF(Q17=3,"V","D"))</f>
        <v/>
      </c>
      <c r="R18" s="183"/>
      <c r="S18" s="170"/>
      <c r="T18" s="185"/>
      <c r="U18" s="187"/>
      <c r="V18" s="187"/>
      <c r="W18" s="168"/>
      <c r="X18" s="164"/>
    </row>
    <row r="19" spans="2:25" ht="16.5" customHeight="1" x14ac:dyDescent="0.3"/>
    <row r="21" spans="2:25" x14ac:dyDescent="0.3">
      <c r="D21" s="21" t="s">
        <v>49</v>
      </c>
    </row>
    <row r="25" spans="2:25" x14ac:dyDescent="0.3">
      <c r="D25" t="s">
        <v>13</v>
      </c>
    </row>
    <row r="26" spans="2:25" x14ac:dyDescent="0.3">
      <c r="D26" t="s">
        <v>14</v>
      </c>
    </row>
    <row r="28" spans="2:25" x14ac:dyDescent="0.3">
      <c r="D28" t="s">
        <v>15</v>
      </c>
    </row>
    <row r="29" spans="2:25" x14ac:dyDescent="0.3">
      <c r="D29" t="s">
        <v>16</v>
      </c>
    </row>
    <row r="30" spans="2:25" x14ac:dyDescent="0.3">
      <c r="D30" t="s">
        <v>17</v>
      </c>
    </row>
    <row r="32" spans="2:25" x14ac:dyDescent="0.3">
      <c r="D32" t="s">
        <v>18</v>
      </c>
    </row>
    <row r="36" spans="4:20" x14ac:dyDescent="0.3">
      <c r="D36" t="s">
        <v>25</v>
      </c>
      <c r="T36">
        <v>75</v>
      </c>
    </row>
  </sheetData>
  <mergeCells count="114">
    <mergeCell ref="C5:C6"/>
    <mergeCell ref="S3:S4"/>
    <mergeCell ref="T3:T4"/>
    <mergeCell ref="U3:U4"/>
    <mergeCell ref="V3:V4"/>
    <mergeCell ref="W3:W4"/>
    <mergeCell ref="X3:X4"/>
    <mergeCell ref="S2:T2"/>
    <mergeCell ref="D3:D4"/>
    <mergeCell ref="E3:F4"/>
    <mergeCell ref="G3:H4"/>
    <mergeCell ref="I3:J4"/>
    <mergeCell ref="K3:L4"/>
    <mergeCell ref="M3:N4"/>
    <mergeCell ref="O3:P4"/>
    <mergeCell ref="Q3:R4"/>
    <mergeCell ref="D5:D6"/>
    <mergeCell ref="S5:S6"/>
    <mergeCell ref="T5:T6"/>
    <mergeCell ref="U5:U6"/>
    <mergeCell ref="V5:V6"/>
    <mergeCell ref="W5:W6"/>
    <mergeCell ref="X7:X8"/>
    <mergeCell ref="E8:F8"/>
    <mergeCell ref="G8:H8"/>
    <mergeCell ref="U7:U8"/>
    <mergeCell ref="V7:V8"/>
    <mergeCell ref="W7:W8"/>
    <mergeCell ref="X5:X6"/>
    <mergeCell ref="E6:F6"/>
    <mergeCell ref="G6:H6"/>
    <mergeCell ref="I6:J6"/>
    <mergeCell ref="K6:L6"/>
    <mergeCell ref="M6:N6"/>
    <mergeCell ref="O6:P6"/>
    <mergeCell ref="Q6:R6"/>
    <mergeCell ref="I8:J8"/>
    <mergeCell ref="K8:L8"/>
    <mergeCell ref="M8:N8"/>
    <mergeCell ref="O8:P8"/>
    <mergeCell ref="Q8:R8"/>
    <mergeCell ref="D11:D12"/>
    <mergeCell ref="S11:S12"/>
    <mergeCell ref="T11:T12"/>
    <mergeCell ref="D9:D10"/>
    <mergeCell ref="Q12:R12"/>
    <mergeCell ref="D7:D8"/>
    <mergeCell ref="S7:S8"/>
    <mergeCell ref="T7:T8"/>
    <mergeCell ref="U11:U12"/>
    <mergeCell ref="V11:V12"/>
    <mergeCell ref="W11:W12"/>
    <mergeCell ref="X9:X10"/>
    <mergeCell ref="E10:F10"/>
    <mergeCell ref="G10:H10"/>
    <mergeCell ref="I10:J10"/>
    <mergeCell ref="K10:L10"/>
    <mergeCell ref="M10:N10"/>
    <mergeCell ref="O10:P10"/>
    <mergeCell ref="Q10:R10"/>
    <mergeCell ref="S9:S10"/>
    <mergeCell ref="T9:T10"/>
    <mergeCell ref="U9:U10"/>
    <mergeCell ref="V9:V10"/>
    <mergeCell ref="W9:W10"/>
    <mergeCell ref="X11:X12"/>
    <mergeCell ref="E12:F12"/>
    <mergeCell ref="G12:H12"/>
    <mergeCell ref="I12:J12"/>
    <mergeCell ref="K12:L12"/>
    <mergeCell ref="M12:N12"/>
    <mergeCell ref="O12:P12"/>
    <mergeCell ref="D13:D14"/>
    <mergeCell ref="S13:S14"/>
    <mergeCell ref="T13:T14"/>
    <mergeCell ref="U13:U14"/>
    <mergeCell ref="V13:V14"/>
    <mergeCell ref="W13:W14"/>
    <mergeCell ref="X15:X16"/>
    <mergeCell ref="E16:F16"/>
    <mergeCell ref="G16:H16"/>
    <mergeCell ref="U15:U16"/>
    <mergeCell ref="V15:V16"/>
    <mergeCell ref="W15:W16"/>
    <mergeCell ref="X13:X14"/>
    <mergeCell ref="E14:F14"/>
    <mergeCell ref="G14:H14"/>
    <mergeCell ref="I14:J14"/>
    <mergeCell ref="K14:L14"/>
    <mergeCell ref="M14:N14"/>
    <mergeCell ref="O14:P14"/>
    <mergeCell ref="Q14:R14"/>
    <mergeCell ref="I16:J16"/>
    <mergeCell ref="K16:L16"/>
    <mergeCell ref="M16:N16"/>
    <mergeCell ref="O16:P16"/>
    <mergeCell ref="Q16:R16"/>
    <mergeCell ref="D17:D18"/>
    <mergeCell ref="S17:S18"/>
    <mergeCell ref="T17:T18"/>
    <mergeCell ref="Q18:R18"/>
    <mergeCell ref="D15:D16"/>
    <mergeCell ref="S15:S16"/>
    <mergeCell ref="T15:T16"/>
    <mergeCell ref="U17:U18"/>
    <mergeCell ref="V17:V18"/>
    <mergeCell ref="W17:W18"/>
    <mergeCell ref="X17:X18"/>
    <mergeCell ref="E18:F18"/>
    <mergeCell ref="G18:H18"/>
    <mergeCell ref="I18:J18"/>
    <mergeCell ref="K18:L18"/>
    <mergeCell ref="M18:N18"/>
    <mergeCell ref="O18:P18"/>
  </mergeCells>
  <conditionalFormatting sqref="E5:R18">
    <cfRule type="cellIs" dxfId="166" priority="17" operator="equal">
      <formula>"D"</formula>
    </cfRule>
    <cfRule type="cellIs" dxfId="165" priority="18" operator="equal">
      <formula>"V"</formula>
    </cfRule>
  </conditionalFormatting>
  <conditionalFormatting sqref="X5">
    <cfRule type="cellIs" dxfId="164" priority="15" operator="greaterThan">
      <formula>4</formula>
    </cfRule>
    <cfRule type="cellIs" dxfId="163" priority="16" stopIfTrue="1" operator="lessThanOrEqual">
      <formula>4</formula>
    </cfRule>
  </conditionalFormatting>
  <conditionalFormatting sqref="X7">
    <cfRule type="cellIs" dxfId="162" priority="13" operator="greaterThan">
      <formula>4</formula>
    </cfRule>
    <cfRule type="cellIs" dxfId="161" priority="14" stopIfTrue="1" operator="lessThanOrEqual">
      <formula>4</formula>
    </cfRule>
  </conditionalFormatting>
  <conditionalFormatting sqref="X9">
    <cfRule type="cellIs" dxfId="160" priority="11" operator="greaterThan">
      <formula>4</formula>
    </cfRule>
    <cfRule type="cellIs" dxfId="159" priority="12" stopIfTrue="1" operator="lessThanOrEqual">
      <formula>4</formula>
    </cfRule>
  </conditionalFormatting>
  <conditionalFormatting sqref="X11">
    <cfRule type="cellIs" dxfId="158" priority="9" operator="greaterThan">
      <formula>4</formula>
    </cfRule>
    <cfRule type="cellIs" dxfId="157" priority="10" stopIfTrue="1" operator="lessThanOrEqual">
      <formula>4</formula>
    </cfRule>
  </conditionalFormatting>
  <conditionalFormatting sqref="X13">
    <cfRule type="cellIs" dxfId="156" priority="7" operator="greaterThan">
      <formula>4</formula>
    </cfRule>
    <cfRule type="cellIs" dxfId="155" priority="8" stopIfTrue="1" operator="lessThanOrEqual">
      <formula>4</formula>
    </cfRule>
  </conditionalFormatting>
  <conditionalFormatting sqref="X15">
    <cfRule type="cellIs" dxfId="154" priority="5" operator="greaterThan">
      <formula>4</formula>
    </cfRule>
    <cfRule type="cellIs" dxfId="153" priority="6" stopIfTrue="1" operator="lessThanOrEqual">
      <formula>4</formula>
    </cfRule>
  </conditionalFormatting>
  <conditionalFormatting sqref="X17">
    <cfRule type="cellIs" dxfId="152" priority="1" operator="greaterThan">
      <formula>4</formula>
    </cfRule>
    <cfRule type="cellIs" dxfId="151" priority="2" stopIfTrue="1" operator="lessThanOrEqual">
      <formula>4</formula>
    </cfRule>
  </conditionalFormatting>
  <pageMargins left="0.7" right="0.7" top="0.75" bottom="0.75" header="0.3" footer="0.3"/>
  <pageSetup paperSize="9" orientation="portrait" horizontalDpi="4294967293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C884CF-4956-407F-942E-DE90457DE616}">
  <dimension ref="A1:AI44"/>
  <sheetViews>
    <sheetView workbookViewId="0">
      <selection activeCell="D3" sqref="A1:XFD1048576"/>
    </sheetView>
  </sheetViews>
  <sheetFormatPr baseColWidth="10" defaultRowHeight="14.4" x14ac:dyDescent="0.3"/>
  <cols>
    <col min="1" max="1" width="7.33203125" customWidth="1"/>
    <col min="2" max="2" width="12.109375" bestFit="1" customWidth="1"/>
    <col min="3" max="3" width="4.6640625" customWidth="1"/>
    <col min="4" max="4" width="15.6640625" customWidth="1"/>
    <col min="5" max="14" width="5.6640625" customWidth="1"/>
    <col min="15" max="15" width="8" customWidth="1"/>
    <col min="16" max="20" width="5.6640625" customWidth="1"/>
    <col min="21" max="21" width="5.88671875" customWidth="1"/>
    <col min="22" max="22" width="6.44140625" customWidth="1"/>
    <col min="23" max="23" width="8" customWidth="1"/>
    <col min="24" max="24" width="9.109375" customWidth="1"/>
    <col min="25" max="25" width="11.5546875" customWidth="1"/>
    <col min="26" max="26" width="10.109375" customWidth="1"/>
    <col min="27" max="27" width="8.33203125" customWidth="1"/>
    <col min="28" max="28" width="2.44140625" customWidth="1"/>
    <col min="31" max="32" width="8.33203125" customWidth="1"/>
    <col min="34" max="34" width="11.6640625" customWidth="1"/>
  </cols>
  <sheetData>
    <row r="1" spans="1:35" x14ac:dyDescent="0.3">
      <c r="A1" t="s">
        <v>5</v>
      </c>
      <c r="B1" s="18" t="s">
        <v>7</v>
      </c>
      <c r="D1" t="s">
        <v>27</v>
      </c>
      <c r="AD1">
        <v>60</v>
      </c>
      <c r="AE1" t="s">
        <v>24</v>
      </c>
      <c r="AH1" s="14">
        <v>0.15825</v>
      </c>
    </row>
    <row r="2" spans="1:35" x14ac:dyDescent="0.3">
      <c r="A2">
        <v>1</v>
      </c>
      <c r="B2" s="20" t="s">
        <v>50</v>
      </c>
      <c r="U2" s="192" t="s">
        <v>41</v>
      </c>
      <c r="V2" s="192"/>
      <c r="AE2">
        <v>45</v>
      </c>
    </row>
    <row r="3" spans="1:35" x14ac:dyDescent="0.3">
      <c r="A3">
        <v>2</v>
      </c>
      <c r="B3" s="20" t="s">
        <v>51</v>
      </c>
      <c r="D3" s="165" t="s">
        <v>9</v>
      </c>
      <c r="E3" s="193" t="str">
        <f>D5</f>
        <v>Rinderer, Daniel</v>
      </c>
      <c r="F3" s="194"/>
      <c r="G3" s="193" t="str">
        <f>D7</f>
        <v>Klein, Dennis</v>
      </c>
      <c r="H3" s="194"/>
      <c r="I3" s="193" t="str">
        <f>D9</f>
        <v>Köhler, Felix</v>
      </c>
      <c r="J3" s="194"/>
      <c r="K3" s="193" t="str">
        <f>D11</f>
        <v>Cheaib, Dauud</v>
      </c>
      <c r="L3" s="194"/>
      <c r="M3" s="193" t="str">
        <f>D13</f>
        <v>Ruiz Romain</v>
      </c>
      <c r="N3" s="194"/>
      <c r="O3" s="193" t="str">
        <f>D15</f>
        <v>Limonov, Anton</v>
      </c>
      <c r="P3" s="194"/>
      <c r="Q3" s="193" t="str">
        <f>D17</f>
        <v>Fadeev, Kirill</v>
      </c>
      <c r="R3" s="194"/>
      <c r="S3" s="193" t="str">
        <f>+D19</f>
        <v>Mühlbach, Carlos</v>
      </c>
      <c r="T3" s="197"/>
      <c r="U3" s="177" t="s">
        <v>0</v>
      </c>
      <c r="V3" s="179" t="s">
        <v>1</v>
      </c>
      <c r="W3" s="179" t="s">
        <v>8</v>
      </c>
      <c r="X3" s="179" t="s">
        <v>11</v>
      </c>
      <c r="Y3" s="188" t="s">
        <v>10</v>
      </c>
      <c r="Z3" s="188" t="s">
        <v>12</v>
      </c>
      <c r="AA3" s="8" t="s">
        <v>6</v>
      </c>
      <c r="AC3" t="s">
        <v>22</v>
      </c>
      <c r="AD3" t="s">
        <v>23</v>
      </c>
      <c r="AG3" t="s">
        <v>19</v>
      </c>
      <c r="AH3" t="s">
        <v>20</v>
      </c>
      <c r="AI3" t="s">
        <v>21</v>
      </c>
    </row>
    <row r="4" spans="1:35" ht="27" customHeight="1" x14ac:dyDescent="0.3">
      <c r="A4">
        <v>3</v>
      </c>
      <c r="B4" s="20" t="s">
        <v>52</v>
      </c>
      <c r="D4" s="166"/>
      <c r="E4" s="195"/>
      <c r="F4" s="196"/>
      <c r="G4" s="195"/>
      <c r="H4" s="196"/>
      <c r="I4" s="195"/>
      <c r="J4" s="196"/>
      <c r="K4" s="195"/>
      <c r="L4" s="196"/>
      <c r="M4" s="195"/>
      <c r="N4" s="196"/>
      <c r="O4" s="195"/>
      <c r="P4" s="196"/>
      <c r="Q4" s="195"/>
      <c r="R4" s="196"/>
      <c r="S4" s="195"/>
      <c r="T4" s="198"/>
      <c r="U4" s="178"/>
      <c r="V4" s="172"/>
      <c r="W4" s="172"/>
      <c r="X4" s="172"/>
      <c r="Y4" s="189"/>
      <c r="Z4" s="189"/>
    </row>
    <row r="5" spans="1:35" x14ac:dyDescent="0.3">
      <c r="A5">
        <v>4</v>
      </c>
      <c r="B5" s="20" t="s">
        <v>53</v>
      </c>
      <c r="C5">
        <v>1</v>
      </c>
      <c r="D5" s="171" t="str">
        <f>VLOOKUP(C5,$A$2:$B$9,2)</f>
        <v>Rinderer, Daniel</v>
      </c>
      <c r="E5" s="12"/>
      <c r="F5" s="13"/>
      <c r="G5" s="2">
        <v>0</v>
      </c>
      <c r="H5" s="3">
        <v>3</v>
      </c>
      <c r="I5" s="2">
        <v>3</v>
      </c>
      <c r="J5" s="3">
        <v>1</v>
      </c>
      <c r="K5" s="2">
        <v>3</v>
      </c>
      <c r="L5" s="3">
        <v>1</v>
      </c>
      <c r="M5" s="23">
        <v>0</v>
      </c>
      <c r="N5" s="23">
        <v>0</v>
      </c>
      <c r="O5" s="2">
        <v>3</v>
      </c>
      <c r="P5" s="3">
        <v>0</v>
      </c>
      <c r="Q5" s="2">
        <v>3</v>
      </c>
      <c r="R5" s="3">
        <v>1</v>
      </c>
      <c r="S5" s="2">
        <v>1</v>
      </c>
      <c r="T5" s="11">
        <v>3</v>
      </c>
      <c r="U5" s="169">
        <f>+E5+G5+I5+K5+M5+O5+Q5+S5</f>
        <v>13</v>
      </c>
      <c r="V5" s="184">
        <f>+F5+H5+J5+L5+N5+P5+R5+T5</f>
        <v>9</v>
      </c>
      <c r="W5" s="186">
        <f>COUNTIF(E6:T6,"V")</f>
        <v>4</v>
      </c>
      <c r="X5" s="186">
        <f>RANK(W5,$W$5:$W$20)</f>
        <v>2</v>
      </c>
      <c r="Y5" s="167">
        <f>+U5/V5</f>
        <v>1.4444444444444444</v>
      </c>
      <c r="Z5" s="163" t="e">
        <f>RANK(Y5,$Y$5:$Y$20)</f>
        <v>#DIV/0!</v>
      </c>
      <c r="AA5" s="10" t="e">
        <f>(+Z5+X5)/2</f>
        <v>#DIV/0!</v>
      </c>
    </row>
    <row r="6" spans="1:35" x14ac:dyDescent="0.3">
      <c r="A6">
        <v>5</v>
      </c>
      <c r="B6" s="17" t="s">
        <v>34</v>
      </c>
      <c r="D6" s="172"/>
      <c r="E6" s="190" t="str">
        <f>IF(E5="","",IF(E5=3,"V","D"))</f>
        <v/>
      </c>
      <c r="F6" s="191"/>
      <c r="G6" s="180" t="str">
        <f>IF(G5+H5=0,+$D$1,IF(G5=3,"V","D"))</f>
        <v>D</v>
      </c>
      <c r="H6" s="181"/>
      <c r="I6" s="180" t="str">
        <f>IF(I5+J5=0,+$D$1,IF(I5=3,"V","D"))</f>
        <v>V</v>
      </c>
      <c r="J6" s="181"/>
      <c r="K6" s="180" t="str">
        <f>IF(K5+L5=0,+$D$1,IF(K5=3,"V","D"))</f>
        <v>V</v>
      </c>
      <c r="L6" s="181"/>
      <c r="M6" s="205" t="str">
        <f>IF(M5+N5=0,+$D$1,IF(M5=3,"V","D"))</f>
        <v>NJ</v>
      </c>
      <c r="N6" s="206"/>
      <c r="O6" s="180" t="str">
        <f>IF(O5+P5=0,+$D$1,IF(O5=3,"V","D"))</f>
        <v>V</v>
      </c>
      <c r="P6" s="181"/>
      <c r="Q6" s="180" t="str">
        <f>IF(Q5+R5=0,+$D$1,IF(Q5=3,"V","D"))</f>
        <v>V</v>
      </c>
      <c r="R6" s="181"/>
      <c r="S6" s="180" t="str">
        <f>IF(S5+T5=0,+$D$1,IF(S5=3,"V","D"))</f>
        <v>D</v>
      </c>
      <c r="T6" s="181"/>
      <c r="U6" s="170"/>
      <c r="V6" s="185"/>
      <c r="W6" s="187"/>
      <c r="X6" s="187"/>
      <c r="Y6" s="168"/>
      <c r="Z6" s="164"/>
      <c r="AA6" s="10"/>
    </row>
    <row r="7" spans="1:35" x14ac:dyDescent="0.3">
      <c r="A7">
        <v>6</v>
      </c>
      <c r="B7" s="20" t="s">
        <v>54</v>
      </c>
      <c r="C7">
        <v>2</v>
      </c>
      <c r="D7" s="171" t="str">
        <f>VLOOKUP(C7,$A$2:$B$9,2)</f>
        <v>Klein, Dennis</v>
      </c>
      <c r="E7" s="2">
        <f>+H5</f>
        <v>3</v>
      </c>
      <c r="F7" s="3">
        <f>+G5</f>
        <v>0</v>
      </c>
      <c r="G7" s="12"/>
      <c r="H7" s="13"/>
      <c r="I7" s="2">
        <v>3</v>
      </c>
      <c r="J7" s="3">
        <v>0</v>
      </c>
      <c r="K7" s="2">
        <v>3</v>
      </c>
      <c r="L7" s="3">
        <v>1</v>
      </c>
      <c r="M7" s="23">
        <v>0</v>
      </c>
      <c r="N7" s="23">
        <v>0</v>
      </c>
      <c r="O7" s="2">
        <v>1</v>
      </c>
      <c r="P7" s="3">
        <v>3</v>
      </c>
      <c r="Q7" s="2">
        <v>3</v>
      </c>
      <c r="R7" s="3">
        <v>0</v>
      </c>
      <c r="S7" s="2">
        <v>0</v>
      </c>
      <c r="T7" s="11">
        <v>3</v>
      </c>
      <c r="U7" s="169">
        <f>+E7+G7+I7+K7+M7+O7+Q7+S7</f>
        <v>13</v>
      </c>
      <c r="V7" s="184">
        <f>+F7+H7+J7+L7+N7+P7+R7+T7</f>
        <v>7</v>
      </c>
      <c r="W7" s="186">
        <f>COUNTIF(E8:T8,"V")</f>
        <v>4</v>
      </c>
      <c r="X7" s="186">
        <f>RANK(W7,$W$5:$W$20)</f>
        <v>2</v>
      </c>
      <c r="Y7" s="167">
        <f>+U7/V7</f>
        <v>1.8571428571428572</v>
      </c>
      <c r="Z7" s="163" t="e">
        <f>RANK(Y7,$Y$5:$Y$20)</f>
        <v>#DIV/0!</v>
      </c>
      <c r="AA7" s="10" t="e">
        <f>(+Z7+X7)/2</f>
        <v>#DIV/0!</v>
      </c>
    </row>
    <row r="8" spans="1:35" x14ac:dyDescent="0.3">
      <c r="A8">
        <v>7</v>
      </c>
      <c r="B8" s="20" t="s">
        <v>55</v>
      </c>
      <c r="D8" s="172"/>
      <c r="E8" s="180" t="str">
        <f>IF(E7+F7=0,+$D$1,IF(E7=3,"V","D"))</f>
        <v>V</v>
      </c>
      <c r="F8" s="181"/>
      <c r="G8" s="182"/>
      <c r="H8" s="183"/>
      <c r="I8" s="180" t="str">
        <f>IF(I7+J7=0,+$D$1,IF(I7=3,"V","D"))</f>
        <v>V</v>
      </c>
      <c r="J8" s="181"/>
      <c r="K8" s="180" t="str">
        <f>IF(K7+L7=0,+$D$1,IF(K7=3,"V","D"))</f>
        <v>V</v>
      </c>
      <c r="L8" s="181"/>
      <c r="M8" s="205" t="str">
        <f>IF(M7+N7=0,+$D$1,IF(M7=3,"V","D"))</f>
        <v>NJ</v>
      </c>
      <c r="N8" s="206"/>
      <c r="O8" s="180" t="str">
        <f>IF(O7+P7=0,+$D$1,IF(O7=3,"V","D"))</f>
        <v>D</v>
      </c>
      <c r="P8" s="181"/>
      <c r="Q8" s="180" t="str">
        <f>IF(Q7+R7=0,+$D$1,IF(Q7=3,"V","D"))</f>
        <v>V</v>
      </c>
      <c r="R8" s="181"/>
      <c r="S8" s="180" t="str">
        <f>IF(S7+T7=0,+$D$1,IF(S7=3,"V","D"))</f>
        <v>D</v>
      </c>
      <c r="T8" s="181"/>
      <c r="U8" s="170"/>
      <c r="V8" s="185"/>
      <c r="W8" s="187"/>
      <c r="X8" s="187"/>
      <c r="Y8" s="168"/>
      <c r="Z8" s="164"/>
      <c r="AA8" s="10"/>
    </row>
    <row r="9" spans="1:35" x14ac:dyDescent="0.3">
      <c r="A9">
        <v>8</v>
      </c>
      <c r="B9" s="20" t="s">
        <v>56</v>
      </c>
      <c r="C9">
        <v>3</v>
      </c>
      <c r="D9" s="171" t="str">
        <f>VLOOKUP(C9,$A$2:$B$9,2)</f>
        <v>Köhler, Felix</v>
      </c>
      <c r="E9" s="2">
        <f>+J5</f>
        <v>1</v>
      </c>
      <c r="F9" s="3">
        <f>+I5</f>
        <v>3</v>
      </c>
      <c r="G9" s="2">
        <f>+J7</f>
        <v>0</v>
      </c>
      <c r="H9" s="3">
        <f>+I7</f>
        <v>3</v>
      </c>
      <c r="I9" s="12"/>
      <c r="J9" s="13"/>
      <c r="K9" s="2">
        <v>0</v>
      </c>
      <c r="L9" s="3">
        <v>3</v>
      </c>
      <c r="M9" s="23">
        <v>0</v>
      </c>
      <c r="N9" s="23">
        <v>0</v>
      </c>
      <c r="O9" s="2">
        <v>0</v>
      </c>
      <c r="P9" s="3">
        <v>3</v>
      </c>
      <c r="Q9" s="2">
        <v>1</v>
      </c>
      <c r="R9" s="3">
        <v>3</v>
      </c>
      <c r="S9" s="2">
        <v>1</v>
      </c>
      <c r="T9" s="11">
        <v>3</v>
      </c>
      <c r="U9" s="169">
        <f>+E9+G9+I9+K9+M9+O9+Q9+S9</f>
        <v>3</v>
      </c>
      <c r="V9" s="184">
        <f>+F9+H9+J9+L9+N9+P9+R9+T9</f>
        <v>18</v>
      </c>
      <c r="W9" s="186">
        <f>COUNTIF(E10:T10,"V")</f>
        <v>0</v>
      </c>
      <c r="X9" s="186">
        <f>RANK(W9,$W$5:$W$20)</f>
        <v>7</v>
      </c>
      <c r="Y9" s="167">
        <f>+U9/V9</f>
        <v>0.16666666666666666</v>
      </c>
      <c r="Z9" s="163" t="e">
        <f>RANK(Y9,$Y$5:$Y$20)</f>
        <v>#DIV/0!</v>
      </c>
      <c r="AA9" s="10" t="e">
        <f>(+Z9+X9)/2</f>
        <v>#DIV/0!</v>
      </c>
      <c r="AC9">
        <v>75</v>
      </c>
      <c r="AD9">
        <f>+AD1*W9</f>
        <v>0</v>
      </c>
      <c r="AE9">
        <v>0</v>
      </c>
      <c r="AF9">
        <v>0</v>
      </c>
      <c r="AG9">
        <f>SUM(AC9:AF9)</f>
        <v>75</v>
      </c>
      <c r="AH9" s="16">
        <f>-AG9*AH1</f>
        <v>-11.86875</v>
      </c>
      <c r="AI9" s="15">
        <f>+AG9+AH9</f>
        <v>63.131250000000001</v>
      </c>
    </row>
    <row r="10" spans="1:35" x14ac:dyDescent="0.3">
      <c r="D10" s="172"/>
      <c r="E10" s="180" t="str">
        <f>IF(E9+F9=0,+$D$1,IF(E9=3,"V","D"))</f>
        <v>D</v>
      </c>
      <c r="F10" s="181"/>
      <c r="G10" s="180" t="str">
        <f>IF(G9+H9=0,+$D$1,IF(G9=3,"V","D"))</f>
        <v>D</v>
      </c>
      <c r="H10" s="181"/>
      <c r="I10" s="182"/>
      <c r="J10" s="183"/>
      <c r="K10" s="180" t="str">
        <f>IF(K9+L9=0,+$D$1,IF(K9=3,"V","D"))</f>
        <v>D</v>
      </c>
      <c r="L10" s="181"/>
      <c r="M10" s="205" t="str">
        <f>IF(M9+N9=0,+$D$1,IF(M9=3,"V","D"))</f>
        <v>NJ</v>
      </c>
      <c r="N10" s="206"/>
      <c r="O10" s="180" t="str">
        <f>IF(O9+P9=0,+$D$1,IF(O9=3,"V","D"))</f>
        <v>D</v>
      </c>
      <c r="P10" s="181"/>
      <c r="Q10" s="180" t="str">
        <f>IF(Q9+R9=0,+$D$1,IF(Q9=3,"V","D"))</f>
        <v>D</v>
      </c>
      <c r="R10" s="181"/>
      <c r="S10" s="180" t="str">
        <f>IF(S9+T9=0,+$D$1,IF(S9=3,"V","D"))</f>
        <v>D</v>
      </c>
      <c r="T10" s="181"/>
      <c r="U10" s="170"/>
      <c r="V10" s="185"/>
      <c r="W10" s="187"/>
      <c r="X10" s="187"/>
      <c r="Y10" s="168"/>
      <c r="Z10" s="164"/>
      <c r="AA10" s="10"/>
    </row>
    <row r="11" spans="1:35" x14ac:dyDescent="0.3">
      <c r="C11">
        <v>4</v>
      </c>
      <c r="D11" s="171" t="str">
        <f>VLOOKUP(C11,$A$2:$B$9,2)</f>
        <v>Cheaib, Dauud</v>
      </c>
      <c r="E11" s="5">
        <f>IF(+L5="",0,+L5)</f>
        <v>1</v>
      </c>
      <c r="F11" s="9">
        <f>IF(+K5="",0,+K5)</f>
        <v>3</v>
      </c>
      <c r="G11" s="2">
        <f>IF(+L7="",0,L7)</f>
        <v>1</v>
      </c>
      <c r="H11" s="1">
        <f>IF(+K7="",0,K7)</f>
        <v>3</v>
      </c>
      <c r="I11" s="2">
        <f>IF(+L9="",0,L9)</f>
        <v>3</v>
      </c>
      <c r="J11" s="1">
        <f>IF(+K9="",0,K9)</f>
        <v>0</v>
      </c>
      <c r="K11" s="12"/>
      <c r="L11" s="13"/>
      <c r="M11" s="23">
        <v>0</v>
      </c>
      <c r="N11" s="23">
        <v>0</v>
      </c>
      <c r="O11" s="2">
        <v>1</v>
      </c>
      <c r="P11" s="3">
        <v>3</v>
      </c>
      <c r="Q11" s="2">
        <v>3</v>
      </c>
      <c r="R11" s="3">
        <v>2</v>
      </c>
      <c r="S11" s="2">
        <v>1</v>
      </c>
      <c r="T11" s="11">
        <v>3</v>
      </c>
      <c r="U11" s="169">
        <f>+E11+G11+I11+K11+M11+O11+Q11+S11</f>
        <v>10</v>
      </c>
      <c r="V11" s="184">
        <f>+F11+H11+J11+L11+N11+P11+R11+T11</f>
        <v>14</v>
      </c>
      <c r="W11" s="186">
        <f>COUNTIF(E12:T12,"V")</f>
        <v>2</v>
      </c>
      <c r="X11" s="186">
        <f>RANK(W11,$W$5:$W$20)</f>
        <v>5</v>
      </c>
      <c r="Y11" s="167">
        <f>+U11/V11</f>
        <v>0.7142857142857143</v>
      </c>
      <c r="Z11" s="163" t="e">
        <f>RANK(Y11,$Y$5:$Y$20)</f>
        <v>#DIV/0!</v>
      </c>
      <c r="AA11" s="10" t="e">
        <f>(+Z11+X11)/2</f>
        <v>#DIV/0!</v>
      </c>
    </row>
    <row r="12" spans="1:35" x14ac:dyDescent="0.3">
      <c r="B12" s="20"/>
      <c r="D12" s="172"/>
      <c r="E12" s="180" t="str">
        <f>IF(E11+F11=0,+$D$1,IF(E11=3,"V","D"))</f>
        <v>D</v>
      </c>
      <c r="F12" s="181"/>
      <c r="G12" s="180" t="str">
        <f>IF(G11+H11=0,+$D$1,IF(G11=3,"V","D"))</f>
        <v>D</v>
      </c>
      <c r="H12" s="181"/>
      <c r="I12" s="180" t="str">
        <f>IF(I11+J11=0,+$D$1,IF(I11=3,"V","D"))</f>
        <v>V</v>
      </c>
      <c r="J12" s="181"/>
      <c r="K12" s="182"/>
      <c r="L12" s="183"/>
      <c r="M12" s="205" t="str">
        <f>IF(M11+N11=0,+$D$1,IF(M11=3,"V","D"))</f>
        <v>NJ</v>
      </c>
      <c r="N12" s="206"/>
      <c r="O12" s="180" t="str">
        <f>IF(O11+P11=0,+$D$1,IF(O11=3,"V","D"))</f>
        <v>D</v>
      </c>
      <c r="P12" s="181"/>
      <c r="Q12" s="180" t="str">
        <f>IF(Q11+R11=0,+$D$1,IF(Q11=3,"V","D"))</f>
        <v>V</v>
      </c>
      <c r="R12" s="181"/>
      <c r="S12" s="180" t="str">
        <f>IF(S11+T11=0,+$D$1,IF(S11=3,"V","D"))</f>
        <v>D</v>
      </c>
      <c r="T12" s="181"/>
      <c r="U12" s="170"/>
      <c r="V12" s="185"/>
      <c r="W12" s="187"/>
      <c r="X12" s="187"/>
      <c r="Y12" s="168"/>
      <c r="Z12" s="164"/>
      <c r="AA12" s="10"/>
    </row>
    <row r="13" spans="1:35" x14ac:dyDescent="0.3">
      <c r="B13" s="20"/>
      <c r="C13">
        <v>5</v>
      </c>
      <c r="D13" s="171" t="str">
        <f>VLOOKUP(C13,$A$2:$B$9,2)</f>
        <v>Ruiz Romain</v>
      </c>
      <c r="E13" s="2">
        <f>IF(+N5="",0,N5)</f>
        <v>0</v>
      </c>
      <c r="F13" s="3">
        <f>IF(+M5="",0,M5)</f>
        <v>0</v>
      </c>
      <c r="G13" s="5">
        <f>IF(+N7="",0,+N7)</f>
        <v>0</v>
      </c>
      <c r="H13" s="4">
        <f>IF(+M7="",0,+M7)</f>
        <v>0</v>
      </c>
      <c r="I13" s="2">
        <f>IF(+N9="",0,+N9)</f>
        <v>0</v>
      </c>
      <c r="J13" s="1">
        <f>IF(+M9="",0,+M9)</f>
        <v>0</v>
      </c>
      <c r="K13" s="2">
        <f>+N11</f>
        <v>0</v>
      </c>
      <c r="L13" s="3">
        <f>+M11</f>
        <v>0</v>
      </c>
      <c r="M13" s="24"/>
      <c r="N13" s="25"/>
      <c r="O13" s="2">
        <v>0</v>
      </c>
      <c r="P13" s="3">
        <v>0</v>
      </c>
      <c r="Q13" s="2">
        <v>0</v>
      </c>
      <c r="R13" s="3">
        <v>0</v>
      </c>
      <c r="S13" s="2">
        <v>0</v>
      </c>
      <c r="T13" s="11">
        <v>0</v>
      </c>
      <c r="U13" s="169">
        <f>+E13+G13+I13+K13+M13+O13+Q13+S13</f>
        <v>0</v>
      </c>
      <c r="V13" s="184">
        <f>+F13+H13+J13+L13+N13+P13+R13+T13</f>
        <v>0</v>
      </c>
      <c r="W13" s="186">
        <f>COUNTIF(E14:T14,"V")</f>
        <v>0</v>
      </c>
      <c r="X13" s="186">
        <f>RANK(W13,$W$5:$W$20)</f>
        <v>7</v>
      </c>
      <c r="Y13" s="167" t="e">
        <f>+U13/V13</f>
        <v>#DIV/0!</v>
      </c>
      <c r="Z13" s="163" t="e">
        <f>RANK(Y13,$Y$5:$Y$20)</f>
        <v>#DIV/0!</v>
      </c>
      <c r="AA13" s="10" t="e">
        <f>(+Z13+X13)/2</f>
        <v>#DIV/0!</v>
      </c>
    </row>
    <row r="14" spans="1:35" x14ac:dyDescent="0.3">
      <c r="B14" s="20"/>
      <c r="D14" s="172"/>
      <c r="E14" s="180" t="str">
        <f>IF(E13+F13=0,+$D$1,IF(E13=3,"V","D"))</f>
        <v>NJ</v>
      </c>
      <c r="F14" s="181"/>
      <c r="G14" s="180" t="str">
        <f>IF(G13+H13=0,+$D$1,IF(G13=3,"V","D"))</f>
        <v>NJ</v>
      </c>
      <c r="H14" s="181"/>
      <c r="I14" s="180" t="str">
        <f>IF(I13+J13=0,+$D$1,IF(I13=3,"V","D"))</f>
        <v>NJ</v>
      </c>
      <c r="J14" s="181"/>
      <c r="K14" s="180" t="str">
        <f>IF(K13+L13=0,+$D$1,IF(K13=3,"V","D"))</f>
        <v>NJ</v>
      </c>
      <c r="L14" s="181"/>
      <c r="M14" s="205"/>
      <c r="N14" s="206"/>
      <c r="O14" s="180" t="str">
        <f>IF(O13+P13=0,+$D$1,IF(O13=3,"V","D"))</f>
        <v>NJ</v>
      </c>
      <c r="P14" s="181"/>
      <c r="Q14" s="180" t="str">
        <f>IF(Q13+R13=0,+$D$1,IF(Q13=3,"V","D"))</f>
        <v>NJ</v>
      </c>
      <c r="R14" s="181"/>
      <c r="S14" s="180" t="str">
        <f>IF(S13+T13=0,+$D$1,IF(S13=3,"V","D"))</f>
        <v>NJ</v>
      </c>
      <c r="T14" s="181"/>
      <c r="U14" s="170"/>
      <c r="V14" s="185"/>
      <c r="W14" s="187"/>
      <c r="X14" s="187"/>
      <c r="Y14" s="168"/>
      <c r="Z14" s="164"/>
      <c r="AA14" s="10"/>
    </row>
    <row r="15" spans="1:35" x14ac:dyDescent="0.3">
      <c r="B15" s="20"/>
      <c r="C15">
        <v>6</v>
      </c>
      <c r="D15" s="171" t="str">
        <f>VLOOKUP(C15,$A$2:$B$9,2)</f>
        <v>Limonov, Anton</v>
      </c>
      <c r="E15" s="5">
        <f>IF(+P5="","0",+P5)</f>
        <v>0</v>
      </c>
      <c r="F15" s="9">
        <f>IF(+O5="",0,+O5)</f>
        <v>3</v>
      </c>
      <c r="G15" s="5">
        <f>IF(+P7="",0,P7)</f>
        <v>3</v>
      </c>
      <c r="H15" s="4">
        <f>IF(+O7="",0,O7)</f>
        <v>1</v>
      </c>
      <c r="I15" s="2">
        <f>+P9</f>
        <v>3</v>
      </c>
      <c r="J15" s="3">
        <f>+O9</f>
        <v>0</v>
      </c>
      <c r="K15" s="2">
        <f>+P11</f>
        <v>3</v>
      </c>
      <c r="L15" s="3">
        <f>+O11</f>
        <v>1</v>
      </c>
      <c r="M15" s="23">
        <f>+P13</f>
        <v>0</v>
      </c>
      <c r="N15" s="23">
        <f>+O13</f>
        <v>0</v>
      </c>
      <c r="O15" s="12"/>
      <c r="P15" s="13"/>
      <c r="Q15" s="2">
        <v>3</v>
      </c>
      <c r="R15" s="3">
        <v>0</v>
      </c>
      <c r="S15" s="2">
        <v>0</v>
      </c>
      <c r="T15" s="11">
        <v>3</v>
      </c>
      <c r="U15" s="169">
        <f>+E15+G15+I15+K15+M15+O15+Q15+S15</f>
        <v>12</v>
      </c>
      <c r="V15" s="184">
        <f>+F15+H15+J15+L15+N15+P15+R15+T15</f>
        <v>8</v>
      </c>
      <c r="W15" s="186">
        <f>COUNTIF(E16:T16,"V")</f>
        <v>4</v>
      </c>
      <c r="X15" s="186">
        <f>RANK(W15,$W$5:$W$20)</f>
        <v>2</v>
      </c>
      <c r="Y15" s="167">
        <f>+U15/V15</f>
        <v>1.5</v>
      </c>
      <c r="Z15" s="163" t="e">
        <f>RANK(Y15,$Y$5:$Y$20)</f>
        <v>#DIV/0!</v>
      </c>
      <c r="AA15" s="10" t="e">
        <f>(+Z15+X15)/2</f>
        <v>#DIV/0!</v>
      </c>
    </row>
    <row r="16" spans="1:35" x14ac:dyDescent="0.3">
      <c r="B16" s="20"/>
      <c r="D16" s="172"/>
      <c r="E16" s="180" t="str">
        <f>IF(E15+F15=0,+$D$1,IF(E15=3,"V","D"))</f>
        <v>D</v>
      </c>
      <c r="F16" s="181"/>
      <c r="G16" s="180" t="str">
        <f>IF(G15+H15=0,+$D$1,IF(G15=3,"V","D"))</f>
        <v>V</v>
      </c>
      <c r="H16" s="181"/>
      <c r="I16" s="180" t="str">
        <f>IF(I15+J15=0,+$D$1,IF(I15=3,"V","D"))</f>
        <v>V</v>
      </c>
      <c r="J16" s="181"/>
      <c r="K16" s="180" t="str">
        <f>IF(K15+L15=0,+$D$1,IF(K15=3,"V","D"))</f>
        <v>V</v>
      </c>
      <c r="L16" s="181"/>
      <c r="M16" s="205" t="str">
        <f>IF(M15+N15=0,+$D$1,IF(M15=3,"V","D"))</f>
        <v>NJ</v>
      </c>
      <c r="N16" s="206"/>
      <c r="O16" s="182"/>
      <c r="P16" s="183"/>
      <c r="Q16" s="180" t="str">
        <f>IF(Q15+R15=0,+$D$1,IF(Q15=3,"V","D"))</f>
        <v>V</v>
      </c>
      <c r="R16" s="181"/>
      <c r="S16" s="180" t="str">
        <f>IF(S15+T15=0,+$D$1,IF(S15=3,"V","D"))</f>
        <v>D</v>
      </c>
      <c r="T16" s="181"/>
      <c r="U16" s="170"/>
      <c r="V16" s="185"/>
      <c r="W16" s="187"/>
      <c r="X16" s="187"/>
      <c r="Y16" s="168"/>
      <c r="Z16" s="164"/>
      <c r="AA16" s="10"/>
    </row>
    <row r="17" spans="2:27" x14ac:dyDescent="0.3">
      <c r="B17" s="20"/>
      <c r="C17">
        <v>7</v>
      </c>
      <c r="D17" s="171" t="str">
        <f>VLOOKUP(C17,$A$2:$B$9,2)</f>
        <v>Fadeev, Kirill</v>
      </c>
      <c r="E17" s="2">
        <f>+R5</f>
        <v>1</v>
      </c>
      <c r="F17" s="3">
        <f>+Q5</f>
        <v>3</v>
      </c>
      <c r="G17" s="2">
        <f>+R7</f>
        <v>0</v>
      </c>
      <c r="H17" s="3">
        <f>+Q7</f>
        <v>3</v>
      </c>
      <c r="I17" s="2">
        <f>+R9</f>
        <v>3</v>
      </c>
      <c r="J17" s="3">
        <f>+Q9</f>
        <v>1</v>
      </c>
      <c r="K17" s="2">
        <f>+R11</f>
        <v>2</v>
      </c>
      <c r="L17" s="3">
        <f>+Q11</f>
        <v>3</v>
      </c>
      <c r="M17" s="26">
        <f>IF(+R13="",0,+R13)</f>
        <v>0</v>
      </c>
      <c r="N17" s="26">
        <f>IF(+Q13="",0,+Q13)</f>
        <v>0</v>
      </c>
      <c r="O17" s="5">
        <f>IF(+R15="",0,+R15)</f>
        <v>0</v>
      </c>
      <c r="P17" s="4">
        <f>IF(+Q15="",0,+Q15)</f>
        <v>3</v>
      </c>
      <c r="Q17" s="12"/>
      <c r="R17" s="13"/>
      <c r="S17" s="2">
        <v>0</v>
      </c>
      <c r="T17" s="11">
        <v>3</v>
      </c>
      <c r="U17" s="169">
        <f>+E17+G17+I17+K17+M17+O17+Q17+S17</f>
        <v>6</v>
      </c>
      <c r="V17" s="184">
        <f>+F17+H17+J17+L17+N17+P17+R17+T17</f>
        <v>16</v>
      </c>
      <c r="W17" s="186">
        <f>COUNTIF(E18:T18,"V")</f>
        <v>1</v>
      </c>
      <c r="X17" s="186">
        <f>RANK(W17,$W$5:$W$20)</f>
        <v>6</v>
      </c>
      <c r="Y17" s="167">
        <f>+U17/V17</f>
        <v>0.375</v>
      </c>
      <c r="Z17" s="163" t="e">
        <f>RANK(Y17,$Y$5:$Y$20)</f>
        <v>#DIV/0!</v>
      </c>
      <c r="AA17" s="10" t="e">
        <f>(+Z17+X17)/2</f>
        <v>#DIV/0!</v>
      </c>
    </row>
    <row r="18" spans="2:27" x14ac:dyDescent="0.3">
      <c r="B18" s="20"/>
      <c r="D18" s="172"/>
      <c r="E18" s="180" t="str">
        <f>IF(E17+F17=0,+$D$1,IF(E17=3,"V","D"))</f>
        <v>D</v>
      </c>
      <c r="F18" s="181"/>
      <c r="G18" s="180" t="str">
        <f>IF(G17+H17=0,+$D$1,IF(G17=3,"V","D"))</f>
        <v>D</v>
      </c>
      <c r="H18" s="181"/>
      <c r="I18" s="180" t="str">
        <f>IF(I17+J17=0,+$D$1,IF(I17=3,"V","D"))</f>
        <v>V</v>
      </c>
      <c r="J18" s="181"/>
      <c r="K18" s="180" t="str">
        <f>IF(K17+L17=0,+$D$1,IF(K17=3,"V","D"))</f>
        <v>D</v>
      </c>
      <c r="L18" s="181"/>
      <c r="M18" s="205" t="str">
        <f>IF(M17+N17=0,+$D$1,IF(M17=3,"V","D"))</f>
        <v>NJ</v>
      </c>
      <c r="N18" s="206"/>
      <c r="O18" s="180" t="str">
        <f>IF(O17+P17=0,+$D$1,IF(O17=3,"V","D"))</f>
        <v>D</v>
      </c>
      <c r="P18" s="181"/>
      <c r="Q18" s="182"/>
      <c r="R18" s="183"/>
      <c r="S18" s="180" t="str">
        <f>IF(S17+T17=0,+$D$1,IF(S17=3,"V","D"))</f>
        <v>D</v>
      </c>
      <c r="T18" s="181"/>
      <c r="U18" s="170"/>
      <c r="V18" s="185"/>
      <c r="W18" s="187"/>
      <c r="X18" s="187"/>
      <c r="Y18" s="168"/>
      <c r="Z18" s="164"/>
      <c r="AA18" s="10"/>
    </row>
    <row r="19" spans="2:27" x14ac:dyDescent="0.3">
      <c r="B19" s="20"/>
      <c r="C19">
        <v>8</v>
      </c>
      <c r="D19" s="171" t="str">
        <f>VLOOKUP(C19,$A$2:$B$9,2)</f>
        <v>Mühlbach, Carlos</v>
      </c>
      <c r="E19" s="6">
        <f>+T5</f>
        <v>3</v>
      </c>
      <c r="F19" s="7">
        <f>+S5</f>
        <v>1</v>
      </c>
      <c r="G19" s="6">
        <f>+T7</f>
        <v>3</v>
      </c>
      <c r="H19" s="7">
        <f>+S7</f>
        <v>0</v>
      </c>
      <c r="I19" s="2">
        <f>+T9</f>
        <v>3</v>
      </c>
      <c r="J19" s="1">
        <f>+S9</f>
        <v>1</v>
      </c>
      <c r="K19" s="5">
        <f>+T11</f>
        <v>3</v>
      </c>
      <c r="L19" s="9">
        <f>+S11</f>
        <v>1</v>
      </c>
      <c r="M19" s="27">
        <f>+T13</f>
        <v>0</v>
      </c>
      <c r="N19" s="27">
        <f>+S13</f>
        <v>0</v>
      </c>
      <c r="O19" s="6">
        <f>+T15</f>
        <v>3</v>
      </c>
      <c r="P19" s="7">
        <f>+S15</f>
        <v>0</v>
      </c>
      <c r="Q19" s="5">
        <f>IF(+T17="",0,+T17)</f>
        <v>3</v>
      </c>
      <c r="R19" s="9">
        <f>IF(+S17="",0,+S17)</f>
        <v>0</v>
      </c>
      <c r="S19" s="12"/>
      <c r="T19" s="13"/>
      <c r="U19" s="169">
        <f>+E19+G19+I19+K19+M19+O19+Q19+S19</f>
        <v>18</v>
      </c>
      <c r="V19" s="184">
        <f>+F19+H19+J19+L19+N19+P19+R19+T19</f>
        <v>3</v>
      </c>
      <c r="W19" s="186">
        <f>COUNTIF(E20:T20,"V")</f>
        <v>6</v>
      </c>
      <c r="X19" s="186">
        <f>RANK(W19,$W$5:$W$20)</f>
        <v>1</v>
      </c>
      <c r="Y19" s="167">
        <f>+U19/V19</f>
        <v>6</v>
      </c>
      <c r="Z19" s="163" t="e">
        <f>RANK(Y19,$Y$5:$Y$20)</f>
        <v>#DIV/0!</v>
      </c>
      <c r="AA19" s="10" t="e">
        <f>(+Z19+X19)/2</f>
        <v>#DIV/0!</v>
      </c>
    </row>
    <row r="20" spans="2:27" x14ac:dyDescent="0.3">
      <c r="D20" s="172"/>
      <c r="E20" s="180" t="str">
        <f>IF(E19+F19=0,+$D$1,IF(E19=3,"V","D"))</f>
        <v>V</v>
      </c>
      <c r="F20" s="181"/>
      <c r="G20" s="180" t="str">
        <f>IF(G19+H19=0,+$D$1,IF(G19=3,"V","D"))</f>
        <v>V</v>
      </c>
      <c r="H20" s="181"/>
      <c r="I20" s="180" t="str">
        <f>IF(I19+J19=0,+$D$1,IF(I19=3,"V","D"))</f>
        <v>V</v>
      </c>
      <c r="J20" s="181"/>
      <c r="K20" s="180" t="str">
        <f>IF(K19+L19=0,+$D$1,IF(K19=3,"V","D"))</f>
        <v>V</v>
      </c>
      <c r="L20" s="181"/>
      <c r="M20" s="205" t="str">
        <f>IF(M19+N19=0,+$D$1,IF(M19=3,"V","D"))</f>
        <v>NJ</v>
      </c>
      <c r="N20" s="206"/>
      <c r="O20" s="180" t="str">
        <f>IF(O19+P19=0,+$D$1,IF(O19=3,"V","D"))</f>
        <v>V</v>
      </c>
      <c r="P20" s="181"/>
      <c r="Q20" s="180" t="str">
        <f>IF(Q19+R19=0,+$D$1,IF(Q19=3,"V","D"))</f>
        <v>V</v>
      </c>
      <c r="R20" s="181"/>
      <c r="S20" s="182" t="str">
        <f>IF(S19+T19=0,"",IF(S19=3,"V","D"))</f>
        <v/>
      </c>
      <c r="T20" s="183"/>
      <c r="U20" s="170"/>
      <c r="V20" s="185"/>
      <c r="W20" s="187"/>
      <c r="X20" s="187"/>
      <c r="Y20" s="168"/>
      <c r="Z20" s="164"/>
    </row>
    <row r="21" spans="2:27" ht="16.5" customHeight="1" x14ac:dyDescent="0.3"/>
    <row r="23" spans="2:27" x14ac:dyDescent="0.3">
      <c r="D23" t="s">
        <v>57</v>
      </c>
    </row>
    <row r="27" spans="2:27" x14ac:dyDescent="0.3">
      <c r="D27" t="s">
        <v>13</v>
      </c>
    </row>
    <row r="28" spans="2:27" x14ac:dyDescent="0.3">
      <c r="D28" t="s">
        <v>14</v>
      </c>
    </row>
    <row r="30" spans="2:27" x14ac:dyDescent="0.3">
      <c r="D30" t="s">
        <v>15</v>
      </c>
    </row>
    <row r="31" spans="2:27" x14ac:dyDescent="0.3">
      <c r="D31" t="s">
        <v>16</v>
      </c>
    </row>
    <row r="32" spans="2:27" x14ac:dyDescent="0.3">
      <c r="D32" t="s">
        <v>17</v>
      </c>
    </row>
    <row r="34" spans="4:24" x14ac:dyDescent="0.3">
      <c r="D34" t="s">
        <v>18</v>
      </c>
    </row>
    <row r="38" spans="4:24" x14ac:dyDescent="0.3">
      <c r="D38" t="s">
        <v>25</v>
      </c>
      <c r="H38" t="s">
        <v>61</v>
      </c>
      <c r="V38">
        <v>75</v>
      </c>
    </row>
    <row r="39" spans="4:24" x14ac:dyDescent="0.3">
      <c r="V39">
        <v>420</v>
      </c>
    </row>
    <row r="40" spans="4:24" x14ac:dyDescent="0.3">
      <c r="D40" t="s">
        <v>29</v>
      </c>
      <c r="E40" t="s">
        <v>0</v>
      </c>
      <c r="H40" t="s">
        <v>29</v>
      </c>
      <c r="V40">
        <v>45</v>
      </c>
    </row>
    <row r="41" spans="4:24" x14ac:dyDescent="0.3">
      <c r="D41" t="s">
        <v>58</v>
      </c>
      <c r="H41" t="s">
        <v>59</v>
      </c>
      <c r="J41" t="s">
        <v>0</v>
      </c>
      <c r="V41">
        <v>360</v>
      </c>
    </row>
    <row r="42" spans="4:24" x14ac:dyDescent="0.3">
      <c r="V42">
        <f>SUM(V38:V41)</f>
        <v>900</v>
      </c>
      <c r="W42">
        <v>-60</v>
      </c>
      <c r="X42">
        <f>SUM(V42:W42)</f>
        <v>840</v>
      </c>
    </row>
    <row r="43" spans="4:24" x14ac:dyDescent="0.3">
      <c r="D43" t="s">
        <v>59</v>
      </c>
      <c r="E43" t="s">
        <v>62</v>
      </c>
    </row>
    <row r="44" spans="4:24" x14ac:dyDescent="0.3">
      <c r="D44" t="s">
        <v>60</v>
      </c>
    </row>
  </sheetData>
  <mergeCells count="136">
    <mergeCell ref="D9:D10"/>
    <mergeCell ref="S10:T10"/>
    <mergeCell ref="U9:U10"/>
    <mergeCell ref="V9:V10"/>
    <mergeCell ref="W7:W8"/>
    <mergeCell ref="U7:U8"/>
    <mergeCell ref="V7:V8"/>
    <mergeCell ref="V5:V6"/>
    <mergeCell ref="W5:W6"/>
    <mergeCell ref="K6:L6"/>
    <mergeCell ref="U5:U6"/>
    <mergeCell ref="M6:N6"/>
    <mergeCell ref="O6:P6"/>
    <mergeCell ref="Q6:R6"/>
    <mergeCell ref="S6:T6"/>
    <mergeCell ref="D7:D8"/>
    <mergeCell ref="D13:D14"/>
    <mergeCell ref="S14:T14"/>
    <mergeCell ref="U13:U14"/>
    <mergeCell ref="V13:V14"/>
    <mergeCell ref="W11:W12"/>
    <mergeCell ref="D11:D12"/>
    <mergeCell ref="S12:T12"/>
    <mergeCell ref="U11:U12"/>
    <mergeCell ref="V11:V12"/>
    <mergeCell ref="D19:D20"/>
    <mergeCell ref="S20:T20"/>
    <mergeCell ref="U19:U20"/>
    <mergeCell ref="V19:V20"/>
    <mergeCell ref="W15:W16"/>
    <mergeCell ref="D15:D16"/>
    <mergeCell ref="S16:T16"/>
    <mergeCell ref="U15:U16"/>
    <mergeCell ref="V15:V16"/>
    <mergeCell ref="D17:D18"/>
    <mergeCell ref="U17:U18"/>
    <mergeCell ref="V17:V18"/>
    <mergeCell ref="W17:W18"/>
    <mergeCell ref="U2:V2"/>
    <mergeCell ref="D3:D4"/>
    <mergeCell ref="E3:F4"/>
    <mergeCell ref="G3:H4"/>
    <mergeCell ref="I3:J4"/>
    <mergeCell ref="K3:L4"/>
    <mergeCell ref="M3:N4"/>
    <mergeCell ref="O3:P4"/>
    <mergeCell ref="Q3:R4"/>
    <mergeCell ref="S3:T4"/>
    <mergeCell ref="U3:U4"/>
    <mergeCell ref="V3:V4"/>
    <mergeCell ref="X7:X8"/>
    <mergeCell ref="X3:X4"/>
    <mergeCell ref="Y3:Y4"/>
    <mergeCell ref="Z3:Z4"/>
    <mergeCell ref="D5:D6"/>
    <mergeCell ref="X5:X6"/>
    <mergeCell ref="Y5:Y6"/>
    <mergeCell ref="Z5:Z6"/>
    <mergeCell ref="E6:F6"/>
    <mergeCell ref="G6:H6"/>
    <mergeCell ref="I6:J6"/>
    <mergeCell ref="W3:W4"/>
    <mergeCell ref="Y7:Y8"/>
    <mergeCell ref="Z7:Z8"/>
    <mergeCell ref="E8:F8"/>
    <mergeCell ref="G8:H8"/>
    <mergeCell ref="I8:J8"/>
    <mergeCell ref="K8:L8"/>
    <mergeCell ref="M8:N8"/>
    <mergeCell ref="O8:P8"/>
    <mergeCell ref="Q8:R8"/>
    <mergeCell ref="S8:T8"/>
    <mergeCell ref="X9:X10"/>
    <mergeCell ref="Y9:Y10"/>
    <mergeCell ref="Z9:Z10"/>
    <mergeCell ref="E10:F10"/>
    <mergeCell ref="G10:H10"/>
    <mergeCell ref="I10:J10"/>
    <mergeCell ref="K10:L10"/>
    <mergeCell ref="M10:N10"/>
    <mergeCell ref="O10:P10"/>
    <mergeCell ref="Q10:R10"/>
    <mergeCell ref="W9:W10"/>
    <mergeCell ref="X11:X12"/>
    <mergeCell ref="Y11:Y12"/>
    <mergeCell ref="Z11:Z12"/>
    <mergeCell ref="E12:F12"/>
    <mergeCell ref="G12:H12"/>
    <mergeCell ref="I12:J12"/>
    <mergeCell ref="K12:L12"/>
    <mergeCell ref="M12:N12"/>
    <mergeCell ref="O12:P12"/>
    <mergeCell ref="Q12:R12"/>
    <mergeCell ref="X13:X14"/>
    <mergeCell ref="Y13:Y14"/>
    <mergeCell ref="Z13:Z14"/>
    <mergeCell ref="E14:F14"/>
    <mergeCell ref="G14:H14"/>
    <mergeCell ref="I14:J14"/>
    <mergeCell ref="K14:L14"/>
    <mergeCell ref="M14:N14"/>
    <mergeCell ref="O14:P14"/>
    <mergeCell ref="Q14:R14"/>
    <mergeCell ref="W13:W14"/>
    <mergeCell ref="X17:X18"/>
    <mergeCell ref="Y17:Y18"/>
    <mergeCell ref="X15:X16"/>
    <mergeCell ref="Y15:Y16"/>
    <mergeCell ref="Z15:Z16"/>
    <mergeCell ref="E16:F16"/>
    <mergeCell ref="G16:H16"/>
    <mergeCell ref="I16:J16"/>
    <mergeCell ref="K16:L16"/>
    <mergeCell ref="M16:N16"/>
    <mergeCell ref="O16:P16"/>
    <mergeCell ref="Q16:R16"/>
    <mergeCell ref="Z17:Z18"/>
    <mergeCell ref="E18:F18"/>
    <mergeCell ref="G18:H18"/>
    <mergeCell ref="I18:J18"/>
    <mergeCell ref="K18:L18"/>
    <mergeCell ref="M18:N18"/>
    <mergeCell ref="O18:P18"/>
    <mergeCell ref="Q18:R18"/>
    <mergeCell ref="S18:T18"/>
    <mergeCell ref="X19:X20"/>
    <mergeCell ref="Y19:Y20"/>
    <mergeCell ref="Z19:Z20"/>
    <mergeCell ref="E20:F20"/>
    <mergeCell ref="G20:H20"/>
    <mergeCell ref="I20:J20"/>
    <mergeCell ref="K20:L20"/>
    <mergeCell ref="M20:N20"/>
    <mergeCell ref="O20:P20"/>
    <mergeCell ref="Q20:R20"/>
    <mergeCell ref="W19:W20"/>
  </mergeCells>
  <conditionalFormatting sqref="E5:T20">
    <cfRule type="cellIs" dxfId="150" priority="17" operator="equal">
      <formula>"D"</formula>
    </cfRule>
    <cfRule type="cellIs" dxfId="149" priority="18" operator="equal">
      <formula>"V"</formula>
    </cfRule>
  </conditionalFormatting>
  <conditionalFormatting sqref="Z5">
    <cfRule type="cellIs" dxfId="148" priority="15" operator="greaterThan">
      <formula>4</formula>
    </cfRule>
    <cfRule type="cellIs" dxfId="147" priority="16" stopIfTrue="1" operator="lessThanOrEqual">
      <formula>4</formula>
    </cfRule>
  </conditionalFormatting>
  <conditionalFormatting sqref="Z7">
    <cfRule type="cellIs" dxfId="146" priority="13" operator="greaterThan">
      <formula>4</formula>
    </cfRule>
    <cfRule type="cellIs" dxfId="145" priority="14" stopIfTrue="1" operator="lessThanOrEqual">
      <formula>4</formula>
    </cfRule>
  </conditionalFormatting>
  <conditionalFormatting sqref="Z9">
    <cfRule type="cellIs" dxfId="144" priority="11" operator="greaterThan">
      <formula>4</formula>
    </cfRule>
    <cfRule type="cellIs" dxfId="143" priority="12" stopIfTrue="1" operator="lessThanOrEqual">
      <formula>4</formula>
    </cfRule>
  </conditionalFormatting>
  <conditionalFormatting sqref="Z11">
    <cfRule type="cellIs" dxfId="142" priority="9" operator="greaterThan">
      <formula>4</formula>
    </cfRule>
    <cfRule type="cellIs" dxfId="141" priority="10" stopIfTrue="1" operator="lessThanOrEqual">
      <formula>4</formula>
    </cfRule>
  </conditionalFormatting>
  <conditionalFormatting sqref="Z13">
    <cfRule type="cellIs" dxfId="140" priority="7" operator="greaterThan">
      <formula>4</formula>
    </cfRule>
    <cfRule type="cellIs" dxfId="139" priority="8" stopIfTrue="1" operator="lessThanOrEqual">
      <formula>4</formula>
    </cfRule>
  </conditionalFormatting>
  <conditionalFormatting sqref="Z15">
    <cfRule type="cellIs" dxfId="138" priority="5" operator="greaterThan">
      <formula>4</formula>
    </cfRule>
    <cfRule type="cellIs" dxfId="137" priority="6" stopIfTrue="1" operator="lessThanOrEqual">
      <formula>4</formula>
    </cfRule>
  </conditionalFormatting>
  <conditionalFormatting sqref="Z17">
    <cfRule type="cellIs" dxfId="136" priority="3" operator="greaterThan">
      <formula>4</formula>
    </cfRule>
    <cfRule type="cellIs" dxfId="135" priority="4" stopIfTrue="1" operator="lessThanOrEqual">
      <formula>4</formula>
    </cfRule>
  </conditionalFormatting>
  <conditionalFormatting sqref="Z19">
    <cfRule type="cellIs" dxfId="134" priority="1" operator="greaterThan">
      <formula>4</formula>
    </cfRule>
    <cfRule type="cellIs" dxfId="133" priority="2" stopIfTrue="1" operator="lessThanOrEqual">
      <formula>4</formula>
    </cfRule>
  </conditionalFormatting>
  <pageMargins left="0.7" right="0.7" top="0.75" bottom="0.75" header="0.3" footer="0.3"/>
  <pageSetup paperSize="9" orientation="portrait" horizontalDpi="4294967293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AAC868-9074-4D66-A040-F9B5099F7C04}">
  <dimension ref="A1:AJ45"/>
  <sheetViews>
    <sheetView workbookViewId="0">
      <selection activeCell="B2" sqref="B2:B9"/>
    </sheetView>
  </sheetViews>
  <sheetFormatPr baseColWidth="10" defaultRowHeight="14.4" x14ac:dyDescent="0.3"/>
  <cols>
    <col min="1" max="1" width="7.33203125" customWidth="1"/>
    <col min="2" max="2" width="12.109375" bestFit="1" customWidth="1"/>
    <col min="3" max="4" width="4.6640625" customWidth="1"/>
    <col min="5" max="5" width="15.6640625" customWidth="1"/>
    <col min="6" max="21" width="5.6640625" customWidth="1"/>
    <col min="22" max="22" width="5.88671875" customWidth="1"/>
    <col min="23" max="23" width="8.109375" bestFit="1" customWidth="1"/>
    <col min="24" max="24" width="8" customWidth="1"/>
    <col min="25" max="25" width="9.109375" customWidth="1"/>
    <col min="26" max="26" width="11.5546875" customWidth="1"/>
    <col min="27" max="27" width="10.109375" customWidth="1"/>
    <col min="28" max="28" width="8.33203125" customWidth="1"/>
    <col min="29" max="29" width="2.44140625" customWidth="1"/>
    <col min="32" max="32" width="8.33203125" customWidth="1"/>
    <col min="33" max="33" width="9.33203125" customWidth="1"/>
    <col min="35" max="35" width="11.6640625" customWidth="1"/>
  </cols>
  <sheetData>
    <row r="1" spans="1:36" x14ac:dyDescent="0.3">
      <c r="A1" t="s">
        <v>5</v>
      </c>
      <c r="B1" s="18" t="s">
        <v>7</v>
      </c>
      <c r="E1" t="s">
        <v>27</v>
      </c>
      <c r="F1" t="str">
        <f>+AD1</f>
        <v>Challenge république chéque du 04 et 05 Août 2023</v>
      </c>
      <c r="AD1" s="218" t="s">
        <v>78</v>
      </c>
      <c r="AE1" s="218"/>
      <c r="AF1" s="218"/>
      <c r="AG1" s="218"/>
      <c r="AH1" s="218"/>
      <c r="AI1" s="218"/>
      <c r="AJ1" s="218"/>
    </row>
    <row r="2" spans="1:36" x14ac:dyDescent="0.3">
      <c r="A2">
        <v>1</v>
      </c>
      <c r="B2" s="17" t="s">
        <v>79</v>
      </c>
      <c r="V2" s="192" t="s">
        <v>41</v>
      </c>
      <c r="W2" s="192"/>
      <c r="AD2" s="218"/>
      <c r="AE2" s="218"/>
      <c r="AF2" s="218"/>
      <c r="AG2" s="218"/>
      <c r="AH2" s="218"/>
      <c r="AI2" s="218"/>
      <c r="AJ2" s="218"/>
    </row>
    <row r="3" spans="1:36" x14ac:dyDescent="0.3">
      <c r="A3">
        <v>2</v>
      </c>
      <c r="B3" s="17" t="s">
        <v>80</v>
      </c>
      <c r="E3" s="165" t="s">
        <v>9</v>
      </c>
      <c r="F3" s="193" t="str">
        <f>E5</f>
        <v>Rezetka</v>
      </c>
      <c r="G3" s="194"/>
      <c r="H3" s="193" t="str">
        <f>E7</f>
        <v>Gavlas</v>
      </c>
      <c r="I3" s="194"/>
      <c r="J3" s="193" t="str">
        <f>E9</f>
        <v>Michailidis</v>
      </c>
      <c r="K3" s="194"/>
      <c r="L3" s="193" t="str">
        <f>E11</f>
        <v>Ruiz</v>
      </c>
      <c r="M3" s="194"/>
      <c r="N3" s="193" t="str">
        <f>E13</f>
        <v>Obeslo</v>
      </c>
      <c r="O3" s="194"/>
      <c r="P3" s="193" t="str">
        <f>E15</f>
        <v>Abdel aziz</v>
      </c>
      <c r="Q3" s="194"/>
      <c r="R3" s="193" t="str">
        <f>E17</f>
        <v>Pryschepa</v>
      </c>
      <c r="S3" s="194"/>
      <c r="T3" s="193" t="str">
        <f>+E19</f>
        <v>Assar K</v>
      </c>
      <c r="U3" s="197"/>
      <c r="V3" s="177" t="s">
        <v>0</v>
      </c>
      <c r="W3" s="179" t="s">
        <v>1</v>
      </c>
      <c r="X3" s="179" t="s">
        <v>8</v>
      </c>
      <c r="Y3" s="179" t="s">
        <v>11</v>
      </c>
      <c r="Z3" s="188" t="s">
        <v>10</v>
      </c>
      <c r="AA3" s="188" t="s">
        <v>12</v>
      </c>
      <c r="AB3" s="8"/>
    </row>
    <row r="4" spans="1:36" ht="27" customHeight="1" x14ac:dyDescent="0.3">
      <c r="A4">
        <v>3</v>
      </c>
      <c r="B4" s="17" t="s">
        <v>81</v>
      </c>
      <c r="D4" t="s">
        <v>65</v>
      </c>
      <c r="E4" s="166"/>
      <c r="F4" s="195"/>
      <c r="G4" s="196"/>
      <c r="H4" s="195"/>
      <c r="I4" s="196"/>
      <c r="J4" s="195"/>
      <c r="K4" s="196"/>
      <c r="L4" s="195"/>
      <c r="M4" s="196"/>
      <c r="N4" s="195"/>
      <c r="O4" s="196"/>
      <c r="P4" s="195"/>
      <c r="Q4" s="196"/>
      <c r="R4" s="195"/>
      <c r="S4" s="196"/>
      <c r="T4" s="195"/>
      <c r="U4" s="198"/>
      <c r="V4" s="178"/>
      <c r="W4" s="172"/>
      <c r="X4" s="172"/>
      <c r="Y4" s="172"/>
      <c r="Z4" s="189"/>
      <c r="AA4" s="189"/>
      <c r="AD4" s="219" t="s">
        <v>74</v>
      </c>
      <c r="AE4" s="220"/>
      <c r="AF4" s="220"/>
      <c r="AG4" s="221"/>
      <c r="AI4" s="219" t="s">
        <v>77</v>
      </c>
      <c r="AJ4" s="221"/>
    </row>
    <row r="5" spans="1:36" x14ac:dyDescent="0.3">
      <c r="A5">
        <v>4</v>
      </c>
      <c r="B5" s="17" t="s">
        <v>3</v>
      </c>
      <c r="C5">
        <v>1</v>
      </c>
      <c r="D5" s="171">
        <f>+AA5</f>
        <v>5</v>
      </c>
      <c r="E5" s="171" t="str">
        <f>VLOOKUP(C5,$A$2:$B$9,2)</f>
        <v>Rezetka</v>
      </c>
      <c r="F5" s="12"/>
      <c r="G5" s="13"/>
      <c r="H5" s="2">
        <v>1</v>
      </c>
      <c r="I5" s="3">
        <v>3</v>
      </c>
      <c r="J5" s="2">
        <v>3</v>
      </c>
      <c r="K5" s="3">
        <v>0</v>
      </c>
      <c r="L5" s="2">
        <v>3</v>
      </c>
      <c r="M5" s="3">
        <v>1</v>
      </c>
      <c r="N5" s="1">
        <v>3</v>
      </c>
      <c r="O5" s="1">
        <v>2</v>
      </c>
      <c r="P5" s="2">
        <v>0</v>
      </c>
      <c r="Q5" s="3">
        <v>3</v>
      </c>
      <c r="R5" s="2">
        <v>1</v>
      </c>
      <c r="S5" s="3">
        <v>3</v>
      </c>
      <c r="T5" s="2">
        <v>3</v>
      </c>
      <c r="U5" s="11">
        <v>1</v>
      </c>
      <c r="V5" s="169">
        <f>+F5+H5+J5+L5+N5+P5+R5+T5</f>
        <v>14</v>
      </c>
      <c r="W5" s="184">
        <f>+G5+I5+K5+M5+O5+Q5+S5+U5</f>
        <v>13</v>
      </c>
      <c r="X5" s="186">
        <f>COUNTIF(F6:U6,"V")</f>
        <v>4</v>
      </c>
      <c r="Y5" s="186">
        <f>RANK(X5,$X$5:$X$20)</f>
        <v>4</v>
      </c>
      <c r="Z5" s="167">
        <f>+V5/W5</f>
        <v>1.0769230769230769</v>
      </c>
      <c r="AA5" s="163">
        <f>RANK(Z5,$Z$5:$Z$20)</f>
        <v>5</v>
      </c>
      <c r="AB5" s="10"/>
      <c r="AD5" s="37"/>
      <c r="AE5" s="38"/>
      <c r="AF5" s="38"/>
      <c r="AG5" s="39"/>
      <c r="AI5" s="37"/>
      <c r="AJ5" s="39"/>
    </row>
    <row r="6" spans="1:36" x14ac:dyDescent="0.3">
      <c r="A6">
        <v>5</v>
      </c>
      <c r="B6" s="17" t="s">
        <v>82</v>
      </c>
      <c r="D6" s="172"/>
      <c r="E6" s="172"/>
      <c r="F6" s="190" t="str">
        <f>IF(F5="","",IF(F5=3,"V","D"))</f>
        <v/>
      </c>
      <c r="G6" s="191"/>
      <c r="H6" s="180" t="str">
        <f>IF(H5+I5=0,+$E$1,IF(H5=3,"V","D"))</f>
        <v>D</v>
      </c>
      <c r="I6" s="181"/>
      <c r="J6" s="180" t="str">
        <f>IF(J5+K5=0,+$E$1,IF(J5=3,"V","D"))</f>
        <v>V</v>
      </c>
      <c r="K6" s="181"/>
      <c r="L6" s="180" t="str">
        <f>IF(L5+M5=0,+$E$1,IF(L5=3,"V","D"))</f>
        <v>V</v>
      </c>
      <c r="M6" s="181"/>
      <c r="N6" s="180" t="str">
        <f>IF(N5+O5=0,+$E$1,IF(N5=3,"V","D"))</f>
        <v>V</v>
      </c>
      <c r="O6" s="181"/>
      <c r="P6" s="180" t="str">
        <f>IF(P5+Q5=0,+$E$1,IF(P5=3,"V","D"))</f>
        <v>D</v>
      </c>
      <c r="Q6" s="181"/>
      <c r="R6" s="180" t="str">
        <f>IF(R5+S5=0,+$E$1,IF(R5=3,"V","D"))</f>
        <v>D</v>
      </c>
      <c r="S6" s="181"/>
      <c r="T6" s="180" t="str">
        <f>IF(T5+U5=0,+$E$1,IF(T5=3,"V","D"))</f>
        <v>V</v>
      </c>
      <c r="U6" s="181"/>
      <c r="V6" s="170"/>
      <c r="W6" s="185"/>
      <c r="X6" s="187"/>
      <c r="Y6" s="187"/>
      <c r="Z6" s="168"/>
      <c r="AA6" s="164"/>
      <c r="AB6" s="10"/>
      <c r="AD6" s="34" t="s">
        <v>75</v>
      </c>
      <c r="AE6" t="s">
        <v>66</v>
      </c>
      <c r="AG6" s="35">
        <v>75</v>
      </c>
      <c r="AI6" s="34">
        <f>+AG6</f>
        <v>75</v>
      </c>
      <c r="AJ6" s="35"/>
    </row>
    <row r="7" spans="1:36" x14ac:dyDescent="0.3">
      <c r="A7">
        <v>6</v>
      </c>
      <c r="B7" s="17" t="s">
        <v>84</v>
      </c>
      <c r="C7">
        <v>2</v>
      </c>
      <c r="D7" s="171">
        <f>+AA7</f>
        <v>2</v>
      </c>
      <c r="E7" s="171" t="str">
        <f>VLOOKUP(C7,$A$2:$B$9,2)</f>
        <v>Gavlas</v>
      </c>
      <c r="F7" s="2">
        <f>+I5</f>
        <v>3</v>
      </c>
      <c r="G7" s="3">
        <f>+H5</f>
        <v>1</v>
      </c>
      <c r="H7" s="12"/>
      <c r="I7" s="13"/>
      <c r="J7" s="2">
        <v>3</v>
      </c>
      <c r="K7" s="3">
        <v>0</v>
      </c>
      <c r="L7" s="2">
        <v>3</v>
      </c>
      <c r="M7" s="3">
        <v>0</v>
      </c>
      <c r="N7" s="1">
        <v>3</v>
      </c>
      <c r="O7" s="1">
        <v>2</v>
      </c>
      <c r="P7" s="2">
        <v>0</v>
      </c>
      <c r="Q7" s="3">
        <v>3</v>
      </c>
      <c r="R7" s="2">
        <v>3</v>
      </c>
      <c r="S7" s="3">
        <v>0</v>
      </c>
      <c r="T7" s="2">
        <v>3</v>
      </c>
      <c r="U7" s="11">
        <v>2</v>
      </c>
      <c r="V7" s="169">
        <f>+F7+H7+J7+L7+N7+P7+R7+T7</f>
        <v>18</v>
      </c>
      <c r="W7" s="184">
        <f>+G7+I7+K7+M7+O7+Q7+S7+U7</f>
        <v>8</v>
      </c>
      <c r="X7" s="186">
        <f>COUNTIF(F8:U8,"V")</f>
        <v>6</v>
      </c>
      <c r="Y7" s="186">
        <f>RANK(X7,$X$5:$X$20)</f>
        <v>1</v>
      </c>
      <c r="Z7" s="167">
        <f>+V7/W7</f>
        <v>2.25</v>
      </c>
      <c r="AA7" s="163">
        <f>RANK(Z7,$Z$5:$Z$20)</f>
        <v>2</v>
      </c>
      <c r="AB7" s="10"/>
      <c r="AD7" s="34"/>
      <c r="AE7" t="s">
        <v>76</v>
      </c>
      <c r="AG7" s="35">
        <v>60</v>
      </c>
      <c r="AI7" s="34">
        <f>+AG7*7</f>
        <v>420</v>
      </c>
      <c r="AJ7" s="35"/>
    </row>
    <row r="8" spans="1:36" x14ac:dyDescent="0.3">
      <c r="A8">
        <v>7</v>
      </c>
      <c r="B8" s="17" t="s">
        <v>63</v>
      </c>
      <c r="D8" s="172"/>
      <c r="E8" s="172"/>
      <c r="F8" s="180" t="str">
        <f>IF(F7+G7=0,+$E$1,IF(F7=3,"V","D"))</f>
        <v>V</v>
      </c>
      <c r="G8" s="181"/>
      <c r="H8" s="182"/>
      <c r="I8" s="183"/>
      <c r="J8" s="180" t="str">
        <f>IF(J7+K7=0,+$E$1,IF(J7=3,"V","D"))</f>
        <v>V</v>
      </c>
      <c r="K8" s="181"/>
      <c r="L8" s="180" t="str">
        <f>IF(L7+M7=0,+$E$1,IF(L7=3,"V","D"))</f>
        <v>V</v>
      </c>
      <c r="M8" s="181"/>
      <c r="N8" s="180" t="str">
        <f>IF(N7+O7=0,+$E$1,IF(N7=3,"V","D"))</f>
        <v>V</v>
      </c>
      <c r="O8" s="181"/>
      <c r="P8" s="180" t="str">
        <f>IF(P7+Q7=0,+$E$1,IF(P7=3,"V","D"))</f>
        <v>D</v>
      </c>
      <c r="Q8" s="181"/>
      <c r="R8" s="180" t="str">
        <f>IF(R7+S7=0,+$E$1,IF(R7=3,"V","D"))</f>
        <v>V</v>
      </c>
      <c r="S8" s="181"/>
      <c r="T8" s="180" t="str">
        <f>IF(T7+U7=0,+$E$1,IF(T7=3,"V","D"))</f>
        <v>V</v>
      </c>
      <c r="U8" s="181"/>
      <c r="V8" s="170"/>
      <c r="W8" s="185"/>
      <c r="X8" s="187"/>
      <c r="Y8" s="187"/>
      <c r="Z8" s="168"/>
      <c r="AA8" s="164"/>
      <c r="AB8" s="10"/>
      <c r="AD8" s="34"/>
      <c r="AE8" t="s">
        <v>24</v>
      </c>
      <c r="AG8" s="35">
        <v>45</v>
      </c>
      <c r="AI8" s="34">
        <f>+AG8</f>
        <v>45</v>
      </c>
      <c r="AJ8" s="35"/>
    </row>
    <row r="9" spans="1:36" x14ac:dyDescent="0.3">
      <c r="A9">
        <v>8</v>
      </c>
      <c r="B9" s="19" t="s">
        <v>83</v>
      </c>
      <c r="C9">
        <v>3</v>
      </c>
      <c r="D9" s="171">
        <f>+AA9</f>
        <v>8</v>
      </c>
      <c r="E9" s="171" t="str">
        <f>VLOOKUP(C9,$A$2:$B$9,2)</f>
        <v>Michailidis</v>
      </c>
      <c r="F9" s="2">
        <f>+K5</f>
        <v>0</v>
      </c>
      <c r="G9" s="3">
        <f>+J5</f>
        <v>3</v>
      </c>
      <c r="H9" s="2">
        <f>+K7</f>
        <v>0</v>
      </c>
      <c r="I9" s="3">
        <f>+J7</f>
        <v>3</v>
      </c>
      <c r="J9" s="12"/>
      <c r="K9" s="13"/>
      <c r="L9" s="2">
        <v>0</v>
      </c>
      <c r="M9" s="3">
        <v>3</v>
      </c>
      <c r="N9" s="1">
        <v>0</v>
      </c>
      <c r="O9" s="1">
        <v>3</v>
      </c>
      <c r="P9" s="2">
        <v>0</v>
      </c>
      <c r="Q9" s="3">
        <v>3</v>
      </c>
      <c r="R9" s="2">
        <v>1</v>
      </c>
      <c r="S9" s="3">
        <v>3</v>
      </c>
      <c r="T9" s="2">
        <v>0</v>
      </c>
      <c r="U9" s="11">
        <v>3</v>
      </c>
      <c r="V9" s="169">
        <f>+F9+H9+J9+L9+N9+P9+R9+T9</f>
        <v>1</v>
      </c>
      <c r="W9" s="184">
        <f>+G9+I9+K9+M9+O9+Q9+S9+U9</f>
        <v>21</v>
      </c>
      <c r="X9" s="186">
        <f>COUNTIF(F10:U10,"V")</f>
        <v>0</v>
      </c>
      <c r="Y9" s="186">
        <f>RANK(X9,$X$5:$X$20)</f>
        <v>8</v>
      </c>
      <c r="Z9" s="167">
        <f>+V9/W9</f>
        <v>4.7619047619047616E-2</v>
      </c>
      <c r="AA9" s="163">
        <f>RANK(Z9,$Z$5:$Z$20)</f>
        <v>8</v>
      </c>
      <c r="AB9" s="10"/>
      <c r="AD9" s="34"/>
      <c r="AE9" t="s">
        <v>69</v>
      </c>
      <c r="AG9" s="35">
        <v>180</v>
      </c>
      <c r="AI9" s="34">
        <f>+AG9</f>
        <v>180</v>
      </c>
      <c r="AJ9" s="35"/>
    </row>
    <row r="10" spans="1:36" x14ac:dyDescent="0.3">
      <c r="D10" s="172"/>
      <c r="E10" s="172"/>
      <c r="F10" s="180" t="str">
        <f>IF(F9+G9=0,+$E$1,IF(F9=3,"V","D"))</f>
        <v>D</v>
      </c>
      <c r="G10" s="181"/>
      <c r="H10" s="180" t="str">
        <f>IF(H9+I9=0,+$E$1,IF(H9=3,"V","D"))</f>
        <v>D</v>
      </c>
      <c r="I10" s="181"/>
      <c r="J10" s="182"/>
      <c r="K10" s="183"/>
      <c r="L10" s="180" t="str">
        <f>IF(L9+M9=0,+$E$1,IF(L9=3,"V","D"))</f>
        <v>D</v>
      </c>
      <c r="M10" s="181"/>
      <c r="N10" s="180" t="str">
        <f>IF(N9+O9=0,+$E$1,IF(N9=3,"V","D"))</f>
        <v>D</v>
      </c>
      <c r="O10" s="181"/>
      <c r="P10" s="180" t="str">
        <f>IF(P9+Q9=0,+$E$1,IF(P9=3,"V","D"))</f>
        <v>D</v>
      </c>
      <c r="Q10" s="181"/>
      <c r="R10" s="180" t="str">
        <f>IF(R9+S9=0,+$E$1,IF(R9=3,"V","D"))</f>
        <v>D</v>
      </c>
      <c r="S10" s="181"/>
      <c r="T10" s="180" t="str">
        <f>IF(T9+U9=0,+$E$1,IF(T9=3,"V","D"))</f>
        <v>D</v>
      </c>
      <c r="U10" s="181"/>
      <c r="V10" s="170"/>
      <c r="W10" s="185"/>
      <c r="X10" s="187"/>
      <c r="Y10" s="187"/>
      <c r="Z10" s="168"/>
      <c r="AA10" s="164"/>
      <c r="AB10" s="10"/>
      <c r="AD10" s="34"/>
      <c r="AE10" t="s">
        <v>70</v>
      </c>
      <c r="AG10" s="35">
        <v>180</v>
      </c>
      <c r="AI10" s="34">
        <f>+AG10</f>
        <v>180</v>
      </c>
      <c r="AJ10" s="35"/>
    </row>
    <row r="11" spans="1:36" x14ac:dyDescent="0.3">
      <c r="C11">
        <v>4</v>
      </c>
      <c r="D11" s="171">
        <f>+AA11</f>
        <v>4</v>
      </c>
      <c r="E11" s="171" t="str">
        <f>VLOOKUP(C11,$A$2:$B$9,2)</f>
        <v>Ruiz</v>
      </c>
      <c r="F11" s="5">
        <f>IF(+M5="",0,+M5)</f>
        <v>1</v>
      </c>
      <c r="G11" s="9">
        <f>IF(+L5="",0,+L5)</f>
        <v>3</v>
      </c>
      <c r="H11" s="2">
        <f>IF(+M7="",0,M7)</f>
        <v>0</v>
      </c>
      <c r="I11" s="1">
        <f>IF(+L7="",0,L7)</f>
        <v>3</v>
      </c>
      <c r="J11" s="2">
        <f>IF(+M9="",0,M9)</f>
        <v>3</v>
      </c>
      <c r="K11" s="1">
        <f>IF(+L9="",0,L9)</f>
        <v>0</v>
      </c>
      <c r="L11" s="12"/>
      <c r="M11" s="13"/>
      <c r="N11" s="1">
        <v>3</v>
      </c>
      <c r="O11" s="1">
        <v>0</v>
      </c>
      <c r="P11" s="2">
        <v>3</v>
      </c>
      <c r="Q11" s="3">
        <v>2</v>
      </c>
      <c r="R11" s="2">
        <v>3</v>
      </c>
      <c r="S11" s="3">
        <v>1</v>
      </c>
      <c r="T11" s="2">
        <v>1</v>
      </c>
      <c r="U11" s="11">
        <v>3</v>
      </c>
      <c r="V11" s="169">
        <f>+F11+H11+J11+L11+N11+P11+R11+T11</f>
        <v>14</v>
      </c>
      <c r="W11" s="184">
        <f>+G11+I11+K11+M11+O11+Q11+S11+U11</f>
        <v>12</v>
      </c>
      <c r="X11" s="186">
        <f>COUNTIF(F12:U12,"V")</f>
        <v>4</v>
      </c>
      <c r="Y11" s="186">
        <f>RANK(X11,$X$5:$X$20)</f>
        <v>4</v>
      </c>
      <c r="Z11" s="167">
        <f>+V11/W11</f>
        <v>1.1666666666666667</v>
      </c>
      <c r="AA11" s="163">
        <f>RANK(Z11,$Z$5:$Z$20)</f>
        <v>4</v>
      </c>
      <c r="AB11" s="10"/>
      <c r="AD11" s="34"/>
      <c r="AE11" t="s">
        <v>71</v>
      </c>
      <c r="AG11" s="36">
        <v>0.15825</v>
      </c>
      <c r="AI11" s="34">
        <f>-SUM(AI6:AI10)*AG11</f>
        <v>-142.42500000000001</v>
      </c>
      <c r="AJ11" s="35"/>
    </row>
    <row r="12" spans="1:36" x14ac:dyDescent="0.3">
      <c r="B12" s="20"/>
      <c r="D12" s="172"/>
      <c r="E12" s="172"/>
      <c r="F12" s="180" t="str">
        <f>IF(F11+G11=0,+$E$1,IF(F11=3,"V","D"))</f>
        <v>D</v>
      </c>
      <c r="G12" s="181"/>
      <c r="H12" s="180" t="str">
        <f>IF(H11+I11=0,+$E$1,IF(H11=3,"V","D"))</f>
        <v>D</v>
      </c>
      <c r="I12" s="181"/>
      <c r="J12" s="180" t="str">
        <f>IF(J11+K11=0,+$E$1,IF(J11=3,"V","D"))</f>
        <v>V</v>
      </c>
      <c r="K12" s="181"/>
      <c r="L12" s="182"/>
      <c r="M12" s="183"/>
      <c r="N12" s="180" t="str">
        <f>IF(N11+O11=0,+$E$1,IF(N11=3,"V","D"))</f>
        <v>V</v>
      </c>
      <c r="O12" s="181"/>
      <c r="P12" s="180" t="str">
        <f>IF(P11+Q11=0,+$E$1,IF(P11=3,"V","D"))</f>
        <v>V</v>
      </c>
      <c r="Q12" s="181"/>
      <c r="R12" s="180" t="str">
        <f>IF(R11+S11=0,+$E$1,IF(R11=3,"V","D"))</f>
        <v>V</v>
      </c>
      <c r="S12" s="181"/>
      <c r="T12" s="180" t="str">
        <f>IF(T11+U11=0,+$E$1,IF(T11=3,"V","D"))</f>
        <v>D</v>
      </c>
      <c r="U12" s="181"/>
      <c r="V12" s="170"/>
      <c r="W12" s="185"/>
      <c r="X12" s="187"/>
      <c r="Y12" s="187"/>
      <c r="Z12" s="168"/>
      <c r="AA12" s="164"/>
      <c r="AB12" s="10"/>
      <c r="AD12" s="37"/>
      <c r="AE12" s="38"/>
      <c r="AF12" s="38"/>
      <c r="AG12" s="39"/>
      <c r="AI12" s="37">
        <f>SUM(AI6:AI11)</f>
        <v>757.57500000000005</v>
      </c>
      <c r="AJ12" s="39"/>
    </row>
    <row r="13" spans="1:36" x14ac:dyDescent="0.3">
      <c r="B13" s="20"/>
      <c r="C13">
        <v>5</v>
      </c>
      <c r="D13" s="171">
        <f>+AA13</f>
        <v>7</v>
      </c>
      <c r="E13" s="171" t="str">
        <f>VLOOKUP(C13,$A$2:$B$9,2)</f>
        <v>Obeslo</v>
      </c>
      <c r="F13" s="2">
        <f>IF(+O5="",0,O5)</f>
        <v>2</v>
      </c>
      <c r="G13" s="3">
        <f>IF(+N5="",0,N5)</f>
        <v>3</v>
      </c>
      <c r="H13" s="5">
        <f>IF(+O7="",0,+O7)</f>
        <v>2</v>
      </c>
      <c r="I13" s="4">
        <f>IF(+N7="",0,+N7)</f>
        <v>3</v>
      </c>
      <c r="J13" s="2">
        <f>IF(+O9="",0,+O9)</f>
        <v>3</v>
      </c>
      <c r="K13" s="1">
        <f>IF(+N9="",0,+N9)</f>
        <v>0</v>
      </c>
      <c r="L13" s="2">
        <f>+O11</f>
        <v>0</v>
      </c>
      <c r="M13" s="3">
        <f>+N11</f>
        <v>3</v>
      </c>
      <c r="N13" s="12"/>
      <c r="O13" s="13"/>
      <c r="P13" s="2">
        <v>1</v>
      </c>
      <c r="Q13" s="3">
        <v>3</v>
      </c>
      <c r="R13" s="2">
        <v>0</v>
      </c>
      <c r="S13" s="3">
        <v>3</v>
      </c>
      <c r="T13" s="2">
        <v>1</v>
      </c>
      <c r="U13" s="11">
        <v>3</v>
      </c>
      <c r="V13" s="169">
        <f>+F13+H13+J13+L13+N13+P13+R13+T13</f>
        <v>9</v>
      </c>
      <c r="W13" s="184">
        <f>+G13+I13+K13+M13+O13+Q13+S13+U13</f>
        <v>18</v>
      </c>
      <c r="X13" s="186">
        <f>COUNTIF(F14:U14,"V")</f>
        <v>1</v>
      </c>
      <c r="Y13" s="186">
        <f>RANK(X13,$X$5:$X$20)</f>
        <v>7</v>
      </c>
      <c r="Z13" s="167">
        <f>+V13/W13</f>
        <v>0.5</v>
      </c>
      <c r="AA13" s="163">
        <f>RANK(Z13,$Z$5:$Z$20)</f>
        <v>7</v>
      </c>
      <c r="AB13" s="10"/>
    </row>
    <row r="14" spans="1:36" x14ac:dyDescent="0.3">
      <c r="B14" s="20"/>
      <c r="D14" s="172"/>
      <c r="E14" s="172"/>
      <c r="F14" s="180" t="str">
        <f>IF(F13+G13=0,+$E$1,IF(F13=3,"V","D"))</f>
        <v>D</v>
      </c>
      <c r="G14" s="181"/>
      <c r="H14" s="180" t="str">
        <f>IF(H13+I13=0,+$E$1,IF(H13=3,"V","D"))</f>
        <v>D</v>
      </c>
      <c r="I14" s="181"/>
      <c r="J14" s="180" t="str">
        <f>IF(J13+K13=0,+$E$1,IF(J13=3,"V","D"))</f>
        <v>V</v>
      </c>
      <c r="K14" s="181"/>
      <c r="L14" s="180" t="str">
        <f>IF(L13+M13=0,+$E$1,IF(L13=3,"V","D"))</f>
        <v>D</v>
      </c>
      <c r="M14" s="181"/>
      <c r="N14" s="182"/>
      <c r="O14" s="183"/>
      <c r="P14" s="180" t="str">
        <f>IF(P13+Q13=0,+$E$1,IF(P13=3,"V","D"))</f>
        <v>D</v>
      </c>
      <c r="Q14" s="181"/>
      <c r="R14" s="180" t="str">
        <f>IF(R13+S13=0,+$E$1,IF(R13=3,"V","D"))</f>
        <v>D</v>
      </c>
      <c r="S14" s="181"/>
      <c r="T14" s="180" t="str">
        <f>IF(T13+U13=0,+$E$1,IF(T13=3,"V","D"))</f>
        <v>D</v>
      </c>
      <c r="U14" s="181"/>
      <c r="V14" s="170"/>
      <c r="W14" s="185"/>
      <c r="X14" s="187"/>
      <c r="Y14" s="187"/>
      <c r="Z14" s="168"/>
      <c r="AA14" s="164"/>
      <c r="AB14" s="10"/>
    </row>
    <row r="15" spans="1:36" x14ac:dyDescent="0.3">
      <c r="B15" s="20"/>
      <c r="C15">
        <v>6</v>
      </c>
      <c r="D15" s="171">
        <f>+AA15</f>
        <v>1</v>
      </c>
      <c r="E15" s="171" t="str">
        <f>VLOOKUP(C15,$A$2:$B$9,2)</f>
        <v>Abdel aziz</v>
      </c>
      <c r="F15" s="5">
        <f>IF(+Q5="","0",+Q5)</f>
        <v>3</v>
      </c>
      <c r="G15" s="9">
        <f>IF(+P5="",0,+P5)</f>
        <v>0</v>
      </c>
      <c r="H15" s="5">
        <f>IF(+Q7="",0,Q7)</f>
        <v>3</v>
      </c>
      <c r="I15" s="4">
        <f>IF(+P7="",0,P7)</f>
        <v>0</v>
      </c>
      <c r="J15" s="2">
        <f>+Q9</f>
        <v>3</v>
      </c>
      <c r="K15" s="3">
        <f>+P9</f>
        <v>0</v>
      </c>
      <c r="L15" s="2">
        <f>+Q11</f>
        <v>2</v>
      </c>
      <c r="M15" s="3">
        <f>+P11</f>
        <v>3</v>
      </c>
      <c r="N15" s="1">
        <f>+Q13</f>
        <v>3</v>
      </c>
      <c r="O15" s="1">
        <f>+P13</f>
        <v>1</v>
      </c>
      <c r="P15" s="12"/>
      <c r="Q15" s="13"/>
      <c r="R15" s="2">
        <v>3</v>
      </c>
      <c r="S15" s="3">
        <v>0</v>
      </c>
      <c r="T15" s="2">
        <v>1</v>
      </c>
      <c r="U15" s="11">
        <v>3</v>
      </c>
      <c r="V15" s="169">
        <f>+F15+H15+J15+L15+N15+P15+R15+T15</f>
        <v>18</v>
      </c>
      <c r="W15" s="184">
        <f>+G15+I15+K15+M15+O15+Q15+S15+U15</f>
        <v>7</v>
      </c>
      <c r="X15" s="186">
        <f>COUNTIF(F16:U16,"V")</f>
        <v>5</v>
      </c>
      <c r="Y15" s="186">
        <f>RANK(X15,$X$5:$X$20)</f>
        <v>2</v>
      </c>
      <c r="Z15" s="167">
        <f>+V15/W15</f>
        <v>2.5714285714285716</v>
      </c>
      <c r="AA15" s="163">
        <f>RANK(Z15,$Z$5:$Z$20)</f>
        <v>1</v>
      </c>
      <c r="AB15" s="10"/>
    </row>
    <row r="16" spans="1:36" x14ac:dyDescent="0.3">
      <c r="B16" s="20"/>
      <c r="D16" s="172"/>
      <c r="E16" s="172"/>
      <c r="F16" s="180" t="str">
        <f>IF(F15+G15=0,+$E$1,IF(F15=3,"V","D"))</f>
        <v>V</v>
      </c>
      <c r="G16" s="181"/>
      <c r="H16" s="180" t="str">
        <f>IF(H15+I15=0,+$E$1,IF(H15=3,"V","D"))</f>
        <v>V</v>
      </c>
      <c r="I16" s="181"/>
      <c r="J16" s="180" t="str">
        <f>IF(J15+K15=0,+$E$1,IF(J15=3,"V","D"))</f>
        <v>V</v>
      </c>
      <c r="K16" s="181"/>
      <c r="L16" s="180" t="str">
        <f>IF(L15+M15=0,+$E$1,IF(L15=3,"V","D"))</f>
        <v>D</v>
      </c>
      <c r="M16" s="181"/>
      <c r="N16" s="180" t="str">
        <f>IF(N15+O15=0,+$E$1,IF(N15=3,"V","D"))</f>
        <v>V</v>
      </c>
      <c r="O16" s="181"/>
      <c r="P16" s="182"/>
      <c r="Q16" s="183"/>
      <c r="R16" s="180" t="str">
        <f>IF(R15+S15=0,+$E$1,IF(R15=3,"V","D"))</f>
        <v>V</v>
      </c>
      <c r="S16" s="181"/>
      <c r="T16" s="180" t="str">
        <f>IF(T15+U15=0,+$E$1,IF(T15=3,"V","D"))</f>
        <v>D</v>
      </c>
      <c r="U16" s="181"/>
      <c r="V16" s="170"/>
      <c r="W16" s="185"/>
      <c r="X16" s="187"/>
      <c r="Y16" s="187"/>
      <c r="Z16" s="168"/>
      <c r="AA16" s="164"/>
      <c r="AB16" s="10"/>
    </row>
    <row r="17" spans="2:28" x14ac:dyDescent="0.3">
      <c r="B17" s="20"/>
      <c r="C17">
        <v>7</v>
      </c>
      <c r="D17" s="171">
        <f>+AA17</f>
        <v>6</v>
      </c>
      <c r="E17" s="171" t="str">
        <f>VLOOKUP(C17,$A$2:$B$9,2)</f>
        <v>Pryschepa</v>
      </c>
      <c r="F17" s="2">
        <f>+S5</f>
        <v>3</v>
      </c>
      <c r="G17" s="3">
        <f>+R5</f>
        <v>1</v>
      </c>
      <c r="H17" s="2">
        <f>+S7</f>
        <v>0</v>
      </c>
      <c r="I17" s="3">
        <f>+R7</f>
        <v>3</v>
      </c>
      <c r="J17" s="2">
        <f>+S9</f>
        <v>3</v>
      </c>
      <c r="K17" s="3">
        <f>+R9</f>
        <v>1</v>
      </c>
      <c r="L17" s="2">
        <f>+S11</f>
        <v>1</v>
      </c>
      <c r="M17" s="3">
        <f>+R11</f>
        <v>3</v>
      </c>
      <c r="N17" s="4">
        <f>IF(+S13="",0,+S13)</f>
        <v>3</v>
      </c>
      <c r="O17" s="4">
        <f>IF(+R13="",0,+R13)</f>
        <v>0</v>
      </c>
      <c r="P17" s="5">
        <f>IF(+S15="",0,+S15)</f>
        <v>0</v>
      </c>
      <c r="Q17" s="4">
        <f>IF(+R15="",0,+R15)</f>
        <v>3</v>
      </c>
      <c r="R17" s="12"/>
      <c r="S17" s="13"/>
      <c r="T17" s="2">
        <v>1</v>
      </c>
      <c r="U17" s="11">
        <v>3</v>
      </c>
      <c r="V17" s="169">
        <f>+F17+H17+J17+L17+N17+P17+R17+T17</f>
        <v>11</v>
      </c>
      <c r="W17" s="184">
        <f>+G17+I17+K17+M17+O17+Q17+S17+U17</f>
        <v>14</v>
      </c>
      <c r="X17" s="186">
        <f>COUNTIF(F18:U18,"V")</f>
        <v>3</v>
      </c>
      <c r="Y17" s="186">
        <f>RANK(X17,$X$5:$X$20)</f>
        <v>6</v>
      </c>
      <c r="Z17" s="167">
        <f>+V17/W17</f>
        <v>0.7857142857142857</v>
      </c>
      <c r="AA17" s="163">
        <f>RANK(Z17,$Z$5:$Z$20)</f>
        <v>6</v>
      </c>
      <c r="AB17" s="10"/>
    </row>
    <row r="18" spans="2:28" x14ac:dyDescent="0.3">
      <c r="B18" s="20"/>
      <c r="D18" s="172"/>
      <c r="E18" s="172"/>
      <c r="F18" s="180" t="str">
        <f>IF(F17+G17=0,+$E$1,IF(F17=3,"V","D"))</f>
        <v>V</v>
      </c>
      <c r="G18" s="181"/>
      <c r="H18" s="180" t="str">
        <f>IF(H17+I17=0,+$E$1,IF(H17=3,"V","D"))</f>
        <v>D</v>
      </c>
      <c r="I18" s="181"/>
      <c r="J18" s="180" t="str">
        <f>IF(J17+K17=0,+$E$1,IF(J17=3,"V","D"))</f>
        <v>V</v>
      </c>
      <c r="K18" s="181"/>
      <c r="L18" s="180" t="str">
        <f>IF(L17+M17=0,+$E$1,IF(L17=3,"V","D"))</f>
        <v>D</v>
      </c>
      <c r="M18" s="181"/>
      <c r="N18" s="180" t="str">
        <f>IF(N17+O17=0,+$E$1,IF(N17=3,"V","D"))</f>
        <v>V</v>
      </c>
      <c r="O18" s="181"/>
      <c r="P18" s="180" t="str">
        <f>IF(P17+Q17=0,+$E$1,IF(P17=3,"V","D"))</f>
        <v>D</v>
      </c>
      <c r="Q18" s="181"/>
      <c r="R18" s="182"/>
      <c r="S18" s="183"/>
      <c r="T18" s="180" t="str">
        <f>IF(T17+U17=0,+$E$1,IF(T17=3,"V","D"))</f>
        <v>D</v>
      </c>
      <c r="U18" s="181"/>
      <c r="V18" s="170"/>
      <c r="W18" s="185"/>
      <c r="X18" s="187"/>
      <c r="Y18" s="187"/>
      <c r="Z18" s="168"/>
      <c r="AA18" s="164"/>
      <c r="AB18" s="10"/>
    </row>
    <row r="19" spans="2:28" x14ac:dyDescent="0.3">
      <c r="B19" s="20"/>
      <c r="C19">
        <v>8</v>
      </c>
      <c r="D19" s="171">
        <f>+AA19</f>
        <v>3</v>
      </c>
      <c r="E19" s="171" t="str">
        <f>VLOOKUP(C19,$A$2:$B$9,2)</f>
        <v>Assar K</v>
      </c>
      <c r="F19" s="6">
        <f>+U5</f>
        <v>1</v>
      </c>
      <c r="G19" s="7">
        <f>+T5</f>
        <v>3</v>
      </c>
      <c r="H19" s="6">
        <f>+U7</f>
        <v>2</v>
      </c>
      <c r="I19" s="7">
        <f>+T7</f>
        <v>3</v>
      </c>
      <c r="J19" s="2">
        <f>+U9</f>
        <v>3</v>
      </c>
      <c r="K19" s="1">
        <f>+T9</f>
        <v>0</v>
      </c>
      <c r="L19" s="5">
        <f>+U11</f>
        <v>3</v>
      </c>
      <c r="M19" s="9">
        <f>+T11</f>
        <v>1</v>
      </c>
      <c r="N19" s="8">
        <f>+U13</f>
        <v>3</v>
      </c>
      <c r="O19" s="8">
        <f>+T13</f>
        <v>1</v>
      </c>
      <c r="P19" s="6">
        <f>+U15</f>
        <v>3</v>
      </c>
      <c r="Q19" s="7">
        <f>+T15</f>
        <v>1</v>
      </c>
      <c r="R19" s="5">
        <f>IF(+U17="",0,+U17)</f>
        <v>3</v>
      </c>
      <c r="S19" s="9">
        <f>IF(+T17="",0,+T17)</f>
        <v>1</v>
      </c>
      <c r="T19" s="12"/>
      <c r="U19" s="13"/>
      <c r="V19" s="169">
        <f>+F19+H19+J19+L19+N19+P19+R19+T19</f>
        <v>18</v>
      </c>
      <c r="W19" s="184">
        <f>+G19+I19+K19+M19+O19+Q19+S19+U19</f>
        <v>10</v>
      </c>
      <c r="X19" s="186">
        <f>COUNTIF(F20:U20,"V")</f>
        <v>5</v>
      </c>
      <c r="Y19" s="186">
        <f>RANK(X19,$X$5:$X$20)</f>
        <v>2</v>
      </c>
      <c r="Z19" s="167">
        <f>+V19/W19</f>
        <v>1.8</v>
      </c>
      <c r="AA19" s="163">
        <f>RANK(Z19,$Z$5:$Z$20)</f>
        <v>3</v>
      </c>
      <c r="AB19" s="10"/>
    </row>
    <row r="20" spans="2:28" x14ac:dyDescent="0.3">
      <c r="D20" s="172"/>
      <c r="E20" s="172"/>
      <c r="F20" s="180" t="str">
        <f>IF(F19+G19=0,+$E$1,IF(F19=3,"V","D"))</f>
        <v>D</v>
      </c>
      <c r="G20" s="181"/>
      <c r="H20" s="180" t="str">
        <f>IF(H19+I19=0,+$E$1,IF(H19=3,"V","D"))</f>
        <v>D</v>
      </c>
      <c r="I20" s="181"/>
      <c r="J20" s="180" t="str">
        <f>IF(J19+K19=0,+$E$1,IF(J19=3,"V","D"))</f>
        <v>V</v>
      </c>
      <c r="K20" s="181"/>
      <c r="L20" s="180" t="str">
        <f>IF(L19+M19=0,+$E$1,IF(L19=3,"V","D"))</f>
        <v>V</v>
      </c>
      <c r="M20" s="181"/>
      <c r="N20" s="180" t="str">
        <f>IF(N19+O19=0,+$E$1,IF(N19=3,"V","D"))</f>
        <v>V</v>
      </c>
      <c r="O20" s="181"/>
      <c r="P20" s="180" t="str">
        <f>IF(P19+Q19=0,+$E$1,IF(P19=3,"V","D"))</f>
        <v>V</v>
      </c>
      <c r="Q20" s="181"/>
      <c r="R20" s="180" t="str">
        <f>IF(R19+S19=0,+$E$1,IF(R19=3,"V","D"))</f>
        <v>V</v>
      </c>
      <c r="S20" s="181"/>
      <c r="T20" s="182" t="str">
        <f>IF(T19+U19=0,"",IF(T19=3,"V","D"))</f>
        <v/>
      </c>
      <c r="U20" s="183"/>
      <c r="V20" s="170"/>
      <c r="W20" s="185"/>
      <c r="X20" s="187"/>
      <c r="Y20" s="187"/>
      <c r="Z20" s="168"/>
      <c r="AA20" s="164"/>
    </row>
    <row r="21" spans="2:28" ht="16.5" customHeight="1" x14ac:dyDescent="0.3"/>
    <row r="27" spans="2:28" x14ac:dyDescent="0.3">
      <c r="E27" t="s">
        <v>13</v>
      </c>
    </row>
    <row r="28" spans="2:28" x14ac:dyDescent="0.3">
      <c r="E28" t="s">
        <v>14</v>
      </c>
    </row>
    <row r="30" spans="2:28" x14ac:dyDescent="0.3">
      <c r="E30" t="s">
        <v>15</v>
      </c>
    </row>
    <row r="31" spans="2:28" x14ac:dyDescent="0.3">
      <c r="E31" t="s">
        <v>16</v>
      </c>
    </row>
    <row r="32" spans="2:28" x14ac:dyDescent="0.3">
      <c r="E32" t="s">
        <v>17</v>
      </c>
    </row>
    <row r="34" spans="4:25" x14ac:dyDescent="0.3">
      <c r="E34" t="s">
        <v>18</v>
      </c>
    </row>
    <row r="36" spans="4:25" x14ac:dyDescent="0.3">
      <c r="W36" t="s">
        <v>73</v>
      </c>
    </row>
    <row r="38" spans="4:25" x14ac:dyDescent="0.3">
      <c r="E38" t="s">
        <v>25</v>
      </c>
      <c r="G38" t="s">
        <v>64</v>
      </c>
      <c r="W38" s="29">
        <f>+AG6</f>
        <v>75</v>
      </c>
      <c r="Y38" t="s">
        <v>66</v>
      </c>
    </row>
    <row r="39" spans="4:25" x14ac:dyDescent="0.3">
      <c r="W39" s="29">
        <f>+AG7*X11</f>
        <v>240</v>
      </c>
      <c r="Y39" t="s">
        <v>67</v>
      </c>
    </row>
    <row r="40" spans="4:25" x14ac:dyDescent="0.3">
      <c r="D40">
        <v>1</v>
      </c>
      <c r="E40" t="str">
        <f>VLOOKUP(D40,D$5:E$20,2,0)</f>
        <v>Abdel aziz</v>
      </c>
      <c r="F40" s="207" t="s">
        <v>62</v>
      </c>
      <c r="G40" s="208" t="str">
        <f>IF(F40="","",IF(F40="V",+E40,E41))</f>
        <v>Abdel aziz</v>
      </c>
      <c r="H40" s="163"/>
      <c r="W40" s="22">
        <f>IF(AA11&lt;5,+AG8,0)</f>
        <v>45</v>
      </c>
      <c r="Y40" t="s">
        <v>68</v>
      </c>
    </row>
    <row r="41" spans="4:25" x14ac:dyDescent="0.3">
      <c r="D41">
        <v>4</v>
      </c>
      <c r="E41" t="s">
        <v>85</v>
      </c>
      <c r="F41" s="189"/>
      <c r="G41" s="209"/>
      <c r="H41" s="164"/>
      <c r="L41" s="207" t="s">
        <v>62</v>
      </c>
      <c r="N41" s="212" t="str">
        <f>IF(L41="V",+G40,IF(L41="D",G43,""))</f>
        <v>Abdel aziz</v>
      </c>
      <c r="O41" s="213"/>
      <c r="W41" s="29">
        <v>0</v>
      </c>
      <c r="Y41" t="s">
        <v>69</v>
      </c>
    </row>
    <row r="42" spans="4:25" x14ac:dyDescent="0.3">
      <c r="L42" s="210"/>
      <c r="N42" s="214"/>
      <c r="O42" s="215"/>
      <c r="W42" s="29">
        <v>0</v>
      </c>
      <c r="Y42" t="s">
        <v>70</v>
      </c>
    </row>
    <row r="43" spans="4:25" x14ac:dyDescent="0.3">
      <c r="D43">
        <v>2</v>
      </c>
      <c r="E43" t="str">
        <f>VLOOKUP(D43,D$5:E$20,2,0)</f>
        <v>Gavlas</v>
      </c>
      <c r="F43" s="207" t="s">
        <v>62</v>
      </c>
      <c r="G43" s="208" t="str">
        <f>IF(F43="","",IF(F43="V",+E43,E44))</f>
        <v>Gavlas</v>
      </c>
      <c r="H43" s="163"/>
      <c r="L43" s="211"/>
      <c r="N43" s="216"/>
      <c r="O43" s="217"/>
      <c r="W43" s="29">
        <f>SUM(W38:W42)</f>
        <v>360</v>
      </c>
    </row>
    <row r="44" spans="4:25" x14ac:dyDescent="0.3">
      <c r="D44">
        <v>3</v>
      </c>
      <c r="E44" t="s">
        <v>79</v>
      </c>
      <c r="F44" s="189"/>
      <c r="G44" s="209"/>
      <c r="H44" s="164"/>
      <c r="W44" s="30">
        <f>-W43*AG11</f>
        <v>-56.97</v>
      </c>
      <c r="Y44" t="s">
        <v>71</v>
      </c>
    </row>
    <row r="45" spans="4:25" x14ac:dyDescent="0.3">
      <c r="W45" s="15">
        <f>SUM(W43:W44)</f>
        <v>303.02999999999997</v>
      </c>
      <c r="Y45" t="s">
        <v>72</v>
      </c>
    </row>
  </sheetData>
  <mergeCells count="153">
    <mergeCell ref="AD1:AJ2"/>
    <mergeCell ref="V2:W2"/>
    <mergeCell ref="E3:E4"/>
    <mergeCell ref="F3:G4"/>
    <mergeCell ref="H3:I4"/>
    <mergeCell ref="J3:K4"/>
    <mergeCell ref="L3:M4"/>
    <mergeCell ref="N3:O4"/>
    <mergeCell ref="P3:Q4"/>
    <mergeCell ref="R3:S4"/>
    <mergeCell ref="AA3:AA4"/>
    <mergeCell ref="AD4:AG4"/>
    <mergeCell ref="AI4:AJ4"/>
    <mergeCell ref="D5:D6"/>
    <mergeCell ref="E5:E6"/>
    <mergeCell ref="V5:V6"/>
    <mergeCell ref="W5:W6"/>
    <mergeCell ref="X5:X6"/>
    <mergeCell ref="Y5:Y6"/>
    <mergeCell ref="Z5:Z6"/>
    <mergeCell ref="T3:U4"/>
    <mergeCell ref="V3:V4"/>
    <mergeCell ref="W3:W4"/>
    <mergeCell ref="X3:X4"/>
    <mergeCell ref="Y3:Y4"/>
    <mergeCell ref="Z3:Z4"/>
    <mergeCell ref="D7:D8"/>
    <mergeCell ref="E7:E8"/>
    <mergeCell ref="V7:V8"/>
    <mergeCell ref="W7:W8"/>
    <mergeCell ref="X7:X8"/>
    <mergeCell ref="Y7:Y8"/>
    <mergeCell ref="AA5:AA6"/>
    <mergeCell ref="F6:G6"/>
    <mergeCell ref="H6:I6"/>
    <mergeCell ref="J6:K6"/>
    <mergeCell ref="L6:M6"/>
    <mergeCell ref="N6:O6"/>
    <mergeCell ref="P6:Q6"/>
    <mergeCell ref="R6:S6"/>
    <mergeCell ref="T6:U6"/>
    <mergeCell ref="Z7:Z8"/>
    <mergeCell ref="AA7:AA8"/>
    <mergeCell ref="F8:G8"/>
    <mergeCell ref="H8:I8"/>
    <mergeCell ref="J8:K8"/>
    <mergeCell ref="L8:M8"/>
    <mergeCell ref="N8:O8"/>
    <mergeCell ref="P8:Q8"/>
    <mergeCell ref="R8:S8"/>
    <mergeCell ref="T8:U8"/>
    <mergeCell ref="D11:D12"/>
    <mergeCell ref="E11:E12"/>
    <mergeCell ref="V11:V12"/>
    <mergeCell ref="W11:W12"/>
    <mergeCell ref="X11:X12"/>
    <mergeCell ref="Y11:Y12"/>
    <mergeCell ref="Z9:Z10"/>
    <mergeCell ref="AA9:AA10"/>
    <mergeCell ref="F10:G10"/>
    <mergeCell ref="H10:I10"/>
    <mergeCell ref="J10:K10"/>
    <mergeCell ref="L10:M10"/>
    <mergeCell ref="N10:O10"/>
    <mergeCell ref="P10:Q10"/>
    <mergeCell ref="R10:S10"/>
    <mergeCell ref="T10:U10"/>
    <mergeCell ref="D9:D10"/>
    <mergeCell ref="E9:E10"/>
    <mergeCell ref="V9:V10"/>
    <mergeCell ref="W9:W10"/>
    <mergeCell ref="X9:X10"/>
    <mergeCell ref="Y9:Y10"/>
    <mergeCell ref="Z11:Z12"/>
    <mergeCell ref="D13:D14"/>
    <mergeCell ref="E13:E14"/>
    <mergeCell ref="V13:V14"/>
    <mergeCell ref="W13:W14"/>
    <mergeCell ref="X13:X14"/>
    <mergeCell ref="Y13:Y14"/>
    <mergeCell ref="Z15:Z16"/>
    <mergeCell ref="AA15:AA16"/>
    <mergeCell ref="AA11:AA12"/>
    <mergeCell ref="F12:G12"/>
    <mergeCell ref="H12:I12"/>
    <mergeCell ref="J12:K12"/>
    <mergeCell ref="L12:M12"/>
    <mergeCell ref="N12:O12"/>
    <mergeCell ref="P12:Q12"/>
    <mergeCell ref="R12:S12"/>
    <mergeCell ref="T12:U12"/>
    <mergeCell ref="V15:V16"/>
    <mergeCell ref="W15:W16"/>
    <mergeCell ref="X15:X16"/>
    <mergeCell ref="Y15:Y16"/>
    <mergeCell ref="Z13:Z14"/>
    <mergeCell ref="AA13:AA14"/>
    <mergeCell ref="F14:G14"/>
    <mergeCell ref="H14:I14"/>
    <mergeCell ref="J14:K14"/>
    <mergeCell ref="L14:M14"/>
    <mergeCell ref="N14:O14"/>
    <mergeCell ref="P14:Q14"/>
    <mergeCell ref="R14:S14"/>
    <mergeCell ref="T14:U14"/>
    <mergeCell ref="F16:G16"/>
    <mergeCell ref="H16:I16"/>
    <mergeCell ref="J16:K16"/>
    <mergeCell ref="L16:M16"/>
    <mergeCell ref="N16:O16"/>
    <mergeCell ref="P16:Q16"/>
    <mergeCell ref="R16:S16"/>
    <mergeCell ref="T16:U16"/>
    <mergeCell ref="D19:D20"/>
    <mergeCell ref="E19:E20"/>
    <mergeCell ref="D17:D18"/>
    <mergeCell ref="E17:E18"/>
    <mergeCell ref="D15:D16"/>
    <mergeCell ref="E15:E16"/>
    <mergeCell ref="Z17:Z18"/>
    <mergeCell ref="AA17:AA18"/>
    <mergeCell ref="F18:G18"/>
    <mergeCell ref="H18:I18"/>
    <mergeCell ref="J18:K18"/>
    <mergeCell ref="L18:M18"/>
    <mergeCell ref="N18:O18"/>
    <mergeCell ref="P18:Q18"/>
    <mergeCell ref="R18:S18"/>
    <mergeCell ref="T18:U18"/>
    <mergeCell ref="V17:V18"/>
    <mergeCell ref="W17:W18"/>
    <mergeCell ref="X17:X18"/>
    <mergeCell ref="Y17:Y18"/>
    <mergeCell ref="F40:F41"/>
    <mergeCell ref="G40:H41"/>
    <mergeCell ref="L41:L43"/>
    <mergeCell ref="N41:O43"/>
    <mergeCell ref="F43:F44"/>
    <mergeCell ref="G43:H44"/>
    <mergeCell ref="Z19:Z20"/>
    <mergeCell ref="AA19:AA20"/>
    <mergeCell ref="F20:G20"/>
    <mergeCell ref="H20:I20"/>
    <mergeCell ref="J20:K20"/>
    <mergeCell ref="L20:M20"/>
    <mergeCell ref="N20:O20"/>
    <mergeCell ref="P20:Q20"/>
    <mergeCell ref="R20:S20"/>
    <mergeCell ref="T20:U20"/>
    <mergeCell ref="V19:V20"/>
    <mergeCell ref="W19:W20"/>
    <mergeCell ref="X19:X20"/>
    <mergeCell ref="Y19:Y20"/>
  </mergeCells>
  <conditionalFormatting sqref="F5:U20">
    <cfRule type="cellIs" dxfId="132" priority="17" operator="equal">
      <formula>"D"</formula>
    </cfRule>
    <cfRule type="cellIs" dxfId="131" priority="18" operator="equal">
      <formula>"V"</formula>
    </cfRule>
  </conditionalFormatting>
  <conditionalFormatting sqref="AA5">
    <cfRule type="cellIs" dxfId="130" priority="1" operator="greaterThan">
      <formula>4</formula>
    </cfRule>
    <cfRule type="cellIs" dxfId="129" priority="2" stopIfTrue="1" operator="lessThanOrEqual">
      <formula>4</formula>
    </cfRule>
  </conditionalFormatting>
  <conditionalFormatting sqref="AA7">
    <cfRule type="cellIs" dxfId="128" priority="3" operator="greaterThan">
      <formula>4</formula>
    </cfRule>
    <cfRule type="cellIs" dxfId="127" priority="4" stopIfTrue="1" operator="lessThanOrEqual">
      <formula>4</formula>
    </cfRule>
  </conditionalFormatting>
  <conditionalFormatting sqref="AA9">
    <cfRule type="cellIs" dxfId="126" priority="15" operator="greaterThan">
      <formula>4</formula>
    </cfRule>
    <cfRule type="cellIs" dxfId="125" priority="16" stopIfTrue="1" operator="lessThanOrEqual">
      <formula>4</formula>
    </cfRule>
  </conditionalFormatting>
  <conditionalFormatting sqref="AA11">
    <cfRule type="cellIs" dxfId="124" priority="13" operator="greaterThan">
      <formula>4</formula>
    </cfRule>
    <cfRule type="cellIs" dxfId="123" priority="14" stopIfTrue="1" operator="lessThanOrEqual">
      <formula>4</formula>
    </cfRule>
  </conditionalFormatting>
  <conditionalFormatting sqref="AA13">
    <cfRule type="cellIs" dxfId="122" priority="11" operator="greaterThan">
      <formula>4</formula>
    </cfRule>
    <cfRule type="cellIs" dxfId="121" priority="12" stopIfTrue="1" operator="lessThanOrEqual">
      <formula>4</formula>
    </cfRule>
  </conditionalFormatting>
  <conditionalFormatting sqref="AA15">
    <cfRule type="cellIs" dxfId="120" priority="9" operator="greaterThan">
      <formula>4</formula>
    </cfRule>
    <cfRule type="cellIs" dxfId="119" priority="10" stopIfTrue="1" operator="lessThanOrEqual">
      <formula>4</formula>
    </cfRule>
  </conditionalFormatting>
  <conditionalFormatting sqref="AA17">
    <cfRule type="cellIs" dxfId="118" priority="7" operator="greaterThan">
      <formula>4</formula>
    </cfRule>
    <cfRule type="cellIs" dxfId="117" priority="8" stopIfTrue="1" operator="lessThanOrEqual">
      <formula>4</formula>
    </cfRule>
  </conditionalFormatting>
  <conditionalFormatting sqref="AA19">
    <cfRule type="cellIs" dxfId="116" priority="5" operator="greaterThan">
      <formula>4</formula>
    </cfRule>
    <cfRule type="cellIs" dxfId="115" priority="6" stopIfTrue="1" operator="lessThanOrEqual">
      <formula>4</formula>
    </cfRule>
  </conditionalFormatting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C8D1A2-F4AF-41F8-AF25-F57FDA71233A}">
  <sheetPr>
    <pageSetUpPr fitToPage="1"/>
  </sheetPr>
  <dimension ref="A1:AL36"/>
  <sheetViews>
    <sheetView showGridLines="0" zoomScaleNormal="100" workbookViewId="0">
      <selection activeCell="B2" sqref="B2:B9"/>
    </sheetView>
  </sheetViews>
  <sheetFormatPr baseColWidth="10" defaultRowHeight="14.4" x14ac:dyDescent="0.3"/>
  <cols>
    <col min="1" max="1" width="4.6640625" customWidth="1"/>
    <col min="2" max="2" width="15.33203125" customWidth="1"/>
    <col min="3" max="3" width="3.88671875" customWidth="1"/>
    <col min="4" max="4" width="2.44140625" customWidth="1"/>
    <col min="5" max="5" width="3.5546875" customWidth="1"/>
    <col min="6" max="6" width="3.33203125" customWidth="1"/>
    <col min="7" max="7" width="1.5546875" customWidth="1"/>
    <col min="8" max="8" width="12.6640625" customWidth="1"/>
    <col min="9" max="9" width="2.6640625" customWidth="1"/>
    <col min="10" max="10" width="12.6640625" customWidth="1"/>
    <col min="11" max="12" width="2.6640625" customWidth="1"/>
    <col min="13" max="14" width="4.6640625" customWidth="1"/>
    <col min="15" max="15" width="15.6640625" customWidth="1"/>
    <col min="16" max="31" width="5.6640625" customWidth="1"/>
    <col min="32" max="33" width="8.109375" customWidth="1"/>
    <col min="34" max="34" width="8" customWidth="1"/>
    <col min="35" max="35" width="9.109375" customWidth="1"/>
    <col min="36" max="36" width="11.5546875" customWidth="1"/>
    <col min="37" max="37" width="10.109375" customWidth="1"/>
    <col min="38" max="38" width="8.33203125" customWidth="1"/>
  </cols>
  <sheetData>
    <row r="1" spans="1:38" x14ac:dyDescent="0.3">
      <c r="A1" t="s">
        <v>5</v>
      </c>
      <c r="B1" s="90" t="s">
        <v>7</v>
      </c>
      <c r="D1" t="s">
        <v>27</v>
      </c>
      <c r="O1" s="231" t="s">
        <v>120</v>
      </c>
      <c r="P1" s="231"/>
      <c r="Q1" s="231"/>
      <c r="R1" s="231"/>
      <c r="S1" s="231"/>
      <c r="T1" s="231"/>
      <c r="U1" s="231"/>
      <c r="V1" s="231"/>
      <c r="W1" s="231"/>
      <c r="X1" s="231"/>
      <c r="Y1" s="231"/>
      <c r="Z1" s="231"/>
      <c r="AA1" s="231"/>
      <c r="AB1" s="231"/>
      <c r="AC1" s="231"/>
      <c r="AD1" s="231"/>
      <c r="AE1" s="231"/>
      <c r="AF1" s="231"/>
      <c r="AG1" s="231"/>
      <c r="AH1" s="231"/>
      <c r="AI1" s="231"/>
      <c r="AJ1" s="231"/>
      <c r="AK1" s="231"/>
    </row>
    <row r="2" spans="1:38" x14ac:dyDescent="0.3">
      <c r="A2">
        <v>1</v>
      </c>
      <c r="B2" s="88" t="s">
        <v>101</v>
      </c>
      <c r="C2" s="20"/>
      <c r="AF2" s="192" t="s">
        <v>41</v>
      </c>
      <c r="AG2" s="192"/>
    </row>
    <row r="3" spans="1:38" x14ac:dyDescent="0.3">
      <c r="A3">
        <v>2</v>
      </c>
      <c r="B3" s="88" t="s">
        <v>102</v>
      </c>
      <c r="C3" s="17"/>
      <c r="D3" s="222" t="s">
        <v>87</v>
      </c>
      <c r="E3" s="42">
        <v>1</v>
      </c>
      <c r="F3" s="42">
        <v>8</v>
      </c>
      <c r="G3" s="42"/>
      <c r="H3" s="56" t="str">
        <f>VLOOKUP(E3,joueur,2,0)</f>
        <v>Rinderer  D.</v>
      </c>
      <c r="I3" s="43" t="s">
        <v>86</v>
      </c>
      <c r="J3" s="56" t="str">
        <f>VLOOKUP(F3,joueur,2,0)</f>
        <v>Benes M.</v>
      </c>
      <c r="K3" s="32">
        <v>0</v>
      </c>
      <c r="L3" s="33">
        <v>3</v>
      </c>
      <c r="M3" s="232" t="s">
        <v>94</v>
      </c>
      <c r="N3" s="233" t="s">
        <v>65</v>
      </c>
      <c r="O3" s="165" t="s">
        <v>9</v>
      </c>
      <c r="P3" s="193" t="str">
        <f>O5</f>
        <v>Rinderer  D.</v>
      </c>
      <c r="Q3" s="194"/>
      <c r="R3" s="193" t="str">
        <f>O7</f>
        <v>Spanik T.</v>
      </c>
      <c r="S3" s="194"/>
      <c r="T3" s="193" t="str">
        <f>O9</f>
        <v>Ranefur E.</v>
      </c>
      <c r="U3" s="194"/>
      <c r="V3" s="193" t="str">
        <f>O11</f>
        <v>Ruiz</v>
      </c>
      <c r="W3" s="194"/>
      <c r="X3" s="193" t="str">
        <f>O13</f>
        <v>Reitspies D.</v>
      </c>
      <c r="Y3" s="194"/>
      <c r="Z3" s="193" t="str">
        <f>O15</f>
        <v>Pryshchepa E.</v>
      </c>
      <c r="AA3" s="194"/>
      <c r="AB3" s="193" t="str">
        <f>O17</f>
        <v>David P.</v>
      </c>
      <c r="AC3" s="194"/>
      <c r="AD3" s="193" t="str">
        <f>+O19</f>
        <v>Benes M.</v>
      </c>
      <c r="AE3" s="197"/>
      <c r="AF3" s="177" t="s">
        <v>0</v>
      </c>
      <c r="AG3" s="179" t="s">
        <v>1</v>
      </c>
      <c r="AH3" s="179" t="s">
        <v>8</v>
      </c>
      <c r="AI3" s="179" t="s">
        <v>11</v>
      </c>
      <c r="AJ3" s="188" t="s">
        <v>110</v>
      </c>
      <c r="AK3" s="188" t="s">
        <v>12</v>
      </c>
      <c r="AL3" s="8"/>
    </row>
    <row r="4" spans="1:38" ht="16.5" customHeight="1" x14ac:dyDescent="0.3">
      <c r="A4">
        <v>3</v>
      </c>
      <c r="B4" s="88" t="s">
        <v>109</v>
      </c>
      <c r="C4" s="17"/>
      <c r="D4" s="223"/>
      <c r="E4">
        <v>2</v>
      </c>
      <c r="F4">
        <v>7</v>
      </c>
      <c r="H4" s="40" t="str">
        <f>VLOOKUP(E4,joueur,2,0)</f>
        <v>Spanik T.</v>
      </c>
      <c r="I4" s="45" t="s">
        <v>86</v>
      </c>
      <c r="J4" s="40" t="str">
        <f>VLOOKUP(F4,joueur,2,0)</f>
        <v>David P.</v>
      </c>
      <c r="K4" s="31">
        <v>3</v>
      </c>
      <c r="L4" s="57">
        <v>1</v>
      </c>
      <c r="M4" s="232"/>
      <c r="N4" s="164"/>
      <c r="O4" s="166"/>
      <c r="P4" s="195"/>
      <c r="Q4" s="196"/>
      <c r="R4" s="195"/>
      <c r="S4" s="196"/>
      <c r="T4" s="195"/>
      <c r="U4" s="196"/>
      <c r="V4" s="195"/>
      <c r="W4" s="196"/>
      <c r="X4" s="195"/>
      <c r="Y4" s="196"/>
      <c r="Z4" s="195"/>
      <c r="AA4" s="196"/>
      <c r="AB4" s="195"/>
      <c r="AC4" s="196"/>
      <c r="AD4" s="195"/>
      <c r="AE4" s="198"/>
      <c r="AF4" s="178"/>
      <c r="AG4" s="172"/>
      <c r="AH4" s="172"/>
      <c r="AI4" s="172"/>
      <c r="AJ4" s="189"/>
      <c r="AK4" s="189"/>
    </row>
    <row r="5" spans="1:38" x14ac:dyDescent="0.3">
      <c r="A5">
        <v>4</v>
      </c>
      <c r="B5" s="88" t="s">
        <v>3</v>
      </c>
      <c r="C5" s="17"/>
      <c r="D5" s="223"/>
      <c r="E5">
        <v>3</v>
      </c>
      <c r="F5">
        <v>6</v>
      </c>
      <c r="H5" s="40" t="str">
        <f>VLOOKUP(E5,joueur,2,0)</f>
        <v>Ranefur E.</v>
      </c>
      <c r="I5" s="45" t="s">
        <v>86</v>
      </c>
      <c r="J5" s="40" t="str">
        <f>VLOOKUP(F5,joueur,2,0)</f>
        <v>Pryshchepa E.</v>
      </c>
      <c r="K5" s="31">
        <v>1</v>
      </c>
      <c r="L5" s="57">
        <v>3</v>
      </c>
      <c r="M5" s="199">
        <v>1</v>
      </c>
      <c r="N5" s="171">
        <f>+AK5</f>
        <v>7</v>
      </c>
      <c r="O5" s="171" t="str">
        <f>VLOOKUP(M5,$A$2:$B$9,2)</f>
        <v>Rinderer  D.</v>
      </c>
      <c r="P5" s="12"/>
      <c r="Q5" s="13"/>
      <c r="R5" s="2">
        <f>+K33</f>
        <v>3</v>
      </c>
      <c r="S5" s="3">
        <f>+L33</f>
        <v>1</v>
      </c>
      <c r="T5" s="2">
        <f>+K28</f>
        <v>1</v>
      </c>
      <c r="U5" s="3">
        <f>+L28</f>
        <v>3</v>
      </c>
      <c r="V5" s="2">
        <f>+K23</f>
        <v>0</v>
      </c>
      <c r="W5" s="3">
        <f>+L23</f>
        <v>3</v>
      </c>
      <c r="X5" s="1">
        <f>+K18</f>
        <v>0</v>
      </c>
      <c r="Y5" s="1">
        <f>+L18</f>
        <v>3</v>
      </c>
      <c r="Z5" s="2">
        <f>+K13</f>
        <v>1</v>
      </c>
      <c r="AA5" s="3">
        <f>+L13</f>
        <v>3</v>
      </c>
      <c r="AB5" s="2">
        <f>+K8</f>
        <v>3</v>
      </c>
      <c r="AC5" s="3">
        <f>+L8</f>
        <v>0</v>
      </c>
      <c r="AD5" s="2">
        <f>+K3</f>
        <v>0</v>
      </c>
      <c r="AE5" s="11">
        <f>+L3</f>
        <v>3</v>
      </c>
      <c r="AF5" s="169">
        <f>+P5+R5+T5+V5+X5+Z5+AB5+AD5</f>
        <v>8</v>
      </c>
      <c r="AG5" s="184">
        <f>+Q5+S5+U5+W5+Y5+AA5+AC5+AE5</f>
        <v>16</v>
      </c>
      <c r="AH5" s="186">
        <f>COUNTIF(P6:AE6,"V")</f>
        <v>2</v>
      </c>
      <c r="AI5" s="186">
        <f>RANK(AH5,$AH$5:$AH$20)</f>
        <v>7</v>
      </c>
      <c r="AJ5" s="167">
        <f>+AF5/AG5</f>
        <v>0.5</v>
      </c>
      <c r="AK5" s="256">
        <f>RANK(AJ5,$AJ$5:$AJ$20)</f>
        <v>7</v>
      </c>
      <c r="AL5" s="10"/>
    </row>
    <row r="6" spans="1:38" x14ac:dyDescent="0.3">
      <c r="A6">
        <v>5</v>
      </c>
      <c r="B6" s="88" t="s">
        <v>103</v>
      </c>
      <c r="C6" s="17"/>
      <c r="D6" s="224"/>
      <c r="E6" s="38">
        <v>4</v>
      </c>
      <c r="F6" s="38">
        <v>5</v>
      </c>
      <c r="G6" s="38"/>
      <c r="H6" s="58" t="str">
        <f>VLOOKUP(E6,joueur,2,0)</f>
        <v>Ruiz</v>
      </c>
      <c r="I6" s="46" t="s">
        <v>86</v>
      </c>
      <c r="J6" s="58" t="str">
        <f>VLOOKUP(F6,joueur,2,0)</f>
        <v>Reitspies D.</v>
      </c>
      <c r="K6" s="59">
        <v>3</v>
      </c>
      <c r="L6" s="28">
        <v>2</v>
      </c>
      <c r="M6" s="199"/>
      <c r="N6" s="172"/>
      <c r="O6" s="172"/>
      <c r="P6" s="190" t="str">
        <f>IF(P5="","",IF(P5=3,"V","D"))</f>
        <v/>
      </c>
      <c r="Q6" s="191"/>
      <c r="R6" s="180" t="str">
        <f>IF(R5+S5=0,+$D$1,IF(R5=3,"V","D"))</f>
        <v>V</v>
      </c>
      <c r="S6" s="181"/>
      <c r="T6" s="180" t="str">
        <f>IF(T5+U5=0,+$D$1,IF(T5=3,"V","D"))</f>
        <v>D</v>
      </c>
      <c r="U6" s="181"/>
      <c r="V6" s="180" t="str">
        <f>IF(V5+W5=0,+$D$1,IF(V5=3,"V","D"))</f>
        <v>D</v>
      </c>
      <c r="W6" s="181"/>
      <c r="X6" s="180" t="str">
        <f>IF(X5+Y5=0,+$D$1,IF(X5=3,"V","D"))</f>
        <v>D</v>
      </c>
      <c r="Y6" s="181"/>
      <c r="Z6" s="180" t="str">
        <f>IF(Z5+AA5=0,+$D$1,IF(Z5=3,"V","D"))</f>
        <v>D</v>
      </c>
      <c r="AA6" s="181"/>
      <c r="AB6" s="180" t="str">
        <f>IF(AB5+AC5=0,+$D$1,IF(AB5=3,"V","D"))</f>
        <v>V</v>
      </c>
      <c r="AC6" s="181"/>
      <c r="AD6" s="180" t="str">
        <f>IF(AD5+AE5=0,+$D$1,IF(AD5=3,"V","D"))</f>
        <v>D</v>
      </c>
      <c r="AE6" s="181"/>
      <c r="AF6" s="170"/>
      <c r="AG6" s="185"/>
      <c r="AH6" s="187"/>
      <c r="AI6" s="187"/>
      <c r="AJ6" s="168"/>
      <c r="AK6" s="257"/>
      <c r="AL6" s="10"/>
    </row>
    <row r="7" spans="1:38" x14ac:dyDescent="0.3">
      <c r="A7">
        <v>6</v>
      </c>
      <c r="B7" s="88" t="s">
        <v>113</v>
      </c>
      <c r="C7" s="20"/>
      <c r="H7" s="40"/>
      <c r="I7" s="40"/>
      <c r="J7" s="40"/>
      <c r="K7" s="40"/>
      <c r="L7" s="40"/>
      <c r="M7" s="199">
        <v>2</v>
      </c>
      <c r="N7" s="171">
        <f>+AK7</f>
        <v>8</v>
      </c>
      <c r="O7" s="171" t="str">
        <f>VLOOKUP(M7,$A$2:$B$9,2)</f>
        <v>Spanik T.</v>
      </c>
      <c r="P7" s="2">
        <f>+S5</f>
        <v>1</v>
      </c>
      <c r="Q7" s="3">
        <f>+R5</f>
        <v>3</v>
      </c>
      <c r="R7" s="12"/>
      <c r="S7" s="13"/>
      <c r="T7" s="2">
        <f>+K16</f>
        <v>1</v>
      </c>
      <c r="U7" s="3">
        <f>+L16</f>
        <v>3</v>
      </c>
      <c r="V7" s="2">
        <f>+K29</f>
        <v>0</v>
      </c>
      <c r="W7" s="3">
        <f>+L29</f>
        <v>3</v>
      </c>
      <c r="X7" s="1">
        <f>+K10</f>
        <v>1</v>
      </c>
      <c r="Y7" s="1">
        <f>+L10</f>
        <v>3</v>
      </c>
      <c r="Z7" s="2">
        <f>+K25</f>
        <v>1</v>
      </c>
      <c r="AA7" s="3">
        <f>+L25</f>
        <v>3</v>
      </c>
      <c r="AB7" s="2">
        <f>+K4</f>
        <v>3</v>
      </c>
      <c r="AC7" s="3">
        <f>+L4</f>
        <v>1</v>
      </c>
      <c r="AD7" s="2">
        <f>+K21</f>
        <v>1</v>
      </c>
      <c r="AE7" s="11">
        <f>+L21</f>
        <v>3</v>
      </c>
      <c r="AF7" s="169">
        <f>+P7+R7+T7+V7+X7+Z7+AB7+AD7</f>
        <v>8</v>
      </c>
      <c r="AG7" s="184">
        <f>+Q7+S7+U7+W7+Y7+AA7+AC7+AE7</f>
        <v>19</v>
      </c>
      <c r="AH7" s="186">
        <f>COUNTIF(P8:AE8,"V")</f>
        <v>1</v>
      </c>
      <c r="AI7" s="186">
        <f>RANK(AH7,$AH$5:$AH$20)</f>
        <v>8</v>
      </c>
      <c r="AJ7" s="167">
        <f>+AF7/AG7</f>
        <v>0.42105263157894735</v>
      </c>
      <c r="AK7" s="256">
        <f>RANK(AJ7,$AJ$5:$AJ$20)</f>
        <v>8</v>
      </c>
      <c r="AL7" s="10"/>
    </row>
    <row r="8" spans="1:38" x14ac:dyDescent="0.3">
      <c r="A8">
        <v>7</v>
      </c>
      <c r="B8" s="88" t="s">
        <v>104</v>
      </c>
      <c r="C8" s="17"/>
      <c r="D8" s="222" t="s">
        <v>88</v>
      </c>
      <c r="E8" s="42">
        <v>1</v>
      </c>
      <c r="F8" s="42">
        <v>7</v>
      </c>
      <c r="G8" s="42"/>
      <c r="H8" s="56" t="str">
        <f>VLOOKUP(E8,joueur,2,0)</f>
        <v>Rinderer  D.</v>
      </c>
      <c r="I8" s="43" t="s">
        <v>86</v>
      </c>
      <c r="J8" s="56" t="str">
        <f>VLOOKUP(F8,joueur,2,0)</f>
        <v>David P.</v>
      </c>
      <c r="K8" s="32">
        <v>3</v>
      </c>
      <c r="L8" s="33">
        <v>0</v>
      </c>
      <c r="M8" s="199"/>
      <c r="N8" s="172"/>
      <c r="O8" s="172"/>
      <c r="P8" s="180" t="str">
        <f>IF(P7+Q7=0,+$D$1,IF(P7=3,"V","D"))</f>
        <v>D</v>
      </c>
      <c r="Q8" s="181"/>
      <c r="R8" s="182"/>
      <c r="S8" s="183"/>
      <c r="T8" s="180" t="str">
        <f>IF(T7+U7=0,+$D$1,IF(T7=3,"V","D"))</f>
        <v>D</v>
      </c>
      <c r="U8" s="181"/>
      <c r="V8" s="180" t="str">
        <f>IF(V7+W7=0,+$D$1,IF(V7=3,"V","D"))</f>
        <v>D</v>
      </c>
      <c r="W8" s="181"/>
      <c r="X8" s="180" t="str">
        <f>IF(X7+Y7=0,+$D$1,IF(X7=3,"V","D"))</f>
        <v>D</v>
      </c>
      <c r="Y8" s="181"/>
      <c r="Z8" s="180" t="str">
        <f>IF(Z7+AA7=0,+$D$1,IF(Z7=3,"V","D"))</f>
        <v>D</v>
      </c>
      <c r="AA8" s="181"/>
      <c r="AB8" s="180" t="str">
        <f>IF(AB7+AC7=0,+$D$1,IF(AB7=3,"V","D"))</f>
        <v>V</v>
      </c>
      <c r="AC8" s="181"/>
      <c r="AD8" s="180" t="str">
        <f>IF(AD7+AE7=0,+$D$1,IF(AD7=3,"V","D"))</f>
        <v>D</v>
      </c>
      <c r="AE8" s="181"/>
      <c r="AF8" s="170"/>
      <c r="AG8" s="185"/>
      <c r="AH8" s="187"/>
      <c r="AI8" s="187"/>
      <c r="AJ8" s="168"/>
      <c r="AK8" s="257"/>
      <c r="AL8" s="10"/>
    </row>
    <row r="9" spans="1:38" x14ac:dyDescent="0.3">
      <c r="A9">
        <v>8</v>
      </c>
      <c r="B9" s="89" t="s">
        <v>105</v>
      </c>
      <c r="C9" s="17"/>
      <c r="D9" s="223"/>
      <c r="E9">
        <v>6</v>
      </c>
      <c r="F9">
        <v>8</v>
      </c>
      <c r="H9" s="40" t="str">
        <f>VLOOKUP(E9,joueur,2,0)</f>
        <v>Pryshchepa E.</v>
      </c>
      <c r="I9" s="45" t="s">
        <v>86</v>
      </c>
      <c r="J9" s="40" t="str">
        <f>VLOOKUP(F9,joueur,2,0)</f>
        <v>Benes M.</v>
      </c>
      <c r="K9" s="31">
        <v>3</v>
      </c>
      <c r="L9" s="57">
        <v>1</v>
      </c>
      <c r="M9" s="199">
        <v>3</v>
      </c>
      <c r="N9" s="171">
        <f>+AK9</f>
        <v>5</v>
      </c>
      <c r="O9" s="171" t="str">
        <f>VLOOKUP(M9,$A$2:$B$9,2)</f>
        <v>Ranefur E.</v>
      </c>
      <c r="P9" s="2">
        <f>+U5</f>
        <v>3</v>
      </c>
      <c r="Q9" s="3">
        <f>+T5</f>
        <v>1</v>
      </c>
      <c r="R9" s="2">
        <f>+U7</f>
        <v>3</v>
      </c>
      <c r="S9" s="3">
        <f>+T7</f>
        <v>1</v>
      </c>
      <c r="T9" s="12"/>
      <c r="U9" s="13"/>
      <c r="V9" s="2">
        <f>+K11</f>
        <v>1</v>
      </c>
      <c r="W9" s="3">
        <f>+L11</f>
        <v>3</v>
      </c>
      <c r="X9" s="1">
        <f>+K24</f>
        <v>2</v>
      </c>
      <c r="Y9" s="1">
        <f>+L24</f>
        <v>3</v>
      </c>
      <c r="Z9" s="2">
        <f>+K5</f>
        <v>1</v>
      </c>
      <c r="AA9" s="3">
        <f>+L5</f>
        <v>3</v>
      </c>
      <c r="AB9" s="2">
        <f>+K20</f>
        <v>2</v>
      </c>
      <c r="AC9" s="3">
        <f>+L20</f>
        <v>3</v>
      </c>
      <c r="AD9" s="2">
        <f>+K34</f>
        <v>3</v>
      </c>
      <c r="AE9" s="11">
        <f>+L34</f>
        <v>1</v>
      </c>
      <c r="AF9" s="169">
        <f>+P9+R9+T9+V9+X9+Z9+AB9+AD9</f>
        <v>15</v>
      </c>
      <c r="AG9" s="184">
        <f>+Q9+S9+U9+W9+Y9+AA9+AC9+AE9</f>
        <v>15</v>
      </c>
      <c r="AH9" s="186">
        <f>COUNTIF(P10:AE10,"V")</f>
        <v>3</v>
      </c>
      <c r="AI9" s="186">
        <f>RANK(AH9,$AH$5:$AH$20)</f>
        <v>5</v>
      </c>
      <c r="AJ9" s="167">
        <f>+AF9/AG9</f>
        <v>1</v>
      </c>
      <c r="AK9" s="256">
        <f>RANK(AJ9,$AJ$5:$AJ$20)</f>
        <v>5</v>
      </c>
      <c r="AL9" s="10"/>
    </row>
    <row r="10" spans="1:38" x14ac:dyDescent="0.3">
      <c r="D10" s="223"/>
      <c r="E10">
        <v>2</v>
      </c>
      <c r="F10">
        <v>5</v>
      </c>
      <c r="H10" s="40" t="str">
        <f>VLOOKUP(E10,joueur,2,0)</f>
        <v>Spanik T.</v>
      </c>
      <c r="I10" s="45" t="s">
        <v>86</v>
      </c>
      <c r="J10" s="40" t="str">
        <f>VLOOKUP(F10,joueur,2,0)</f>
        <v>Reitspies D.</v>
      </c>
      <c r="K10" s="31">
        <v>1</v>
      </c>
      <c r="L10" s="57">
        <v>3</v>
      </c>
      <c r="M10" s="199"/>
      <c r="N10" s="172"/>
      <c r="O10" s="172"/>
      <c r="P10" s="180" t="str">
        <f>IF(P9+Q9=0,+$D$1,IF(P9=3,"V","D"))</f>
        <v>V</v>
      </c>
      <c r="Q10" s="181"/>
      <c r="R10" s="180" t="str">
        <f>IF(R9+S9=0,+$D$1,IF(R9=3,"V","D"))</f>
        <v>V</v>
      </c>
      <c r="S10" s="181"/>
      <c r="T10" s="182"/>
      <c r="U10" s="183"/>
      <c r="V10" s="180" t="str">
        <f>IF(V9+W9=0,+$D$1,IF(V9=3,"V","D"))</f>
        <v>D</v>
      </c>
      <c r="W10" s="181"/>
      <c r="X10" s="180" t="str">
        <f>IF(X9+Y9=0,+$D$1,IF(X9=3,"V","D"))</f>
        <v>D</v>
      </c>
      <c r="Y10" s="181"/>
      <c r="Z10" s="180" t="str">
        <f>IF(Z9+AA9=0,+$D$1,IF(Z9=3,"V","D"))</f>
        <v>D</v>
      </c>
      <c r="AA10" s="181"/>
      <c r="AB10" s="180" t="str">
        <f>IF(AB9+AC9=0,+$D$1,IF(AB9=3,"V","D"))</f>
        <v>D</v>
      </c>
      <c r="AC10" s="181"/>
      <c r="AD10" s="180" t="str">
        <f>IF(AD9+AE9=0,+$D$1,IF(AD9=3,"V","D"))</f>
        <v>V</v>
      </c>
      <c r="AE10" s="181"/>
      <c r="AF10" s="170"/>
      <c r="AG10" s="185"/>
      <c r="AH10" s="187"/>
      <c r="AI10" s="187"/>
      <c r="AJ10" s="168"/>
      <c r="AK10" s="257"/>
      <c r="AL10" s="10"/>
    </row>
    <row r="11" spans="1:38" x14ac:dyDescent="0.3">
      <c r="D11" s="224"/>
      <c r="E11" s="38">
        <v>3</v>
      </c>
      <c r="F11" s="38">
        <v>4</v>
      </c>
      <c r="G11" s="38"/>
      <c r="H11" s="58" t="str">
        <f>VLOOKUP(E11,joueur,2,0)</f>
        <v>Ranefur E.</v>
      </c>
      <c r="I11" s="46" t="s">
        <v>86</v>
      </c>
      <c r="J11" s="58" t="str">
        <f>VLOOKUP(F11,joueur,2,0)</f>
        <v>Ruiz</v>
      </c>
      <c r="K11" s="59">
        <v>1</v>
      </c>
      <c r="L11" s="28">
        <v>3</v>
      </c>
      <c r="M11" s="199">
        <v>4</v>
      </c>
      <c r="N11" s="171">
        <f>+AK11</f>
        <v>2</v>
      </c>
      <c r="O11" s="171" t="str">
        <f>VLOOKUP(M11,$A$2:$B$9,2)</f>
        <v>Ruiz</v>
      </c>
      <c r="P11" s="5">
        <f>IF(+W5="",0,+W5)</f>
        <v>3</v>
      </c>
      <c r="Q11" s="9">
        <f>IF(+V5="",0,+V5)</f>
        <v>0</v>
      </c>
      <c r="R11" s="2">
        <f>IF(+W7="",0,W7)</f>
        <v>3</v>
      </c>
      <c r="S11" s="1">
        <f>IF(+V7="",0,V7)</f>
        <v>0</v>
      </c>
      <c r="T11" s="2">
        <f>IF(+W9="",0,W9)</f>
        <v>3</v>
      </c>
      <c r="U11" s="1">
        <f>IF(+V9="",0,V9)</f>
        <v>1</v>
      </c>
      <c r="V11" s="12"/>
      <c r="W11" s="13"/>
      <c r="X11" s="1">
        <f>+K6</f>
        <v>3</v>
      </c>
      <c r="Y11" s="1">
        <f>+L6</f>
        <v>2</v>
      </c>
      <c r="Z11" s="2">
        <f>+K19</f>
        <v>2</v>
      </c>
      <c r="AA11" s="3">
        <f>+L19</f>
        <v>3</v>
      </c>
      <c r="AB11" s="2">
        <f>+K35</f>
        <v>3</v>
      </c>
      <c r="AC11" s="3">
        <f>+L35</f>
        <v>1</v>
      </c>
      <c r="AD11" s="2">
        <f>+K15</f>
        <v>2</v>
      </c>
      <c r="AE11" s="11">
        <f>+L15</f>
        <v>3</v>
      </c>
      <c r="AF11" s="169">
        <f>+P11+R11+T11+V11+X11+Z11+AB11+AD11</f>
        <v>19</v>
      </c>
      <c r="AG11" s="184">
        <f>+Q11+S11+U11+W11+Y11+AA11+AC11+AE11</f>
        <v>10</v>
      </c>
      <c r="AH11" s="186">
        <f>COUNTIF(P12:AE12,"V")</f>
        <v>5</v>
      </c>
      <c r="AI11" s="186">
        <f>RANK(AH11,$AH$5:$AH$20)</f>
        <v>2</v>
      </c>
      <c r="AJ11" s="167">
        <f>+AF11/AG11</f>
        <v>1.9</v>
      </c>
      <c r="AK11" s="256">
        <f>RANK(AJ11,$AJ$5:$AJ$20)</f>
        <v>2</v>
      </c>
      <c r="AL11" s="10"/>
    </row>
    <row r="12" spans="1:38" x14ac:dyDescent="0.3">
      <c r="B12" s="20"/>
      <c r="C12" s="20"/>
      <c r="H12" s="40"/>
      <c r="I12" s="40"/>
      <c r="J12" s="40"/>
      <c r="K12" s="40"/>
      <c r="L12" s="40"/>
      <c r="M12" s="199"/>
      <c r="N12" s="172"/>
      <c r="O12" s="172"/>
      <c r="P12" s="180" t="str">
        <f>IF(P11+Q11=0,+$D$1,IF(P11=3,"V","D"))</f>
        <v>V</v>
      </c>
      <c r="Q12" s="181"/>
      <c r="R12" s="180" t="str">
        <f>IF(R11+S11=0,+$D$1,IF(R11=3,"V","D"))</f>
        <v>V</v>
      </c>
      <c r="S12" s="181"/>
      <c r="T12" s="180" t="str">
        <f>IF(T11+U11=0,+$D$1,IF(T11=3,"V","D"))</f>
        <v>V</v>
      </c>
      <c r="U12" s="181"/>
      <c r="V12" s="182"/>
      <c r="W12" s="183"/>
      <c r="X12" s="180" t="str">
        <f>IF(X11+Y11=0,+$D$1,IF(X11=3,"V","D"))</f>
        <v>V</v>
      </c>
      <c r="Y12" s="181"/>
      <c r="Z12" s="180" t="str">
        <f>IF(Z11+AA11=0,+$D$1,IF(Z11=3,"V","D"))</f>
        <v>D</v>
      </c>
      <c r="AA12" s="181"/>
      <c r="AB12" s="180" t="str">
        <f>IF(AB11+AC11=0,+$D$1,IF(AB11=3,"V","D"))</f>
        <v>V</v>
      </c>
      <c r="AC12" s="181"/>
      <c r="AD12" s="180" t="str">
        <f>IF(AD11+AE11=0,+$D$1,IF(AD11=3,"V","D"))</f>
        <v>D</v>
      </c>
      <c r="AE12" s="181"/>
      <c r="AF12" s="170"/>
      <c r="AG12" s="185"/>
      <c r="AH12" s="187"/>
      <c r="AI12" s="187"/>
      <c r="AJ12" s="168"/>
      <c r="AK12" s="257"/>
      <c r="AL12" s="10"/>
    </row>
    <row r="13" spans="1:38" x14ac:dyDescent="0.3">
      <c r="B13" s="20"/>
      <c r="C13" s="20"/>
      <c r="D13" s="222" t="s">
        <v>89</v>
      </c>
      <c r="E13" s="42">
        <v>1</v>
      </c>
      <c r="F13" s="42">
        <v>6</v>
      </c>
      <c r="G13" s="42"/>
      <c r="H13" s="56" t="str">
        <f>VLOOKUP(E13,joueur,2,0)</f>
        <v>Rinderer  D.</v>
      </c>
      <c r="I13" s="43" t="s">
        <v>86</v>
      </c>
      <c r="J13" s="56" t="str">
        <f>VLOOKUP(F13,joueur,2,0)</f>
        <v>Pryshchepa E.</v>
      </c>
      <c r="K13" s="32">
        <v>1</v>
      </c>
      <c r="L13" s="33">
        <v>3</v>
      </c>
      <c r="M13" s="199">
        <v>5</v>
      </c>
      <c r="N13" s="171">
        <f>+AK13</f>
        <v>3</v>
      </c>
      <c r="O13" s="171" t="str">
        <f>VLOOKUP(M13,$A$2:$B$9,2)</f>
        <v>Reitspies D.</v>
      </c>
      <c r="P13" s="2">
        <f>IF(+Y5="",0,Y5)</f>
        <v>3</v>
      </c>
      <c r="Q13" s="3">
        <f>IF(+X5="",0,X5)</f>
        <v>0</v>
      </c>
      <c r="R13" s="5">
        <f>IF(+Y7="",0,+Y7)</f>
        <v>3</v>
      </c>
      <c r="S13" s="4">
        <f>IF(+X7="",0,+X7)</f>
        <v>1</v>
      </c>
      <c r="T13" s="2">
        <f>IF(+Y9="",0,+Y9)</f>
        <v>3</v>
      </c>
      <c r="U13" s="1">
        <f>IF(+X9="",0,+X9)</f>
        <v>2</v>
      </c>
      <c r="V13" s="2">
        <f>+Y11</f>
        <v>2</v>
      </c>
      <c r="W13" s="3">
        <f>+X11</f>
        <v>3</v>
      </c>
      <c r="X13" s="12"/>
      <c r="Y13" s="13"/>
      <c r="Z13" s="2">
        <f>+K36</f>
        <v>0</v>
      </c>
      <c r="AA13" s="3">
        <f>+L36</f>
        <v>3</v>
      </c>
      <c r="AB13" s="2">
        <f>+K14</f>
        <v>2</v>
      </c>
      <c r="AC13" s="3">
        <f>+L14</f>
        <v>3</v>
      </c>
      <c r="AD13" s="2">
        <f>+K30</f>
        <v>3</v>
      </c>
      <c r="AE13" s="11">
        <f>+L30</f>
        <v>0</v>
      </c>
      <c r="AF13" s="169">
        <f>+P13+R13+T13+V13+X13+Z13+AB13+AD13</f>
        <v>16</v>
      </c>
      <c r="AG13" s="184">
        <f>+Q13+S13+U13+W13+Y13+AA13+AC13+AE13</f>
        <v>12</v>
      </c>
      <c r="AH13" s="186">
        <f>COUNTIF(P14:AE14,"V")</f>
        <v>4</v>
      </c>
      <c r="AI13" s="186">
        <f>RANK(AH13,$AH$5:$AH$20)</f>
        <v>3</v>
      </c>
      <c r="AJ13" s="167">
        <f>+AF13/AG13</f>
        <v>1.3333333333333333</v>
      </c>
      <c r="AK13" s="256">
        <f>RANK(AJ13,$AJ$5:$AJ$20)</f>
        <v>3</v>
      </c>
      <c r="AL13" s="10"/>
    </row>
    <row r="14" spans="1:38" x14ac:dyDescent="0.3">
      <c r="B14" s="20"/>
      <c r="C14" s="20"/>
      <c r="D14" s="223"/>
      <c r="E14">
        <v>5</v>
      </c>
      <c r="F14">
        <v>7</v>
      </c>
      <c r="H14" s="40" t="str">
        <f>VLOOKUP(E14,joueur,2,0)</f>
        <v>Reitspies D.</v>
      </c>
      <c r="I14" s="45" t="s">
        <v>86</v>
      </c>
      <c r="J14" s="40" t="str">
        <f>VLOOKUP(F14,joueur,2,0)</f>
        <v>David P.</v>
      </c>
      <c r="K14" s="31">
        <v>2</v>
      </c>
      <c r="L14" s="57">
        <v>3</v>
      </c>
      <c r="M14" s="199"/>
      <c r="N14" s="172"/>
      <c r="O14" s="172"/>
      <c r="P14" s="180" t="str">
        <f>IF(P13+Q13=0,+$D$1,IF(P13=3,"V","D"))</f>
        <v>V</v>
      </c>
      <c r="Q14" s="181"/>
      <c r="R14" s="180" t="str">
        <f>IF(R13+S13=0,+$D$1,IF(R13=3,"V","D"))</f>
        <v>V</v>
      </c>
      <c r="S14" s="181"/>
      <c r="T14" s="180" t="str">
        <f>IF(T13+U13=0,+$D$1,IF(T13=3,"V","D"))</f>
        <v>V</v>
      </c>
      <c r="U14" s="181"/>
      <c r="V14" s="180" t="str">
        <f>IF(V13+W13=0,+$D$1,IF(V13=3,"V","D"))</f>
        <v>D</v>
      </c>
      <c r="W14" s="181"/>
      <c r="X14" s="182"/>
      <c r="Y14" s="183"/>
      <c r="Z14" s="180" t="str">
        <f>IF(Z13+AA13=0,+$D$1,IF(Z13=3,"V","D"))</f>
        <v>D</v>
      </c>
      <c r="AA14" s="181"/>
      <c r="AB14" s="180" t="str">
        <f>IF(AB13+AC13=0,+$D$1,IF(AB13=3,"V","D"))</f>
        <v>D</v>
      </c>
      <c r="AC14" s="181"/>
      <c r="AD14" s="180" t="str">
        <f>IF(AD13+AE13=0,+$D$1,IF(AD13=3,"V","D"))</f>
        <v>V</v>
      </c>
      <c r="AE14" s="181"/>
      <c r="AF14" s="170"/>
      <c r="AG14" s="185"/>
      <c r="AH14" s="187"/>
      <c r="AI14" s="187"/>
      <c r="AJ14" s="168"/>
      <c r="AK14" s="257"/>
      <c r="AL14" s="10"/>
    </row>
    <row r="15" spans="1:38" x14ac:dyDescent="0.3">
      <c r="B15" s="20"/>
      <c r="C15" s="20"/>
      <c r="D15" s="223"/>
      <c r="E15">
        <v>4</v>
      </c>
      <c r="F15">
        <v>8</v>
      </c>
      <c r="H15" s="40" t="str">
        <f>VLOOKUP(E15,joueur,2,0)</f>
        <v>Ruiz</v>
      </c>
      <c r="I15" s="45" t="s">
        <v>86</v>
      </c>
      <c r="J15" s="40" t="str">
        <f>VLOOKUP(F15,joueur,2,0)</f>
        <v>Benes M.</v>
      </c>
      <c r="K15" s="31">
        <v>2</v>
      </c>
      <c r="L15" s="57">
        <v>3</v>
      </c>
      <c r="M15" s="199">
        <v>6</v>
      </c>
      <c r="N15" s="171">
        <f>+AK15</f>
        <v>1</v>
      </c>
      <c r="O15" s="171" t="str">
        <f>VLOOKUP(M15,$A$2:$B$9,2)</f>
        <v>Pryshchepa E.</v>
      </c>
      <c r="P15" s="5">
        <f>IF(+AA5="","0",+AA5)</f>
        <v>3</v>
      </c>
      <c r="Q15" s="9">
        <f>IF(+Z5="",0,+Z5)</f>
        <v>1</v>
      </c>
      <c r="R15" s="5">
        <f>IF(+AA7="",0,AA7)</f>
        <v>3</v>
      </c>
      <c r="S15" s="4">
        <f>IF(+Z7="",0,Z7)</f>
        <v>1</v>
      </c>
      <c r="T15" s="2">
        <f>+AA9</f>
        <v>3</v>
      </c>
      <c r="U15" s="3">
        <f>+Z9</f>
        <v>1</v>
      </c>
      <c r="V15" s="2">
        <f>+AA11</f>
        <v>3</v>
      </c>
      <c r="W15" s="3">
        <f>+Z11</f>
        <v>2</v>
      </c>
      <c r="X15" s="1">
        <f>+AA13</f>
        <v>3</v>
      </c>
      <c r="Y15" s="1">
        <f>+Z13</f>
        <v>0</v>
      </c>
      <c r="Z15" s="12"/>
      <c r="AA15" s="13"/>
      <c r="AB15" s="2">
        <f>+K31</f>
        <v>1</v>
      </c>
      <c r="AC15" s="3">
        <f>+L31</f>
        <v>3</v>
      </c>
      <c r="AD15" s="2">
        <f>+K9</f>
        <v>3</v>
      </c>
      <c r="AE15" s="11">
        <f>+L9</f>
        <v>1</v>
      </c>
      <c r="AF15" s="169">
        <f>+P15+R15+T15+V15+X15+Z15+AB15+AD15</f>
        <v>19</v>
      </c>
      <c r="AG15" s="184">
        <f>+Q15+S15+U15+W15+Y15+AA15+AC15+AE15</f>
        <v>9</v>
      </c>
      <c r="AH15" s="186">
        <f>COUNTIF(P16:AE16,"V")</f>
        <v>6</v>
      </c>
      <c r="AI15" s="186">
        <f>RANK(AH15,$AH$5:$AH$20)</f>
        <v>1</v>
      </c>
      <c r="AJ15" s="167">
        <f>+AF15/AG15</f>
        <v>2.1111111111111112</v>
      </c>
      <c r="AK15" s="256">
        <f>RANK(AJ15,$AJ$5:$AJ$20)</f>
        <v>1</v>
      </c>
      <c r="AL15" s="10"/>
    </row>
    <row r="16" spans="1:38" x14ac:dyDescent="0.3">
      <c r="B16" s="20"/>
      <c r="C16" s="20"/>
      <c r="D16" s="224"/>
      <c r="E16" s="38">
        <v>2</v>
      </c>
      <c r="F16" s="38">
        <v>3</v>
      </c>
      <c r="G16" s="38"/>
      <c r="H16" s="58" t="str">
        <f>VLOOKUP(E16,joueur,2,0)</f>
        <v>Spanik T.</v>
      </c>
      <c r="I16" s="46" t="s">
        <v>86</v>
      </c>
      <c r="J16" s="58" t="str">
        <f>VLOOKUP(F16,joueur,2,0)</f>
        <v>Ranefur E.</v>
      </c>
      <c r="K16" s="59">
        <v>1</v>
      </c>
      <c r="L16" s="28">
        <v>3</v>
      </c>
      <c r="M16" s="199"/>
      <c r="N16" s="172"/>
      <c r="O16" s="172"/>
      <c r="P16" s="180" t="str">
        <f>IF(P15+Q15=0,+$D$1,IF(P15=3,"V","D"))</f>
        <v>V</v>
      </c>
      <c r="Q16" s="181"/>
      <c r="R16" s="180" t="str">
        <f>IF(R15+S15=0,+$D$1,IF(R15=3,"V","D"))</f>
        <v>V</v>
      </c>
      <c r="S16" s="181"/>
      <c r="T16" s="180" t="str">
        <f>IF(T15+U15=0,+$D$1,IF(T15=3,"V","D"))</f>
        <v>V</v>
      </c>
      <c r="U16" s="181"/>
      <c r="V16" s="180" t="str">
        <f>IF(V15+W15=0,+$D$1,IF(V15=3,"V","D"))</f>
        <v>V</v>
      </c>
      <c r="W16" s="181"/>
      <c r="X16" s="180" t="str">
        <f>IF(X15+Y15=0,+$D$1,IF(X15=3,"V","D"))</f>
        <v>V</v>
      </c>
      <c r="Y16" s="181"/>
      <c r="Z16" s="182"/>
      <c r="AA16" s="183"/>
      <c r="AB16" s="180" t="str">
        <f>IF(AB15+AC15=0,+$D$1,IF(AB15=3,"V","D"))</f>
        <v>D</v>
      </c>
      <c r="AC16" s="181"/>
      <c r="AD16" s="180" t="str">
        <f>IF(AD15+AE15=0,+$D$1,IF(AD15=3,"V","D"))</f>
        <v>V</v>
      </c>
      <c r="AE16" s="181"/>
      <c r="AF16" s="170"/>
      <c r="AG16" s="185"/>
      <c r="AH16" s="187"/>
      <c r="AI16" s="187"/>
      <c r="AJ16" s="168"/>
      <c r="AK16" s="257"/>
      <c r="AL16" s="10"/>
    </row>
    <row r="17" spans="2:38" x14ac:dyDescent="0.3">
      <c r="B17" s="20"/>
      <c r="C17" s="20"/>
      <c r="D17" s="47"/>
      <c r="H17" s="40"/>
      <c r="I17" s="40"/>
      <c r="J17" s="40"/>
      <c r="K17" s="40"/>
      <c r="L17" s="40"/>
      <c r="M17" s="199">
        <v>7</v>
      </c>
      <c r="N17" s="171">
        <f>+AK17</f>
        <v>6</v>
      </c>
      <c r="O17" s="171" t="str">
        <f>VLOOKUP(M17,$A$2:$B$9,2)</f>
        <v>David P.</v>
      </c>
      <c r="P17" s="2">
        <f>+AC5</f>
        <v>0</v>
      </c>
      <c r="Q17" s="3">
        <f>+AB5</f>
        <v>3</v>
      </c>
      <c r="R17" s="2">
        <f>+AC7</f>
        <v>1</v>
      </c>
      <c r="S17" s="3">
        <f>+AB7</f>
        <v>3</v>
      </c>
      <c r="T17" s="2">
        <f>+AC9</f>
        <v>3</v>
      </c>
      <c r="U17" s="3">
        <f>+AB9</f>
        <v>2</v>
      </c>
      <c r="V17" s="2">
        <f>+AC11</f>
        <v>1</v>
      </c>
      <c r="W17" s="3">
        <f>+AB11</f>
        <v>3</v>
      </c>
      <c r="X17" s="4">
        <f>IF(+AC13="",0,+AC13)</f>
        <v>3</v>
      </c>
      <c r="Y17" s="4">
        <f>IF(+AB13="",0,+AB13)</f>
        <v>2</v>
      </c>
      <c r="Z17" s="5">
        <f>IF(+AC15="",0,+AC15)</f>
        <v>3</v>
      </c>
      <c r="AA17" s="4">
        <f>IF(+AB15="",0,+AB15)</f>
        <v>1</v>
      </c>
      <c r="AB17" s="12"/>
      <c r="AC17" s="13"/>
      <c r="AD17" s="2">
        <f>+K26</f>
        <v>1</v>
      </c>
      <c r="AE17" s="11">
        <f>+L26</f>
        <v>3</v>
      </c>
      <c r="AF17" s="169">
        <f>+P17+R17+T17+V17+X17+Z17+AB17+AD17</f>
        <v>12</v>
      </c>
      <c r="AG17" s="184">
        <f>+Q17+S17+U17+W17+Y17+AA17+AC17+AE17</f>
        <v>17</v>
      </c>
      <c r="AH17" s="186">
        <f>COUNTIF(P18:AE18,"V")</f>
        <v>3</v>
      </c>
      <c r="AI17" s="186">
        <f>RANK(AH17,$AH$5:$AH$20)</f>
        <v>5</v>
      </c>
      <c r="AJ17" s="167">
        <f>+AF17/AG17</f>
        <v>0.70588235294117652</v>
      </c>
      <c r="AK17" s="256">
        <f>RANK(AJ17,$AJ$5:$AJ$20)</f>
        <v>6</v>
      </c>
      <c r="AL17" s="10"/>
    </row>
    <row r="18" spans="2:38" x14ac:dyDescent="0.3">
      <c r="B18" s="20"/>
      <c r="C18" s="20"/>
      <c r="D18" s="222" t="s">
        <v>90</v>
      </c>
      <c r="E18" s="42">
        <v>1</v>
      </c>
      <c r="F18" s="42">
        <v>5</v>
      </c>
      <c r="G18" s="42"/>
      <c r="H18" s="56" t="str">
        <f>VLOOKUP(E18,joueur,2,0)</f>
        <v>Rinderer  D.</v>
      </c>
      <c r="I18" s="43" t="s">
        <v>86</v>
      </c>
      <c r="J18" s="56" t="str">
        <f>VLOOKUP(F18,joueur,2,0)</f>
        <v>Reitspies D.</v>
      </c>
      <c r="K18" s="32">
        <v>0</v>
      </c>
      <c r="L18" s="33">
        <v>3</v>
      </c>
      <c r="M18" s="199"/>
      <c r="N18" s="172"/>
      <c r="O18" s="172"/>
      <c r="P18" s="180" t="str">
        <f>IF(P17+Q17=0,+$D$1,IF(P17=3,"V","D"))</f>
        <v>D</v>
      </c>
      <c r="Q18" s="181"/>
      <c r="R18" s="180" t="str">
        <f>IF(R17+S17=0,+$D$1,IF(R17=3,"V","D"))</f>
        <v>D</v>
      </c>
      <c r="S18" s="181"/>
      <c r="T18" s="180" t="str">
        <f>IF(T17+U17=0,+$D$1,IF(T17=3,"V","D"))</f>
        <v>V</v>
      </c>
      <c r="U18" s="181"/>
      <c r="V18" s="180" t="str">
        <f>IF(V17+W17=0,+$D$1,IF(V17=3,"V","D"))</f>
        <v>D</v>
      </c>
      <c r="W18" s="181"/>
      <c r="X18" s="180" t="str">
        <f>IF(X17+Y17=0,+$D$1,IF(X17=3,"V","D"))</f>
        <v>V</v>
      </c>
      <c r="Y18" s="181"/>
      <c r="Z18" s="180" t="str">
        <f>IF(Z17+AA17=0,+$D$1,IF(Z17=3,"V","D"))</f>
        <v>V</v>
      </c>
      <c r="AA18" s="181"/>
      <c r="AB18" s="182"/>
      <c r="AC18" s="183"/>
      <c r="AD18" s="180" t="str">
        <f>IF(AD17+AE17=0,+$D$1,IF(AD17=3,"V","D"))</f>
        <v>D</v>
      </c>
      <c r="AE18" s="181"/>
      <c r="AF18" s="170"/>
      <c r="AG18" s="185"/>
      <c r="AH18" s="187"/>
      <c r="AI18" s="187"/>
      <c r="AJ18" s="168"/>
      <c r="AK18" s="257"/>
      <c r="AL18" s="10"/>
    </row>
    <row r="19" spans="2:38" x14ac:dyDescent="0.3">
      <c r="B19" s="20"/>
      <c r="C19" s="20"/>
      <c r="D19" s="223"/>
      <c r="E19">
        <v>4</v>
      </c>
      <c r="F19">
        <v>6</v>
      </c>
      <c r="H19" s="40" t="str">
        <f>VLOOKUP(E19,joueur,2,0)</f>
        <v>Ruiz</v>
      </c>
      <c r="I19" s="45" t="s">
        <v>86</v>
      </c>
      <c r="J19" s="40" t="str">
        <f>VLOOKUP(F19,joueur,2,0)</f>
        <v>Pryshchepa E.</v>
      </c>
      <c r="K19" s="31">
        <v>2</v>
      </c>
      <c r="L19" s="57">
        <v>3</v>
      </c>
      <c r="M19" s="199">
        <v>8</v>
      </c>
      <c r="N19" s="171">
        <f>+AK19</f>
        <v>4</v>
      </c>
      <c r="O19" s="171" t="str">
        <f>VLOOKUP(M19,$A$2:$B$9,2)</f>
        <v>Benes M.</v>
      </c>
      <c r="P19" s="6">
        <f>+AE5</f>
        <v>3</v>
      </c>
      <c r="Q19" s="7">
        <f>+AD5</f>
        <v>0</v>
      </c>
      <c r="R19" s="6">
        <f>+AE7</f>
        <v>3</v>
      </c>
      <c r="S19" s="7">
        <f>+AD7</f>
        <v>1</v>
      </c>
      <c r="T19" s="2">
        <f>+AE9</f>
        <v>1</v>
      </c>
      <c r="U19" s="1">
        <f>+AD9</f>
        <v>3</v>
      </c>
      <c r="V19" s="5">
        <f>+AE11</f>
        <v>3</v>
      </c>
      <c r="W19" s="9">
        <f>+AD11</f>
        <v>2</v>
      </c>
      <c r="X19" s="8">
        <f>+AE13</f>
        <v>0</v>
      </c>
      <c r="Y19" s="8">
        <f>+AD13</f>
        <v>3</v>
      </c>
      <c r="Z19" s="6">
        <f>+AE15</f>
        <v>1</v>
      </c>
      <c r="AA19" s="7">
        <f>+AD15</f>
        <v>3</v>
      </c>
      <c r="AB19" s="5">
        <f>IF(+AE17="",0,+AE17)</f>
        <v>3</v>
      </c>
      <c r="AC19" s="9">
        <f>IF(+AD17="",0,+AD17)</f>
        <v>1</v>
      </c>
      <c r="AD19" s="12"/>
      <c r="AE19" s="13"/>
      <c r="AF19" s="169">
        <f>+P19+R19+T19+V19+X19+Z19+AB19+AD19</f>
        <v>14</v>
      </c>
      <c r="AG19" s="184">
        <f>+Q19+S19+U19+W19+Y19+AA19+AC19+AE19</f>
        <v>13</v>
      </c>
      <c r="AH19" s="186">
        <f>COUNTIF(P20:AE20,"V")</f>
        <v>4</v>
      </c>
      <c r="AI19" s="186">
        <f>RANK(AH19,$AH$5:$AH$20)</f>
        <v>3</v>
      </c>
      <c r="AJ19" s="167">
        <f>+AF19/AG19</f>
        <v>1.0769230769230769</v>
      </c>
      <c r="AK19" s="256">
        <f>RANK(AJ19,$AJ$5:$AJ$20)</f>
        <v>4</v>
      </c>
      <c r="AL19" s="10"/>
    </row>
    <row r="20" spans="2:38" x14ac:dyDescent="0.3">
      <c r="D20" s="223"/>
      <c r="E20">
        <v>3</v>
      </c>
      <c r="F20">
        <v>7</v>
      </c>
      <c r="H20" s="40" t="str">
        <f>VLOOKUP(E20,joueur,2,0)</f>
        <v>Ranefur E.</v>
      </c>
      <c r="I20" s="45" t="s">
        <v>86</v>
      </c>
      <c r="J20" s="40" t="str">
        <f>VLOOKUP(F20,joueur,2,0)</f>
        <v>David P.</v>
      </c>
      <c r="K20" s="31">
        <v>2</v>
      </c>
      <c r="L20" s="57">
        <v>3</v>
      </c>
      <c r="M20" s="199"/>
      <c r="N20" s="172"/>
      <c r="O20" s="172"/>
      <c r="P20" s="180" t="str">
        <f>IF(P19+Q19=0,+$D$1,IF(P19=3,"V","D"))</f>
        <v>V</v>
      </c>
      <c r="Q20" s="181"/>
      <c r="R20" s="180" t="str">
        <f>IF(R19+S19=0,+$D$1,IF(R19=3,"V","D"))</f>
        <v>V</v>
      </c>
      <c r="S20" s="181"/>
      <c r="T20" s="180" t="str">
        <f>IF(T19+U19=0,+$D$1,IF(T19=3,"V","D"))</f>
        <v>D</v>
      </c>
      <c r="U20" s="181"/>
      <c r="V20" s="180" t="str">
        <f>IF(V19+W19=0,+$D$1,IF(V19=3,"V","D"))</f>
        <v>V</v>
      </c>
      <c r="W20" s="181"/>
      <c r="X20" s="180" t="str">
        <f>IF(X19+Y19=0,+$D$1,IF(X19=3,"V","D"))</f>
        <v>D</v>
      </c>
      <c r="Y20" s="181"/>
      <c r="Z20" s="180" t="str">
        <f>IF(Z19+AA19=0,+$D$1,IF(Z19=3,"V","D"))</f>
        <v>D</v>
      </c>
      <c r="AA20" s="181"/>
      <c r="AB20" s="180" t="str">
        <f>IF(AB19+AC19=0,+$D$1,IF(AB19=3,"V","D"))</f>
        <v>V</v>
      </c>
      <c r="AC20" s="181"/>
      <c r="AD20" s="182" t="str">
        <f>IF(AD19+AE19=0,"",IF(AD19=3,"V","D"))</f>
        <v/>
      </c>
      <c r="AE20" s="183"/>
      <c r="AF20" s="170"/>
      <c r="AG20" s="185"/>
      <c r="AH20" s="187"/>
      <c r="AI20" s="187"/>
      <c r="AJ20" s="168"/>
      <c r="AK20" s="257"/>
    </row>
    <row r="21" spans="2:38" ht="16.5" customHeight="1" x14ac:dyDescent="0.3">
      <c r="D21" s="224"/>
      <c r="E21" s="38">
        <v>2</v>
      </c>
      <c r="F21" s="38">
        <v>8</v>
      </c>
      <c r="G21" s="38"/>
      <c r="H21" s="58" t="str">
        <f>VLOOKUP(E21,joueur,2,0)</f>
        <v>Spanik T.</v>
      </c>
      <c r="I21" s="46" t="s">
        <v>86</v>
      </c>
      <c r="J21" s="58" t="str">
        <f>VLOOKUP(F21,joueur,2,0)</f>
        <v>Benes M.</v>
      </c>
      <c r="K21" s="59">
        <v>1</v>
      </c>
      <c r="L21" s="28">
        <v>3</v>
      </c>
    </row>
    <row r="22" spans="2:38" x14ac:dyDescent="0.3">
      <c r="H22" s="40"/>
      <c r="I22" s="40"/>
      <c r="J22" s="40"/>
      <c r="K22" s="40"/>
      <c r="L22" s="40"/>
      <c r="AC22" s="41"/>
      <c r="AD22" s="41"/>
      <c r="AE22" s="41"/>
      <c r="AF22" s="41"/>
      <c r="AG22" s="41"/>
      <c r="AH22" s="41"/>
      <c r="AI22" s="41"/>
    </row>
    <row r="23" spans="2:38" x14ac:dyDescent="0.3">
      <c r="D23" s="222" t="s">
        <v>91</v>
      </c>
      <c r="E23" s="42">
        <v>1</v>
      </c>
      <c r="F23" s="42">
        <v>4</v>
      </c>
      <c r="G23" s="42"/>
      <c r="H23" s="56" t="str">
        <f>VLOOKUP(E23,joueur,2,0)</f>
        <v>Rinderer  D.</v>
      </c>
      <c r="I23" s="43" t="s">
        <v>86</v>
      </c>
      <c r="J23" s="56" t="str">
        <f>VLOOKUP(F23,joueur,2,0)</f>
        <v>Ruiz</v>
      </c>
      <c r="K23" s="32">
        <v>0</v>
      </c>
      <c r="L23" s="33">
        <v>3</v>
      </c>
      <c r="N23" s="251" t="s">
        <v>108</v>
      </c>
      <c r="O23" s="252"/>
      <c r="P23" s="252"/>
      <c r="Q23" s="252"/>
      <c r="R23" s="252"/>
      <c r="S23" s="252"/>
      <c r="T23" s="252"/>
      <c r="U23" s="252"/>
      <c r="V23" s="252"/>
      <c r="W23" s="252"/>
      <c r="X23" s="252"/>
      <c r="Y23" s="253"/>
      <c r="AA23" s="234" t="s">
        <v>74</v>
      </c>
      <c r="AB23" s="235"/>
      <c r="AC23" s="235"/>
      <c r="AD23" s="236"/>
      <c r="AF23" s="234" t="s">
        <v>77</v>
      </c>
      <c r="AG23" s="236"/>
      <c r="AI23" s="234" t="s">
        <v>98</v>
      </c>
      <c r="AJ23" s="235"/>
      <c r="AK23" s="236"/>
    </row>
    <row r="24" spans="2:38" x14ac:dyDescent="0.3">
      <c r="D24" s="223"/>
      <c r="E24">
        <v>3</v>
      </c>
      <c r="F24">
        <v>5</v>
      </c>
      <c r="H24" s="40" t="str">
        <f>VLOOKUP(E24,joueur,2,0)</f>
        <v>Ranefur E.</v>
      </c>
      <c r="I24" s="45" t="s">
        <v>86</v>
      </c>
      <c r="J24" s="40" t="str">
        <f>VLOOKUP(F24,joueur,2,0)</f>
        <v>Reitspies D.</v>
      </c>
      <c r="K24" s="31">
        <v>2</v>
      </c>
      <c r="L24" s="57">
        <v>3</v>
      </c>
      <c r="N24" s="48"/>
      <c r="O24" s="49" t="s">
        <v>111</v>
      </c>
      <c r="P24" s="49"/>
      <c r="Q24" s="49" t="s">
        <v>64</v>
      </c>
      <c r="R24" s="49"/>
      <c r="S24" s="49"/>
      <c r="T24" s="49"/>
      <c r="U24" s="49"/>
      <c r="V24" s="254" t="s">
        <v>95</v>
      </c>
      <c r="W24" s="254"/>
      <c r="X24" s="254"/>
      <c r="Y24" s="255"/>
      <c r="AA24" s="237"/>
      <c r="AB24" s="238"/>
      <c r="AC24" s="238"/>
      <c r="AD24" s="239"/>
      <c r="AF24" s="237"/>
      <c r="AG24" s="239"/>
      <c r="AI24" s="237"/>
      <c r="AJ24" s="238"/>
      <c r="AK24" s="239"/>
    </row>
    <row r="25" spans="2:38" x14ac:dyDescent="0.3">
      <c r="D25" s="223"/>
      <c r="E25">
        <v>2</v>
      </c>
      <c r="F25">
        <v>6</v>
      </c>
      <c r="H25" s="40" t="str">
        <f>VLOOKUP(E25,joueur,2,0)</f>
        <v>Spanik T.</v>
      </c>
      <c r="I25" s="45" t="s">
        <v>86</v>
      </c>
      <c r="J25" s="40" t="str">
        <f>VLOOKUP(F25,joueur,2,0)</f>
        <v>Pryshchepa E.</v>
      </c>
      <c r="K25" s="31">
        <v>1</v>
      </c>
      <c r="L25" s="57">
        <v>3</v>
      </c>
      <c r="N25" s="48"/>
      <c r="O25" s="51"/>
      <c r="P25" s="51"/>
      <c r="Q25" s="51"/>
      <c r="R25" s="51"/>
      <c r="S25" s="51"/>
      <c r="T25" s="51"/>
      <c r="U25" s="51"/>
      <c r="V25" s="51"/>
      <c r="W25" s="51"/>
      <c r="X25" s="51"/>
      <c r="Y25" s="50"/>
      <c r="AA25" s="48" t="s">
        <v>66</v>
      </c>
      <c r="AB25" s="51"/>
      <c r="AC25" s="51"/>
      <c r="AD25" s="50">
        <v>122.64</v>
      </c>
      <c r="AF25" s="48">
        <f>+AD25</f>
        <v>122.64</v>
      </c>
      <c r="AG25" s="50"/>
      <c r="AI25" s="48" t="s">
        <v>66</v>
      </c>
      <c r="AJ25" s="51"/>
      <c r="AK25" s="60">
        <f>+AF25</f>
        <v>122.64</v>
      </c>
    </row>
    <row r="26" spans="2:38" x14ac:dyDescent="0.3">
      <c r="B26" t="s">
        <v>112</v>
      </c>
      <c r="D26" s="224"/>
      <c r="E26" s="38">
        <v>7</v>
      </c>
      <c r="F26" s="38">
        <v>8</v>
      </c>
      <c r="G26" s="38"/>
      <c r="H26" s="58" t="str">
        <f>VLOOKUP(E26,joueur,2,0)</f>
        <v>David P.</v>
      </c>
      <c r="I26" s="46" t="s">
        <v>86</v>
      </c>
      <c r="J26" s="58" t="str">
        <f>VLOOKUP(F26,joueur,2,0)</f>
        <v>Benes M.</v>
      </c>
      <c r="K26" s="59">
        <v>1</v>
      </c>
      <c r="L26" s="28">
        <v>3</v>
      </c>
      <c r="N26" s="48">
        <v>1</v>
      </c>
      <c r="O26" s="51" t="str">
        <f>VLOOKUP(N26,N$5:O$20,2,0)</f>
        <v>Pryshchepa E.</v>
      </c>
      <c r="P26" s="225" t="s">
        <v>0</v>
      </c>
      <c r="Q26" s="227" t="str">
        <f>IF(P26="","",IF(P26="V",+O26,O27))</f>
        <v>Pryshchepa E.</v>
      </c>
      <c r="R26" s="228"/>
      <c r="S26" s="51"/>
      <c r="T26" s="51"/>
      <c r="U26" s="51"/>
      <c r="V26" s="51"/>
      <c r="W26" s="51"/>
      <c r="X26" s="51"/>
      <c r="Y26" s="50"/>
      <c r="AA26" s="48" t="s">
        <v>76</v>
      </c>
      <c r="AB26" s="51"/>
      <c r="AC26" s="51"/>
      <c r="AD26" s="50">
        <v>40.880000000000003</v>
      </c>
      <c r="AF26" s="48">
        <f>+AD26*7</f>
        <v>286.16000000000003</v>
      </c>
      <c r="AG26" s="50"/>
      <c r="AI26" s="48" t="s">
        <v>67</v>
      </c>
      <c r="AJ26" s="51"/>
      <c r="AK26" s="61">
        <f>+AD26*AH11</f>
        <v>204.4</v>
      </c>
    </row>
    <row r="27" spans="2:38" ht="18.75" customHeight="1" x14ac:dyDescent="0.3">
      <c r="H27" s="40"/>
      <c r="I27" s="40"/>
      <c r="J27" s="40"/>
      <c r="K27" s="40"/>
      <c r="L27" s="40"/>
      <c r="N27" s="48">
        <v>4</v>
      </c>
      <c r="O27" s="51" t="str">
        <f>VLOOKUP(N27,N$5:O$20,2,0)</f>
        <v>Benes M.</v>
      </c>
      <c r="P27" s="226"/>
      <c r="Q27" s="229"/>
      <c r="R27" s="230"/>
      <c r="S27" s="51"/>
      <c r="T27" s="51"/>
      <c r="U27" s="225" t="s">
        <v>119</v>
      </c>
      <c r="V27" s="51"/>
      <c r="W27" s="241" t="str">
        <f>IF(U27="V",+Q26,IF(U27="D",Q29,""))</f>
        <v>Reitspies D.</v>
      </c>
      <c r="X27" s="242"/>
      <c r="Y27" s="243"/>
      <c r="AA27" s="48" t="s">
        <v>68</v>
      </c>
      <c r="AB27" s="51"/>
      <c r="AC27" s="51"/>
      <c r="AD27" s="50">
        <v>143.08000000000001</v>
      </c>
      <c r="AF27" s="48">
        <f>+AD27</f>
        <v>143.08000000000001</v>
      </c>
      <c r="AG27" s="50"/>
      <c r="AI27" s="48" t="s">
        <v>68</v>
      </c>
      <c r="AJ27" s="51"/>
      <c r="AK27" s="62">
        <f>IF(AK11&lt;5,+AF27,0)</f>
        <v>143.08000000000001</v>
      </c>
      <c r="AL27" s="22"/>
    </row>
    <row r="28" spans="2:38" ht="15" customHeight="1" x14ac:dyDescent="0.3">
      <c r="D28" s="222" t="s">
        <v>92</v>
      </c>
      <c r="E28" s="42">
        <v>1</v>
      </c>
      <c r="F28" s="42">
        <v>3</v>
      </c>
      <c r="G28" s="42"/>
      <c r="H28" s="56" t="str">
        <f>VLOOKUP(E28,joueur,2,0)</f>
        <v>Rinderer  D.</v>
      </c>
      <c r="I28" s="43" t="s">
        <v>86</v>
      </c>
      <c r="J28" s="56" t="str">
        <f>VLOOKUP(F28,joueur,2,0)</f>
        <v>Ranefur E.</v>
      </c>
      <c r="K28" s="32">
        <v>1</v>
      </c>
      <c r="L28" s="33">
        <v>3</v>
      </c>
      <c r="N28" s="48"/>
      <c r="O28" s="51"/>
      <c r="P28" s="68" t="s">
        <v>114</v>
      </c>
      <c r="Q28" s="51"/>
      <c r="R28" s="51"/>
      <c r="S28" s="51"/>
      <c r="T28" s="51"/>
      <c r="U28" s="240"/>
      <c r="V28" s="51"/>
      <c r="W28" s="244"/>
      <c r="X28" s="245"/>
      <c r="Y28" s="246"/>
      <c r="AA28" s="48" t="s">
        <v>69</v>
      </c>
      <c r="AB28" s="51"/>
      <c r="AC28" s="51"/>
      <c r="AD28" s="50">
        <v>183.96</v>
      </c>
      <c r="AF28" s="48">
        <f>+AD28</f>
        <v>183.96</v>
      </c>
      <c r="AG28" s="50"/>
      <c r="AI28" s="48" t="s">
        <v>69</v>
      </c>
      <c r="AJ28" s="51"/>
      <c r="AK28" s="60">
        <f>IF(OR(Q26="Ruiz",Q29="Ruiz"),180,0)</f>
        <v>0</v>
      </c>
      <c r="AL28" s="22"/>
    </row>
    <row r="29" spans="2:38" ht="15" customHeight="1" x14ac:dyDescent="0.3">
      <c r="D29" s="223"/>
      <c r="E29">
        <v>2</v>
      </c>
      <c r="F29">
        <v>4</v>
      </c>
      <c r="H29" s="40" t="str">
        <f>VLOOKUP(E29,joueur,2,0)</f>
        <v>Spanik T.</v>
      </c>
      <c r="I29" s="45" t="s">
        <v>86</v>
      </c>
      <c r="J29" s="40" t="str">
        <f>VLOOKUP(F29,joueur,2,0)</f>
        <v>Ruiz</v>
      </c>
      <c r="K29" s="31">
        <v>0</v>
      </c>
      <c r="L29" s="57">
        <v>3</v>
      </c>
      <c r="N29" s="48">
        <v>2</v>
      </c>
      <c r="O29" s="51" t="str">
        <f>VLOOKUP(N29,N$5:O$20,2,0)</f>
        <v>Ruiz</v>
      </c>
      <c r="P29" s="225" t="s">
        <v>1</v>
      </c>
      <c r="Q29" s="227" t="str">
        <f>IF(P29="","",IF(P29="V",+O29,O30))</f>
        <v>Reitspies D.</v>
      </c>
      <c r="R29" s="228"/>
      <c r="S29" s="51"/>
      <c r="T29" s="51"/>
      <c r="U29" s="226"/>
      <c r="V29" s="51"/>
      <c r="W29" s="247"/>
      <c r="X29" s="248"/>
      <c r="Y29" s="249"/>
      <c r="AA29" s="48" t="s">
        <v>70</v>
      </c>
      <c r="AB29" s="51"/>
      <c r="AC29" s="51"/>
      <c r="AD29" s="50">
        <v>204.4</v>
      </c>
      <c r="AF29" s="48">
        <f>+AD29</f>
        <v>204.4</v>
      </c>
      <c r="AG29" s="50"/>
      <c r="AI29" s="48" t="s">
        <v>70</v>
      </c>
      <c r="AJ29" s="51"/>
      <c r="AK29" s="60">
        <f>IF(W27="Ruiz",180,0)</f>
        <v>0</v>
      </c>
    </row>
    <row r="30" spans="2:38" ht="15" customHeight="1" x14ac:dyDescent="0.3">
      <c r="D30" s="223"/>
      <c r="E30">
        <v>5</v>
      </c>
      <c r="F30">
        <v>8</v>
      </c>
      <c r="H30" s="40" t="str">
        <f>VLOOKUP(E30,joueur,2,0)</f>
        <v>Reitspies D.</v>
      </c>
      <c r="I30" s="45" t="s">
        <v>86</v>
      </c>
      <c r="J30" s="40" t="str">
        <f>VLOOKUP(F30,joueur,2,0)</f>
        <v>Benes M.</v>
      </c>
      <c r="K30" s="31">
        <v>3</v>
      </c>
      <c r="L30" s="57">
        <v>0</v>
      </c>
      <c r="N30" s="48">
        <v>3</v>
      </c>
      <c r="O30" s="51" t="str">
        <f>VLOOKUP(N30,N$5:O$20,2,0)</f>
        <v>Reitspies D.</v>
      </c>
      <c r="P30" s="226"/>
      <c r="Q30" s="229"/>
      <c r="R30" s="230"/>
      <c r="S30" s="51"/>
      <c r="T30" s="51"/>
      <c r="U30" s="51"/>
      <c r="V30" s="51"/>
      <c r="W30" s="51"/>
      <c r="X30" s="51"/>
      <c r="Y30" s="50"/>
      <c r="AA30" s="48" t="s">
        <v>99</v>
      </c>
      <c r="AB30" s="51"/>
      <c r="AC30" s="51"/>
      <c r="AD30" s="50">
        <v>81.760000000000005</v>
      </c>
      <c r="AF30" s="48"/>
      <c r="AG30" s="50">
        <f>SUM(AF25:AF29)</f>
        <v>940.24</v>
      </c>
      <c r="AI30" s="48" t="s">
        <v>97</v>
      </c>
      <c r="AJ30" s="51"/>
      <c r="AK30" s="60">
        <f>IF(Q34="Ruiz",90,0)</f>
        <v>90</v>
      </c>
    </row>
    <row r="31" spans="2:38" x14ac:dyDescent="0.3">
      <c r="D31" s="224"/>
      <c r="E31" s="38">
        <v>6</v>
      </c>
      <c r="F31" s="38">
        <v>7</v>
      </c>
      <c r="G31" s="38"/>
      <c r="H31" s="58" t="str">
        <f>VLOOKUP(E31,joueur,2,0)</f>
        <v>Pryshchepa E.</v>
      </c>
      <c r="I31" s="46" t="s">
        <v>86</v>
      </c>
      <c r="J31" s="58" t="str">
        <f>VLOOKUP(F31,joueur,2,0)</f>
        <v>David P.</v>
      </c>
      <c r="K31" s="59">
        <v>1</v>
      </c>
      <c r="L31" s="28">
        <v>3</v>
      </c>
      <c r="N31" s="48"/>
      <c r="O31" s="51"/>
      <c r="P31" s="68" t="s">
        <v>115</v>
      </c>
      <c r="Q31" s="51"/>
      <c r="R31" s="51"/>
      <c r="S31" s="51"/>
      <c r="T31" s="51"/>
      <c r="U31" s="52" t="s">
        <v>117</v>
      </c>
      <c r="V31" s="51"/>
      <c r="W31" s="51"/>
      <c r="X31" s="51"/>
      <c r="Y31" s="50"/>
      <c r="AA31" s="48" t="s">
        <v>71</v>
      </c>
      <c r="AB31" s="51"/>
      <c r="AC31" s="250">
        <v>0.15825</v>
      </c>
      <c r="AD31" s="250"/>
      <c r="AF31" s="48">
        <f>-SUM(AF25:AF29)*AC31</f>
        <v>-148.79298</v>
      </c>
      <c r="AG31" s="50"/>
      <c r="AI31" s="48" t="s">
        <v>71</v>
      </c>
      <c r="AJ31" s="51"/>
      <c r="AK31" s="63">
        <f>-SUM(AK25:AK30)*AC31</f>
        <v>-88.638990000000007</v>
      </c>
    </row>
    <row r="32" spans="2:38" x14ac:dyDescent="0.3">
      <c r="H32" s="40"/>
      <c r="I32" s="40"/>
      <c r="J32" s="40"/>
      <c r="K32" s="40"/>
      <c r="L32" s="40"/>
      <c r="N32" s="48"/>
      <c r="O32" s="254" t="s">
        <v>96</v>
      </c>
      <c r="P32" s="254"/>
      <c r="Q32" s="254"/>
      <c r="R32" s="254"/>
      <c r="S32" s="51"/>
      <c r="T32" s="51"/>
      <c r="U32" s="51"/>
      <c r="V32" s="51"/>
      <c r="W32" s="51"/>
      <c r="X32" s="51"/>
      <c r="Y32" s="50"/>
      <c r="AA32" s="53"/>
      <c r="AB32" s="54"/>
      <c r="AC32" s="54"/>
      <c r="AD32" s="55"/>
      <c r="AF32" s="53">
        <f>SUM(AF25:AF31)</f>
        <v>791.44702000000007</v>
      </c>
      <c r="AG32" s="55"/>
      <c r="AI32" s="64"/>
      <c r="AJ32" s="65" t="s">
        <v>72</v>
      </c>
      <c r="AK32" s="66">
        <f>SUM(AK25:AK31)</f>
        <v>471.48100999999997</v>
      </c>
    </row>
    <row r="33" spans="4:37" x14ac:dyDescent="0.3">
      <c r="D33" s="222" t="s">
        <v>93</v>
      </c>
      <c r="E33" s="42">
        <v>1</v>
      </c>
      <c r="F33" s="42">
        <v>2</v>
      </c>
      <c r="G33" s="42"/>
      <c r="H33" s="56" t="str">
        <f>VLOOKUP(E33,joueur,2,0)</f>
        <v>Rinderer  D.</v>
      </c>
      <c r="I33" s="43" t="s">
        <v>86</v>
      </c>
      <c r="J33" s="56" t="str">
        <f>VLOOKUP(F33,joueur,2,0)</f>
        <v>Spanik T.</v>
      </c>
      <c r="K33" s="32">
        <v>3</v>
      </c>
      <c r="L33" s="33">
        <v>1</v>
      </c>
      <c r="N33" s="48"/>
      <c r="O33" s="51"/>
      <c r="P33" s="51"/>
      <c r="Q33" s="51"/>
      <c r="R33" s="51"/>
      <c r="S33" s="51"/>
      <c r="T33" s="51"/>
      <c r="U33" s="51"/>
      <c r="V33" s="51"/>
      <c r="W33" s="51"/>
      <c r="X33" s="51"/>
      <c r="Y33" s="50"/>
    </row>
    <row r="34" spans="4:37" x14ac:dyDescent="0.3">
      <c r="D34" s="223"/>
      <c r="E34">
        <v>3</v>
      </c>
      <c r="F34">
        <v>8</v>
      </c>
      <c r="H34" s="40" t="str">
        <f>VLOOKUP(E34,joueur,2,0)</f>
        <v>Ranefur E.</v>
      </c>
      <c r="I34" s="45" t="s">
        <v>86</v>
      </c>
      <c r="J34" s="40" t="str">
        <f>VLOOKUP(F34,joueur,2,0)</f>
        <v>Benes M.</v>
      </c>
      <c r="K34" s="31">
        <v>3</v>
      </c>
      <c r="L34" s="57">
        <v>1</v>
      </c>
      <c r="N34" s="48"/>
      <c r="O34" s="52" t="str">
        <f>IF(P26="","",IF(P26="V",O27,O26))</f>
        <v>Benes M.</v>
      </c>
      <c r="P34" s="225" t="s">
        <v>1</v>
      </c>
      <c r="Q34" s="227" t="str">
        <f>IF(P34="","",IF(P34="V",O34,O35))</f>
        <v>Ruiz</v>
      </c>
      <c r="R34" s="228"/>
      <c r="S34" s="51"/>
      <c r="T34" s="51"/>
      <c r="U34" s="51"/>
      <c r="V34" s="51"/>
      <c r="W34" s="51"/>
      <c r="X34" s="51"/>
      <c r="Y34" s="50"/>
      <c r="AA34" s="67" t="s">
        <v>106</v>
      </c>
      <c r="AB34" s="42"/>
      <c r="AC34" s="42"/>
      <c r="AD34" s="42"/>
      <c r="AE34" s="42"/>
      <c r="AF34" s="42"/>
      <c r="AG34" s="42"/>
      <c r="AH34" s="42"/>
      <c r="AI34" s="42"/>
      <c r="AJ34" s="42"/>
      <c r="AK34" s="44"/>
    </row>
    <row r="35" spans="4:37" x14ac:dyDescent="0.3">
      <c r="D35" s="223"/>
      <c r="E35">
        <v>4</v>
      </c>
      <c r="F35">
        <v>7</v>
      </c>
      <c r="H35" s="40" t="str">
        <f>VLOOKUP(E35,joueur,2,0)</f>
        <v>Ruiz</v>
      </c>
      <c r="I35" s="45" t="s">
        <v>86</v>
      </c>
      <c r="J35" s="40" t="str">
        <f>VLOOKUP(F35,joueur,2,0)</f>
        <v>David P.</v>
      </c>
      <c r="K35" s="31">
        <v>3</v>
      </c>
      <c r="L35" s="57">
        <v>1</v>
      </c>
      <c r="N35" s="48"/>
      <c r="O35" s="51" t="str">
        <f>IF(P29="","",IF(P29="V",O30,O29))</f>
        <v>Ruiz</v>
      </c>
      <c r="P35" s="226"/>
      <c r="Q35" s="229"/>
      <c r="R35" s="230"/>
      <c r="S35" s="51"/>
      <c r="T35" s="51"/>
      <c r="U35" s="51"/>
      <c r="V35" s="51"/>
      <c r="W35" s="51"/>
      <c r="X35" s="51"/>
      <c r="Y35" s="50"/>
      <c r="AA35" s="34" t="s">
        <v>107</v>
      </c>
      <c r="AK35" s="35"/>
    </row>
    <row r="36" spans="4:37" x14ac:dyDescent="0.3">
      <c r="D36" s="224"/>
      <c r="E36" s="38">
        <v>5</v>
      </c>
      <c r="F36" s="38">
        <v>6</v>
      </c>
      <c r="G36" s="38"/>
      <c r="H36" s="58" t="str">
        <f>VLOOKUP(E36,joueur,2,0)</f>
        <v>Reitspies D.</v>
      </c>
      <c r="I36" s="46" t="s">
        <v>86</v>
      </c>
      <c r="J36" s="58" t="str">
        <f>VLOOKUP(F36,joueur,2,0)</f>
        <v>Pryshchepa E.</v>
      </c>
      <c r="K36" s="59">
        <v>0</v>
      </c>
      <c r="L36" s="28">
        <v>3</v>
      </c>
      <c r="N36" s="53"/>
      <c r="O36" s="54"/>
      <c r="P36" s="69" t="s">
        <v>116</v>
      </c>
      <c r="Q36" s="54"/>
      <c r="R36" s="54"/>
      <c r="S36" s="54"/>
      <c r="T36" s="54"/>
      <c r="U36" s="54"/>
      <c r="V36" s="54"/>
      <c r="W36" s="54"/>
      <c r="X36" s="54"/>
      <c r="Y36" s="55"/>
      <c r="AA36" s="37" t="s">
        <v>100</v>
      </c>
      <c r="AB36" s="38"/>
      <c r="AC36" s="38"/>
      <c r="AD36" s="38"/>
      <c r="AE36" s="38"/>
      <c r="AF36" s="38"/>
      <c r="AG36" s="38"/>
      <c r="AH36" s="38"/>
      <c r="AI36" s="38"/>
      <c r="AJ36" s="38"/>
      <c r="AK36" s="39"/>
    </row>
  </sheetData>
  <sortState xmlns:xlrd2="http://schemas.microsoft.com/office/spreadsheetml/2017/richdata2" ref="W34:X41">
    <sortCondition ref="W34:W41"/>
  </sortState>
  <mergeCells count="177">
    <mergeCell ref="M19:M20"/>
    <mergeCell ref="N7:N8"/>
    <mergeCell ref="O7:O8"/>
    <mergeCell ref="AF7:AF8"/>
    <mergeCell ref="AG7:AG8"/>
    <mergeCell ref="AH7:AH8"/>
    <mergeCell ref="N17:N18"/>
    <mergeCell ref="O17:O18"/>
    <mergeCell ref="M5:M6"/>
    <mergeCell ref="M7:M8"/>
    <mergeCell ref="M9:M10"/>
    <mergeCell ref="M11:M12"/>
    <mergeCell ref="M13:M14"/>
    <mergeCell ref="M15:M16"/>
    <mergeCell ref="M17:M18"/>
    <mergeCell ref="X20:Y20"/>
    <mergeCell ref="Z20:AA20"/>
    <mergeCell ref="AB20:AC20"/>
    <mergeCell ref="O32:R32"/>
    <mergeCell ref="AF2:AG2"/>
    <mergeCell ref="AD3:AE4"/>
    <mergeCell ref="AF3:AF4"/>
    <mergeCell ref="AG3:AG4"/>
    <mergeCell ref="AH3:AH4"/>
    <mergeCell ref="D3:D6"/>
    <mergeCell ref="O3:O4"/>
    <mergeCell ref="P3:Q4"/>
    <mergeCell ref="R3:S4"/>
    <mergeCell ref="T3:U4"/>
    <mergeCell ref="V3:W4"/>
    <mergeCell ref="X3:Y4"/>
    <mergeCell ref="Z3:AA4"/>
    <mergeCell ref="AB3:AC4"/>
    <mergeCell ref="AD10:AE10"/>
    <mergeCell ref="N11:N12"/>
    <mergeCell ref="O11:O12"/>
    <mergeCell ref="AF11:AF12"/>
    <mergeCell ref="AG11:AG12"/>
    <mergeCell ref="AH11:AH12"/>
    <mergeCell ref="X10:Y10"/>
    <mergeCell ref="Z10:AA10"/>
    <mergeCell ref="AB10:AC10"/>
    <mergeCell ref="AJ3:AJ4"/>
    <mergeCell ref="AK3:AK4"/>
    <mergeCell ref="N5:N6"/>
    <mergeCell ref="O5:O6"/>
    <mergeCell ref="AF5:AF6"/>
    <mergeCell ref="AG5:AG6"/>
    <mergeCell ref="AH5:AH6"/>
    <mergeCell ref="AI5:AI6"/>
    <mergeCell ref="AJ5:AJ6"/>
    <mergeCell ref="AK5:AK6"/>
    <mergeCell ref="P6:Q6"/>
    <mergeCell ref="R6:S6"/>
    <mergeCell ref="T6:U6"/>
    <mergeCell ref="V6:W6"/>
    <mergeCell ref="X6:Y6"/>
    <mergeCell ref="Z6:AA6"/>
    <mergeCell ref="AB6:AC6"/>
    <mergeCell ref="AD6:AE6"/>
    <mergeCell ref="AI3:AI4"/>
    <mergeCell ref="AI7:AI8"/>
    <mergeCell ref="AJ7:AJ8"/>
    <mergeCell ref="AK7:AK8"/>
    <mergeCell ref="D8:D11"/>
    <mergeCell ref="P8:Q8"/>
    <mergeCell ref="R8:S8"/>
    <mergeCell ref="T8:U8"/>
    <mergeCell ref="V8:W8"/>
    <mergeCell ref="X8:Y8"/>
    <mergeCell ref="Z8:AA8"/>
    <mergeCell ref="AB8:AC8"/>
    <mergeCell ref="AD8:AE8"/>
    <mergeCell ref="N9:N10"/>
    <mergeCell ref="O9:O10"/>
    <mergeCell ref="AF9:AF10"/>
    <mergeCell ref="AG9:AG10"/>
    <mergeCell ref="AH9:AH10"/>
    <mergeCell ref="AI9:AI10"/>
    <mergeCell ref="AJ9:AJ10"/>
    <mergeCell ref="AK9:AK10"/>
    <mergeCell ref="P10:Q10"/>
    <mergeCell ref="R10:S10"/>
    <mergeCell ref="T10:U10"/>
    <mergeCell ref="V10:W10"/>
    <mergeCell ref="AI11:AI12"/>
    <mergeCell ref="AJ11:AJ12"/>
    <mergeCell ref="AK11:AK12"/>
    <mergeCell ref="P12:Q12"/>
    <mergeCell ref="R12:S12"/>
    <mergeCell ref="T12:U12"/>
    <mergeCell ref="V12:W12"/>
    <mergeCell ref="X12:Y12"/>
    <mergeCell ref="Z12:AA12"/>
    <mergeCell ref="AB12:AC12"/>
    <mergeCell ref="AD12:AE12"/>
    <mergeCell ref="D13:D16"/>
    <mergeCell ref="N13:N14"/>
    <mergeCell ref="O13:O14"/>
    <mergeCell ref="AF13:AF14"/>
    <mergeCell ref="AG13:AG14"/>
    <mergeCell ref="AH13:AH14"/>
    <mergeCell ref="AI13:AI14"/>
    <mergeCell ref="AJ13:AJ14"/>
    <mergeCell ref="AK13:AK14"/>
    <mergeCell ref="P14:Q14"/>
    <mergeCell ref="R14:S14"/>
    <mergeCell ref="T14:U14"/>
    <mergeCell ref="V14:W14"/>
    <mergeCell ref="X14:Y14"/>
    <mergeCell ref="Z14:AA14"/>
    <mergeCell ref="AB14:AC14"/>
    <mergeCell ref="AD14:AE14"/>
    <mergeCell ref="N15:N16"/>
    <mergeCell ref="O15:O16"/>
    <mergeCell ref="AF15:AF16"/>
    <mergeCell ref="AG15:AG16"/>
    <mergeCell ref="AH15:AH16"/>
    <mergeCell ref="AI15:AI16"/>
    <mergeCell ref="AJ15:AJ16"/>
    <mergeCell ref="AK15:AK16"/>
    <mergeCell ref="P16:Q16"/>
    <mergeCell ref="R16:S16"/>
    <mergeCell ref="T16:U16"/>
    <mergeCell ref="V16:W16"/>
    <mergeCell ref="X16:Y16"/>
    <mergeCell ref="Z16:AA16"/>
    <mergeCell ref="AB16:AC16"/>
    <mergeCell ref="AD16:AE16"/>
    <mergeCell ref="AI17:AI18"/>
    <mergeCell ref="AJ17:AJ18"/>
    <mergeCell ref="AK17:AK18"/>
    <mergeCell ref="D18:D21"/>
    <mergeCell ref="P18:Q18"/>
    <mergeCell ref="R18:S18"/>
    <mergeCell ref="T18:U18"/>
    <mergeCell ref="V18:W18"/>
    <mergeCell ref="X18:Y18"/>
    <mergeCell ref="Z18:AA18"/>
    <mergeCell ref="AB18:AC18"/>
    <mergeCell ref="AD18:AE18"/>
    <mergeCell ref="N19:N20"/>
    <mergeCell ref="O19:O20"/>
    <mergeCell ref="AF19:AF20"/>
    <mergeCell ref="AG19:AG20"/>
    <mergeCell ref="AH19:AH20"/>
    <mergeCell ref="AI19:AI20"/>
    <mergeCell ref="AJ19:AJ20"/>
    <mergeCell ref="AK19:AK20"/>
    <mergeCell ref="P20:Q20"/>
    <mergeCell ref="R20:S20"/>
    <mergeCell ref="T20:U20"/>
    <mergeCell ref="V20:W20"/>
    <mergeCell ref="D33:D36"/>
    <mergeCell ref="P34:P35"/>
    <mergeCell ref="Q34:R35"/>
    <mergeCell ref="O1:AK1"/>
    <mergeCell ref="M3:M4"/>
    <mergeCell ref="N3:N4"/>
    <mergeCell ref="AA23:AD24"/>
    <mergeCell ref="AF23:AG24"/>
    <mergeCell ref="AI23:AK24"/>
    <mergeCell ref="U27:U29"/>
    <mergeCell ref="W27:Y29"/>
    <mergeCell ref="AC31:AD31"/>
    <mergeCell ref="N23:Y23"/>
    <mergeCell ref="AD20:AE20"/>
    <mergeCell ref="D23:D26"/>
    <mergeCell ref="V24:Y24"/>
    <mergeCell ref="P26:P27"/>
    <mergeCell ref="Q26:R27"/>
    <mergeCell ref="D28:D31"/>
    <mergeCell ref="P29:P30"/>
    <mergeCell ref="Q29:R30"/>
    <mergeCell ref="AF17:AF18"/>
    <mergeCell ref="AG17:AG18"/>
    <mergeCell ref="AH17:AH18"/>
  </mergeCells>
  <conditionalFormatting sqref="K3:K6 K8:K11 K13:K16 K18:K21 K23:K26 K33:K36">
    <cfRule type="cellIs" dxfId="114" priority="3" operator="equal">
      <formula>A1="&lt;&gt;"</formula>
    </cfRule>
  </conditionalFormatting>
  <conditionalFormatting sqref="K28:K31">
    <cfRule type="cellIs" dxfId="113" priority="1" operator="equal">
      <formula>A26="&lt;&gt;"</formula>
    </cfRule>
  </conditionalFormatting>
  <conditionalFormatting sqref="K3:L6">
    <cfRule type="cellIs" dxfId="112" priority="4" operator="equal">
      <formula>""""""</formula>
    </cfRule>
  </conditionalFormatting>
  <conditionalFormatting sqref="L3:L6 L8:L11 L13:L16 L18:L21 L23:L26 L33:L36">
    <cfRule type="cellIs" dxfId="111" priority="23" operator="equal">
      <formula>C1="&lt;&gt;"</formula>
    </cfRule>
  </conditionalFormatting>
  <conditionalFormatting sqref="L28:L31">
    <cfRule type="cellIs" dxfId="110" priority="2" operator="equal">
      <formula>C26="&lt;&gt;"</formula>
    </cfRule>
  </conditionalFormatting>
  <conditionalFormatting sqref="P5:AE20">
    <cfRule type="cellIs" dxfId="109" priority="21" operator="equal">
      <formula>"D"</formula>
    </cfRule>
    <cfRule type="cellIs" dxfId="108" priority="22" operator="equal">
      <formula>"V"</formula>
    </cfRule>
  </conditionalFormatting>
  <conditionalFormatting sqref="AK5">
    <cfRule type="cellIs" dxfId="107" priority="5" operator="greaterThan">
      <formula>4</formula>
    </cfRule>
    <cfRule type="cellIs" dxfId="106" priority="6" stopIfTrue="1" operator="lessThanOrEqual">
      <formula>4</formula>
    </cfRule>
  </conditionalFormatting>
  <conditionalFormatting sqref="AK7">
    <cfRule type="cellIs" dxfId="105" priority="7" operator="greaterThan">
      <formula>4</formula>
    </cfRule>
    <cfRule type="cellIs" dxfId="104" priority="8" stopIfTrue="1" operator="lessThanOrEqual">
      <formula>4</formula>
    </cfRule>
  </conditionalFormatting>
  <conditionalFormatting sqref="AK9">
    <cfRule type="cellIs" dxfId="103" priority="19" operator="greaterThan">
      <formula>4</formula>
    </cfRule>
    <cfRule type="cellIs" dxfId="102" priority="20" stopIfTrue="1" operator="lessThanOrEqual">
      <formula>4</formula>
    </cfRule>
  </conditionalFormatting>
  <conditionalFormatting sqref="AK11">
    <cfRule type="cellIs" dxfId="101" priority="17" operator="greaterThan">
      <formula>4</formula>
    </cfRule>
    <cfRule type="cellIs" dxfId="100" priority="18" stopIfTrue="1" operator="lessThanOrEqual">
      <formula>4</formula>
    </cfRule>
  </conditionalFormatting>
  <conditionalFormatting sqref="AK13">
    <cfRule type="cellIs" dxfId="99" priority="15" operator="greaterThan">
      <formula>4</formula>
    </cfRule>
    <cfRule type="cellIs" dxfId="98" priority="16" stopIfTrue="1" operator="lessThanOrEqual">
      <formula>4</formula>
    </cfRule>
  </conditionalFormatting>
  <conditionalFormatting sqref="AK15">
    <cfRule type="cellIs" dxfId="97" priority="13" operator="greaterThan">
      <formula>4</formula>
    </cfRule>
    <cfRule type="cellIs" dxfId="96" priority="14" stopIfTrue="1" operator="lessThanOrEqual">
      <formula>4</formula>
    </cfRule>
  </conditionalFormatting>
  <conditionalFormatting sqref="AK17">
    <cfRule type="cellIs" dxfId="95" priority="11" operator="greaterThan">
      <formula>4</formula>
    </cfRule>
    <cfRule type="cellIs" dxfId="94" priority="12" stopIfTrue="1" operator="lessThanOrEqual">
      <formula>4</formula>
    </cfRule>
  </conditionalFormatting>
  <conditionalFormatting sqref="AK19">
    <cfRule type="cellIs" dxfId="93" priority="9" operator="greaterThan">
      <formula>4</formula>
    </cfRule>
    <cfRule type="cellIs" dxfId="92" priority="10" stopIfTrue="1" operator="lessThanOrEqual">
      <formula>4</formula>
    </cfRule>
  </conditionalFormatting>
  <pageMargins left="0.70866141732283472" right="0.70866141732283472" top="0.74803149606299213" bottom="0.74803149606299213" header="0.31496062992125984" footer="0.31496062992125984"/>
  <pageSetup paperSize="9" scale="54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>
                <anchor moveWithCells="1">
                  <from>
                    <xdr:col>21</xdr:col>
                    <xdr:colOff>45720</xdr:colOff>
                    <xdr:row>39</xdr:row>
                    <xdr:rowOff>22860</xdr:rowOff>
                  </from>
                  <to>
                    <xdr:col>22</xdr:col>
                    <xdr:colOff>236220</xdr:colOff>
                    <xdr:row>40</xdr:row>
                    <xdr:rowOff>68580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027845-393D-437D-833B-0614AD6C6AAC}">
  <dimension ref="A1:AN36"/>
  <sheetViews>
    <sheetView zoomScaleNormal="100" workbookViewId="0">
      <selection activeCell="B3" sqref="B3:B10"/>
    </sheetView>
  </sheetViews>
  <sheetFormatPr baseColWidth="10" defaultRowHeight="14.4" x14ac:dyDescent="0.3"/>
  <cols>
    <col min="1" max="1" width="4.6640625" customWidth="1"/>
    <col min="2" max="2" width="15.33203125" customWidth="1"/>
    <col min="3" max="3" width="3.88671875" customWidth="1"/>
    <col min="4" max="4" width="2.44140625" customWidth="1"/>
    <col min="5" max="5" width="3.5546875" customWidth="1"/>
    <col min="6" max="6" width="3.33203125" customWidth="1"/>
    <col min="7" max="7" width="1.5546875" customWidth="1"/>
    <col min="8" max="8" width="12.6640625" customWidth="1"/>
    <col min="9" max="9" width="2.6640625" customWidth="1"/>
    <col min="10" max="10" width="12.6640625" customWidth="1"/>
    <col min="11" max="12" width="2.6640625" customWidth="1"/>
    <col min="13" max="14" width="4.6640625" customWidth="1"/>
    <col min="15" max="15" width="15.6640625" customWidth="1"/>
    <col min="16" max="31" width="5.6640625" customWidth="1"/>
    <col min="32" max="33" width="8.109375" customWidth="1"/>
    <col min="34" max="34" width="8" customWidth="1"/>
    <col min="35" max="35" width="9.109375" customWidth="1"/>
    <col min="36" max="36" width="11.5546875" customWidth="1"/>
    <col min="37" max="37" width="10.109375" customWidth="1"/>
    <col min="38" max="38" width="8.33203125" customWidth="1"/>
  </cols>
  <sheetData>
    <row r="1" spans="1:40" x14ac:dyDescent="0.3">
      <c r="A1" t="s">
        <v>5</v>
      </c>
      <c r="B1" s="90" t="s">
        <v>7</v>
      </c>
      <c r="D1" t="s">
        <v>27</v>
      </c>
      <c r="H1" t="s">
        <v>137</v>
      </c>
      <c r="O1" s="40" t="s">
        <v>134</v>
      </c>
      <c r="P1" s="40"/>
      <c r="Q1" s="40"/>
      <c r="R1" s="40"/>
      <c r="S1" s="40"/>
      <c r="T1" s="40" t="str">
        <f>+H1</f>
        <v>25 et 26 Octobre 2023</v>
      </c>
      <c r="U1" s="40"/>
      <c r="V1" s="40"/>
      <c r="W1" s="40"/>
      <c r="X1" s="40"/>
      <c r="Y1" s="40"/>
      <c r="Z1" s="40"/>
      <c r="AA1" s="40"/>
      <c r="AB1" s="40"/>
      <c r="AC1" s="40"/>
      <c r="AD1" s="40"/>
      <c r="AE1" s="40"/>
      <c r="AF1" s="40"/>
      <c r="AG1" s="40"/>
      <c r="AH1" s="40"/>
      <c r="AI1" s="40"/>
      <c r="AJ1" s="40"/>
      <c r="AK1" s="40"/>
    </row>
    <row r="2" spans="1:40" x14ac:dyDescent="0.3">
      <c r="B2" s="91" t="s">
        <v>122</v>
      </c>
      <c r="C2" s="20"/>
      <c r="H2" t="s">
        <v>138</v>
      </c>
      <c r="J2" s="105" t="s">
        <v>127</v>
      </c>
      <c r="V2" s="287"/>
      <c r="W2" s="288"/>
      <c r="AF2" s="192" t="s">
        <v>41</v>
      </c>
      <c r="AG2" s="192"/>
    </row>
    <row r="3" spans="1:40" x14ac:dyDescent="0.3">
      <c r="A3">
        <v>1</v>
      </c>
      <c r="B3" s="88" t="s">
        <v>123</v>
      </c>
      <c r="C3" s="17"/>
      <c r="D3" s="222" t="s">
        <v>87</v>
      </c>
      <c r="E3" s="42">
        <v>1</v>
      </c>
      <c r="F3" s="42">
        <v>8</v>
      </c>
      <c r="G3" s="42"/>
      <c r="H3" s="70" t="str">
        <f>VLOOKUP(E3,A$3:B$10,2,0)</f>
        <v>Abbasi A</v>
      </c>
      <c r="I3" s="71" t="s">
        <v>86</v>
      </c>
      <c r="J3" s="70" t="str">
        <f>VLOOKUP(F3,A$3:B$10,2,0)</f>
        <v>Vrablik J</v>
      </c>
      <c r="K3" s="32">
        <v>2</v>
      </c>
      <c r="L3" s="33">
        <v>3</v>
      </c>
      <c r="M3" s="232" t="s">
        <v>94</v>
      </c>
      <c r="N3" s="233" t="s">
        <v>65</v>
      </c>
      <c r="O3" s="289" t="s">
        <v>9</v>
      </c>
      <c r="P3" s="277" t="str">
        <f>O5</f>
        <v>Abbasi A</v>
      </c>
      <c r="Q3" s="278"/>
      <c r="R3" s="277" t="str">
        <f>O7</f>
        <v>Ranefur E</v>
      </c>
      <c r="S3" s="278"/>
      <c r="T3" s="277" t="str">
        <f>O9</f>
        <v>Bankosz M</v>
      </c>
      <c r="U3" s="278"/>
      <c r="V3" s="277" t="str">
        <f>O11</f>
        <v>Seibert J</v>
      </c>
      <c r="W3" s="278"/>
      <c r="X3" s="277" t="str">
        <f>O13</f>
        <v>Ruiz R</v>
      </c>
      <c r="Y3" s="278"/>
      <c r="Z3" s="277" t="str">
        <f>O15</f>
        <v>Konecny T</v>
      </c>
      <c r="AA3" s="278"/>
      <c r="AB3" s="277" t="str">
        <f>O17</f>
        <v>Zelinka J</v>
      </c>
      <c r="AC3" s="278"/>
      <c r="AD3" s="277" t="str">
        <f>+O19</f>
        <v>Vrablik J</v>
      </c>
      <c r="AE3" s="281"/>
      <c r="AF3" s="283" t="s">
        <v>0</v>
      </c>
      <c r="AG3" s="274" t="s">
        <v>1</v>
      </c>
      <c r="AH3" s="274" t="s">
        <v>8</v>
      </c>
      <c r="AI3" s="274" t="s">
        <v>11</v>
      </c>
      <c r="AJ3" s="275" t="s">
        <v>110</v>
      </c>
      <c r="AK3" s="275" t="s">
        <v>12</v>
      </c>
      <c r="AL3" s="8"/>
    </row>
    <row r="4" spans="1:40" ht="16.5" customHeight="1" x14ac:dyDescent="0.3">
      <c r="A4">
        <v>2</v>
      </c>
      <c r="B4" s="88" t="s">
        <v>124</v>
      </c>
      <c r="C4" s="17"/>
      <c r="D4" s="223"/>
      <c r="E4">
        <v>2</v>
      </c>
      <c r="F4">
        <v>7</v>
      </c>
      <c r="H4" s="72" t="str">
        <f>VLOOKUP(E4,A$3:B$10,2,0)</f>
        <v>Ranefur E</v>
      </c>
      <c r="I4" s="73" t="s">
        <v>86</v>
      </c>
      <c r="J4" s="72" t="str">
        <f>VLOOKUP(F4,A$3:B$10,2,0)</f>
        <v>Zelinka J</v>
      </c>
      <c r="K4" s="31">
        <v>3</v>
      </c>
      <c r="L4" s="57">
        <v>0</v>
      </c>
      <c r="M4" s="232"/>
      <c r="N4" s="164"/>
      <c r="O4" s="290"/>
      <c r="P4" s="279"/>
      <c r="Q4" s="280"/>
      <c r="R4" s="279"/>
      <c r="S4" s="280"/>
      <c r="T4" s="279"/>
      <c r="U4" s="280"/>
      <c r="V4" s="279"/>
      <c r="W4" s="280"/>
      <c r="X4" s="279"/>
      <c r="Y4" s="280"/>
      <c r="Z4" s="279"/>
      <c r="AA4" s="280"/>
      <c r="AB4" s="279"/>
      <c r="AC4" s="280"/>
      <c r="AD4" s="279"/>
      <c r="AE4" s="282"/>
      <c r="AF4" s="284"/>
      <c r="AG4" s="271"/>
      <c r="AH4" s="271"/>
      <c r="AI4" s="271"/>
      <c r="AJ4" s="276"/>
      <c r="AK4" s="276"/>
    </row>
    <row r="5" spans="1:40" ht="15" thickBot="1" x14ac:dyDescent="0.35">
      <c r="A5">
        <v>3</v>
      </c>
      <c r="B5" s="88" t="s">
        <v>125</v>
      </c>
      <c r="C5" s="17"/>
      <c r="D5" s="223"/>
      <c r="E5">
        <v>3</v>
      </c>
      <c r="F5">
        <v>6</v>
      </c>
      <c r="H5" s="72" t="str">
        <f>VLOOKUP(E5,A$3:B$10,2,0)</f>
        <v>Bankosz M</v>
      </c>
      <c r="I5" s="73" t="s">
        <v>86</v>
      </c>
      <c r="J5" s="72" t="str">
        <f>VLOOKUP(F5,A$3:B$10,2,0)</f>
        <v>Konecny T</v>
      </c>
      <c r="K5" s="31">
        <v>1</v>
      </c>
      <c r="L5" s="57">
        <v>3</v>
      </c>
      <c r="M5" s="199">
        <v>1</v>
      </c>
      <c r="N5" s="171">
        <f>+AK5</f>
        <v>3</v>
      </c>
      <c r="O5" s="270" t="str">
        <f>VLOOKUP(M5,$A$3:$B$10,2)</f>
        <v>Abbasi A</v>
      </c>
      <c r="P5" s="80"/>
      <c r="Q5" s="81"/>
      <c r="R5" s="2">
        <f>+K33</f>
        <v>0</v>
      </c>
      <c r="S5" s="3">
        <f>+L33</f>
        <v>3</v>
      </c>
      <c r="T5" s="2">
        <f>+K28</f>
        <v>3</v>
      </c>
      <c r="U5" s="3">
        <f>+L28</f>
        <v>1</v>
      </c>
      <c r="V5" s="2">
        <f>+K23</f>
        <v>3</v>
      </c>
      <c r="W5" s="3">
        <f>+L23</f>
        <v>0</v>
      </c>
      <c r="X5" s="1">
        <f>+K18</f>
        <v>3</v>
      </c>
      <c r="Y5" s="1">
        <f>+L18</f>
        <v>0</v>
      </c>
      <c r="Z5" s="2">
        <f>+K13</f>
        <v>3</v>
      </c>
      <c r="AA5" s="3">
        <f>+L13</f>
        <v>2</v>
      </c>
      <c r="AB5" s="2">
        <f>+K8</f>
        <v>3</v>
      </c>
      <c r="AC5" s="3">
        <f>+L8</f>
        <v>1</v>
      </c>
      <c r="AD5" s="76">
        <f>+K3</f>
        <v>2</v>
      </c>
      <c r="AE5" s="79">
        <f>+L3</f>
        <v>3</v>
      </c>
      <c r="AF5" s="260">
        <f>+P5+R5+T5+V5+X5+Z5+AB5+AD5</f>
        <v>17</v>
      </c>
      <c r="AG5" s="262">
        <f>+Q5+S5+U5+W5+Y5+AA5+AC5+AE5</f>
        <v>10</v>
      </c>
      <c r="AH5" s="264">
        <f>COUNTIF(P6:AE6,"V")</f>
        <v>5</v>
      </c>
      <c r="AI5" s="264">
        <f>IF(O5=0,"",RANK(AH5,$AH$5:$AH$20))</f>
        <v>2</v>
      </c>
      <c r="AJ5" s="272">
        <f>IF(AND(+AF5&gt;0,+AG5&gt;0),+AF5/AG5,0)</f>
        <v>1.7</v>
      </c>
      <c r="AK5" s="258">
        <f>IF(+AJ5&gt;0,RANK(AJ5,$AJ$5:$AJ$20),"")</f>
        <v>3</v>
      </c>
      <c r="AL5" s="10"/>
      <c r="AN5" t="s">
        <v>139</v>
      </c>
    </row>
    <row r="6" spans="1:40" x14ac:dyDescent="0.3">
      <c r="A6">
        <v>4</v>
      </c>
      <c r="B6" s="88" t="s">
        <v>126</v>
      </c>
      <c r="C6" s="17"/>
      <c r="D6" s="224"/>
      <c r="E6" s="38">
        <v>4</v>
      </c>
      <c r="F6" s="38">
        <v>5</v>
      </c>
      <c r="G6" s="38"/>
      <c r="H6" s="74" t="str">
        <f>VLOOKUP(E6,A$3:B$10,2,0)</f>
        <v>Seibert J</v>
      </c>
      <c r="I6" s="75" t="s">
        <v>86</v>
      </c>
      <c r="J6" s="74" t="str">
        <f>VLOOKUP(F6,A$3:B$10,2,0)</f>
        <v>Ruiz R</v>
      </c>
      <c r="K6" s="59">
        <v>1</v>
      </c>
      <c r="L6" s="28">
        <v>3</v>
      </c>
      <c r="M6" s="199"/>
      <c r="N6" s="172"/>
      <c r="O6" s="271"/>
      <c r="P6" s="285" t="str">
        <f>IF(P5="","",IF(P5=3,"V","D"))</f>
        <v/>
      </c>
      <c r="Q6" s="286"/>
      <c r="R6" s="268" t="str">
        <f>IF($O$5=0,"",IF(R5+S5=0,+$D$1,IF(R5=3,"V","D")))</f>
        <v>D</v>
      </c>
      <c r="S6" s="269"/>
      <c r="T6" s="268" t="str">
        <f t="shared" ref="T6" si="0">IF($O$5=0,"",IF(T5+U5=0,+$D$1,IF(T5=3,"V","D")))</f>
        <v>V</v>
      </c>
      <c r="U6" s="269"/>
      <c r="V6" s="268" t="str">
        <f t="shared" ref="V6" si="1">IF($O$5=0,"",IF(V5+W5=0,+$D$1,IF(V5=3,"V","D")))</f>
        <v>V</v>
      </c>
      <c r="W6" s="269"/>
      <c r="X6" s="268" t="str">
        <f t="shared" ref="X6" si="2">IF($O$5=0,"",IF(X5+Y5=0,+$D$1,IF(X5=3,"V","D")))</f>
        <v>V</v>
      </c>
      <c r="Y6" s="269"/>
      <c r="Z6" s="268" t="str">
        <f t="shared" ref="Z6" si="3">IF($O$5=0,"",IF(Z5+AA5=0,+$D$1,IF(Z5=3,"V","D")))</f>
        <v>V</v>
      </c>
      <c r="AA6" s="269"/>
      <c r="AB6" s="268" t="str">
        <f t="shared" ref="AB6" si="4">IF($O$5=0,"",IF(AB5+AC5=0,+$D$1,IF(AB5=3,"V","D")))</f>
        <v>V</v>
      </c>
      <c r="AC6" s="269"/>
      <c r="AD6" s="268" t="str">
        <f t="shared" ref="AD6" si="5">IF($O$5=0,"",IF(AD5+AE5=0,+$D$1,IF(AD5=3,"V","D")))</f>
        <v>D</v>
      </c>
      <c r="AE6" s="269"/>
      <c r="AF6" s="261"/>
      <c r="AG6" s="263"/>
      <c r="AH6" s="265"/>
      <c r="AI6" s="265"/>
      <c r="AJ6" s="273"/>
      <c r="AK6" s="259"/>
      <c r="AL6" s="10"/>
      <c r="AM6">
        <v>1</v>
      </c>
      <c r="AN6" s="94" t="str">
        <f>VLOOKUP(AM6,N3:O18,2,FALSE)</f>
        <v>Konecny T</v>
      </c>
    </row>
    <row r="7" spans="1:40" ht="15" customHeight="1" x14ac:dyDescent="0.3">
      <c r="A7">
        <v>5</v>
      </c>
      <c r="B7" s="88" t="s">
        <v>127</v>
      </c>
      <c r="C7" s="20"/>
      <c r="H7" s="72"/>
      <c r="I7" s="72"/>
      <c r="J7" s="72"/>
      <c r="K7" s="40"/>
      <c r="L7" s="40"/>
      <c r="M7" s="199">
        <v>2</v>
      </c>
      <c r="N7" s="171">
        <f>+AK7</f>
        <v>2</v>
      </c>
      <c r="O7" s="270" t="str">
        <f>VLOOKUP(M7,$A$3:$B$10,2)</f>
        <v>Ranefur E</v>
      </c>
      <c r="P7" s="76">
        <f>+S5</f>
        <v>3</v>
      </c>
      <c r="Q7" s="77">
        <f>+R5</f>
        <v>0</v>
      </c>
      <c r="R7" s="80"/>
      <c r="S7" s="81"/>
      <c r="T7" s="76">
        <f>+K16</f>
        <v>3</v>
      </c>
      <c r="U7" s="77">
        <f>+L16</f>
        <v>0</v>
      </c>
      <c r="V7" s="76">
        <f>+K29</f>
        <v>2</v>
      </c>
      <c r="W7" s="77">
        <f>+L29</f>
        <v>3</v>
      </c>
      <c r="X7" s="78">
        <f>+K10</f>
        <v>2</v>
      </c>
      <c r="Y7" s="78">
        <f>+L10</f>
        <v>3</v>
      </c>
      <c r="Z7" s="76">
        <f>+K25</f>
        <v>2</v>
      </c>
      <c r="AA7" s="77">
        <f>+L25</f>
        <v>3</v>
      </c>
      <c r="AB7" s="76">
        <f>+K4</f>
        <v>3</v>
      </c>
      <c r="AC7" s="77">
        <f>+L4</f>
        <v>0</v>
      </c>
      <c r="AD7" s="76">
        <f>+K21</f>
        <v>3</v>
      </c>
      <c r="AE7" s="79">
        <f>+L21</f>
        <v>1</v>
      </c>
      <c r="AF7" s="260">
        <f>+P7+R7+T7+V7+X7+Z7+AB7+AD7</f>
        <v>18</v>
      </c>
      <c r="AG7" s="262">
        <f>+Q7+S7+U7+W7+Y7+AA7+AC7+AE7</f>
        <v>10</v>
      </c>
      <c r="AH7" s="264">
        <f>COUNTIF(P8:AE8,"V")</f>
        <v>4</v>
      </c>
      <c r="AI7" s="264">
        <f t="shared" ref="AI7" si="6">IF(O7=0,"",RANK(AH7,$AH$5:$AH$20))</f>
        <v>3</v>
      </c>
      <c r="AJ7" s="272">
        <f t="shared" ref="AJ7" si="7">IF(AND(+AF7&gt;0,+AG7&gt;0),+AF7/AG7,0)</f>
        <v>1.8</v>
      </c>
      <c r="AK7" s="258">
        <f t="shared" ref="AK7" si="8">IF(+AJ7&gt;0,RANK(AJ7,$AJ$5:$AJ$20),"")</f>
        <v>2</v>
      </c>
      <c r="AL7" s="10"/>
      <c r="AM7">
        <v>2</v>
      </c>
      <c r="AN7" s="95" t="str">
        <f>VLOOKUP(AM7,N4:O19,2,FALSE)</f>
        <v>Ranefur E</v>
      </c>
    </row>
    <row r="8" spans="1:40" ht="15" customHeight="1" x14ac:dyDescent="0.3">
      <c r="A8">
        <v>6</v>
      </c>
      <c r="B8" s="88" t="s">
        <v>128</v>
      </c>
      <c r="C8" s="17"/>
      <c r="D8" s="222" t="s">
        <v>88</v>
      </c>
      <c r="E8" s="42">
        <v>1</v>
      </c>
      <c r="F8" s="42">
        <v>7</v>
      </c>
      <c r="G8" s="42"/>
      <c r="H8" s="70" t="str">
        <f>VLOOKUP(E8,A$3:B$10,2,0)</f>
        <v>Abbasi A</v>
      </c>
      <c r="I8" s="71" t="s">
        <v>86</v>
      </c>
      <c r="J8" s="70" t="str">
        <f>VLOOKUP(F8,A$3:B$10,2,0)</f>
        <v>Zelinka J</v>
      </c>
      <c r="K8" s="32">
        <v>3</v>
      </c>
      <c r="L8" s="33">
        <v>1</v>
      </c>
      <c r="M8" s="199"/>
      <c r="N8" s="172"/>
      <c r="O8" s="271"/>
      <c r="P8" s="268" t="str">
        <f>IF($O$5=0,"",IF(P7+Q7=0,+$D$1,IF(P7=3,"V","D")))</f>
        <v>V</v>
      </c>
      <c r="Q8" s="269"/>
      <c r="R8" s="266"/>
      <c r="S8" s="267"/>
      <c r="T8" s="268" t="str">
        <f t="shared" ref="T8" si="9">IF($O$5=0,"",IF(T7+U7=0,+$D$1,IF(T7=3,"V","D")))</f>
        <v>V</v>
      </c>
      <c r="U8" s="269"/>
      <c r="V8" s="268" t="str">
        <f t="shared" ref="V8" si="10">IF($O$5=0,"",IF(V7+W7=0,+$D$1,IF(V7=3,"V","D")))</f>
        <v>D</v>
      </c>
      <c r="W8" s="269"/>
      <c r="X8" s="268" t="str">
        <f t="shared" ref="X8" si="11">IF($O$5=0,"",IF(X7+Y7=0,+$D$1,IF(X7=3,"V","D")))</f>
        <v>D</v>
      </c>
      <c r="Y8" s="269"/>
      <c r="Z8" s="268" t="str">
        <f t="shared" ref="Z8" si="12">IF($O$5=0,"",IF(Z7+AA7=0,+$D$1,IF(Z7=3,"V","D")))</f>
        <v>D</v>
      </c>
      <c r="AA8" s="269"/>
      <c r="AB8" s="268" t="str">
        <f t="shared" ref="AB8" si="13">IF($O$5=0,"",IF(AB7+AC7=0,+$D$1,IF(AB7=3,"V","D")))</f>
        <v>V</v>
      </c>
      <c r="AC8" s="269"/>
      <c r="AD8" s="268" t="str">
        <f t="shared" ref="AD8" si="14">IF($O$5=0,"",IF(AD7+AE7=0,+$D$1,IF(AD7=3,"V","D")))</f>
        <v>V</v>
      </c>
      <c r="AE8" s="269"/>
      <c r="AF8" s="261"/>
      <c r="AG8" s="263"/>
      <c r="AH8" s="265"/>
      <c r="AI8" s="265"/>
      <c r="AJ8" s="273"/>
      <c r="AK8" s="259"/>
      <c r="AL8" s="10"/>
      <c r="AM8">
        <v>3</v>
      </c>
      <c r="AN8" s="95" t="str">
        <f>VLOOKUP(AM8,N5:O20,2,FALSE)</f>
        <v>Abbasi A</v>
      </c>
    </row>
    <row r="9" spans="1:40" ht="15" customHeight="1" x14ac:dyDescent="0.3">
      <c r="A9">
        <v>7</v>
      </c>
      <c r="B9" s="88" t="s">
        <v>129</v>
      </c>
      <c r="C9" s="17"/>
      <c r="D9" s="223"/>
      <c r="E9">
        <v>6</v>
      </c>
      <c r="F9">
        <v>8</v>
      </c>
      <c r="H9" s="72" t="str">
        <f>VLOOKUP(E9,A$3:B$10,2,0)</f>
        <v>Konecny T</v>
      </c>
      <c r="I9" s="73" t="s">
        <v>86</v>
      </c>
      <c r="J9" s="72" t="str">
        <f>VLOOKUP(F9,A$3:B$10,2,0)</f>
        <v>Vrablik J</v>
      </c>
      <c r="K9" s="31">
        <v>3</v>
      </c>
      <c r="L9" s="57">
        <v>2</v>
      </c>
      <c r="M9" s="199">
        <v>3</v>
      </c>
      <c r="N9" s="171">
        <f>+AK9</f>
        <v>7</v>
      </c>
      <c r="O9" s="270" t="str">
        <f>VLOOKUP(M9,$A$3:$B$10,2)</f>
        <v>Bankosz M</v>
      </c>
      <c r="P9" s="76">
        <f>+U5</f>
        <v>1</v>
      </c>
      <c r="Q9" s="77">
        <f>+T5</f>
        <v>3</v>
      </c>
      <c r="R9" s="76">
        <f>+U7</f>
        <v>0</v>
      </c>
      <c r="S9" s="77">
        <f>+T7</f>
        <v>3</v>
      </c>
      <c r="T9" s="80"/>
      <c r="U9" s="81"/>
      <c r="V9" s="76">
        <f>+K11</f>
        <v>3</v>
      </c>
      <c r="W9" s="77">
        <f>+L11</f>
        <v>1</v>
      </c>
      <c r="X9" s="78">
        <f>+K24</f>
        <v>0</v>
      </c>
      <c r="Y9" s="78">
        <f>+L24</f>
        <v>3</v>
      </c>
      <c r="Z9" s="76">
        <f>+K5</f>
        <v>1</v>
      </c>
      <c r="AA9" s="77">
        <f>+L5</f>
        <v>3</v>
      </c>
      <c r="AB9" s="76">
        <f>+K20</f>
        <v>3</v>
      </c>
      <c r="AC9" s="77">
        <f>+L20</f>
        <v>2</v>
      </c>
      <c r="AD9" s="76">
        <f>+K34</f>
        <v>1</v>
      </c>
      <c r="AE9" s="79">
        <f>+L34</f>
        <v>3</v>
      </c>
      <c r="AF9" s="260">
        <f>+P9+R9+T9+V9+X9+Z9+AB9+AD9</f>
        <v>9</v>
      </c>
      <c r="AG9" s="262">
        <f>+Q9+S9+U9+W9+Y9+AA9+AC9+AE9</f>
        <v>18</v>
      </c>
      <c r="AH9" s="264">
        <f>COUNTIF(P10:AE10,"V")</f>
        <v>2</v>
      </c>
      <c r="AI9" s="264">
        <f t="shared" ref="AI9" si="15">IF(O9=0,"",RANK(AH9,$AH$5:$AH$20))</f>
        <v>6</v>
      </c>
      <c r="AJ9" s="272">
        <f t="shared" ref="AJ9" si="16">IF(AND(+AF9&gt;0,+AG9&gt;0),+AF9/AG9,0)</f>
        <v>0.5</v>
      </c>
      <c r="AK9" s="258">
        <f t="shared" ref="AK9" si="17">IF(+AJ9&gt;0,RANK(AJ9,$AJ$5:$AJ$20),"")</f>
        <v>7</v>
      </c>
      <c r="AL9" s="10"/>
      <c r="AM9">
        <v>4</v>
      </c>
      <c r="AN9" s="95" t="str">
        <f t="shared" ref="AN9:AN13" si="18">VLOOKUP(AM9,N6:O21,2,FALSE)</f>
        <v>Vrablik J</v>
      </c>
    </row>
    <row r="10" spans="1:40" ht="15" customHeight="1" x14ac:dyDescent="0.3">
      <c r="A10">
        <v>8</v>
      </c>
      <c r="B10" s="89" t="s">
        <v>130</v>
      </c>
      <c r="D10" s="223"/>
      <c r="E10">
        <v>2</v>
      </c>
      <c r="F10">
        <v>5</v>
      </c>
      <c r="H10" s="72" t="str">
        <f>VLOOKUP(E10,A$3:B$10,2,0)</f>
        <v>Ranefur E</v>
      </c>
      <c r="I10" s="73" t="s">
        <v>86</v>
      </c>
      <c r="J10" s="72" t="str">
        <f>VLOOKUP(F10,A$3:B$10,2,0)</f>
        <v>Ruiz R</v>
      </c>
      <c r="K10" s="31">
        <v>2</v>
      </c>
      <c r="L10" s="57">
        <v>3</v>
      </c>
      <c r="M10" s="199"/>
      <c r="N10" s="172"/>
      <c r="O10" s="271"/>
      <c r="P10" s="268" t="str">
        <f t="shared" ref="P10" si="19">IF($O$5=0,"",IF(P9+Q9=0,+$D$1,IF(P9=3,"V","D")))</f>
        <v>D</v>
      </c>
      <c r="Q10" s="269"/>
      <c r="R10" s="268" t="str">
        <f t="shared" ref="R10" si="20">IF($O$5=0,"",IF(R9+S9=0,+$D$1,IF(R9=3,"V","D")))</f>
        <v>D</v>
      </c>
      <c r="S10" s="269"/>
      <c r="T10" s="266"/>
      <c r="U10" s="267"/>
      <c r="V10" s="268" t="str">
        <f t="shared" ref="V10" si="21">IF($O$5=0,"",IF(V9+W9=0,+$D$1,IF(V9=3,"V","D")))</f>
        <v>V</v>
      </c>
      <c r="W10" s="269"/>
      <c r="X10" s="268" t="str">
        <f t="shared" ref="X10" si="22">IF($O$5=0,"",IF(X9+Y9=0,+$D$1,IF(X9=3,"V","D")))</f>
        <v>D</v>
      </c>
      <c r="Y10" s="269"/>
      <c r="Z10" s="268" t="str">
        <f t="shared" ref="Z10" si="23">IF($O$5=0,"",IF(Z9+AA9=0,+$D$1,IF(Z9=3,"V","D")))</f>
        <v>D</v>
      </c>
      <c r="AA10" s="269"/>
      <c r="AB10" s="268" t="str">
        <f t="shared" ref="AB10" si="24">IF($O$5=0,"",IF(AB9+AC9=0,+$D$1,IF(AB9=3,"V","D")))</f>
        <v>V</v>
      </c>
      <c r="AC10" s="269"/>
      <c r="AD10" s="268" t="str">
        <f t="shared" ref="AD10" si="25">IF($O$5=0,"",IF(AD9+AE9=0,+$D$1,IF(AD9=3,"V","D")))</f>
        <v>D</v>
      </c>
      <c r="AE10" s="269"/>
      <c r="AF10" s="261"/>
      <c r="AG10" s="263"/>
      <c r="AH10" s="265"/>
      <c r="AI10" s="265"/>
      <c r="AJ10" s="273"/>
      <c r="AK10" s="259"/>
      <c r="AL10" s="10"/>
      <c r="AM10">
        <v>5</v>
      </c>
      <c r="AN10" s="95" t="str">
        <f t="shared" si="18"/>
        <v>Ruiz R</v>
      </c>
    </row>
    <row r="11" spans="1:40" ht="15" customHeight="1" x14ac:dyDescent="0.3">
      <c r="D11" s="224"/>
      <c r="E11" s="38">
        <v>3</v>
      </c>
      <c r="F11" s="38">
        <v>4</v>
      </c>
      <c r="G11" s="38"/>
      <c r="H11" s="74" t="str">
        <f>VLOOKUP(E11,A$3:B$10,2,0)</f>
        <v>Bankosz M</v>
      </c>
      <c r="I11" s="75" t="s">
        <v>86</v>
      </c>
      <c r="J11" s="74" t="str">
        <f>VLOOKUP(F11,A$3:B$10,2,0)</f>
        <v>Seibert J</v>
      </c>
      <c r="K11" s="59">
        <v>3</v>
      </c>
      <c r="L11" s="28">
        <v>1</v>
      </c>
      <c r="M11" s="199">
        <v>4</v>
      </c>
      <c r="N11" s="171">
        <f>+AK11</f>
        <v>8</v>
      </c>
      <c r="O11" s="270" t="str">
        <f>VLOOKUP(M11,$A$3:$B$10,2)</f>
        <v>Seibert J</v>
      </c>
      <c r="P11" s="82">
        <f>IF(+W5="",0,+W5)</f>
        <v>0</v>
      </c>
      <c r="Q11" s="83">
        <f>IF(+V5="",0,+V5)</f>
        <v>3</v>
      </c>
      <c r="R11" s="76">
        <f>IF(+W7="",0,W7)</f>
        <v>3</v>
      </c>
      <c r="S11" s="78">
        <f>IF(+V7="",0,V7)</f>
        <v>2</v>
      </c>
      <c r="T11" s="76">
        <f>IF(+W9="",0,W9)</f>
        <v>1</v>
      </c>
      <c r="U11" s="78">
        <f>IF(+V9="",0,V9)</f>
        <v>3</v>
      </c>
      <c r="V11" s="80"/>
      <c r="W11" s="81"/>
      <c r="X11" s="78">
        <f>+K6</f>
        <v>1</v>
      </c>
      <c r="Y11" s="78">
        <f>+L6</f>
        <v>3</v>
      </c>
      <c r="Z11" s="76">
        <f>+K19</f>
        <v>0</v>
      </c>
      <c r="AA11" s="77">
        <f>+L19</f>
        <v>3</v>
      </c>
      <c r="AB11" s="76">
        <f>+K35</f>
        <v>0</v>
      </c>
      <c r="AC11" s="77">
        <f>+L35</f>
        <v>3</v>
      </c>
      <c r="AD11" s="76">
        <f>+K15</f>
        <v>0</v>
      </c>
      <c r="AE11" s="79">
        <f>+L15</f>
        <v>3</v>
      </c>
      <c r="AF11" s="260">
        <f>+P11+R11+T11+V11+X11+Z11+AB11+AD11</f>
        <v>5</v>
      </c>
      <c r="AG11" s="262">
        <f>+Q11+S11+U11+W11+Y11+AA11+AC11+AE11</f>
        <v>20</v>
      </c>
      <c r="AH11" s="264">
        <f>COUNTIF(P12:AE12,"V")</f>
        <v>1</v>
      </c>
      <c r="AI11" s="264">
        <f t="shared" ref="AI11" si="26">IF(O11=0,"",RANK(AH11,$AH$5:$AH$20))</f>
        <v>8</v>
      </c>
      <c r="AJ11" s="272">
        <f t="shared" ref="AJ11" si="27">IF(AND(+AF11&gt;0,+AG11&gt;0),+AF11/AG11,0)</f>
        <v>0.25</v>
      </c>
      <c r="AK11" s="258">
        <f t="shared" ref="AK11" si="28">IF(+AJ11&gt;0,RANK(AJ11,$AJ$5:$AJ$20),"")</f>
        <v>8</v>
      </c>
      <c r="AL11" s="10"/>
      <c r="AM11">
        <v>6</v>
      </c>
      <c r="AN11" s="95" t="str">
        <f t="shared" si="18"/>
        <v>Zelinka J</v>
      </c>
    </row>
    <row r="12" spans="1:40" ht="15" customHeight="1" x14ac:dyDescent="0.3">
      <c r="B12" s="93" t="s">
        <v>133</v>
      </c>
      <c r="C12" s="20"/>
      <c r="H12" s="72"/>
      <c r="I12" s="72"/>
      <c r="J12" s="72"/>
      <c r="K12" s="40"/>
      <c r="L12" s="40"/>
      <c r="M12" s="199"/>
      <c r="N12" s="172"/>
      <c r="O12" s="271"/>
      <c r="P12" s="268" t="str">
        <f t="shared" ref="P12" si="29">IF($O$5=0,"",IF(P11+Q11=0,+$D$1,IF(P11=3,"V","D")))</f>
        <v>D</v>
      </c>
      <c r="Q12" s="269"/>
      <c r="R12" s="268" t="str">
        <f t="shared" ref="R12" si="30">IF($O$5=0,"",IF(R11+S11=0,+$D$1,IF(R11=3,"V","D")))</f>
        <v>V</v>
      </c>
      <c r="S12" s="269"/>
      <c r="T12" s="268" t="str">
        <f t="shared" ref="T12" si="31">IF($O$5=0,"",IF(T11+U11=0,+$D$1,IF(T11=3,"V","D")))</f>
        <v>D</v>
      </c>
      <c r="U12" s="269"/>
      <c r="V12" s="266"/>
      <c r="W12" s="267"/>
      <c r="X12" s="268" t="str">
        <f t="shared" ref="X12" si="32">IF($O$5=0,"",IF(X11+Y11=0,+$D$1,IF(X11=3,"V","D")))</f>
        <v>D</v>
      </c>
      <c r="Y12" s="269"/>
      <c r="Z12" s="268" t="str">
        <f t="shared" ref="Z12" si="33">IF($O$5=0,"",IF(Z11+AA11=0,+$D$1,IF(Z11=3,"V","D")))</f>
        <v>D</v>
      </c>
      <c r="AA12" s="269"/>
      <c r="AB12" s="268" t="str">
        <f t="shared" ref="AB12" si="34">IF($O$5=0,"",IF(AB11+AC11=0,+$D$1,IF(AB11=3,"V","D")))</f>
        <v>D</v>
      </c>
      <c r="AC12" s="269"/>
      <c r="AD12" s="268" t="str">
        <f t="shared" ref="AD12" si="35">IF($O$5=0,"",IF(AD11+AE11=0,+$D$1,IF(AD11=3,"V","D")))</f>
        <v>D</v>
      </c>
      <c r="AE12" s="269"/>
      <c r="AF12" s="261"/>
      <c r="AG12" s="263"/>
      <c r="AH12" s="265"/>
      <c r="AI12" s="265"/>
      <c r="AJ12" s="273"/>
      <c r="AK12" s="259"/>
      <c r="AL12" s="10"/>
      <c r="AM12">
        <v>7</v>
      </c>
      <c r="AN12" s="95" t="str">
        <f t="shared" si="18"/>
        <v>Bankosz M</v>
      </c>
    </row>
    <row r="13" spans="1:40" ht="15" customHeight="1" thickBot="1" x14ac:dyDescent="0.35">
      <c r="B13" s="93" t="s">
        <v>131</v>
      </c>
      <c r="C13" s="20"/>
      <c r="D13" s="222" t="s">
        <v>89</v>
      </c>
      <c r="E13" s="42">
        <v>1</v>
      </c>
      <c r="F13" s="42">
        <v>6</v>
      </c>
      <c r="G13" s="42"/>
      <c r="H13" s="70" t="str">
        <f>VLOOKUP(E13,A$3:B$10,2,0)</f>
        <v>Abbasi A</v>
      </c>
      <c r="I13" s="71" t="s">
        <v>86</v>
      </c>
      <c r="J13" s="70" t="str">
        <f>VLOOKUP(F13,A$3:B$10,2,0)</f>
        <v>Konecny T</v>
      </c>
      <c r="K13" s="32">
        <v>3</v>
      </c>
      <c r="L13" s="33">
        <v>2</v>
      </c>
      <c r="M13" s="199">
        <v>5</v>
      </c>
      <c r="N13" s="171">
        <f>+AK13</f>
        <v>5</v>
      </c>
      <c r="O13" s="270" t="str">
        <f>VLOOKUP(M13,$A$3:$B$10,2)</f>
        <v>Ruiz R</v>
      </c>
      <c r="P13" s="76">
        <f>IF(+Y5="",0,Y5)</f>
        <v>0</v>
      </c>
      <c r="Q13" s="77">
        <f>IF(+X5="",0,X5)</f>
        <v>3</v>
      </c>
      <c r="R13" s="82">
        <f>IF(+Y7="",0,+Y7)</f>
        <v>3</v>
      </c>
      <c r="S13" s="84">
        <f>IF(+X7="",0,+X7)</f>
        <v>2</v>
      </c>
      <c r="T13" s="76">
        <f>IF(+Y9="",0,+Y9)</f>
        <v>3</v>
      </c>
      <c r="U13" s="78">
        <f>IF(+X9="",0,+X9)</f>
        <v>0</v>
      </c>
      <c r="V13" s="76">
        <f>+Y11</f>
        <v>3</v>
      </c>
      <c r="W13" s="77">
        <f>+X11</f>
        <v>1</v>
      </c>
      <c r="X13" s="80"/>
      <c r="Y13" s="81"/>
      <c r="Z13" s="76">
        <f>+K36</f>
        <v>0</v>
      </c>
      <c r="AA13" s="77">
        <f>+L36</f>
        <v>3</v>
      </c>
      <c r="AB13" s="76">
        <f>+K14</f>
        <v>1</v>
      </c>
      <c r="AC13" s="77">
        <f>+L14</f>
        <v>3</v>
      </c>
      <c r="AD13" s="76">
        <f>+K30</f>
        <v>3</v>
      </c>
      <c r="AE13" s="79">
        <f>+L30</f>
        <v>2</v>
      </c>
      <c r="AF13" s="260">
        <f>+P13+R13+T13+V13+X13+Z13+AB13+AD13</f>
        <v>13</v>
      </c>
      <c r="AG13" s="262">
        <f>+Q13+S13+U13+W13+Y13+AA13+AC13+AE13</f>
        <v>14</v>
      </c>
      <c r="AH13" s="264">
        <f>COUNTIF(P14:AE14,"V")</f>
        <v>4</v>
      </c>
      <c r="AI13" s="264">
        <f t="shared" ref="AI13" si="36">IF(O13=0,"",RANK(AH13,$AH$5:$AH$20))</f>
        <v>3</v>
      </c>
      <c r="AJ13" s="272">
        <f t="shared" ref="AJ13" si="37">IF(AND(+AF13&gt;0,+AG13&gt;0),+AF13/AG13,0)</f>
        <v>0.9285714285714286</v>
      </c>
      <c r="AK13" s="258">
        <f t="shared" ref="AK13" si="38">IF(+AJ13&gt;0,RANK(AJ13,$AJ$5:$AJ$20),"")</f>
        <v>5</v>
      </c>
      <c r="AL13" s="10"/>
      <c r="AM13">
        <v>8</v>
      </c>
      <c r="AN13" s="96" t="str">
        <f t="shared" si="18"/>
        <v>Seibert J</v>
      </c>
    </row>
    <row r="14" spans="1:40" ht="15" customHeight="1" x14ac:dyDescent="0.3">
      <c r="B14" s="93" t="s">
        <v>127</v>
      </c>
      <c r="C14" s="20"/>
      <c r="D14" s="223"/>
      <c r="E14">
        <v>5</v>
      </c>
      <c r="F14">
        <v>7</v>
      </c>
      <c r="H14" s="72" t="str">
        <f>VLOOKUP(E14,A$3:B$10,2,0)</f>
        <v>Ruiz R</v>
      </c>
      <c r="I14" s="73" t="s">
        <v>86</v>
      </c>
      <c r="J14" s="72" t="str">
        <f>VLOOKUP(F14,A$3:B$10,2,0)</f>
        <v>Zelinka J</v>
      </c>
      <c r="K14" s="31">
        <v>1</v>
      </c>
      <c r="L14" s="57">
        <v>3</v>
      </c>
      <c r="M14" s="199"/>
      <c r="N14" s="172"/>
      <c r="O14" s="271"/>
      <c r="P14" s="268" t="str">
        <f t="shared" ref="P14" si="39">IF($O$5=0,"",IF(P13+Q13=0,+$D$1,IF(P13=3,"V","D")))</f>
        <v>D</v>
      </c>
      <c r="Q14" s="269"/>
      <c r="R14" s="268" t="str">
        <f t="shared" ref="R14" si="40">IF($O$5=0,"",IF(R13+S13=0,+$D$1,IF(R13=3,"V","D")))</f>
        <v>V</v>
      </c>
      <c r="S14" s="269"/>
      <c r="T14" s="268" t="str">
        <f t="shared" ref="T14" si="41">IF($O$5=0,"",IF(T13+U13=0,+$D$1,IF(T13=3,"V","D")))</f>
        <v>V</v>
      </c>
      <c r="U14" s="269"/>
      <c r="V14" s="268" t="str">
        <f t="shared" ref="V14" si="42">IF($O$5=0,"",IF(V13+W13=0,+$D$1,IF(V13=3,"V","D")))</f>
        <v>V</v>
      </c>
      <c r="W14" s="269"/>
      <c r="X14" s="266"/>
      <c r="Y14" s="267"/>
      <c r="Z14" s="268" t="str">
        <f t="shared" ref="Z14" si="43">IF($O$5=0,"",IF(Z13+AA13=0,+$D$1,IF(Z13=3,"V","D")))</f>
        <v>D</v>
      </c>
      <c r="AA14" s="269"/>
      <c r="AB14" s="268" t="str">
        <f t="shared" ref="AB14" si="44">IF($O$5=0,"",IF(AB13+AC13=0,+$D$1,IF(AB13=3,"V","D")))</f>
        <v>D</v>
      </c>
      <c r="AC14" s="269"/>
      <c r="AD14" s="268" t="str">
        <f t="shared" ref="AD14" si="45">IF($O$5=0,"",IF(AD13+AE13=0,+$D$1,IF(AD13=3,"V","D")))</f>
        <v>V</v>
      </c>
      <c r="AE14" s="269"/>
      <c r="AF14" s="261"/>
      <c r="AG14" s="263"/>
      <c r="AH14" s="265"/>
      <c r="AI14" s="265"/>
      <c r="AJ14" s="273"/>
      <c r="AK14" s="259"/>
      <c r="AL14" s="10"/>
    </row>
    <row r="15" spans="1:40" ht="15" customHeight="1" x14ac:dyDescent="0.3">
      <c r="B15" s="20" t="s">
        <v>135</v>
      </c>
      <c r="C15" s="20"/>
      <c r="D15" s="223"/>
      <c r="E15">
        <v>4</v>
      </c>
      <c r="F15">
        <v>8</v>
      </c>
      <c r="H15" s="72" t="str">
        <f>VLOOKUP(E15,A$3:B$10,2,0)</f>
        <v>Seibert J</v>
      </c>
      <c r="I15" s="73" t="s">
        <v>86</v>
      </c>
      <c r="J15" s="72" t="str">
        <f>VLOOKUP(F15,A$3:B$10,2,0)</f>
        <v>Vrablik J</v>
      </c>
      <c r="K15" s="31">
        <v>0</v>
      </c>
      <c r="L15" s="57">
        <v>3</v>
      </c>
      <c r="M15" s="199">
        <v>6</v>
      </c>
      <c r="N15" s="171">
        <f>+AK15</f>
        <v>1</v>
      </c>
      <c r="O15" s="270" t="str">
        <f>VLOOKUP(M15,$A$3:$B$10,2)</f>
        <v>Konecny T</v>
      </c>
      <c r="P15" s="82">
        <f>IF(+AA5="","0",+AA5)</f>
        <v>2</v>
      </c>
      <c r="Q15" s="83">
        <f>IF(+Z5="",0,+Z5)</f>
        <v>3</v>
      </c>
      <c r="R15" s="82">
        <f>IF(+AA7="",0,AA7)</f>
        <v>3</v>
      </c>
      <c r="S15" s="84">
        <f>IF(+Z7="",0,Z7)</f>
        <v>2</v>
      </c>
      <c r="T15" s="76">
        <f>+AA9</f>
        <v>3</v>
      </c>
      <c r="U15" s="77">
        <f>+Z9</f>
        <v>1</v>
      </c>
      <c r="V15" s="76">
        <f>+AA11</f>
        <v>3</v>
      </c>
      <c r="W15" s="77">
        <f>+Z11</f>
        <v>0</v>
      </c>
      <c r="X15" s="78">
        <f>+AA13</f>
        <v>3</v>
      </c>
      <c r="Y15" s="78">
        <f>+Z13</f>
        <v>0</v>
      </c>
      <c r="Z15" s="80"/>
      <c r="AA15" s="81"/>
      <c r="AB15" s="76">
        <f>+K31</f>
        <v>3</v>
      </c>
      <c r="AC15" s="77">
        <f>+L31</f>
        <v>1</v>
      </c>
      <c r="AD15" s="76">
        <f>+K9</f>
        <v>3</v>
      </c>
      <c r="AE15" s="79">
        <f>+L9</f>
        <v>2</v>
      </c>
      <c r="AF15" s="260">
        <f>+P15+R15+T15+V15+X15+Z15+AB15+AD15</f>
        <v>20</v>
      </c>
      <c r="AG15" s="262">
        <f>+Q15+S15+U15+W15+Y15+AA15+AC15+AE15</f>
        <v>9</v>
      </c>
      <c r="AH15" s="264">
        <f>COUNTIF(P16:AE16,"V")</f>
        <v>6</v>
      </c>
      <c r="AI15" s="264">
        <f t="shared" ref="AI15" si="46">IF(O15=0,"",RANK(AH15,$AH$5:$AH$20))</f>
        <v>1</v>
      </c>
      <c r="AJ15" s="272">
        <f t="shared" ref="AJ15" si="47">IF(AND(+AF15&gt;0,+AG15&gt;0),+AF15/AG15,0)</f>
        <v>2.2222222222222223</v>
      </c>
      <c r="AK15" s="258">
        <f t="shared" ref="AK15" si="48">IF(+AJ15&gt;0,RANK(AJ15,$AJ$5:$AJ$20),"")</f>
        <v>1</v>
      </c>
      <c r="AL15" s="10"/>
    </row>
    <row r="16" spans="1:40" ht="15" customHeight="1" x14ac:dyDescent="0.3">
      <c r="B16" s="20" t="s">
        <v>136</v>
      </c>
      <c r="C16" s="20"/>
      <c r="D16" s="224"/>
      <c r="E16" s="38">
        <v>2</v>
      </c>
      <c r="F16" s="38">
        <v>3</v>
      </c>
      <c r="G16" s="38"/>
      <c r="H16" s="74" t="str">
        <f>VLOOKUP(E16,A$3:B$10,2,0)</f>
        <v>Ranefur E</v>
      </c>
      <c r="I16" s="75" t="s">
        <v>86</v>
      </c>
      <c r="J16" s="74" t="str">
        <f>VLOOKUP(F16,A$3:B$10,2,0)</f>
        <v>Bankosz M</v>
      </c>
      <c r="K16" s="59">
        <v>3</v>
      </c>
      <c r="L16" s="28">
        <v>0</v>
      </c>
      <c r="M16" s="199"/>
      <c r="N16" s="172"/>
      <c r="O16" s="271"/>
      <c r="P16" s="268" t="str">
        <f t="shared" ref="P16" si="49">IF($O$5=0,"",IF(P15+Q15=0,+$D$1,IF(P15=3,"V","D")))</f>
        <v>D</v>
      </c>
      <c r="Q16" s="269"/>
      <c r="R16" s="268" t="str">
        <f t="shared" ref="R16" si="50">IF($O$5=0,"",IF(R15+S15=0,+$D$1,IF(R15=3,"V","D")))</f>
        <v>V</v>
      </c>
      <c r="S16" s="269"/>
      <c r="T16" s="268" t="str">
        <f t="shared" ref="T16" si="51">IF($O$5=0,"",IF(T15+U15=0,+$D$1,IF(T15=3,"V","D")))</f>
        <v>V</v>
      </c>
      <c r="U16" s="269"/>
      <c r="V16" s="268" t="str">
        <f t="shared" ref="V16" si="52">IF($O$5=0,"",IF(V15+W15=0,+$D$1,IF(V15=3,"V","D")))</f>
        <v>V</v>
      </c>
      <c r="W16" s="269"/>
      <c r="X16" s="268" t="str">
        <f t="shared" ref="X16" si="53">IF($O$5=0,"",IF(X15+Y15=0,+$D$1,IF(X15=3,"V","D")))</f>
        <v>V</v>
      </c>
      <c r="Y16" s="269"/>
      <c r="Z16" s="266"/>
      <c r="AA16" s="267"/>
      <c r="AB16" s="268" t="str">
        <f t="shared" ref="AB16" si="54">IF($O$5=0,"",IF(AB15+AC15=0,+$D$1,IF(AB15=3,"V","D")))</f>
        <v>V</v>
      </c>
      <c r="AC16" s="269"/>
      <c r="AD16" s="268" t="str">
        <f t="shared" ref="AD16" si="55">IF($O$5=0,"",IF(AD15+AE15=0,+$D$1,IF(AD15=3,"V","D")))</f>
        <v>V</v>
      </c>
      <c r="AE16" s="269"/>
      <c r="AF16" s="261"/>
      <c r="AG16" s="263"/>
      <c r="AH16" s="265"/>
      <c r="AI16" s="265"/>
      <c r="AJ16" s="273"/>
      <c r="AK16" s="259"/>
      <c r="AL16" s="10"/>
    </row>
    <row r="17" spans="2:40" ht="15" customHeight="1" x14ac:dyDescent="0.3">
      <c r="B17" s="20"/>
      <c r="C17" s="20"/>
      <c r="D17" s="47"/>
      <c r="H17" s="72"/>
      <c r="I17" s="72"/>
      <c r="J17" s="72"/>
      <c r="K17" s="40"/>
      <c r="L17" s="40"/>
      <c r="M17" s="199">
        <v>7</v>
      </c>
      <c r="N17" s="171">
        <f>+AK17</f>
        <v>6</v>
      </c>
      <c r="O17" s="270" t="str">
        <f>VLOOKUP(M17,$A$3:$B$10,2)</f>
        <v>Zelinka J</v>
      </c>
      <c r="P17" s="76">
        <f>+AC5</f>
        <v>1</v>
      </c>
      <c r="Q17" s="77">
        <f>+AB5</f>
        <v>3</v>
      </c>
      <c r="R17" s="76">
        <f>+AC7</f>
        <v>0</v>
      </c>
      <c r="S17" s="77">
        <f>+AB7</f>
        <v>3</v>
      </c>
      <c r="T17" s="76">
        <f>+AC9</f>
        <v>2</v>
      </c>
      <c r="U17" s="77">
        <f>+AB9</f>
        <v>3</v>
      </c>
      <c r="V17" s="76">
        <f>+AC11</f>
        <v>3</v>
      </c>
      <c r="W17" s="77">
        <f>+AB11</f>
        <v>0</v>
      </c>
      <c r="X17" s="84">
        <f>IF(+AC13="",0,+AC13)</f>
        <v>3</v>
      </c>
      <c r="Y17" s="84">
        <f>IF(+AB13="",0,+AB13)</f>
        <v>1</v>
      </c>
      <c r="Z17" s="82">
        <f>IF(+AC15="",0,+AC15)</f>
        <v>1</v>
      </c>
      <c r="AA17" s="84">
        <f>IF(+AB15="",0,+AB15)</f>
        <v>3</v>
      </c>
      <c r="AB17" s="80"/>
      <c r="AC17" s="81"/>
      <c r="AD17" s="76">
        <f>+K26</f>
        <v>1</v>
      </c>
      <c r="AE17" s="79">
        <f>+L26</f>
        <v>3</v>
      </c>
      <c r="AF17" s="260">
        <f>+P17+R17+T17+V17+X17+Z17+AB17+AD17</f>
        <v>11</v>
      </c>
      <c r="AG17" s="262">
        <f>+Q17+S17+U17+W17+Y17+AA17+AC17+AE17</f>
        <v>16</v>
      </c>
      <c r="AH17" s="264">
        <f>COUNTIF(P18:AE18,"V")</f>
        <v>2</v>
      </c>
      <c r="AI17" s="264">
        <f t="shared" ref="AI17" si="56">IF(O17=0,"",RANK(AH17,$AH$5:$AH$20))</f>
        <v>6</v>
      </c>
      <c r="AJ17" s="272">
        <f t="shared" ref="AJ17" si="57">IF(AND(+AF17&gt;0,+AG17&gt;0),+AF17/AG17,0)</f>
        <v>0.6875</v>
      </c>
      <c r="AK17" s="258">
        <f t="shared" ref="AK17" si="58">IF(+AJ17&gt;0,RANK(AJ17,$AJ$5:$AJ$20),"")</f>
        <v>6</v>
      </c>
      <c r="AL17" s="10"/>
    </row>
    <row r="18" spans="2:40" ht="15" customHeight="1" x14ac:dyDescent="0.3">
      <c r="B18" s="20"/>
      <c r="C18" s="20"/>
      <c r="D18" s="222" t="s">
        <v>90</v>
      </c>
      <c r="E18" s="42">
        <v>1</v>
      </c>
      <c r="F18" s="42">
        <v>5</v>
      </c>
      <c r="G18" s="42"/>
      <c r="H18" s="70" t="str">
        <f>VLOOKUP(E18,A$3:B$10,2,0)</f>
        <v>Abbasi A</v>
      </c>
      <c r="I18" s="71" t="s">
        <v>86</v>
      </c>
      <c r="J18" s="70" t="str">
        <f>VLOOKUP(F18,A$3:B$10,2,0)</f>
        <v>Ruiz R</v>
      </c>
      <c r="K18" s="32">
        <v>3</v>
      </c>
      <c r="L18" s="33">
        <v>0</v>
      </c>
      <c r="M18" s="199"/>
      <c r="N18" s="172"/>
      <c r="O18" s="271"/>
      <c r="P18" s="268" t="str">
        <f t="shared" ref="P18" si="59">IF($O$5=0,"",IF(P17+Q17=0,+$D$1,IF(P17=3,"V","D")))</f>
        <v>D</v>
      </c>
      <c r="Q18" s="269"/>
      <c r="R18" s="268" t="str">
        <f t="shared" ref="R18" si="60">IF($O$5=0,"",IF(R17+S17=0,+$D$1,IF(R17=3,"V","D")))</f>
        <v>D</v>
      </c>
      <c r="S18" s="269"/>
      <c r="T18" s="268" t="str">
        <f t="shared" ref="T18" si="61">IF($O$5=0,"",IF(T17+U17=0,+$D$1,IF(T17=3,"V","D")))</f>
        <v>D</v>
      </c>
      <c r="U18" s="269"/>
      <c r="V18" s="268" t="str">
        <f t="shared" ref="V18" si="62">IF($O$5=0,"",IF(V17+W17=0,+$D$1,IF(V17=3,"V","D")))</f>
        <v>V</v>
      </c>
      <c r="W18" s="269"/>
      <c r="X18" s="268" t="str">
        <f t="shared" ref="X18" si="63">IF($O$5=0,"",IF(X17+Y17=0,+$D$1,IF(X17=3,"V","D")))</f>
        <v>V</v>
      </c>
      <c r="Y18" s="269"/>
      <c r="Z18" s="268" t="str">
        <f t="shared" ref="Z18" si="64">IF($O$5=0,"",IF(Z17+AA17=0,+$D$1,IF(Z17=3,"V","D")))</f>
        <v>D</v>
      </c>
      <c r="AA18" s="269"/>
      <c r="AB18" s="266"/>
      <c r="AC18" s="267"/>
      <c r="AD18" s="268" t="str">
        <f>IF($O$5=0,"",IF(AD17+AE17=0,+$D$1,IF(AD17=3,"V","D")))</f>
        <v>D</v>
      </c>
      <c r="AE18" s="269"/>
      <c r="AF18" s="261"/>
      <c r="AG18" s="263"/>
      <c r="AH18" s="265"/>
      <c r="AI18" s="265"/>
      <c r="AJ18" s="273"/>
      <c r="AK18" s="259"/>
      <c r="AL18" s="10"/>
    </row>
    <row r="19" spans="2:40" ht="15" customHeight="1" x14ac:dyDescent="0.3">
      <c r="C19" s="20"/>
      <c r="D19" s="223"/>
      <c r="E19">
        <v>4</v>
      </c>
      <c r="F19">
        <v>6</v>
      </c>
      <c r="H19" s="72" t="str">
        <f>VLOOKUP(E19,A$3:B$10,2,0)</f>
        <v>Seibert J</v>
      </c>
      <c r="I19" s="73" t="s">
        <v>86</v>
      </c>
      <c r="J19" s="72" t="str">
        <f>VLOOKUP(F19,A$3:B$10,2,0)</f>
        <v>Konecny T</v>
      </c>
      <c r="K19" s="31">
        <v>0</v>
      </c>
      <c r="L19" s="57">
        <v>3</v>
      </c>
      <c r="M19" s="199">
        <v>8</v>
      </c>
      <c r="N19" s="171">
        <f>+AK19</f>
        <v>4</v>
      </c>
      <c r="O19" s="270" t="str">
        <f>VLOOKUP(M19,$A$3:$B$10,2)</f>
        <v>Vrablik J</v>
      </c>
      <c r="P19" s="85">
        <f>+AE5</f>
        <v>3</v>
      </c>
      <c r="Q19" s="86">
        <f>+AD5</f>
        <v>2</v>
      </c>
      <c r="R19" s="85">
        <f>+AE7</f>
        <v>1</v>
      </c>
      <c r="S19" s="86">
        <f>+AD7</f>
        <v>3</v>
      </c>
      <c r="T19" s="76">
        <f>+AE9</f>
        <v>3</v>
      </c>
      <c r="U19" s="78">
        <f>+AD9</f>
        <v>1</v>
      </c>
      <c r="V19" s="82">
        <f>+AE11</f>
        <v>3</v>
      </c>
      <c r="W19" s="83">
        <f>+AD11</f>
        <v>0</v>
      </c>
      <c r="X19" s="87">
        <f>+AE13</f>
        <v>2</v>
      </c>
      <c r="Y19" s="87">
        <f>+AD13</f>
        <v>3</v>
      </c>
      <c r="Z19" s="85">
        <f>+AE15</f>
        <v>2</v>
      </c>
      <c r="AA19" s="86">
        <f>+AD15</f>
        <v>3</v>
      </c>
      <c r="AB19" s="82">
        <f>IF(+AE17="",0,+AE17)</f>
        <v>3</v>
      </c>
      <c r="AC19" s="83">
        <f>IF(+AD17="",0,+AD17)</f>
        <v>1</v>
      </c>
      <c r="AD19" s="80"/>
      <c r="AE19" s="81"/>
      <c r="AF19" s="260">
        <f>+P19+R19+T19+V19+X19+Z19+AB19+AD19</f>
        <v>17</v>
      </c>
      <c r="AG19" s="262">
        <f>+Q19+S19+U19+W19+Y19+AA19+AC19+AE19</f>
        <v>13</v>
      </c>
      <c r="AH19" s="264">
        <f>COUNTIF(P20:AE20,"V")</f>
        <v>4</v>
      </c>
      <c r="AI19" s="264">
        <f t="shared" ref="AI19" si="65">IF(O19=0,"",RANK(AH19,$AH$5:$AH$20))</f>
        <v>3</v>
      </c>
      <c r="AJ19" s="272">
        <f t="shared" ref="AJ19" si="66">IF(AND(+AF19&gt;0,+AG19&gt;0),+AF19/AG19,0)</f>
        <v>1.3076923076923077</v>
      </c>
      <c r="AK19" s="258">
        <f t="shared" ref="AK19" si="67">IF(+AJ19&gt;0,RANK(AJ19,$AJ$5:$AJ$20),"")</f>
        <v>4</v>
      </c>
      <c r="AL19" s="10"/>
    </row>
    <row r="20" spans="2:40" ht="15" customHeight="1" x14ac:dyDescent="0.3">
      <c r="D20" s="223"/>
      <c r="E20">
        <v>3</v>
      </c>
      <c r="F20">
        <v>7</v>
      </c>
      <c r="H20" s="72" t="str">
        <f>VLOOKUP(E20,A$3:B$10,2,0)</f>
        <v>Bankosz M</v>
      </c>
      <c r="I20" s="73" t="s">
        <v>86</v>
      </c>
      <c r="J20" s="72" t="str">
        <f>VLOOKUP(F20,A$3:B$10,2,0)</f>
        <v>Zelinka J</v>
      </c>
      <c r="K20" s="31">
        <v>3</v>
      </c>
      <c r="L20" s="57">
        <v>2</v>
      </c>
      <c r="M20" s="199"/>
      <c r="N20" s="172"/>
      <c r="O20" s="271"/>
      <c r="P20" s="268" t="str">
        <f t="shared" ref="P20" si="68">IF($O$5=0,"",IF(P19+Q19=0,+$D$1,IF(P19=3,"V","D")))</f>
        <v>V</v>
      </c>
      <c r="Q20" s="269"/>
      <c r="R20" s="268" t="str">
        <f t="shared" ref="R20" si="69">IF($O$5=0,"",IF(R19+S19=0,+$D$1,IF(R19=3,"V","D")))</f>
        <v>D</v>
      </c>
      <c r="S20" s="269"/>
      <c r="T20" s="268" t="str">
        <f t="shared" ref="T20" si="70">IF($O$5=0,"",IF(T19+U19=0,+$D$1,IF(T19=3,"V","D")))</f>
        <v>V</v>
      </c>
      <c r="U20" s="269"/>
      <c r="V20" s="268" t="str">
        <f t="shared" ref="V20" si="71">IF($O$5=0,"",IF(V19+W19=0,+$D$1,IF(V19=3,"V","D")))</f>
        <v>V</v>
      </c>
      <c r="W20" s="269"/>
      <c r="X20" s="268" t="str">
        <f t="shared" ref="X20" si="72">IF($O$5=0,"",IF(X19+Y19=0,+$D$1,IF(X19=3,"V","D")))</f>
        <v>D</v>
      </c>
      <c r="Y20" s="269"/>
      <c r="Z20" s="268" t="str">
        <f t="shared" ref="Z20" si="73">IF($O$5=0,"",IF(Z19+AA19=0,+$D$1,IF(Z19=3,"V","D")))</f>
        <v>D</v>
      </c>
      <c r="AA20" s="269"/>
      <c r="AB20" s="268" t="str">
        <f t="shared" ref="AB20" si="74">IF($O$5=0,"",IF(AB19+AC19=0,+$D$1,IF(AB19=3,"V","D")))</f>
        <v>V</v>
      </c>
      <c r="AC20" s="269"/>
      <c r="AD20" s="266" t="str">
        <f>IF(AD19+AE19=0,"",IF(AD19=3,"V","D"))</f>
        <v/>
      </c>
      <c r="AE20" s="267"/>
      <c r="AF20" s="261"/>
      <c r="AG20" s="263"/>
      <c r="AH20" s="265"/>
      <c r="AI20" s="265"/>
      <c r="AJ20" s="273"/>
      <c r="AK20" s="259"/>
    </row>
    <row r="21" spans="2:40" ht="16.5" customHeight="1" x14ac:dyDescent="0.3">
      <c r="D21" s="224"/>
      <c r="E21" s="38">
        <v>2</v>
      </c>
      <c r="F21" s="38">
        <v>8</v>
      </c>
      <c r="G21" s="38"/>
      <c r="H21" s="74" t="str">
        <f>VLOOKUP(E21,A$3:B$10,2,0)</f>
        <v>Ranefur E</v>
      </c>
      <c r="I21" s="75" t="s">
        <v>86</v>
      </c>
      <c r="J21" s="74" t="str">
        <f>VLOOKUP(F21,A$3:B$10,2,0)</f>
        <v>Vrablik J</v>
      </c>
      <c r="K21" s="59">
        <v>3</v>
      </c>
      <c r="L21" s="28">
        <v>1</v>
      </c>
    </row>
    <row r="22" spans="2:40" x14ac:dyDescent="0.3">
      <c r="H22" s="72"/>
      <c r="I22" s="72"/>
      <c r="J22" s="72"/>
      <c r="K22" s="40"/>
      <c r="L22" s="40"/>
      <c r="AC22" s="41"/>
      <c r="AD22" s="41"/>
      <c r="AE22" s="41"/>
      <c r="AF22" s="41"/>
      <c r="AG22" s="41"/>
      <c r="AH22" s="41"/>
      <c r="AI22" s="41"/>
    </row>
    <row r="23" spans="2:40" x14ac:dyDescent="0.3">
      <c r="D23" s="222" t="s">
        <v>91</v>
      </c>
      <c r="E23" s="42">
        <v>1</v>
      </c>
      <c r="F23" s="42">
        <v>4</v>
      </c>
      <c r="G23" s="42"/>
      <c r="H23" s="70" t="str">
        <f>VLOOKUP(E23,A$3:B$10,2,0)</f>
        <v>Abbasi A</v>
      </c>
      <c r="I23" s="71" t="s">
        <v>86</v>
      </c>
      <c r="J23" s="70" t="str">
        <f>VLOOKUP(F23,A$3:B$10,2,0)</f>
        <v>Seibert J</v>
      </c>
      <c r="K23" s="32">
        <v>3</v>
      </c>
      <c r="L23" s="33">
        <v>0</v>
      </c>
      <c r="N23" s="251" t="s">
        <v>108</v>
      </c>
      <c r="O23" s="252"/>
      <c r="P23" s="252"/>
      <c r="Q23" s="252"/>
      <c r="R23" s="252"/>
      <c r="S23" s="252"/>
      <c r="T23" s="252"/>
      <c r="U23" s="252"/>
      <c r="V23" s="252"/>
      <c r="W23" s="252"/>
      <c r="X23" s="252"/>
      <c r="Y23" s="253"/>
      <c r="AA23" s="234" t="s">
        <v>74</v>
      </c>
      <c r="AB23" s="235"/>
      <c r="AC23" s="235"/>
      <c r="AD23" s="236"/>
      <c r="AF23" s="234" t="s">
        <v>77</v>
      </c>
      <c r="AG23" s="236"/>
      <c r="AI23" s="234" t="s">
        <v>121</v>
      </c>
      <c r="AJ23" s="235"/>
      <c r="AK23" s="236"/>
    </row>
    <row r="24" spans="2:40" x14ac:dyDescent="0.3">
      <c r="B24" s="20"/>
      <c r="D24" s="223"/>
      <c r="E24">
        <v>3</v>
      </c>
      <c r="F24">
        <v>5</v>
      </c>
      <c r="H24" s="72" t="str">
        <f>VLOOKUP(E24,A$3:B$10,2,0)</f>
        <v>Bankosz M</v>
      </c>
      <c r="I24" s="73" t="s">
        <v>86</v>
      </c>
      <c r="J24" s="72" t="str">
        <f>VLOOKUP(F24,A$3:B$10,2,0)</f>
        <v>Ruiz R</v>
      </c>
      <c r="K24" s="31">
        <v>0</v>
      </c>
      <c r="L24" s="57">
        <v>3</v>
      </c>
      <c r="N24" s="48"/>
      <c r="O24" s="49" t="s">
        <v>111</v>
      </c>
      <c r="P24" s="49"/>
      <c r="Q24" s="49" t="s">
        <v>64</v>
      </c>
      <c r="R24" s="49"/>
      <c r="S24" s="49"/>
      <c r="T24" s="49"/>
      <c r="U24" s="49"/>
      <c r="V24" s="254" t="s">
        <v>95</v>
      </c>
      <c r="W24" s="254"/>
      <c r="X24" s="254"/>
      <c r="Y24" s="255"/>
      <c r="AA24" s="237"/>
      <c r="AB24" s="238"/>
      <c r="AC24" s="238"/>
      <c r="AD24" s="239"/>
      <c r="AF24" s="237"/>
      <c r="AG24" s="239"/>
      <c r="AI24" s="237"/>
      <c r="AJ24" s="238"/>
      <c r="AK24" s="239"/>
    </row>
    <row r="25" spans="2:40" x14ac:dyDescent="0.3">
      <c r="B25" s="20"/>
      <c r="D25" s="223"/>
      <c r="E25">
        <v>2</v>
      </c>
      <c r="F25">
        <v>6</v>
      </c>
      <c r="H25" s="72" t="str">
        <f>VLOOKUP(E25,A$3:B$10,2,0)</f>
        <v>Ranefur E</v>
      </c>
      <c r="I25" s="73" t="s">
        <v>86</v>
      </c>
      <c r="J25" s="72" t="str">
        <f>VLOOKUP(F25,A$3:B$10,2,0)</f>
        <v>Konecny T</v>
      </c>
      <c r="K25" s="31">
        <v>2</v>
      </c>
      <c r="L25" s="57">
        <v>3</v>
      </c>
      <c r="N25" s="48"/>
      <c r="O25" s="51"/>
      <c r="P25" s="51"/>
      <c r="Q25" s="51"/>
      <c r="R25" s="51"/>
      <c r="S25" s="51"/>
      <c r="T25" s="51"/>
      <c r="U25" s="51"/>
      <c r="V25" s="51"/>
      <c r="W25" s="51"/>
      <c r="X25" s="51"/>
      <c r="Y25" s="50"/>
      <c r="AA25" s="48" t="s">
        <v>66</v>
      </c>
      <c r="AB25" s="51"/>
      <c r="AC25" s="51"/>
      <c r="AD25" s="50">
        <v>122.64</v>
      </c>
      <c r="AF25" s="48"/>
      <c r="AG25" s="50">
        <f>+AD25</f>
        <v>122.64</v>
      </c>
      <c r="AI25" s="48" t="s">
        <v>66</v>
      </c>
      <c r="AJ25" s="51"/>
      <c r="AK25" s="102">
        <f>IF(SUM(AK5:AK20)&gt;0,+AG25,0)</f>
        <v>122.64</v>
      </c>
    </row>
    <row r="26" spans="2:40" x14ac:dyDescent="0.3">
      <c r="D26" s="224"/>
      <c r="E26" s="38">
        <v>7</v>
      </c>
      <c r="F26" s="38">
        <v>8</v>
      </c>
      <c r="G26" s="38"/>
      <c r="H26" s="74" t="str">
        <f>VLOOKUP(E26,A$3:B$10,2,0)</f>
        <v>Zelinka J</v>
      </c>
      <c r="I26" s="75" t="s">
        <v>86</v>
      </c>
      <c r="J26" s="74" t="str">
        <f>VLOOKUP(F26,A$3:B$10,2,0)</f>
        <v>Vrablik J</v>
      </c>
      <c r="K26" s="59">
        <v>1</v>
      </c>
      <c r="L26" s="28">
        <v>3</v>
      </c>
      <c r="N26" s="48">
        <v>1</v>
      </c>
      <c r="O26" s="51" t="str">
        <f>IF(AK25=0,"",VLOOKUP(N26,N$5:O$20,2,0))</f>
        <v>Konecny T</v>
      </c>
      <c r="P26" s="225" t="s">
        <v>62</v>
      </c>
      <c r="Q26" s="227" t="str">
        <f>IF(P26="","",IF(P26="V",+O26,O27))</f>
        <v>Konecny T</v>
      </c>
      <c r="R26" s="228"/>
      <c r="S26" s="51"/>
      <c r="T26" s="51"/>
      <c r="U26" s="51"/>
      <c r="V26" s="51"/>
      <c r="W26" s="51"/>
      <c r="X26" s="51"/>
      <c r="Y26" s="50"/>
      <c r="AA26" s="48" t="s">
        <v>76</v>
      </c>
      <c r="AB26" s="51"/>
      <c r="AC26" s="51"/>
      <c r="AD26" s="50">
        <v>40.880000000000003</v>
      </c>
      <c r="AF26" s="48"/>
      <c r="AG26" s="50">
        <f>+AD26*7</f>
        <v>286.16000000000003</v>
      </c>
      <c r="AI26" s="48" t="s">
        <v>67</v>
      </c>
      <c r="AJ26" s="51"/>
      <c r="AK26" s="103">
        <f>VLOOKUP(J2,O5:AK20,20,FALSE)*AD26</f>
        <v>163.52000000000001</v>
      </c>
    </row>
    <row r="27" spans="2:40" ht="18.75" customHeight="1" x14ac:dyDescent="0.35">
      <c r="H27" s="72"/>
      <c r="I27" s="72"/>
      <c r="J27" s="72"/>
      <c r="K27" s="40"/>
      <c r="L27" s="40"/>
      <c r="N27" s="48">
        <v>4</v>
      </c>
      <c r="O27" s="51" t="str">
        <f>IF(AK25=0,"",VLOOKUP(N27,N$5:O$20,2,0))</f>
        <v>Vrablik J</v>
      </c>
      <c r="P27" s="226"/>
      <c r="Q27" s="229"/>
      <c r="R27" s="230"/>
      <c r="S27" s="51"/>
      <c r="T27" s="51"/>
      <c r="U27" s="225" t="s">
        <v>1</v>
      </c>
      <c r="V27" s="51"/>
      <c r="W27" s="241" t="str">
        <f>IF(U27="V",+Q26,IF(U27="D",Q29,""))</f>
        <v>Ranefur E</v>
      </c>
      <c r="X27" s="242"/>
      <c r="Y27" s="243"/>
      <c r="AA27" s="48" t="s">
        <v>68</v>
      </c>
      <c r="AB27" s="51"/>
      <c r="AC27" s="51"/>
      <c r="AD27" s="50">
        <v>143.08000000000001</v>
      </c>
      <c r="AF27" s="48"/>
      <c r="AG27" s="50">
        <f>+AD27</f>
        <v>143.08000000000001</v>
      </c>
      <c r="AI27" s="48" t="s">
        <v>68</v>
      </c>
      <c r="AJ27" s="51"/>
      <c r="AK27" s="103">
        <f>IF(VLOOKUP(J2,O5:AK20,23)&lt;5,+AG27,0)</f>
        <v>0</v>
      </c>
      <c r="AL27" s="92"/>
    </row>
    <row r="28" spans="2:40" ht="15" customHeight="1" x14ac:dyDescent="0.3">
      <c r="D28" s="222" t="s">
        <v>92</v>
      </c>
      <c r="E28" s="42">
        <v>1</v>
      </c>
      <c r="F28" s="42">
        <v>3</v>
      </c>
      <c r="G28" s="42"/>
      <c r="H28" s="70" t="str">
        <f>VLOOKUP(E28,A$3:B$10,2,0)</f>
        <v>Abbasi A</v>
      </c>
      <c r="I28" s="71" t="s">
        <v>86</v>
      </c>
      <c r="J28" s="70" t="str">
        <f>VLOOKUP(F28,A$3:B$10,2,0)</f>
        <v>Bankosz M</v>
      </c>
      <c r="K28" s="32">
        <v>3</v>
      </c>
      <c r="L28" s="33">
        <v>1</v>
      </c>
      <c r="N28" s="48"/>
      <c r="O28" s="51"/>
      <c r="P28" s="68"/>
      <c r="Q28" s="51"/>
      <c r="R28" s="51"/>
      <c r="S28" s="51"/>
      <c r="T28" s="51"/>
      <c r="U28" s="240"/>
      <c r="V28" s="51"/>
      <c r="W28" s="244"/>
      <c r="X28" s="245"/>
      <c r="Y28" s="246"/>
      <c r="AA28" s="48" t="s">
        <v>69</v>
      </c>
      <c r="AB28" s="51"/>
      <c r="AC28" s="51"/>
      <c r="AD28" s="50">
        <v>183.96</v>
      </c>
      <c r="AF28" s="48"/>
      <c r="AG28" s="50">
        <f t="shared" ref="AG28:AG29" si="75">+AD28</f>
        <v>183.96</v>
      </c>
      <c r="AI28" s="48" t="s">
        <v>69</v>
      </c>
      <c r="AJ28" s="51"/>
      <c r="AK28" s="102">
        <f>IF(+AK25=0,0,IF(OR(Q26=J2,Q29=J2),180,0))</f>
        <v>0</v>
      </c>
    </row>
    <row r="29" spans="2:40" ht="15" customHeight="1" x14ac:dyDescent="0.3">
      <c r="D29" s="223"/>
      <c r="E29">
        <v>2</v>
      </c>
      <c r="F29">
        <v>4</v>
      </c>
      <c r="H29" s="72" t="str">
        <f>VLOOKUP(E29,A$3:B$10,2,0)</f>
        <v>Ranefur E</v>
      </c>
      <c r="I29" s="73" t="s">
        <v>86</v>
      </c>
      <c r="J29" s="72" t="str">
        <f>VLOOKUP(F29,A$3:B$10,2,0)</f>
        <v>Seibert J</v>
      </c>
      <c r="K29" s="31">
        <v>2</v>
      </c>
      <c r="L29" s="57">
        <v>3</v>
      </c>
      <c r="N29" s="48">
        <v>2</v>
      </c>
      <c r="O29" s="51" t="str">
        <f>IF(+AK25=0,"",VLOOKUP(N29,N$5:O$20,2,0))</f>
        <v>Ranefur E</v>
      </c>
      <c r="P29" s="225" t="s">
        <v>62</v>
      </c>
      <c r="Q29" s="227" t="str">
        <f>IF(P29="","",IF(P29="V",+O29,O30))</f>
        <v>Ranefur E</v>
      </c>
      <c r="R29" s="228"/>
      <c r="S29" s="51"/>
      <c r="T29" s="51"/>
      <c r="U29" s="226"/>
      <c r="V29" s="51"/>
      <c r="W29" s="247"/>
      <c r="X29" s="248"/>
      <c r="Y29" s="249"/>
      <c r="AA29" s="48" t="s">
        <v>70</v>
      </c>
      <c r="AB29" s="51"/>
      <c r="AC29" s="51"/>
      <c r="AD29" s="50">
        <v>204.4</v>
      </c>
      <c r="AF29" s="48"/>
      <c r="AG29" s="50">
        <f t="shared" si="75"/>
        <v>204.4</v>
      </c>
      <c r="AI29" s="48" t="s">
        <v>70</v>
      </c>
      <c r="AJ29" s="51"/>
      <c r="AK29" s="102">
        <f>IF(W27=J2,180,0)</f>
        <v>0</v>
      </c>
    </row>
    <row r="30" spans="2:40" ht="15" customHeight="1" x14ac:dyDescent="0.3">
      <c r="D30" s="223"/>
      <c r="E30">
        <v>5</v>
      </c>
      <c r="F30">
        <v>8</v>
      </c>
      <c r="H30" s="72" t="str">
        <f>VLOOKUP(E30,A$3:B$10,2,0)</f>
        <v>Ruiz R</v>
      </c>
      <c r="I30" s="73" t="s">
        <v>86</v>
      </c>
      <c r="J30" s="72" t="str">
        <f>VLOOKUP(F30,A$3:B$10,2,0)</f>
        <v>Vrablik J</v>
      </c>
      <c r="K30" s="31">
        <v>3</v>
      </c>
      <c r="L30" s="57">
        <v>2</v>
      </c>
      <c r="N30" s="48">
        <v>3</v>
      </c>
      <c r="O30" s="51" t="str">
        <f>IF(+AK25=0,"",VLOOKUP(N30,N$5:O$20,2,0))</f>
        <v>Abbasi A</v>
      </c>
      <c r="P30" s="226"/>
      <c r="Q30" s="229"/>
      <c r="R30" s="230"/>
      <c r="S30" s="51"/>
      <c r="T30" s="51"/>
      <c r="U30" s="51"/>
      <c r="V30" s="51"/>
      <c r="W30" s="51"/>
      <c r="X30" s="51"/>
      <c r="Y30" s="50"/>
      <c r="AA30" s="48" t="s">
        <v>99</v>
      </c>
      <c r="AB30" s="51"/>
      <c r="AC30" s="51"/>
      <c r="AD30" s="50">
        <v>81.760000000000005</v>
      </c>
      <c r="AF30" s="48" t="s">
        <v>118</v>
      </c>
      <c r="AG30" s="101">
        <f>SUM(AG25:AG29)</f>
        <v>940.24</v>
      </c>
      <c r="AI30" s="48" t="s">
        <v>97</v>
      </c>
      <c r="AJ30" s="51"/>
      <c r="AK30" s="102">
        <f>IF(Q34=J2,90,0)</f>
        <v>0</v>
      </c>
    </row>
    <row r="31" spans="2:40" x14ac:dyDescent="0.3">
      <c r="D31" s="224"/>
      <c r="E31" s="38">
        <v>6</v>
      </c>
      <c r="F31" s="38">
        <v>7</v>
      </c>
      <c r="G31" s="38"/>
      <c r="H31" s="74" t="str">
        <f>VLOOKUP(E31,A$3:B$10,2,0)</f>
        <v>Konecny T</v>
      </c>
      <c r="I31" s="75" t="s">
        <v>86</v>
      </c>
      <c r="J31" s="74" t="str">
        <f>VLOOKUP(F31,A$3:B$10,2,0)</f>
        <v>Zelinka J</v>
      </c>
      <c r="K31" s="59">
        <v>3</v>
      </c>
      <c r="L31" s="28">
        <v>1</v>
      </c>
      <c r="N31" s="48"/>
      <c r="O31" s="51"/>
      <c r="P31" s="68"/>
      <c r="Q31" s="51"/>
      <c r="R31" s="51"/>
      <c r="S31" s="51"/>
      <c r="T31" s="51"/>
      <c r="U31" s="52"/>
      <c r="V31" s="51"/>
      <c r="W31" s="51"/>
      <c r="X31" s="51"/>
      <c r="Y31" s="50"/>
      <c r="AA31" s="48" t="s">
        <v>71</v>
      </c>
      <c r="AB31" s="51"/>
      <c r="AC31" s="250">
        <v>0.15825</v>
      </c>
      <c r="AD31" s="250"/>
      <c r="AF31" s="98"/>
      <c r="AG31" s="99">
        <f>ROUND(-SUM(AG25:AG29)*AC31,2)</f>
        <v>-148.79</v>
      </c>
      <c r="AI31" s="48" t="s">
        <v>71</v>
      </c>
      <c r="AJ31" s="51"/>
      <c r="AK31" s="104">
        <f>-SUM(AK25:AK30)*AC31</f>
        <v>-45.284820000000003</v>
      </c>
    </row>
    <row r="32" spans="2:40" x14ac:dyDescent="0.3">
      <c r="H32" s="72"/>
      <c r="I32" s="72"/>
      <c r="J32" s="72"/>
      <c r="K32" s="40"/>
      <c r="L32" s="40"/>
      <c r="N32" s="48"/>
      <c r="O32" s="254" t="s">
        <v>96</v>
      </c>
      <c r="P32" s="254"/>
      <c r="Q32" s="254"/>
      <c r="R32" s="254"/>
      <c r="S32" s="51"/>
      <c r="T32" s="51"/>
      <c r="U32" s="51"/>
      <c r="V32" s="51"/>
      <c r="W32" s="51"/>
      <c r="X32" s="51"/>
      <c r="Y32" s="50"/>
      <c r="AA32" s="53"/>
      <c r="AB32" s="54"/>
      <c r="AC32" s="54"/>
      <c r="AD32" s="55"/>
      <c r="AF32" s="100"/>
      <c r="AG32" s="97">
        <f>SUM(AG30:AG31)</f>
        <v>791.45</v>
      </c>
      <c r="AI32" s="64"/>
      <c r="AJ32" s="65" t="s">
        <v>72</v>
      </c>
      <c r="AK32" s="97">
        <f>SUM(AK25:AK31)</f>
        <v>240.87518000000003</v>
      </c>
      <c r="AN32" s="22"/>
    </row>
    <row r="33" spans="4:37" x14ac:dyDescent="0.3">
      <c r="D33" s="222" t="s">
        <v>93</v>
      </c>
      <c r="E33" s="42">
        <v>1</v>
      </c>
      <c r="F33" s="42">
        <v>2</v>
      </c>
      <c r="G33" s="42"/>
      <c r="H33" s="70" t="str">
        <f>VLOOKUP(E33,A$3:B$10,2,0)</f>
        <v>Abbasi A</v>
      </c>
      <c r="I33" s="71" t="s">
        <v>86</v>
      </c>
      <c r="J33" s="70" t="str">
        <f>VLOOKUP(F33,A$3:B$10,2,0)</f>
        <v>Ranefur E</v>
      </c>
      <c r="K33" s="32">
        <v>0</v>
      </c>
      <c r="L33" s="33">
        <v>3</v>
      </c>
      <c r="N33" s="48"/>
      <c r="O33" s="51"/>
      <c r="P33" s="51"/>
      <c r="Q33" s="51"/>
      <c r="R33" s="51"/>
      <c r="S33" s="51"/>
      <c r="T33" s="51"/>
      <c r="U33" s="51"/>
      <c r="V33" s="51"/>
      <c r="W33" s="51"/>
      <c r="X33" s="51"/>
      <c r="Y33" s="50"/>
    </row>
    <row r="34" spans="4:37" x14ac:dyDescent="0.3">
      <c r="D34" s="223"/>
      <c r="E34">
        <v>3</v>
      </c>
      <c r="F34">
        <v>8</v>
      </c>
      <c r="H34" s="72" t="str">
        <f>VLOOKUP(E34,A$3:B$10,2,0)</f>
        <v>Bankosz M</v>
      </c>
      <c r="I34" s="73" t="s">
        <v>86</v>
      </c>
      <c r="J34" s="72" t="str">
        <f>VLOOKUP(F34,A$3:B$10,2,0)</f>
        <v>Vrablik J</v>
      </c>
      <c r="K34" s="31">
        <v>1</v>
      </c>
      <c r="L34" s="57">
        <v>3</v>
      </c>
      <c r="N34" s="48"/>
      <c r="O34" s="52" t="str">
        <f>IF(P26="","",IF(P26="V",O27,O26))</f>
        <v>Vrablik J</v>
      </c>
      <c r="P34" s="225" t="s">
        <v>62</v>
      </c>
      <c r="Q34" s="227" t="str">
        <f>IF(P34="","",IF(P34="V",O34,O35))</f>
        <v>Vrablik J</v>
      </c>
      <c r="R34" s="228"/>
      <c r="S34" s="51"/>
      <c r="T34" s="51"/>
      <c r="U34" s="51"/>
      <c r="V34" s="51"/>
      <c r="W34" s="51"/>
      <c r="X34" s="51"/>
      <c r="Y34" s="50"/>
      <c r="AA34" s="67" t="s">
        <v>106</v>
      </c>
      <c r="AB34" s="42"/>
      <c r="AC34" s="42"/>
      <c r="AD34" s="42"/>
      <c r="AE34" s="42"/>
      <c r="AF34" s="42"/>
      <c r="AG34" s="42"/>
      <c r="AH34" s="42"/>
      <c r="AI34" s="42"/>
      <c r="AJ34" s="42"/>
      <c r="AK34" s="44"/>
    </row>
    <row r="35" spans="4:37" x14ac:dyDescent="0.3">
      <c r="D35" s="223"/>
      <c r="E35">
        <v>4</v>
      </c>
      <c r="F35">
        <v>7</v>
      </c>
      <c r="H35" s="72" t="str">
        <f>VLOOKUP(E35,A$3:B$10,2,0)</f>
        <v>Seibert J</v>
      </c>
      <c r="I35" s="73" t="s">
        <v>86</v>
      </c>
      <c r="J35" s="72" t="str">
        <f>VLOOKUP(F35,A$3:B$10,2,0)</f>
        <v>Zelinka J</v>
      </c>
      <c r="K35" s="31">
        <v>0</v>
      </c>
      <c r="L35" s="57">
        <v>3</v>
      </c>
      <c r="N35" s="48"/>
      <c r="O35" s="51" t="str">
        <f>IF(P29="","",IF(P29="V",O30,O29))</f>
        <v>Abbasi A</v>
      </c>
      <c r="P35" s="226"/>
      <c r="Q35" s="229"/>
      <c r="R35" s="230"/>
      <c r="S35" s="51"/>
      <c r="T35" s="51"/>
      <c r="U35" s="51"/>
      <c r="V35" s="51"/>
      <c r="W35" s="51"/>
      <c r="X35" s="51"/>
      <c r="Y35" s="50"/>
      <c r="AA35" s="34" t="s">
        <v>107</v>
      </c>
      <c r="AK35" s="35"/>
    </row>
    <row r="36" spans="4:37" x14ac:dyDescent="0.3">
      <c r="D36" s="224"/>
      <c r="E36" s="38">
        <v>5</v>
      </c>
      <c r="F36" s="38">
        <v>6</v>
      </c>
      <c r="G36" s="38"/>
      <c r="H36" s="74" t="str">
        <f>VLOOKUP(E36,A$3:B$10,2,0)</f>
        <v>Ruiz R</v>
      </c>
      <c r="I36" s="75" t="s">
        <v>86</v>
      </c>
      <c r="J36" s="74" t="str">
        <f>VLOOKUP(F36,A$3:B$10,2,0)</f>
        <v>Konecny T</v>
      </c>
      <c r="K36" s="59">
        <v>0</v>
      </c>
      <c r="L36" s="28">
        <v>3</v>
      </c>
      <c r="N36" s="53"/>
      <c r="O36" s="54"/>
      <c r="P36" s="69"/>
      <c r="Q36" s="54"/>
      <c r="R36" s="54"/>
      <c r="S36" s="54"/>
      <c r="T36" s="54"/>
      <c r="U36" s="54"/>
      <c r="V36" s="54"/>
      <c r="W36" s="54"/>
      <c r="X36" s="54"/>
      <c r="Y36" s="55"/>
      <c r="AA36" s="37" t="s">
        <v>100</v>
      </c>
      <c r="AB36" s="38"/>
      <c r="AC36" s="38"/>
      <c r="AD36" s="38"/>
      <c r="AE36" s="38"/>
      <c r="AF36" s="38"/>
      <c r="AG36" s="38"/>
      <c r="AH36" s="38"/>
      <c r="AI36" s="38"/>
      <c r="AJ36" s="38"/>
      <c r="AK36" s="39"/>
    </row>
  </sheetData>
  <mergeCells count="177">
    <mergeCell ref="V2:W2"/>
    <mergeCell ref="AF2:AG2"/>
    <mergeCell ref="D3:D6"/>
    <mergeCell ref="M3:M4"/>
    <mergeCell ref="N3:N4"/>
    <mergeCell ref="O3:O4"/>
    <mergeCell ref="P3:Q4"/>
    <mergeCell ref="R3:S4"/>
    <mergeCell ref="T3:U4"/>
    <mergeCell ref="AG3:AG4"/>
    <mergeCell ref="Z6:AA6"/>
    <mergeCell ref="AB6:AC6"/>
    <mergeCell ref="AD6:AE6"/>
    <mergeCell ref="AH3:AH4"/>
    <mergeCell ref="AI3:AI4"/>
    <mergeCell ref="AJ3:AJ4"/>
    <mergeCell ref="AK3:AK4"/>
    <mergeCell ref="M5:M6"/>
    <mergeCell ref="N5:N6"/>
    <mergeCell ref="O5:O6"/>
    <mergeCell ref="AF5:AF6"/>
    <mergeCell ref="AG5:AG6"/>
    <mergeCell ref="V3:W4"/>
    <mergeCell ref="X3:Y4"/>
    <mergeCell ref="Z3:AA4"/>
    <mergeCell ref="AB3:AC4"/>
    <mergeCell ref="AD3:AE4"/>
    <mergeCell ref="AF3:AF4"/>
    <mergeCell ref="AH5:AH6"/>
    <mergeCell ref="AI5:AI6"/>
    <mergeCell ref="AJ5:AJ6"/>
    <mergeCell ref="AK5:AK6"/>
    <mergeCell ref="P6:Q6"/>
    <mergeCell ref="R6:S6"/>
    <mergeCell ref="T6:U6"/>
    <mergeCell ref="V6:W6"/>
    <mergeCell ref="X6:Y6"/>
    <mergeCell ref="M7:M8"/>
    <mergeCell ref="N7:N8"/>
    <mergeCell ref="O7:O8"/>
    <mergeCell ref="AF7:AF8"/>
    <mergeCell ref="X8:Y8"/>
    <mergeCell ref="Z8:AA8"/>
    <mergeCell ref="AB8:AC8"/>
    <mergeCell ref="AD8:AE8"/>
    <mergeCell ref="AG7:AG8"/>
    <mergeCell ref="AH7:AH8"/>
    <mergeCell ref="AI7:AI8"/>
    <mergeCell ref="AJ7:AJ8"/>
    <mergeCell ref="AK7:AK8"/>
    <mergeCell ref="D8:D11"/>
    <mergeCell ref="P8:Q8"/>
    <mergeCell ref="R8:S8"/>
    <mergeCell ref="T8:U8"/>
    <mergeCell ref="V8:W8"/>
    <mergeCell ref="AK9:AK10"/>
    <mergeCell ref="P10:Q10"/>
    <mergeCell ref="R10:S10"/>
    <mergeCell ref="T10:U10"/>
    <mergeCell ref="V10:W10"/>
    <mergeCell ref="X10:Y10"/>
    <mergeCell ref="Z10:AA10"/>
    <mergeCell ref="AB10:AC10"/>
    <mergeCell ref="M9:M10"/>
    <mergeCell ref="N9:N10"/>
    <mergeCell ref="O9:O10"/>
    <mergeCell ref="AF9:AF10"/>
    <mergeCell ref="AG9:AG10"/>
    <mergeCell ref="AH9:AH10"/>
    <mergeCell ref="AD10:AE10"/>
    <mergeCell ref="M11:M12"/>
    <mergeCell ref="N11:N12"/>
    <mergeCell ref="O11:O12"/>
    <mergeCell ref="AF11:AF12"/>
    <mergeCell ref="AG11:AG12"/>
    <mergeCell ref="AH11:AH12"/>
    <mergeCell ref="AD12:AE12"/>
    <mergeCell ref="AI9:AI10"/>
    <mergeCell ref="AJ9:AJ10"/>
    <mergeCell ref="AI11:AI12"/>
    <mergeCell ref="AJ11:AJ12"/>
    <mergeCell ref="AK11:AK12"/>
    <mergeCell ref="P12:Q12"/>
    <mergeCell ref="R12:S12"/>
    <mergeCell ref="T12:U12"/>
    <mergeCell ref="V12:W12"/>
    <mergeCell ref="X12:Y12"/>
    <mergeCell ref="Z12:AA12"/>
    <mergeCell ref="AB12:AC12"/>
    <mergeCell ref="AK13:AK14"/>
    <mergeCell ref="P14:Q14"/>
    <mergeCell ref="R14:S14"/>
    <mergeCell ref="T14:U14"/>
    <mergeCell ref="V14:W14"/>
    <mergeCell ref="X14:Y14"/>
    <mergeCell ref="Z14:AA14"/>
    <mergeCell ref="AF13:AF14"/>
    <mergeCell ref="AG13:AG14"/>
    <mergeCell ref="AB14:AC14"/>
    <mergeCell ref="AD14:AE14"/>
    <mergeCell ref="AJ15:AJ16"/>
    <mergeCell ref="AH13:AH14"/>
    <mergeCell ref="AI13:AI14"/>
    <mergeCell ref="AJ13:AJ14"/>
    <mergeCell ref="AJ17:AJ18"/>
    <mergeCell ref="M15:M16"/>
    <mergeCell ref="N15:N16"/>
    <mergeCell ref="O15:O16"/>
    <mergeCell ref="AF15:AF16"/>
    <mergeCell ref="AG15:AG16"/>
    <mergeCell ref="P16:Q16"/>
    <mergeCell ref="R16:S16"/>
    <mergeCell ref="T16:U16"/>
    <mergeCell ref="V16:W16"/>
    <mergeCell ref="X16:Y16"/>
    <mergeCell ref="Z16:AA16"/>
    <mergeCell ref="AB16:AC16"/>
    <mergeCell ref="AD16:AE16"/>
    <mergeCell ref="V20:W20"/>
    <mergeCell ref="X20:Y20"/>
    <mergeCell ref="Z20:AA20"/>
    <mergeCell ref="AB20:AC20"/>
    <mergeCell ref="D13:D16"/>
    <mergeCell ref="M13:M14"/>
    <mergeCell ref="N13:N14"/>
    <mergeCell ref="O13:O14"/>
    <mergeCell ref="AI17:AI18"/>
    <mergeCell ref="AH15:AH16"/>
    <mergeCell ref="AI15:AI16"/>
    <mergeCell ref="O32:R32"/>
    <mergeCell ref="D33:D36"/>
    <mergeCell ref="P34:P35"/>
    <mergeCell ref="Q34:R35"/>
    <mergeCell ref="D23:D26"/>
    <mergeCell ref="N23:Y23"/>
    <mergeCell ref="AA23:AD24"/>
    <mergeCell ref="AK15:AK16"/>
    <mergeCell ref="D18:D21"/>
    <mergeCell ref="P18:Q18"/>
    <mergeCell ref="R18:S18"/>
    <mergeCell ref="T18:U18"/>
    <mergeCell ref="V18:W18"/>
    <mergeCell ref="X18:Y18"/>
    <mergeCell ref="Z18:AA18"/>
    <mergeCell ref="M17:M18"/>
    <mergeCell ref="N17:N18"/>
    <mergeCell ref="O17:O18"/>
    <mergeCell ref="M19:M20"/>
    <mergeCell ref="N19:N20"/>
    <mergeCell ref="O19:O20"/>
    <mergeCell ref="AI19:AI20"/>
    <mergeCell ref="AJ19:AJ20"/>
    <mergeCell ref="AK19:AK20"/>
    <mergeCell ref="AK17:AK18"/>
    <mergeCell ref="AF17:AF18"/>
    <mergeCell ref="AG17:AG18"/>
    <mergeCell ref="AH17:AH18"/>
    <mergeCell ref="AB18:AC18"/>
    <mergeCell ref="AD18:AE18"/>
    <mergeCell ref="D28:D31"/>
    <mergeCell ref="P29:P30"/>
    <mergeCell ref="Q29:R30"/>
    <mergeCell ref="AC31:AD31"/>
    <mergeCell ref="AF23:AG24"/>
    <mergeCell ref="AI23:AK24"/>
    <mergeCell ref="V24:Y24"/>
    <mergeCell ref="P26:P27"/>
    <mergeCell ref="Q26:R27"/>
    <mergeCell ref="U27:U29"/>
    <mergeCell ref="W27:Y29"/>
    <mergeCell ref="AF19:AF20"/>
    <mergeCell ref="AG19:AG20"/>
    <mergeCell ref="AH19:AH20"/>
    <mergeCell ref="AD20:AE20"/>
    <mergeCell ref="P20:Q20"/>
    <mergeCell ref="R20:S20"/>
    <mergeCell ref="T20:U20"/>
  </mergeCells>
  <conditionalFormatting sqref="K3:K6 K13:K16 K18:K21 K23:K26 K33:K36">
    <cfRule type="cellIs" dxfId="91" priority="10" operator="equal">
      <formula>A1="&lt;&gt;"</formula>
    </cfRule>
  </conditionalFormatting>
  <conditionalFormatting sqref="K8:K11">
    <cfRule type="cellIs" dxfId="90" priority="17" operator="equal">
      <formula>A7="&lt;&gt;"</formula>
    </cfRule>
  </conditionalFormatting>
  <conditionalFormatting sqref="K28:K31">
    <cfRule type="cellIs" dxfId="89" priority="8" operator="equal">
      <formula>A26="&lt;&gt;"</formula>
    </cfRule>
  </conditionalFormatting>
  <conditionalFormatting sqref="K3:L6">
    <cfRule type="cellIs" dxfId="88" priority="11" operator="equal">
      <formula>""""""</formula>
    </cfRule>
  </conditionalFormatting>
  <conditionalFormatting sqref="K8:L11">
    <cfRule type="cellIs" dxfId="87" priority="5" operator="equal">
      <formula>""""""</formula>
    </cfRule>
  </conditionalFormatting>
  <conditionalFormatting sqref="L3:L6 L8:L11 L13:L16 L18:L21 L23:L26 L33:L36">
    <cfRule type="cellIs" dxfId="86" priority="16" operator="equal">
      <formula>C1="&lt;&gt;"</formula>
    </cfRule>
  </conditionalFormatting>
  <conditionalFormatting sqref="L28:L31">
    <cfRule type="cellIs" dxfId="85" priority="9" operator="equal">
      <formula>C26="&lt;&gt;"</formula>
    </cfRule>
  </conditionalFormatting>
  <conditionalFormatting sqref="P5:AE20">
    <cfRule type="cellIs" dxfId="84" priority="14" operator="equal">
      <formula>"D"</formula>
    </cfRule>
    <cfRule type="cellIs" dxfId="83" priority="15" operator="equal">
      <formula>"V"</formula>
    </cfRule>
  </conditionalFormatting>
  <conditionalFormatting sqref="V2:W2">
    <cfRule type="cellIs" dxfId="82" priority="3" operator="equal">
      <formula>"D"</formula>
    </cfRule>
    <cfRule type="cellIs" dxfId="81" priority="4" operator="equal">
      <formula>"V"</formula>
    </cfRule>
  </conditionalFormatting>
  <conditionalFormatting sqref="AK5">
    <cfRule type="cellIs" dxfId="80" priority="12" operator="greaterThan">
      <formula>4</formula>
    </cfRule>
    <cfRule type="cellIs" dxfId="79" priority="13" stopIfTrue="1" operator="lessThanOrEqual">
      <formula>4</formula>
    </cfRule>
  </conditionalFormatting>
  <conditionalFormatting sqref="AK7 AK9 AK11 AK13 AK15 AK17 AK19">
    <cfRule type="cellIs" dxfId="78" priority="6" operator="greaterThan">
      <formula>4</formula>
    </cfRule>
    <cfRule type="cellIs" dxfId="77" priority="7" stopIfTrue="1" operator="lessThanOrEqual">
      <formula>4</formula>
    </cfRule>
  </conditionalFormatting>
  <pageMargins left="0.7" right="0.7" top="0.75" bottom="0.75" header="0.3" footer="0.3"/>
  <pageSetup paperSize="9" orientation="portrait" r:id="rId1"/>
  <ignoredErrors>
    <ignoredError sqref="AG26" formula="1"/>
  </ignoredErrors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4B0CB9-4CB7-4A01-836F-AAC41C3E682A}">
  <dimension ref="A1:AN36"/>
  <sheetViews>
    <sheetView workbookViewId="0">
      <selection activeCell="B3" sqref="B3:B10"/>
    </sheetView>
  </sheetViews>
  <sheetFormatPr baseColWidth="10" defaultRowHeight="14.4" x14ac:dyDescent="0.3"/>
  <cols>
    <col min="1" max="1" width="4.6640625" customWidth="1"/>
    <col min="2" max="2" width="15.33203125" customWidth="1"/>
    <col min="3" max="3" width="3.88671875" style="119" customWidth="1"/>
    <col min="4" max="4" width="2.44140625" customWidth="1"/>
    <col min="5" max="5" width="3.5546875" customWidth="1"/>
    <col min="6" max="6" width="3.33203125" customWidth="1"/>
    <col min="7" max="7" width="1.5546875" customWidth="1"/>
    <col min="8" max="8" width="12.6640625" customWidth="1"/>
    <col min="9" max="9" width="2.6640625" customWidth="1"/>
    <col min="10" max="10" width="12.6640625" customWidth="1"/>
    <col min="11" max="12" width="2.6640625" customWidth="1"/>
    <col min="13" max="14" width="4.6640625" customWidth="1"/>
    <col min="15" max="15" width="15.6640625" customWidth="1"/>
    <col min="16" max="31" width="5.6640625" customWidth="1"/>
    <col min="32" max="32" width="6.5546875" customWidth="1"/>
    <col min="33" max="33" width="7.109375" customWidth="1"/>
    <col min="34" max="34" width="6.109375" customWidth="1"/>
    <col min="35" max="35" width="9.109375" customWidth="1"/>
    <col min="36" max="36" width="11.5546875" customWidth="1"/>
    <col min="37" max="37" width="8.109375" customWidth="1"/>
    <col min="38" max="38" width="8.33203125" customWidth="1"/>
    <col min="40" max="40" width="14.6640625" customWidth="1"/>
  </cols>
  <sheetData>
    <row r="1" spans="1:38" x14ac:dyDescent="0.3">
      <c r="A1" t="s">
        <v>5</v>
      </c>
      <c r="B1" s="90" t="s">
        <v>7</v>
      </c>
      <c r="D1" t="s">
        <v>27</v>
      </c>
      <c r="H1" t="s">
        <v>154</v>
      </c>
      <c r="O1" s="40" t="s">
        <v>134</v>
      </c>
      <c r="P1" s="40"/>
      <c r="Q1" s="40"/>
      <c r="R1" s="40"/>
      <c r="S1" s="40"/>
      <c r="T1" s="40" t="str">
        <f>+H1</f>
        <v xml:space="preserve">30 et 31  octobre </v>
      </c>
      <c r="U1" s="40"/>
      <c r="V1" s="40"/>
      <c r="W1" s="40"/>
      <c r="X1" s="40"/>
      <c r="Y1" s="40"/>
      <c r="Z1" s="40"/>
      <c r="AA1" s="40"/>
      <c r="AB1" s="40"/>
      <c r="AC1" s="40"/>
      <c r="AD1" s="40"/>
      <c r="AE1" s="40"/>
      <c r="AF1" s="40"/>
      <c r="AG1" s="40"/>
      <c r="AH1" s="40"/>
      <c r="AI1" s="40"/>
      <c r="AJ1" s="40"/>
      <c r="AK1" s="40"/>
    </row>
    <row r="2" spans="1:38" x14ac:dyDescent="0.3">
      <c r="B2" s="91" t="s">
        <v>122</v>
      </c>
      <c r="C2" s="93"/>
      <c r="H2" t="s">
        <v>138</v>
      </c>
      <c r="J2" s="105" t="s">
        <v>127</v>
      </c>
      <c r="V2" s="287"/>
      <c r="W2" s="288"/>
      <c r="AF2" s="192" t="s">
        <v>41</v>
      </c>
      <c r="AG2" s="192"/>
    </row>
    <row r="3" spans="1:38" x14ac:dyDescent="0.3">
      <c r="A3">
        <v>1</v>
      </c>
      <c r="B3" s="88" t="s">
        <v>147</v>
      </c>
      <c r="C3" s="120"/>
      <c r="D3" s="222" t="s">
        <v>87</v>
      </c>
      <c r="E3" s="42">
        <v>1</v>
      </c>
      <c r="F3" s="42">
        <v>8</v>
      </c>
      <c r="G3" s="42"/>
      <c r="H3" s="70" t="str">
        <f>VLOOKUP(E3,A$3:B$10,2,0)</f>
        <v xml:space="preserve">Pryshchepa I </v>
      </c>
      <c r="I3" s="71" t="s">
        <v>86</v>
      </c>
      <c r="J3" s="70" t="str">
        <f>VLOOKUP(F3,A$3:B$10,2,0)</f>
        <v>Yefimov V</v>
      </c>
      <c r="K3" s="32">
        <v>3</v>
      </c>
      <c r="L3" s="33">
        <v>2</v>
      </c>
      <c r="M3" s="232" t="s">
        <v>94</v>
      </c>
      <c r="N3" s="233" t="s">
        <v>65</v>
      </c>
      <c r="O3" s="289" t="s">
        <v>9</v>
      </c>
      <c r="P3" s="277" t="str">
        <f>O5</f>
        <v xml:space="preserve">Pryshchepa I </v>
      </c>
      <c r="Q3" s="278"/>
      <c r="R3" s="277" t="str">
        <f>O7</f>
        <v>Tymofieiev O</v>
      </c>
      <c r="S3" s="278"/>
      <c r="T3" s="277" t="str">
        <f>O9</f>
        <v>Ruiz R</v>
      </c>
      <c r="U3" s="278"/>
      <c r="V3" s="277" t="str">
        <f>O11</f>
        <v xml:space="preserve">Reitspies D </v>
      </c>
      <c r="W3" s="278"/>
      <c r="X3" s="277" t="str">
        <f>O13</f>
        <v xml:space="preserve">Abbasi A </v>
      </c>
      <c r="Y3" s="278"/>
      <c r="Z3" s="277" t="str">
        <f>O15</f>
        <v>Kveton O</v>
      </c>
      <c r="AA3" s="278"/>
      <c r="AB3" s="277" t="str">
        <f>O17</f>
        <v xml:space="preserve">Tregler T </v>
      </c>
      <c r="AC3" s="278"/>
      <c r="AD3" s="277" t="str">
        <f>+O19</f>
        <v>Yefimov V</v>
      </c>
      <c r="AE3" s="281"/>
      <c r="AF3" s="283" t="s">
        <v>0</v>
      </c>
      <c r="AG3" s="274" t="s">
        <v>1</v>
      </c>
      <c r="AH3" s="274" t="s">
        <v>8</v>
      </c>
      <c r="AI3" s="274" t="s">
        <v>11</v>
      </c>
      <c r="AJ3" s="275" t="s">
        <v>110</v>
      </c>
      <c r="AK3" s="275" t="s">
        <v>12</v>
      </c>
      <c r="AL3" s="275" t="s">
        <v>156</v>
      </c>
    </row>
    <row r="4" spans="1:38" ht="16.5" customHeight="1" x14ac:dyDescent="0.3">
      <c r="A4">
        <v>2</v>
      </c>
      <c r="B4" s="88" t="s">
        <v>148</v>
      </c>
      <c r="C4" s="120"/>
      <c r="D4" s="223"/>
      <c r="E4">
        <v>2</v>
      </c>
      <c r="F4">
        <v>7</v>
      </c>
      <c r="H4" s="72" t="str">
        <f>VLOOKUP(E4,A$3:B$10,2,0)</f>
        <v>Tymofieiev O</v>
      </c>
      <c r="I4" s="73" t="s">
        <v>86</v>
      </c>
      <c r="J4" s="72" t="str">
        <f>VLOOKUP(F4,A$3:B$10,2,0)</f>
        <v xml:space="preserve">Tregler T </v>
      </c>
      <c r="K4" s="31">
        <v>3</v>
      </c>
      <c r="L4" s="57">
        <v>1</v>
      </c>
      <c r="M4" s="232"/>
      <c r="N4" s="164"/>
      <c r="O4" s="290"/>
      <c r="P4" s="279"/>
      <c r="Q4" s="280"/>
      <c r="R4" s="279"/>
      <c r="S4" s="280"/>
      <c r="T4" s="279"/>
      <c r="U4" s="280"/>
      <c r="V4" s="279"/>
      <c r="W4" s="280"/>
      <c r="X4" s="279"/>
      <c r="Y4" s="280"/>
      <c r="Z4" s="279"/>
      <c r="AA4" s="280"/>
      <c r="AB4" s="279"/>
      <c r="AC4" s="280"/>
      <c r="AD4" s="279"/>
      <c r="AE4" s="282"/>
      <c r="AF4" s="284"/>
      <c r="AG4" s="271"/>
      <c r="AH4" s="271"/>
      <c r="AI4" s="271"/>
      <c r="AJ4" s="276"/>
      <c r="AK4" s="276"/>
      <c r="AL4" s="276" t="s">
        <v>157</v>
      </c>
    </row>
    <row r="5" spans="1:38" x14ac:dyDescent="0.3">
      <c r="A5">
        <v>3</v>
      </c>
      <c r="B5" s="106" t="s">
        <v>127</v>
      </c>
      <c r="C5" s="120"/>
      <c r="D5" s="223"/>
      <c r="E5">
        <v>3</v>
      </c>
      <c r="F5">
        <v>6</v>
      </c>
      <c r="H5" s="72" t="str">
        <f>VLOOKUP(E5,A$3:B$10,2,0)</f>
        <v>Ruiz R</v>
      </c>
      <c r="I5" s="73" t="s">
        <v>86</v>
      </c>
      <c r="J5" s="72" t="str">
        <f>VLOOKUP(F5,A$3:B$10,2,0)</f>
        <v>Kveton O</v>
      </c>
      <c r="K5" s="31">
        <v>3</v>
      </c>
      <c r="L5" s="57">
        <v>0</v>
      </c>
      <c r="M5" s="199">
        <v>1</v>
      </c>
      <c r="N5" s="270">
        <f>+AL5</f>
        <v>3</v>
      </c>
      <c r="O5" s="270" t="str">
        <f>VLOOKUP(M5,$A$3:$B$10,2)</f>
        <v xml:space="preserve">Pryshchepa I </v>
      </c>
      <c r="P5" s="107"/>
      <c r="Q5" s="108"/>
      <c r="R5" s="109">
        <f>+K33</f>
        <v>3</v>
      </c>
      <c r="S5" s="110">
        <f>+L33</f>
        <v>0</v>
      </c>
      <c r="T5" s="109">
        <f>+K28</f>
        <v>3</v>
      </c>
      <c r="U5" s="110">
        <f>+L28</f>
        <v>2</v>
      </c>
      <c r="V5" s="109">
        <f>+K23</f>
        <v>3</v>
      </c>
      <c r="W5" s="110">
        <f>+L23</f>
        <v>2</v>
      </c>
      <c r="X5" s="111">
        <f>+K18</f>
        <v>1</v>
      </c>
      <c r="Y5" s="111">
        <f>+L18</f>
        <v>3</v>
      </c>
      <c r="Z5" s="109">
        <f>+K13</f>
        <v>2</v>
      </c>
      <c r="AA5" s="110">
        <f>+L13</f>
        <v>3</v>
      </c>
      <c r="AB5" s="109">
        <f>+K8</f>
        <v>3</v>
      </c>
      <c r="AC5" s="110">
        <f>+L8</f>
        <v>2</v>
      </c>
      <c r="AD5" s="109">
        <f>+K3</f>
        <v>3</v>
      </c>
      <c r="AE5" s="112">
        <f>+L3</f>
        <v>2</v>
      </c>
      <c r="AF5" s="295">
        <f>+P5+R5+T5+V5+X5+Z5+AB5+AD5</f>
        <v>18</v>
      </c>
      <c r="AG5" s="297">
        <f>+Q5+S5+U5+W5+Y5+AA5+AC5+AE5</f>
        <v>14</v>
      </c>
      <c r="AH5" s="299">
        <f>COUNTIF(P6:AE6,"V")</f>
        <v>5</v>
      </c>
      <c r="AI5" s="264">
        <f>IF(O5=0,"",RANK(AH5,$AH$5:$AH$20))</f>
        <v>1</v>
      </c>
      <c r="AJ5" s="272">
        <f>IF(AND(+AF5&gt;0,+AG5&gt;0),+AF5/AG5,0)</f>
        <v>1.2857142857142858</v>
      </c>
      <c r="AK5" s="258">
        <f>IF(+AJ5&gt;0,RANK(AJ5,$AJ$5:$AJ$20),"")</f>
        <v>4</v>
      </c>
      <c r="AL5" s="291">
        <v>3</v>
      </c>
    </row>
    <row r="6" spans="1:38" x14ac:dyDescent="0.3">
      <c r="A6">
        <v>4</v>
      </c>
      <c r="B6" s="88" t="s">
        <v>153</v>
      </c>
      <c r="C6" s="120"/>
      <c r="D6" s="224"/>
      <c r="E6" s="38">
        <v>4</v>
      </c>
      <c r="F6" s="38">
        <v>5</v>
      </c>
      <c r="G6" s="38"/>
      <c r="H6" s="74" t="str">
        <f>VLOOKUP(E6,A$3:B$10,2,0)</f>
        <v xml:space="preserve">Reitspies D </v>
      </c>
      <c r="I6" s="75" t="s">
        <v>86</v>
      </c>
      <c r="J6" s="74" t="str">
        <f>VLOOKUP(F6,A$3:B$10,2,0)</f>
        <v xml:space="preserve">Abbasi A </v>
      </c>
      <c r="K6" s="59">
        <v>3</v>
      </c>
      <c r="L6" s="28">
        <v>2</v>
      </c>
      <c r="M6" s="199"/>
      <c r="N6" s="172"/>
      <c r="O6" s="271"/>
      <c r="P6" s="301" t="str">
        <f>IF(P5="","",IF(P5=3,"V","D"))</f>
        <v/>
      </c>
      <c r="Q6" s="302"/>
      <c r="R6" s="293" t="str">
        <f>IF($O$5=0,"",IF(R5+S5=0,+$D$1,IF(R5=3,"V","D")))</f>
        <v>V</v>
      </c>
      <c r="S6" s="294"/>
      <c r="T6" s="293" t="str">
        <f t="shared" ref="T6" si="0">IF($O$5=0,"",IF(T5+U5=0,+$D$1,IF(T5=3,"V","D")))</f>
        <v>V</v>
      </c>
      <c r="U6" s="294"/>
      <c r="V6" s="293" t="str">
        <f t="shared" ref="V6" si="1">IF($O$5=0,"",IF(V5+W5=0,+$D$1,IF(V5=3,"V","D")))</f>
        <v>V</v>
      </c>
      <c r="W6" s="294"/>
      <c r="X6" s="293" t="str">
        <f t="shared" ref="X6" si="2">IF($O$5=0,"",IF(X5+Y5=0,+$D$1,IF(X5=3,"V","D")))</f>
        <v>D</v>
      </c>
      <c r="Y6" s="294"/>
      <c r="Z6" s="293" t="str">
        <f t="shared" ref="Z6" si="3">IF($O$5=0,"",IF(Z5+AA5=0,+$D$1,IF(Z5=3,"V","D")))</f>
        <v>D</v>
      </c>
      <c r="AA6" s="294"/>
      <c r="AB6" s="293" t="str">
        <f t="shared" ref="AB6" si="4">IF($O$5=0,"",IF(AB5+AC5=0,+$D$1,IF(AB5=3,"V","D")))</f>
        <v>V</v>
      </c>
      <c r="AC6" s="294"/>
      <c r="AD6" s="293" t="str">
        <f t="shared" ref="AD6" si="5">IF($O$5=0,"",IF(AD5+AE5=0,+$D$1,IF(AD5=3,"V","D")))</f>
        <v>V</v>
      </c>
      <c r="AE6" s="294"/>
      <c r="AF6" s="296"/>
      <c r="AG6" s="298"/>
      <c r="AH6" s="300"/>
      <c r="AI6" s="265"/>
      <c r="AJ6" s="273"/>
      <c r="AK6" s="259"/>
      <c r="AL6" s="292"/>
    </row>
    <row r="7" spans="1:38" ht="15" customHeight="1" x14ac:dyDescent="0.3">
      <c r="A7">
        <v>5</v>
      </c>
      <c r="B7" s="88" t="s">
        <v>152</v>
      </c>
      <c r="C7" s="93"/>
      <c r="H7" s="72"/>
      <c r="I7" s="72"/>
      <c r="J7" s="72"/>
      <c r="K7" s="40"/>
      <c r="L7" s="40"/>
      <c r="M7" s="199">
        <v>2</v>
      </c>
      <c r="N7" s="270">
        <f>+AL7</f>
        <v>7</v>
      </c>
      <c r="O7" s="270" t="str">
        <f>VLOOKUP(M7,$A$3:$B$10,2)</f>
        <v>Tymofieiev O</v>
      </c>
      <c r="P7" s="109">
        <f>+S5</f>
        <v>0</v>
      </c>
      <c r="Q7" s="110">
        <f>+R5</f>
        <v>3</v>
      </c>
      <c r="R7" s="107"/>
      <c r="S7" s="108"/>
      <c r="T7" s="109">
        <f>+K16</f>
        <v>1</v>
      </c>
      <c r="U7" s="110">
        <f>+L16</f>
        <v>3</v>
      </c>
      <c r="V7" s="109">
        <f>+K29</f>
        <v>0</v>
      </c>
      <c r="W7" s="110">
        <f>+L29</f>
        <v>3</v>
      </c>
      <c r="X7" s="111">
        <f>+K10</f>
        <v>0</v>
      </c>
      <c r="Y7" s="111">
        <f>+L10</f>
        <v>3</v>
      </c>
      <c r="Z7" s="109">
        <f>+K25</f>
        <v>3</v>
      </c>
      <c r="AA7" s="110">
        <f>+L25</f>
        <v>1</v>
      </c>
      <c r="AB7" s="109">
        <f>+K4</f>
        <v>3</v>
      </c>
      <c r="AC7" s="110">
        <f>+L4</f>
        <v>1</v>
      </c>
      <c r="AD7" s="109">
        <f>+K21</f>
        <v>0</v>
      </c>
      <c r="AE7" s="112">
        <f>+L21</f>
        <v>3</v>
      </c>
      <c r="AF7" s="295">
        <f>+P7+R7+T7+V7+X7+Z7+AB7+AD7</f>
        <v>7</v>
      </c>
      <c r="AG7" s="297">
        <f>+Q7+S7+U7+W7+Y7+AA7+AC7+AE7</f>
        <v>17</v>
      </c>
      <c r="AH7" s="299">
        <f>COUNTIF(P8:AE8,"V")</f>
        <v>2</v>
      </c>
      <c r="AI7" s="264">
        <f t="shared" ref="AI7" si="6">IF(O7=0,"",RANK(AH7,$AH$5:$AH$20))</f>
        <v>6</v>
      </c>
      <c r="AJ7" s="272">
        <f t="shared" ref="AJ7" si="7">IF(AND(+AF7&gt;0,+AG7&gt;0),+AF7/AG7,0)</f>
        <v>0.41176470588235292</v>
      </c>
      <c r="AK7" s="258">
        <f t="shared" ref="AK7:AK9" si="8">IF(+AJ7&gt;0,RANK(AJ7,$AJ$5:$AJ$20),"")</f>
        <v>7</v>
      </c>
      <c r="AL7" s="291">
        <v>7</v>
      </c>
    </row>
    <row r="8" spans="1:38" ht="15" customHeight="1" x14ac:dyDescent="0.3">
      <c r="A8">
        <v>6</v>
      </c>
      <c r="B8" s="88" t="s">
        <v>151</v>
      </c>
      <c r="C8" s="120"/>
      <c r="D8" s="222" t="s">
        <v>88</v>
      </c>
      <c r="E8" s="42">
        <v>1</v>
      </c>
      <c r="F8" s="42">
        <v>7</v>
      </c>
      <c r="G8" s="42"/>
      <c r="H8" s="70" t="str">
        <f>VLOOKUP(E8,A$3:B$10,2,0)</f>
        <v xml:space="preserve">Pryshchepa I </v>
      </c>
      <c r="I8" s="71" t="s">
        <v>86</v>
      </c>
      <c r="J8" s="70" t="str">
        <f>VLOOKUP(F8,A$3:B$10,2,0)</f>
        <v xml:space="preserve">Tregler T </v>
      </c>
      <c r="K8" s="32">
        <v>3</v>
      </c>
      <c r="L8" s="33">
        <v>2</v>
      </c>
      <c r="M8" s="199"/>
      <c r="N8" s="172"/>
      <c r="O8" s="271"/>
      <c r="P8" s="293" t="str">
        <f>IF($O$5=0,"",IF(P7+Q7=0,+$D$1,IF(P7=3,"V","D")))</f>
        <v>D</v>
      </c>
      <c r="Q8" s="294"/>
      <c r="R8" s="303"/>
      <c r="S8" s="304"/>
      <c r="T8" s="293" t="str">
        <f t="shared" ref="T8" si="9">IF($O$5=0,"",IF(T7+U7=0,+$D$1,IF(T7=3,"V","D")))</f>
        <v>D</v>
      </c>
      <c r="U8" s="294"/>
      <c r="V8" s="293" t="str">
        <f t="shared" ref="V8" si="10">IF($O$5=0,"",IF(V7+W7=0,+$D$1,IF(V7=3,"V","D")))</f>
        <v>D</v>
      </c>
      <c r="W8" s="294"/>
      <c r="X8" s="293" t="str">
        <f t="shared" ref="X8" si="11">IF($O$5=0,"",IF(X7+Y7=0,+$D$1,IF(X7=3,"V","D")))</f>
        <v>D</v>
      </c>
      <c r="Y8" s="294"/>
      <c r="Z8" s="293" t="str">
        <f t="shared" ref="Z8" si="12">IF($O$5=0,"",IF(Z7+AA7=0,+$D$1,IF(Z7=3,"V","D")))</f>
        <v>V</v>
      </c>
      <c r="AA8" s="294"/>
      <c r="AB8" s="293" t="str">
        <f t="shared" ref="AB8" si="13">IF($O$5=0,"",IF(AB7+AC7=0,+$D$1,IF(AB7=3,"V","D")))</f>
        <v>V</v>
      </c>
      <c r="AC8" s="294"/>
      <c r="AD8" s="293" t="str">
        <f t="shared" ref="AD8" si="14">IF($O$5=0,"",IF(AD7+AE7=0,+$D$1,IF(AD7=3,"V","D")))</f>
        <v>D</v>
      </c>
      <c r="AE8" s="294"/>
      <c r="AF8" s="296"/>
      <c r="AG8" s="298"/>
      <c r="AH8" s="300"/>
      <c r="AI8" s="265"/>
      <c r="AJ8" s="273"/>
      <c r="AK8" s="259"/>
      <c r="AL8" s="292"/>
    </row>
    <row r="9" spans="1:38" ht="15" customHeight="1" x14ac:dyDescent="0.3">
      <c r="A9">
        <v>7</v>
      </c>
      <c r="B9" s="88" t="s">
        <v>150</v>
      </c>
      <c r="D9" s="223"/>
      <c r="E9">
        <v>6</v>
      </c>
      <c r="F9">
        <v>8</v>
      </c>
      <c r="H9" s="72" t="str">
        <f>VLOOKUP(E9,A$3:B$10,2,0)</f>
        <v>Kveton O</v>
      </c>
      <c r="I9" s="73" t="s">
        <v>86</v>
      </c>
      <c r="J9" s="72" t="str">
        <f>VLOOKUP(F9,A$3:B$10,2,0)</f>
        <v>Yefimov V</v>
      </c>
      <c r="K9" s="31">
        <v>0</v>
      </c>
      <c r="L9" s="57">
        <v>3</v>
      </c>
      <c r="M9" s="199">
        <v>3</v>
      </c>
      <c r="N9" s="270">
        <f t="shared" ref="N9" si="15">+AL9</f>
        <v>2</v>
      </c>
      <c r="O9" s="270" t="str">
        <f>VLOOKUP(M9,$A$3:$B$10,2)</f>
        <v>Ruiz R</v>
      </c>
      <c r="P9" s="109">
        <f>+U5</f>
        <v>2</v>
      </c>
      <c r="Q9" s="110">
        <f>+T5</f>
        <v>3</v>
      </c>
      <c r="R9" s="109">
        <f>+U7</f>
        <v>3</v>
      </c>
      <c r="S9" s="110">
        <f>+T7</f>
        <v>1</v>
      </c>
      <c r="T9" s="107"/>
      <c r="U9" s="108"/>
      <c r="V9" s="109">
        <f>+K11</f>
        <v>3</v>
      </c>
      <c r="W9" s="110">
        <f>+L11</f>
        <v>0</v>
      </c>
      <c r="X9" s="111">
        <f>+K24</f>
        <v>1</v>
      </c>
      <c r="Y9" s="111">
        <f>+L24</f>
        <v>3</v>
      </c>
      <c r="Z9" s="109">
        <f>+K5</f>
        <v>3</v>
      </c>
      <c r="AA9" s="110">
        <f>+L5</f>
        <v>0</v>
      </c>
      <c r="AB9" s="109">
        <f>+K20</f>
        <v>3</v>
      </c>
      <c r="AC9" s="110">
        <f>+L20</f>
        <v>0</v>
      </c>
      <c r="AD9" s="109">
        <f>+K34</f>
        <v>3</v>
      </c>
      <c r="AE9" s="112">
        <f>+L34</f>
        <v>1</v>
      </c>
      <c r="AF9" s="295">
        <f>+P9+R9+T9+V9+X9+Z9+AB9+AD9</f>
        <v>18</v>
      </c>
      <c r="AG9" s="297">
        <f>+Q9+S9+U9+W9+Y9+AA9+AC9+AE9</f>
        <v>8</v>
      </c>
      <c r="AH9" s="299">
        <f>COUNTIF(P10:AE10,"V")</f>
        <v>5</v>
      </c>
      <c r="AI9" s="264">
        <f t="shared" ref="AI9" si="16">IF(O9=0,"",RANK(AH9,$AH$5:$AH$20))</f>
        <v>1</v>
      </c>
      <c r="AJ9" s="272">
        <f>IF(AND(+AF9&gt;0,+AG9&gt;0),+AF9/AG9,0)</f>
        <v>2.25</v>
      </c>
      <c r="AK9" s="258">
        <f t="shared" si="8"/>
        <v>1</v>
      </c>
      <c r="AL9" s="291">
        <v>2</v>
      </c>
    </row>
    <row r="10" spans="1:38" ht="15" customHeight="1" x14ac:dyDescent="0.3">
      <c r="A10">
        <v>8</v>
      </c>
      <c r="B10" s="89" t="s">
        <v>149</v>
      </c>
      <c r="D10" s="223"/>
      <c r="E10">
        <v>2</v>
      </c>
      <c r="F10">
        <v>5</v>
      </c>
      <c r="H10" s="72" t="str">
        <f>VLOOKUP(E10,A$3:B$10,2,0)</f>
        <v>Tymofieiev O</v>
      </c>
      <c r="I10" s="73" t="s">
        <v>86</v>
      </c>
      <c r="J10" s="72" t="str">
        <f>VLOOKUP(F10,A$3:B$10,2,0)</f>
        <v xml:space="preserve">Abbasi A </v>
      </c>
      <c r="K10" s="31">
        <v>0</v>
      </c>
      <c r="L10" s="57">
        <v>3</v>
      </c>
      <c r="M10" s="199"/>
      <c r="N10" s="172"/>
      <c r="O10" s="271"/>
      <c r="P10" s="293" t="str">
        <f t="shared" ref="P10" si="17">IF($O$5=0,"",IF(P9+Q9=0,+$D$1,IF(P9=3,"V","D")))</f>
        <v>D</v>
      </c>
      <c r="Q10" s="294"/>
      <c r="R10" s="293" t="str">
        <f t="shared" ref="R10" si="18">IF($O$5=0,"",IF(R9+S9=0,+$D$1,IF(R9=3,"V","D")))</f>
        <v>V</v>
      </c>
      <c r="S10" s="294"/>
      <c r="T10" s="303"/>
      <c r="U10" s="304"/>
      <c r="V10" s="293" t="str">
        <f t="shared" ref="V10" si="19">IF($O$5=0,"",IF(V9+W9=0,+$D$1,IF(V9=3,"V","D")))</f>
        <v>V</v>
      </c>
      <c r="W10" s="294"/>
      <c r="X10" s="293" t="str">
        <f t="shared" ref="X10" si="20">IF($O$5=0,"",IF(X9+Y9=0,+$D$1,IF(X9=3,"V","D")))</f>
        <v>D</v>
      </c>
      <c r="Y10" s="294"/>
      <c r="Z10" s="293" t="str">
        <f t="shared" ref="Z10" si="21">IF($O$5=0,"",IF(Z9+AA9=0,+$D$1,IF(Z9=3,"V","D")))</f>
        <v>V</v>
      </c>
      <c r="AA10" s="294"/>
      <c r="AB10" s="293" t="str">
        <f t="shared" ref="AB10" si="22">IF($O$5=0,"",IF(AB9+AC9=0,+$D$1,IF(AB9=3,"V","D")))</f>
        <v>V</v>
      </c>
      <c r="AC10" s="294"/>
      <c r="AD10" s="293" t="str">
        <f t="shared" ref="AD10" si="23">IF($O$5=0,"",IF(AD9+AE9=0,+$D$1,IF(AD9=3,"V","D")))</f>
        <v>V</v>
      </c>
      <c r="AE10" s="294"/>
      <c r="AF10" s="296"/>
      <c r="AG10" s="298"/>
      <c r="AH10" s="300"/>
      <c r="AI10" s="265"/>
      <c r="AJ10" s="273"/>
      <c r="AK10" s="259"/>
      <c r="AL10" s="292"/>
    </row>
    <row r="11" spans="1:38" ht="15" customHeight="1" x14ac:dyDescent="0.3">
      <c r="D11" s="224"/>
      <c r="E11" s="38">
        <v>3</v>
      </c>
      <c r="F11" s="38">
        <v>4</v>
      </c>
      <c r="G11" s="38"/>
      <c r="H11" s="74" t="str">
        <f>VLOOKUP(E11,A$3:B$10,2,0)</f>
        <v>Ruiz R</v>
      </c>
      <c r="I11" s="75" t="s">
        <v>86</v>
      </c>
      <c r="J11" s="74" t="str">
        <f>VLOOKUP(F11,A$3:B$10,2,0)</f>
        <v xml:space="preserve">Reitspies D </v>
      </c>
      <c r="K11" s="59">
        <v>3</v>
      </c>
      <c r="L11" s="28">
        <v>0</v>
      </c>
      <c r="M11" s="199">
        <v>4</v>
      </c>
      <c r="N11" s="270">
        <f t="shared" ref="N11" si="24">+AL11</f>
        <v>5</v>
      </c>
      <c r="O11" s="270" t="str">
        <f>VLOOKUP(M11,$A$3:$B$10,2)</f>
        <v xml:space="preserve">Reitspies D </v>
      </c>
      <c r="P11" s="113">
        <f>IF(+W5="",0,+W5)</f>
        <v>2</v>
      </c>
      <c r="Q11" s="114">
        <f>IF(+V5="",0,+V5)</f>
        <v>3</v>
      </c>
      <c r="R11" s="109">
        <f>IF(+W7="",0,W7)</f>
        <v>3</v>
      </c>
      <c r="S11" s="111">
        <f>IF(+V7="",0,V7)</f>
        <v>0</v>
      </c>
      <c r="T11" s="109">
        <f>IF(+W9="",0,W9)</f>
        <v>0</v>
      </c>
      <c r="U11" s="111">
        <f>IF(+V9="",0,V9)</f>
        <v>3</v>
      </c>
      <c r="V11" s="107"/>
      <c r="W11" s="108"/>
      <c r="X11" s="111">
        <f>+K6</f>
        <v>3</v>
      </c>
      <c r="Y11" s="111">
        <f>+L6</f>
        <v>2</v>
      </c>
      <c r="Z11" s="109">
        <f>+K19</f>
        <v>3</v>
      </c>
      <c r="AA11" s="110">
        <f>+L19</f>
        <v>1</v>
      </c>
      <c r="AB11" s="109">
        <f>+K35</f>
        <v>3</v>
      </c>
      <c r="AC11" s="110">
        <f>+L35</f>
        <v>0</v>
      </c>
      <c r="AD11" s="109">
        <f>+K15</f>
        <v>1</v>
      </c>
      <c r="AE11" s="112">
        <f>+L15</f>
        <v>3</v>
      </c>
      <c r="AF11" s="295">
        <f>+P11+R11+T11+V11+X11+Z11+AB11+AD11</f>
        <v>15</v>
      </c>
      <c r="AG11" s="297">
        <f>+Q11+S11+U11+W11+Y11+AA11+AC11+AE11</f>
        <v>12</v>
      </c>
      <c r="AH11" s="299">
        <f>COUNTIF(P12:AE12,"V")</f>
        <v>4</v>
      </c>
      <c r="AI11" s="264">
        <f t="shared" ref="AI11" si="25">IF(O11=0,"",RANK(AH11,$AH$5:$AH$20))</f>
        <v>4</v>
      </c>
      <c r="AJ11" s="272">
        <f t="shared" ref="AJ11" si="26">IF(AND(+AF11&gt;0,+AG11&gt;0),+AF11/AG11,0)</f>
        <v>1.25</v>
      </c>
      <c r="AK11" s="258">
        <f t="shared" ref="AK11" si="27">IF(+AJ11&gt;0,RANK(AJ11,$AJ$5:$AJ$20),"")</f>
        <v>5</v>
      </c>
      <c r="AL11" s="291">
        <v>5</v>
      </c>
    </row>
    <row r="12" spans="1:38" ht="15" customHeight="1" x14ac:dyDescent="0.3">
      <c r="B12" s="93" t="s">
        <v>133</v>
      </c>
      <c r="C12" s="93"/>
      <c r="H12" s="72"/>
      <c r="I12" s="72"/>
      <c r="J12" s="72"/>
      <c r="K12" s="40"/>
      <c r="L12" s="40"/>
      <c r="M12" s="199"/>
      <c r="N12" s="172"/>
      <c r="O12" s="271"/>
      <c r="P12" s="293" t="str">
        <f t="shared" ref="P12" si="28">IF($O$5=0,"",IF(P11+Q11=0,+$D$1,IF(P11=3,"V","D")))</f>
        <v>D</v>
      </c>
      <c r="Q12" s="294"/>
      <c r="R12" s="293" t="str">
        <f t="shared" ref="R12" si="29">IF($O$5=0,"",IF(R11+S11=0,+$D$1,IF(R11=3,"V","D")))</f>
        <v>V</v>
      </c>
      <c r="S12" s="294"/>
      <c r="T12" s="293" t="str">
        <f t="shared" ref="T12" si="30">IF($O$5=0,"",IF(T11+U11=0,+$D$1,IF(T11=3,"V","D")))</f>
        <v>D</v>
      </c>
      <c r="U12" s="294"/>
      <c r="V12" s="303"/>
      <c r="W12" s="304"/>
      <c r="X12" s="293" t="str">
        <f t="shared" ref="X12" si="31">IF($O$5=0,"",IF(X11+Y11=0,+$D$1,IF(X11=3,"V","D")))</f>
        <v>V</v>
      </c>
      <c r="Y12" s="294"/>
      <c r="Z12" s="293" t="str">
        <f t="shared" ref="Z12" si="32">IF($O$5=0,"",IF(Z11+AA11=0,+$D$1,IF(Z11=3,"V","D")))</f>
        <v>V</v>
      </c>
      <c r="AA12" s="294"/>
      <c r="AB12" s="293" t="str">
        <f t="shared" ref="AB12" si="33">IF($O$5=0,"",IF(AB11+AC11=0,+$D$1,IF(AB11=3,"V","D")))</f>
        <v>V</v>
      </c>
      <c r="AC12" s="294"/>
      <c r="AD12" s="293" t="str">
        <f t="shared" ref="AD12" si="34">IF($O$5=0,"",IF(AD11+AE11=0,+$D$1,IF(AD11=3,"V","D")))</f>
        <v>D</v>
      </c>
      <c r="AE12" s="294"/>
      <c r="AF12" s="296"/>
      <c r="AG12" s="298"/>
      <c r="AH12" s="300"/>
      <c r="AI12" s="265"/>
      <c r="AJ12" s="273"/>
      <c r="AK12" s="259"/>
      <c r="AL12" s="292"/>
    </row>
    <row r="13" spans="1:38" ht="15" customHeight="1" x14ac:dyDescent="0.3">
      <c r="B13" s="93" t="s">
        <v>131</v>
      </c>
      <c r="C13" s="93"/>
      <c r="D13" s="222" t="s">
        <v>89</v>
      </c>
      <c r="E13" s="42">
        <v>1</v>
      </c>
      <c r="F13" s="42">
        <v>6</v>
      </c>
      <c r="G13" s="42"/>
      <c r="H13" s="70" t="str">
        <f>VLOOKUP(E13,A$3:B$10,2,0)</f>
        <v xml:space="preserve">Pryshchepa I </v>
      </c>
      <c r="I13" s="71" t="s">
        <v>86</v>
      </c>
      <c r="J13" s="70" t="str">
        <f>VLOOKUP(F13,A$3:B$10,2,0)</f>
        <v>Kveton O</v>
      </c>
      <c r="K13" s="32">
        <v>2</v>
      </c>
      <c r="L13" s="33">
        <v>3</v>
      </c>
      <c r="M13" s="199">
        <v>5</v>
      </c>
      <c r="N13" s="270">
        <f t="shared" ref="N13" si="35">+AL13</f>
        <v>1</v>
      </c>
      <c r="O13" s="270" t="str">
        <f>VLOOKUP(M13,$A$3:$B$10,2)</f>
        <v xml:space="preserve">Abbasi A </v>
      </c>
      <c r="P13" s="109">
        <f>IF(+Y5="",0,Y5)</f>
        <v>3</v>
      </c>
      <c r="Q13" s="110">
        <f>IF(+X5="",0,X5)</f>
        <v>1</v>
      </c>
      <c r="R13" s="113">
        <f>IF(+Y7="",0,+Y7)</f>
        <v>3</v>
      </c>
      <c r="S13" s="115">
        <f>IF(+X7="",0,+X7)</f>
        <v>0</v>
      </c>
      <c r="T13" s="109">
        <f>IF(+Y9="",0,+Y9)</f>
        <v>3</v>
      </c>
      <c r="U13" s="111">
        <f>IF(+X9="",0,+X9)</f>
        <v>1</v>
      </c>
      <c r="V13" s="109">
        <f>+Y11</f>
        <v>2</v>
      </c>
      <c r="W13" s="110">
        <f>+X11</f>
        <v>3</v>
      </c>
      <c r="X13" s="107"/>
      <c r="Y13" s="108"/>
      <c r="Z13" s="109">
        <f>+K36</f>
        <v>2</v>
      </c>
      <c r="AA13" s="110">
        <f>+L36</f>
        <v>3</v>
      </c>
      <c r="AB13" s="109">
        <f>+K14</f>
        <v>3</v>
      </c>
      <c r="AC13" s="110">
        <f>+L14</f>
        <v>1</v>
      </c>
      <c r="AD13" s="109">
        <f>+K30</f>
        <v>3</v>
      </c>
      <c r="AE13" s="112">
        <f>+L30</f>
        <v>0</v>
      </c>
      <c r="AF13" s="295">
        <f>+P13+R13+T13+V13+X13+Z13+AB13+AD13</f>
        <v>19</v>
      </c>
      <c r="AG13" s="297">
        <f>+Q13+S13+U13+W13+Y13+AA13+AC13+AE13</f>
        <v>9</v>
      </c>
      <c r="AH13" s="299">
        <f>COUNTIF(P14:AE14,"V")</f>
        <v>5</v>
      </c>
      <c r="AI13" s="264">
        <f t="shared" ref="AI13" si="36">IF(O13=0,"",RANK(AH13,$AH$5:$AH$20))</f>
        <v>1</v>
      </c>
      <c r="AJ13" s="272">
        <f t="shared" ref="AJ13" si="37">IF(AND(+AF13&gt;0,+AG13&gt;0),+AF13/AG13,0)</f>
        <v>2.1111111111111112</v>
      </c>
      <c r="AK13" s="258">
        <f t="shared" ref="AK13" si="38">IF(+AJ13&gt;0,RANK(AJ13,$AJ$5:$AJ$20),"")</f>
        <v>2</v>
      </c>
      <c r="AL13" s="291">
        <v>1</v>
      </c>
    </row>
    <row r="14" spans="1:38" ht="15" customHeight="1" x14ac:dyDescent="0.3">
      <c r="B14" s="93" t="s">
        <v>155</v>
      </c>
      <c r="D14" s="223"/>
      <c r="E14">
        <v>5</v>
      </c>
      <c r="F14">
        <v>7</v>
      </c>
      <c r="H14" s="72" t="str">
        <f>VLOOKUP(E14,A$3:B$10,2,0)</f>
        <v xml:space="preserve">Abbasi A </v>
      </c>
      <c r="I14" s="73" t="s">
        <v>86</v>
      </c>
      <c r="J14" s="72" t="str">
        <f>VLOOKUP(F14,A$3:B$10,2,0)</f>
        <v xml:space="preserve">Tregler T </v>
      </c>
      <c r="K14" s="31">
        <v>3</v>
      </c>
      <c r="L14" s="57">
        <v>1</v>
      </c>
      <c r="M14" s="199"/>
      <c r="N14" s="172"/>
      <c r="O14" s="271"/>
      <c r="P14" s="293" t="str">
        <f t="shared" ref="P14" si="39">IF($O$5=0,"",IF(P13+Q13=0,+$D$1,IF(P13=3,"V","D")))</f>
        <v>V</v>
      </c>
      <c r="Q14" s="294"/>
      <c r="R14" s="293" t="str">
        <f t="shared" ref="R14" si="40">IF($O$5=0,"",IF(R13+S13=0,+$D$1,IF(R13=3,"V","D")))</f>
        <v>V</v>
      </c>
      <c r="S14" s="294"/>
      <c r="T14" s="293" t="str">
        <f t="shared" ref="T14" si="41">IF($O$5=0,"",IF(T13+U13=0,+$D$1,IF(T13=3,"V","D")))</f>
        <v>V</v>
      </c>
      <c r="U14" s="294"/>
      <c r="V14" s="293" t="str">
        <f t="shared" ref="V14" si="42">IF($O$5=0,"",IF(V13+W13=0,+$D$1,IF(V13=3,"V","D")))</f>
        <v>D</v>
      </c>
      <c r="W14" s="294"/>
      <c r="X14" s="303"/>
      <c r="Y14" s="304"/>
      <c r="Z14" s="293" t="str">
        <f t="shared" ref="Z14" si="43">IF($O$5=0,"",IF(Z13+AA13=0,+$D$1,IF(Z13=3,"V","D")))</f>
        <v>D</v>
      </c>
      <c r="AA14" s="294"/>
      <c r="AB14" s="293" t="str">
        <f t="shared" ref="AB14" si="44">IF($O$5=0,"",IF(AB13+AC13=0,+$D$1,IF(AB13=3,"V","D")))</f>
        <v>V</v>
      </c>
      <c r="AC14" s="294"/>
      <c r="AD14" s="293" t="str">
        <f t="shared" ref="AD14" si="45">IF($O$5=0,"",IF(AD13+AE13=0,+$D$1,IF(AD13=3,"V","D")))</f>
        <v>V</v>
      </c>
      <c r="AE14" s="294"/>
      <c r="AF14" s="296"/>
      <c r="AG14" s="298"/>
      <c r="AH14" s="300"/>
      <c r="AI14" s="265"/>
      <c r="AJ14" s="273"/>
      <c r="AK14" s="259"/>
      <c r="AL14" s="292"/>
    </row>
    <row r="15" spans="1:38" ht="15" customHeight="1" x14ac:dyDescent="0.3">
      <c r="B15" s="20" t="s">
        <v>135</v>
      </c>
      <c r="C15" s="93"/>
      <c r="D15" s="223"/>
      <c r="E15">
        <v>4</v>
      </c>
      <c r="F15">
        <v>8</v>
      </c>
      <c r="H15" s="72" t="str">
        <f>VLOOKUP(E15,A$3:B$10,2,0)</f>
        <v xml:space="preserve">Reitspies D </v>
      </c>
      <c r="I15" s="73" t="s">
        <v>86</v>
      </c>
      <c r="J15" s="72" t="str">
        <f>VLOOKUP(F15,A$3:B$10,2,0)</f>
        <v>Yefimov V</v>
      </c>
      <c r="K15" s="31">
        <v>1</v>
      </c>
      <c r="L15" s="57">
        <v>3</v>
      </c>
      <c r="M15" s="199">
        <v>6</v>
      </c>
      <c r="N15" s="270">
        <f t="shared" ref="N15" si="46">+AL15</f>
        <v>6</v>
      </c>
      <c r="O15" s="270" t="str">
        <f>VLOOKUP(M15,$A$3:$B$10,2)</f>
        <v>Kveton O</v>
      </c>
      <c r="P15" s="113">
        <f>IF(+AA5="","0",+AA5)</f>
        <v>3</v>
      </c>
      <c r="Q15" s="114">
        <f>IF(+Z5="",0,+Z5)</f>
        <v>2</v>
      </c>
      <c r="R15" s="113">
        <f>IF(+AA7="",0,AA7)</f>
        <v>1</v>
      </c>
      <c r="S15" s="115">
        <f>IF(+Z7="",0,Z7)</f>
        <v>3</v>
      </c>
      <c r="T15" s="109">
        <f>+AA9</f>
        <v>0</v>
      </c>
      <c r="U15" s="110">
        <f>+Z9</f>
        <v>3</v>
      </c>
      <c r="V15" s="109">
        <f>+AA11</f>
        <v>1</v>
      </c>
      <c r="W15" s="110">
        <f>+Z11</f>
        <v>3</v>
      </c>
      <c r="X15" s="111">
        <f>+AA13</f>
        <v>3</v>
      </c>
      <c r="Y15" s="111">
        <f>+Z13</f>
        <v>2</v>
      </c>
      <c r="Z15" s="107"/>
      <c r="AA15" s="108"/>
      <c r="AB15" s="109">
        <f>+K31</f>
        <v>2</v>
      </c>
      <c r="AC15" s="110">
        <f>+L31</f>
        <v>3</v>
      </c>
      <c r="AD15" s="109">
        <f>+K9</f>
        <v>0</v>
      </c>
      <c r="AE15" s="112">
        <f>+L9</f>
        <v>3</v>
      </c>
      <c r="AF15" s="295">
        <f>+P15+R15+T15+V15+X15+Z15+AB15+AD15</f>
        <v>10</v>
      </c>
      <c r="AG15" s="297">
        <f>+Q15+S15+U15+W15+Y15+AA15+AC15+AE15</f>
        <v>19</v>
      </c>
      <c r="AH15" s="299">
        <f>COUNTIF(P16:AE16,"V")</f>
        <v>2</v>
      </c>
      <c r="AI15" s="264">
        <f t="shared" ref="AI15" si="47">IF(O15=0,"",RANK(AH15,$AH$5:$AH$20))</f>
        <v>6</v>
      </c>
      <c r="AJ15" s="272">
        <f t="shared" ref="AJ15" si="48">IF(AND(+AF15&gt;0,+AG15&gt;0),+AF15/AG15,0)</f>
        <v>0.52631578947368418</v>
      </c>
      <c r="AK15" s="258">
        <f t="shared" ref="AK15" si="49">IF(+AJ15&gt;0,RANK(AJ15,$AJ$5:$AJ$20),"")</f>
        <v>6</v>
      </c>
      <c r="AL15" s="291">
        <v>6</v>
      </c>
    </row>
    <row r="16" spans="1:38" ht="15" customHeight="1" x14ac:dyDescent="0.3">
      <c r="B16" s="20" t="s">
        <v>136</v>
      </c>
      <c r="D16" s="224"/>
      <c r="E16" s="38">
        <v>2</v>
      </c>
      <c r="F16" s="38">
        <v>3</v>
      </c>
      <c r="G16" s="38"/>
      <c r="H16" s="74" t="str">
        <f>VLOOKUP(E16,A$3:B$10,2,0)</f>
        <v>Tymofieiev O</v>
      </c>
      <c r="I16" s="75" t="s">
        <v>86</v>
      </c>
      <c r="J16" s="74" t="str">
        <f>VLOOKUP(F16,A$3:B$10,2,0)</f>
        <v>Ruiz R</v>
      </c>
      <c r="K16" s="59">
        <v>1</v>
      </c>
      <c r="L16" s="28">
        <v>3</v>
      </c>
      <c r="M16" s="199"/>
      <c r="N16" s="172"/>
      <c r="O16" s="271"/>
      <c r="P16" s="293" t="str">
        <f t="shared" ref="P16" si="50">IF($O$5=0,"",IF(P15+Q15=0,+$D$1,IF(P15=3,"V","D")))</f>
        <v>V</v>
      </c>
      <c r="Q16" s="294"/>
      <c r="R16" s="293" t="str">
        <f t="shared" ref="R16" si="51">IF($O$5=0,"",IF(R15+S15=0,+$D$1,IF(R15=3,"V","D")))</f>
        <v>D</v>
      </c>
      <c r="S16" s="294"/>
      <c r="T16" s="293" t="str">
        <f t="shared" ref="T16" si="52">IF($O$5=0,"",IF(T15+U15=0,+$D$1,IF(T15=3,"V","D")))</f>
        <v>D</v>
      </c>
      <c r="U16" s="294"/>
      <c r="V16" s="293" t="str">
        <f t="shared" ref="V16" si="53">IF($O$5=0,"",IF(V15+W15=0,+$D$1,IF(V15=3,"V","D")))</f>
        <v>D</v>
      </c>
      <c r="W16" s="294"/>
      <c r="X16" s="293" t="str">
        <f t="shared" ref="X16" si="54">IF($O$5=0,"",IF(X15+Y15=0,+$D$1,IF(X15=3,"V","D")))</f>
        <v>V</v>
      </c>
      <c r="Y16" s="294"/>
      <c r="Z16" s="303"/>
      <c r="AA16" s="304"/>
      <c r="AB16" s="293" t="str">
        <f t="shared" ref="AB16" si="55">IF($O$5=0,"",IF(AB15+AC15=0,+$D$1,IF(AB15=3,"V","D")))</f>
        <v>D</v>
      </c>
      <c r="AC16" s="294"/>
      <c r="AD16" s="293" t="str">
        <f t="shared" ref="AD16" si="56">IF($O$5=0,"",IF(AD15+AE15=0,+$D$1,IF(AD15=3,"V","D")))</f>
        <v>D</v>
      </c>
      <c r="AE16" s="294"/>
      <c r="AF16" s="296"/>
      <c r="AG16" s="298"/>
      <c r="AH16" s="300"/>
      <c r="AI16" s="265"/>
      <c r="AJ16" s="273"/>
      <c r="AK16" s="259"/>
      <c r="AL16" s="292"/>
    </row>
    <row r="17" spans="2:40" ht="15" customHeight="1" x14ac:dyDescent="0.3">
      <c r="B17" s="20"/>
      <c r="C17" s="93"/>
      <c r="D17" s="47"/>
      <c r="H17" s="72"/>
      <c r="I17" s="72"/>
      <c r="J17" s="72"/>
      <c r="K17" s="40"/>
      <c r="L17" s="40"/>
      <c r="M17" s="199">
        <v>7</v>
      </c>
      <c r="N17" s="270">
        <f t="shared" ref="N17" si="57">+AL17</f>
        <v>8</v>
      </c>
      <c r="O17" s="270" t="str">
        <f>VLOOKUP(M17,$A$3:$B$10,2)</f>
        <v xml:space="preserve">Tregler T </v>
      </c>
      <c r="P17" s="109">
        <f>+AC5</f>
        <v>2</v>
      </c>
      <c r="Q17" s="110">
        <f>+AB5</f>
        <v>3</v>
      </c>
      <c r="R17" s="109">
        <f>+AC7</f>
        <v>1</v>
      </c>
      <c r="S17" s="110">
        <f>+AB7</f>
        <v>3</v>
      </c>
      <c r="T17" s="109">
        <f>+AC9</f>
        <v>0</v>
      </c>
      <c r="U17" s="110">
        <f>+AB9</f>
        <v>3</v>
      </c>
      <c r="V17" s="109">
        <f>+AC11</f>
        <v>0</v>
      </c>
      <c r="W17" s="110">
        <f>+AB11</f>
        <v>3</v>
      </c>
      <c r="X17" s="115">
        <f>IF(+AC13="",0,+AC13)</f>
        <v>1</v>
      </c>
      <c r="Y17" s="115">
        <f>IF(+AB13="",0,+AB13)</f>
        <v>3</v>
      </c>
      <c r="Z17" s="113">
        <f>IF(+AC15="",0,+AC15)</f>
        <v>3</v>
      </c>
      <c r="AA17" s="115">
        <f>IF(+AB15="",0,+AB15)</f>
        <v>2</v>
      </c>
      <c r="AB17" s="107"/>
      <c r="AC17" s="108"/>
      <c r="AD17" s="109">
        <f>+K26</f>
        <v>1</v>
      </c>
      <c r="AE17" s="112">
        <f>+L26</f>
        <v>3</v>
      </c>
      <c r="AF17" s="295">
        <f>+P17+R17+T17+V17+X17+Z17+AB17+AD17</f>
        <v>8</v>
      </c>
      <c r="AG17" s="297">
        <f>+Q17+S17+U17+W17+Y17+AA17+AC17+AE17</f>
        <v>20</v>
      </c>
      <c r="AH17" s="299">
        <f>COUNTIF(P18:AE18,"V")</f>
        <v>1</v>
      </c>
      <c r="AI17" s="264">
        <f t="shared" ref="AI17" si="58">IF(O17=0,"",RANK(AH17,$AH$5:$AH$20))</f>
        <v>8</v>
      </c>
      <c r="AJ17" s="272">
        <f t="shared" ref="AJ17" si="59">IF(AND(+AF17&gt;0,+AG17&gt;0),+AF17/AG17,0)</f>
        <v>0.4</v>
      </c>
      <c r="AK17" s="258">
        <f t="shared" ref="AK17" si="60">IF(+AJ17&gt;0,RANK(AJ17,$AJ$5:$AJ$20),"")</f>
        <v>8</v>
      </c>
      <c r="AL17" s="291">
        <v>8</v>
      </c>
    </row>
    <row r="18" spans="2:40" ht="15" customHeight="1" x14ac:dyDescent="0.3">
      <c r="B18" s="20"/>
      <c r="C18" s="93"/>
      <c r="D18" s="222" t="s">
        <v>90</v>
      </c>
      <c r="E18" s="42">
        <v>1</v>
      </c>
      <c r="F18" s="42">
        <v>5</v>
      </c>
      <c r="G18" s="42"/>
      <c r="H18" s="70" t="str">
        <f>VLOOKUP(E18,A$3:B$10,2,0)</f>
        <v xml:space="preserve">Pryshchepa I </v>
      </c>
      <c r="I18" s="71" t="s">
        <v>86</v>
      </c>
      <c r="J18" s="70" t="str">
        <f>VLOOKUP(F18,A$3:B$10,2,0)</f>
        <v xml:space="preserve">Abbasi A </v>
      </c>
      <c r="K18" s="32">
        <v>1</v>
      </c>
      <c r="L18" s="33">
        <v>3</v>
      </c>
      <c r="M18" s="199"/>
      <c r="N18" s="172"/>
      <c r="O18" s="271"/>
      <c r="P18" s="293" t="str">
        <f t="shared" ref="P18" si="61">IF($O$5=0,"",IF(P17+Q17=0,+$D$1,IF(P17=3,"V","D")))</f>
        <v>D</v>
      </c>
      <c r="Q18" s="294"/>
      <c r="R18" s="293" t="str">
        <f t="shared" ref="R18" si="62">IF($O$5=0,"",IF(R17+S17=0,+$D$1,IF(R17=3,"V","D")))</f>
        <v>D</v>
      </c>
      <c r="S18" s="294"/>
      <c r="T18" s="293" t="str">
        <f t="shared" ref="T18" si="63">IF($O$5=0,"",IF(T17+U17=0,+$D$1,IF(T17=3,"V","D")))</f>
        <v>D</v>
      </c>
      <c r="U18" s="294"/>
      <c r="V18" s="293" t="str">
        <f t="shared" ref="V18" si="64">IF($O$5=0,"",IF(V17+W17=0,+$D$1,IF(V17=3,"V","D")))</f>
        <v>D</v>
      </c>
      <c r="W18" s="294"/>
      <c r="X18" s="293" t="str">
        <f t="shared" ref="X18" si="65">IF($O$5=0,"",IF(X17+Y17=0,+$D$1,IF(X17=3,"V","D")))</f>
        <v>D</v>
      </c>
      <c r="Y18" s="294"/>
      <c r="Z18" s="293" t="str">
        <f t="shared" ref="Z18" si="66">IF($O$5=0,"",IF(Z17+AA17=0,+$D$1,IF(Z17=3,"V","D")))</f>
        <v>V</v>
      </c>
      <c r="AA18" s="294"/>
      <c r="AB18" s="303"/>
      <c r="AC18" s="304"/>
      <c r="AD18" s="293" t="str">
        <f>IF($O$5=0,"",IF(AD17+AE17=0,+$D$1,IF(AD17=3,"V","D")))</f>
        <v>D</v>
      </c>
      <c r="AE18" s="294"/>
      <c r="AF18" s="296"/>
      <c r="AG18" s="298"/>
      <c r="AH18" s="300"/>
      <c r="AI18" s="265"/>
      <c r="AJ18" s="273"/>
      <c r="AK18" s="259"/>
      <c r="AL18" s="292"/>
    </row>
    <row r="19" spans="2:40" ht="15" customHeight="1" x14ac:dyDescent="0.3">
      <c r="C19" s="93"/>
      <c r="D19" s="223"/>
      <c r="E19">
        <v>4</v>
      </c>
      <c r="F19">
        <v>6</v>
      </c>
      <c r="H19" s="72" t="str">
        <f>VLOOKUP(E19,A$3:B$10,2,0)</f>
        <v xml:space="preserve">Reitspies D </v>
      </c>
      <c r="I19" s="73" t="s">
        <v>86</v>
      </c>
      <c r="J19" s="72" t="str">
        <f>VLOOKUP(F19,A$3:B$10,2,0)</f>
        <v>Kveton O</v>
      </c>
      <c r="K19" s="31">
        <v>3</v>
      </c>
      <c r="L19" s="57">
        <v>1</v>
      </c>
      <c r="M19" s="199">
        <v>8</v>
      </c>
      <c r="N19" s="270">
        <f t="shared" ref="N19" si="67">+AL19</f>
        <v>4</v>
      </c>
      <c r="O19" s="270" t="str">
        <f>VLOOKUP(M19,$A$3:$B$10,2)</f>
        <v>Yefimov V</v>
      </c>
      <c r="P19" s="116">
        <f>+AE5</f>
        <v>2</v>
      </c>
      <c r="Q19" s="117">
        <f>+AD5</f>
        <v>3</v>
      </c>
      <c r="R19" s="116">
        <f>+AE7</f>
        <v>3</v>
      </c>
      <c r="S19" s="117">
        <f>+AD7</f>
        <v>0</v>
      </c>
      <c r="T19" s="109">
        <f>+AE9</f>
        <v>1</v>
      </c>
      <c r="U19" s="111">
        <f>+AD9</f>
        <v>3</v>
      </c>
      <c r="V19" s="113">
        <f>+AE11</f>
        <v>3</v>
      </c>
      <c r="W19" s="114">
        <f>+AD11</f>
        <v>1</v>
      </c>
      <c r="X19" s="118">
        <f>+AE13</f>
        <v>0</v>
      </c>
      <c r="Y19" s="118">
        <f>+AD13</f>
        <v>3</v>
      </c>
      <c r="Z19" s="116">
        <f>+AE15</f>
        <v>3</v>
      </c>
      <c r="AA19" s="117">
        <f>+AD15</f>
        <v>0</v>
      </c>
      <c r="AB19" s="113">
        <f>IF(+AE17="",0,+AE17)</f>
        <v>3</v>
      </c>
      <c r="AC19" s="114">
        <f>IF(+AD17="",0,+AD17)</f>
        <v>1</v>
      </c>
      <c r="AD19" s="107"/>
      <c r="AE19" s="108"/>
      <c r="AF19" s="295">
        <f>+P19+R19+T19+V19+X19+Z19+AB19+AD19</f>
        <v>15</v>
      </c>
      <c r="AG19" s="297">
        <f>+Q19+S19+U19+W19+Y19+AA19+AC19+AE19</f>
        <v>11</v>
      </c>
      <c r="AH19" s="299">
        <f>COUNTIF(P20:AE20,"V")</f>
        <v>4</v>
      </c>
      <c r="AI19" s="264">
        <f t="shared" ref="AI19" si="68">IF(O19=0,"",RANK(AH19,$AH$5:$AH$20))</f>
        <v>4</v>
      </c>
      <c r="AJ19" s="272">
        <f t="shared" ref="AJ19" si="69">IF(AND(+AF19&gt;0,+AG19&gt;0),+AF19/AG19,0)</f>
        <v>1.3636363636363635</v>
      </c>
      <c r="AK19" s="258">
        <f t="shared" ref="AK19" si="70">IF(+AJ19&gt;0,RANK(AJ19,$AJ$5:$AJ$20),"")</f>
        <v>3</v>
      </c>
      <c r="AL19" s="291">
        <v>4</v>
      </c>
    </row>
    <row r="20" spans="2:40" ht="15" customHeight="1" x14ac:dyDescent="0.3">
      <c r="D20" s="223"/>
      <c r="E20">
        <v>3</v>
      </c>
      <c r="F20">
        <v>7</v>
      </c>
      <c r="H20" s="72" t="str">
        <f>VLOOKUP(E20,A$3:B$10,2,0)</f>
        <v>Ruiz R</v>
      </c>
      <c r="I20" s="73" t="s">
        <v>86</v>
      </c>
      <c r="J20" s="72" t="str">
        <f>VLOOKUP(F20,A$3:B$10,2,0)</f>
        <v xml:space="preserve">Tregler T </v>
      </c>
      <c r="K20" s="31">
        <v>3</v>
      </c>
      <c r="L20" s="57">
        <v>0</v>
      </c>
      <c r="M20" s="199"/>
      <c r="N20" s="172"/>
      <c r="O20" s="271"/>
      <c r="P20" s="293" t="str">
        <f t="shared" ref="P20" si="71">IF($O$5=0,"",IF(P19+Q19=0,+$D$1,IF(P19=3,"V","D")))</f>
        <v>D</v>
      </c>
      <c r="Q20" s="294"/>
      <c r="R20" s="293" t="str">
        <f t="shared" ref="R20" si="72">IF($O$5=0,"",IF(R19+S19=0,+$D$1,IF(R19=3,"V","D")))</f>
        <v>V</v>
      </c>
      <c r="S20" s="294"/>
      <c r="T20" s="293" t="str">
        <f t="shared" ref="T20" si="73">IF($O$5=0,"",IF(T19+U19=0,+$D$1,IF(T19=3,"V","D")))</f>
        <v>D</v>
      </c>
      <c r="U20" s="294"/>
      <c r="V20" s="293" t="str">
        <f t="shared" ref="V20" si="74">IF($O$5=0,"",IF(V19+W19=0,+$D$1,IF(V19=3,"V","D")))</f>
        <v>V</v>
      </c>
      <c r="W20" s="294"/>
      <c r="X20" s="293" t="str">
        <f t="shared" ref="X20" si="75">IF($O$5=0,"",IF(X19+Y19=0,+$D$1,IF(X19=3,"V","D")))</f>
        <v>D</v>
      </c>
      <c r="Y20" s="294"/>
      <c r="Z20" s="293" t="str">
        <f t="shared" ref="Z20" si="76">IF($O$5=0,"",IF(Z19+AA19=0,+$D$1,IF(Z19=3,"V","D")))</f>
        <v>V</v>
      </c>
      <c r="AA20" s="294"/>
      <c r="AB20" s="293" t="str">
        <f t="shared" ref="AB20" si="77">IF($O$5=0,"",IF(AB19+AC19=0,+$D$1,IF(AB19=3,"V","D")))</f>
        <v>V</v>
      </c>
      <c r="AC20" s="294"/>
      <c r="AD20" s="303" t="str">
        <f>IF(AD19+AE19=0,"",IF(AD19=3,"V","D"))</f>
        <v/>
      </c>
      <c r="AE20" s="304"/>
      <c r="AF20" s="296"/>
      <c r="AG20" s="298"/>
      <c r="AH20" s="300"/>
      <c r="AI20" s="265"/>
      <c r="AJ20" s="273"/>
      <c r="AK20" s="259"/>
      <c r="AL20" s="292"/>
    </row>
    <row r="21" spans="2:40" ht="16.5" customHeight="1" x14ac:dyDescent="0.3">
      <c r="B21" s="88" t="s">
        <v>141</v>
      </c>
      <c r="D21" s="224"/>
      <c r="E21" s="38">
        <v>2</v>
      </c>
      <c r="F21" s="38">
        <v>8</v>
      </c>
      <c r="G21" s="38"/>
      <c r="H21" s="74" t="str">
        <f>VLOOKUP(E21,A$3:B$10,2,0)</f>
        <v>Tymofieiev O</v>
      </c>
      <c r="I21" s="75" t="s">
        <v>86</v>
      </c>
      <c r="J21" s="74" t="str">
        <f>VLOOKUP(F21,A$3:B$10,2,0)</f>
        <v>Yefimov V</v>
      </c>
      <c r="K21" s="59">
        <v>0</v>
      </c>
      <c r="L21" s="28">
        <v>3</v>
      </c>
    </row>
    <row r="22" spans="2:40" ht="15" customHeight="1" x14ac:dyDescent="0.3">
      <c r="B22" s="88" t="s">
        <v>140</v>
      </c>
      <c r="H22" s="72"/>
      <c r="I22" s="72"/>
      <c r="J22" s="72"/>
      <c r="K22" s="40"/>
      <c r="L22" s="40"/>
      <c r="AC22" s="41"/>
      <c r="AD22" s="41"/>
      <c r="AE22" s="41"/>
      <c r="AF22" s="41"/>
      <c r="AG22" s="41"/>
      <c r="AH22" s="41"/>
      <c r="AI22" s="41"/>
    </row>
    <row r="23" spans="2:40" x14ac:dyDescent="0.3">
      <c r="B23" s="121" t="s">
        <v>132</v>
      </c>
      <c r="D23" s="222" t="s">
        <v>91</v>
      </c>
      <c r="E23" s="42">
        <v>1</v>
      </c>
      <c r="F23" s="42">
        <v>4</v>
      </c>
      <c r="G23" s="42"/>
      <c r="H23" s="70" t="str">
        <f>VLOOKUP(E23,A$3:B$10,2,0)</f>
        <v xml:space="preserve">Pryshchepa I </v>
      </c>
      <c r="I23" s="71" t="s">
        <v>86</v>
      </c>
      <c r="J23" s="70" t="str">
        <f>VLOOKUP(F23,A$3:B$10,2,0)</f>
        <v xml:space="preserve">Reitspies D </v>
      </c>
      <c r="K23" s="32">
        <v>3</v>
      </c>
      <c r="L23" s="33">
        <v>2</v>
      </c>
      <c r="N23" s="251" t="s">
        <v>108</v>
      </c>
      <c r="O23" s="252"/>
      <c r="P23" s="252"/>
      <c r="Q23" s="252"/>
      <c r="R23" s="252"/>
      <c r="S23" s="252"/>
      <c r="T23" s="252"/>
      <c r="U23" s="252"/>
      <c r="V23" s="252"/>
      <c r="W23" s="252"/>
      <c r="X23" s="252"/>
      <c r="Y23" s="253"/>
      <c r="AA23" s="234" t="s">
        <v>74</v>
      </c>
      <c r="AB23" s="235"/>
      <c r="AC23" s="235"/>
      <c r="AD23" s="236"/>
      <c r="AF23" s="234" t="s">
        <v>77</v>
      </c>
      <c r="AG23" s="236"/>
      <c r="AI23" s="234" t="s">
        <v>121</v>
      </c>
      <c r="AJ23" s="235"/>
      <c r="AK23" s="236"/>
    </row>
    <row r="24" spans="2:40" x14ac:dyDescent="0.3">
      <c r="B24" s="88" t="s">
        <v>142</v>
      </c>
      <c r="D24" s="223"/>
      <c r="E24">
        <v>3</v>
      </c>
      <c r="F24">
        <v>5</v>
      </c>
      <c r="H24" s="72" t="str">
        <f>VLOOKUP(E24,A$3:B$10,2,0)</f>
        <v>Ruiz R</v>
      </c>
      <c r="I24" s="73" t="s">
        <v>86</v>
      </c>
      <c r="J24" s="72" t="str">
        <f>VLOOKUP(F24,A$3:B$10,2,0)</f>
        <v xml:space="preserve">Abbasi A </v>
      </c>
      <c r="K24" s="31">
        <v>1</v>
      </c>
      <c r="L24" s="57">
        <v>3</v>
      </c>
      <c r="N24" s="48"/>
      <c r="O24" s="49" t="s">
        <v>111</v>
      </c>
      <c r="P24" s="49"/>
      <c r="Q24" s="49" t="s">
        <v>64</v>
      </c>
      <c r="R24" s="49"/>
      <c r="S24" s="49"/>
      <c r="T24" s="49"/>
      <c r="U24" s="49"/>
      <c r="V24" s="254" t="s">
        <v>95</v>
      </c>
      <c r="W24" s="254"/>
      <c r="X24" s="254"/>
      <c r="Y24" s="255"/>
      <c r="AA24" s="237"/>
      <c r="AB24" s="238"/>
      <c r="AC24" s="238"/>
      <c r="AD24" s="239"/>
      <c r="AF24" s="237"/>
      <c r="AG24" s="239"/>
      <c r="AI24" s="237"/>
      <c r="AJ24" s="238"/>
      <c r="AK24" s="239"/>
    </row>
    <row r="25" spans="2:40" x14ac:dyDescent="0.3">
      <c r="B25" s="88" t="s">
        <v>143</v>
      </c>
      <c r="D25" s="223"/>
      <c r="E25">
        <v>2</v>
      </c>
      <c r="F25">
        <v>6</v>
      </c>
      <c r="H25" s="72" t="str">
        <f>VLOOKUP(E25,A$3:B$10,2,0)</f>
        <v>Tymofieiev O</v>
      </c>
      <c r="I25" s="73" t="s">
        <v>86</v>
      </c>
      <c r="J25" s="72" t="str">
        <f>VLOOKUP(F25,A$3:B$10,2,0)</f>
        <v>Kveton O</v>
      </c>
      <c r="K25" s="31">
        <v>3</v>
      </c>
      <c r="L25" s="57">
        <v>1</v>
      </c>
      <c r="N25" s="48"/>
      <c r="O25" s="51"/>
      <c r="P25" s="51"/>
      <c r="Q25" s="51"/>
      <c r="R25" s="51"/>
      <c r="S25" s="51"/>
      <c r="T25" s="51"/>
      <c r="U25" s="51"/>
      <c r="V25" s="51"/>
      <c r="W25" s="51"/>
      <c r="X25" s="51"/>
      <c r="Y25" s="50"/>
      <c r="AA25" s="48" t="s">
        <v>66</v>
      </c>
      <c r="AB25" s="51"/>
      <c r="AC25" s="51"/>
      <c r="AD25" s="50">
        <v>122.64</v>
      </c>
      <c r="AF25" s="48"/>
      <c r="AG25" s="50">
        <f>+AD25</f>
        <v>122.64</v>
      </c>
      <c r="AI25" s="48" t="s">
        <v>66</v>
      </c>
      <c r="AJ25" s="51"/>
      <c r="AK25" s="102">
        <f>IF(SUM(AK5:AK20)&gt;0,+AG25,0)</f>
        <v>122.64</v>
      </c>
    </row>
    <row r="26" spans="2:40" x14ac:dyDescent="0.3">
      <c r="B26" s="88" t="s">
        <v>144</v>
      </c>
      <c r="D26" s="224"/>
      <c r="E26" s="38">
        <v>7</v>
      </c>
      <c r="F26" s="38">
        <v>8</v>
      </c>
      <c r="G26" s="38"/>
      <c r="H26" s="74" t="str">
        <f>VLOOKUP(E26,A$3:B$10,2,0)</f>
        <v xml:space="preserve">Tregler T </v>
      </c>
      <c r="I26" s="75" t="s">
        <v>86</v>
      </c>
      <c r="J26" s="74" t="str">
        <f>VLOOKUP(F26,A$3:B$10,2,0)</f>
        <v>Yefimov V</v>
      </c>
      <c r="K26" s="59">
        <v>1</v>
      </c>
      <c r="L26" s="28">
        <v>3</v>
      </c>
      <c r="N26" s="48">
        <v>1</v>
      </c>
      <c r="O26" s="51" t="str">
        <f>IF(AK25=0,"",VLOOKUP(N26,N$5:O$20,2,FALSE))</f>
        <v xml:space="preserve">Abbasi A </v>
      </c>
      <c r="P26" s="225" t="s">
        <v>1</v>
      </c>
      <c r="Q26" s="227" t="str">
        <f>IF(P26="","",IF(P26="V",+O26,O27))</f>
        <v>Yefimov V</v>
      </c>
      <c r="R26" s="228"/>
      <c r="S26" s="51"/>
      <c r="T26" s="51"/>
      <c r="U26" s="51"/>
      <c r="V26" s="51"/>
      <c r="W26" s="51"/>
      <c r="X26" s="51"/>
      <c r="Y26" s="50"/>
      <c r="AA26" s="48" t="s">
        <v>76</v>
      </c>
      <c r="AB26" s="51"/>
      <c r="AC26" s="51"/>
      <c r="AD26" s="50">
        <v>40.880000000000003</v>
      </c>
      <c r="AF26" s="48"/>
      <c r="AG26" s="50">
        <f>+AD26*7</f>
        <v>286.16000000000003</v>
      </c>
      <c r="AI26" s="48" t="s">
        <v>67</v>
      </c>
      <c r="AJ26" s="51"/>
      <c r="AK26" s="103">
        <f>AD26*(VLOOKUP(J2,O5:AK20,20,FALSE))</f>
        <v>204.4</v>
      </c>
    </row>
    <row r="27" spans="2:40" ht="18.75" customHeight="1" x14ac:dyDescent="0.35">
      <c r="B27" s="88" t="s">
        <v>145</v>
      </c>
      <c r="H27" s="72"/>
      <c r="I27" s="72"/>
      <c r="J27" s="72"/>
      <c r="K27" s="40"/>
      <c r="L27" s="40"/>
      <c r="N27" s="48">
        <v>4</v>
      </c>
      <c r="O27" s="51" t="str">
        <f>IF(AK25=0,"",VLOOKUP(N27,N$5:O$20,2,0))</f>
        <v>Yefimov V</v>
      </c>
      <c r="P27" s="226"/>
      <c r="Q27" s="229"/>
      <c r="R27" s="230"/>
      <c r="S27" s="51"/>
      <c r="T27" s="51"/>
      <c r="U27" s="225" t="s">
        <v>0</v>
      </c>
      <c r="V27" s="51"/>
      <c r="W27" s="241" t="str">
        <f>IF(U27="V",+Q26,IF(U27="D",Q29,""))</f>
        <v>Yefimov V</v>
      </c>
      <c r="X27" s="242"/>
      <c r="Y27" s="243"/>
      <c r="AA27" s="48" t="s">
        <v>68</v>
      </c>
      <c r="AB27" s="51"/>
      <c r="AC27" s="51"/>
      <c r="AD27" s="50">
        <v>143.08000000000001</v>
      </c>
      <c r="AF27" s="48"/>
      <c r="AG27" s="50">
        <f>+AD27</f>
        <v>143.08000000000001</v>
      </c>
      <c r="AI27" s="48" t="s">
        <v>68</v>
      </c>
      <c r="AJ27" s="51"/>
      <c r="AK27" s="103">
        <f>IF(VLOOKUP(J2,O5:AK20,23,FALSE)&lt;5,+AG27,0)</f>
        <v>143.08000000000001</v>
      </c>
      <c r="AL27" s="92"/>
    </row>
    <row r="28" spans="2:40" ht="15" customHeight="1" x14ac:dyDescent="0.3">
      <c r="B28" s="89" t="s">
        <v>146</v>
      </c>
      <c r="D28" s="222" t="s">
        <v>92</v>
      </c>
      <c r="E28" s="42">
        <v>1</v>
      </c>
      <c r="F28" s="42">
        <v>3</v>
      </c>
      <c r="G28" s="42"/>
      <c r="H28" s="70" t="str">
        <f>VLOOKUP(E28,A$3:B$10,2,0)</f>
        <v xml:space="preserve">Pryshchepa I </v>
      </c>
      <c r="I28" s="71" t="s">
        <v>86</v>
      </c>
      <c r="J28" s="70" t="str">
        <f>VLOOKUP(F28,A$3:B$10,2,0)</f>
        <v>Ruiz R</v>
      </c>
      <c r="K28" s="32">
        <v>3</v>
      </c>
      <c r="L28" s="33">
        <v>2</v>
      </c>
      <c r="N28" s="48"/>
      <c r="O28" s="51"/>
      <c r="P28" s="68"/>
      <c r="Q28" s="51"/>
      <c r="R28" s="51"/>
      <c r="S28" s="51"/>
      <c r="T28" s="51"/>
      <c r="U28" s="240"/>
      <c r="V28" s="51"/>
      <c r="W28" s="244"/>
      <c r="X28" s="245"/>
      <c r="Y28" s="246"/>
      <c r="AA28" s="48" t="s">
        <v>69</v>
      </c>
      <c r="AB28" s="51"/>
      <c r="AC28" s="51"/>
      <c r="AD28" s="50">
        <v>183.96</v>
      </c>
      <c r="AF28" s="48"/>
      <c r="AG28" s="50">
        <f>+AD28</f>
        <v>183.96</v>
      </c>
      <c r="AI28" s="48" t="s">
        <v>69</v>
      </c>
      <c r="AJ28" s="51"/>
      <c r="AK28" s="102">
        <f>IF(+AK25=0,0,IF(OR(Q26=J2,Q29=J2),180,0))</f>
        <v>0</v>
      </c>
    </row>
    <row r="29" spans="2:40" ht="15" customHeight="1" x14ac:dyDescent="0.3">
      <c r="D29" s="223"/>
      <c r="E29">
        <v>2</v>
      </c>
      <c r="F29">
        <v>4</v>
      </c>
      <c r="H29" s="72" t="str">
        <f>VLOOKUP(E29,A$3:B$10,2,0)</f>
        <v>Tymofieiev O</v>
      </c>
      <c r="I29" s="73" t="s">
        <v>86</v>
      </c>
      <c r="J29" s="72" t="str">
        <f>VLOOKUP(F29,A$3:B$10,2,0)</f>
        <v xml:space="preserve">Reitspies D </v>
      </c>
      <c r="K29" s="31">
        <v>0</v>
      </c>
      <c r="L29" s="57">
        <v>3</v>
      </c>
      <c r="N29" s="48">
        <v>2</v>
      </c>
      <c r="O29" s="51" t="str">
        <f>IF(+AK25=0,"",VLOOKUP(N29,N$5:O$20,2,0))</f>
        <v>Ruiz R</v>
      </c>
      <c r="P29" s="225" t="s">
        <v>1</v>
      </c>
      <c r="Q29" s="227" t="str">
        <f>IF(P29="","",IF(P29="V",+O29,O30))</f>
        <v xml:space="preserve">Pryshchepa I </v>
      </c>
      <c r="R29" s="228"/>
      <c r="S29" s="51"/>
      <c r="T29" s="51"/>
      <c r="U29" s="226"/>
      <c r="V29" s="51"/>
      <c r="W29" s="247"/>
      <c r="X29" s="248"/>
      <c r="Y29" s="249"/>
      <c r="AA29" s="48" t="s">
        <v>70</v>
      </c>
      <c r="AB29" s="51"/>
      <c r="AC29" s="51"/>
      <c r="AD29" s="50">
        <v>204.4</v>
      </c>
      <c r="AF29" s="48"/>
      <c r="AG29" s="50">
        <f>+AD29</f>
        <v>204.4</v>
      </c>
      <c r="AI29" s="48" t="s">
        <v>70</v>
      </c>
      <c r="AJ29" s="51"/>
      <c r="AK29" s="102">
        <f>IF(W27=J2,180,0)</f>
        <v>0</v>
      </c>
    </row>
    <row r="30" spans="2:40" ht="15" customHeight="1" x14ac:dyDescent="0.3">
      <c r="D30" s="223"/>
      <c r="E30">
        <v>5</v>
      </c>
      <c r="F30">
        <v>8</v>
      </c>
      <c r="H30" s="72" t="str">
        <f>VLOOKUP(E30,A$3:B$10,2,0)</f>
        <v xml:space="preserve">Abbasi A </v>
      </c>
      <c r="I30" s="73" t="s">
        <v>86</v>
      </c>
      <c r="J30" s="72" t="str">
        <f>VLOOKUP(F30,A$3:B$10,2,0)</f>
        <v>Yefimov V</v>
      </c>
      <c r="K30" s="31">
        <v>3</v>
      </c>
      <c r="L30" s="57">
        <v>0</v>
      </c>
      <c r="N30" s="48">
        <v>3</v>
      </c>
      <c r="O30" s="51" t="str">
        <f>IF(+AK25=0,"",VLOOKUP(N30,N$5:O$20,2,0))</f>
        <v xml:space="preserve">Pryshchepa I </v>
      </c>
      <c r="P30" s="226"/>
      <c r="Q30" s="229"/>
      <c r="R30" s="230"/>
      <c r="S30" s="51"/>
      <c r="T30" s="51"/>
      <c r="U30" s="51"/>
      <c r="V30" s="51"/>
      <c r="W30" s="51"/>
      <c r="X30" s="51"/>
      <c r="Y30" s="50"/>
      <c r="AA30" s="48" t="s">
        <v>99</v>
      </c>
      <c r="AB30" s="51"/>
      <c r="AC30" s="51"/>
      <c r="AD30" s="50">
        <v>81.760000000000005</v>
      </c>
      <c r="AF30" s="48" t="s">
        <v>118</v>
      </c>
      <c r="AG30" s="101">
        <f>SUM(AG25:AG29)</f>
        <v>940.24</v>
      </c>
      <c r="AI30" s="48" t="s">
        <v>97</v>
      </c>
      <c r="AJ30" s="51"/>
      <c r="AK30" s="102">
        <f>IF(Q34=J2,90,0)</f>
        <v>0</v>
      </c>
    </row>
    <row r="31" spans="2:40" x14ac:dyDescent="0.3">
      <c r="C31" s="93"/>
      <c r="D31" s="224"/>
      <c r="E31" s="38">
        <v>6</v>
      </c>
      <c r="F31" s="38">
        <v>7</v>
      </c>
      <c r="G31" s="38"/>
      <c r="H31" s="74" t="str">
        <f>VLOOKUP(E31,A$3:B$10,2,0)</f>
        <v>Kveton O</v>
      </c>
      <c r="I31" s="75" t="s">
        <v>86</v>
      </c>
      <c r="J31" s="74" t="str">
        <f>VLOOKUP(F31,A$3:B$10,2,0)</f>
        <v xml:space="preserve">Tregler T </v>
      </c>
      <c r="K31" s="59">
        <v>2</v>
      </c>
      <c r="L31" s="28">
        <v>3</v>
      </c>
      <c r="N31" s="48"/>
      <c r="O31" s="51"/>
      <c r="P31" s="68"/>
      <c r="Q31" s="51"/>
      <c r="R31" s="51"/>
      <c r="S31" s="51"/>
      <c r="T31" s="51"/>
      <c r="U31" s="52"/>
      <c r="V31" s="51"/>
      <c r="W31" s="51"/>
      <c r="X31" s="51"/>
      <c r="Y31" s="50"/>
      <c r="AA31" s="48" t="s">
        <v>71</v>
      </c>
      <c r="AB31" s="51"/>
      <c r="AC31" s="250">
        <v>0.15825</v>
      </c>
      <c r="AD31" s="250"/>
      <c r="AF31" s="98"/>
      <c r="AG31" s="99">
        <f>ROUND(-SUM(AG25:AG29)*AC31,2)</f>
        <v>-148.79</v>
      </c>
      <c r="AI31" s="48" t="s">
        <v>71</v>
      </c>
      <c r="AJ31" s="51"/>
      <c r="AK31" s="104">
        <f>-SUM(AK25:AK30)*AC31</f>
        <v>-74.39649</v>
      </c>
    </row>
    <row r="32" spans="2:40" x14ac:dyDescent="0.3">
      <c r="H32" s="72"/>
      <c r="I32" s="72"/>
      <c r="J32" s="72"/>
      <c r="K32" s="40"/>
      <c r="L32" s="40"/>
      <c r="N32" s="48"/>
      <c r="O32" s="254" t="s">
        <v>96</v>
      </c>
      <c r="P32" s="254"/>
      <c r="Q32" s="254"/>
      <c r="R32" s="254"/>
      <c r="S32" s="51"/>
      <c r="T32" s="51"/>
      <c r="U32" s="51"/>
      <c r="V32" s="51"/>
      <c r="W32" s="51"/>
      <c r="X32" s="51"/>
      <c r="Y32" s="50"/>
      <c r="AA32" s="53"/>
      <c r="AB32" s="54"/>
      <c r="AC32" s="54"/>
      <c r="AD32" s="55"/>
      <c r="AF32" s="100"/>
      <c r="AG32" s="97">
        <f>SUM(AG30:AG31)</f>
        <v>791.45</v>
      </c>
      <c r="AI32" s="64"/>
      <c r="AJ32" s="65" t="s">
        <v>72</v>
      </c>
      <c r="AK32" s="97">
        <f>SUM(AK25:AK31)</f>
        <v>395.72351000000003</v>
      </c>
      <c r="AN32" s="22"/>
    </row>
    <row r="33" spans="3:37" x14ac:dyDescent="0.3">
      <c r="D33" s="222" t="s">
        <v>93</v>
      </c>
      <c r="E33" s="42">
        <v>1</v>
      </c>
      <c r="F33" s="42">
        <v>2</v>
      </c>
      <c r="G33" s="42"/>
      <c r="H33" s="70" t="str">
        <f>VLOOKUP(E33,A$3:B$10,2,0)</f>
        <v xml:space="preserve">Pryshchepa I </v>
      </c>
      <c r="I33" s="71" t="s">
        <v>86</v>
      </c>
      <c r="J33" s="70" t="str">
        <f>VLOOKUP(F33,A$3:B$10,2,0)</f>
        <v>Tymofieiev O</v>
      </c>
      <c r="K33" s="32">
        <v>3</v>
      </c>
      <c r="L33" s="33">
        <v>0</v>
      </c>
      <c r="N33" s="48"/>
      <c r="O33" s="51"/>
      <c r="P33" s="51"/>
      <c r="Q33" s="51"/>
      <c r="R33" s="51"/>
      <c r="S33" s="51"/>
      <c r="T33" s="51"/>
      <c r="U33" s="51"/>
      <c r="V33" s="51"/>
      <c r="W33" s="51"/>
      <c r="X33" s="51"/>
      <c r="Y33" s="50"/>
    </row>
    <row r="34" spans="3:37" x14ac:dyDescent="0.3">
      <c r="C34" s="93"/>
      <c r="D34" s="223"/>
      <c r="E34">
        <v>3</v>
      </c>
      <c r="F34">
        <v>8</v>
      </c>
      <c r="H34" s="72" t="str">
        <f>VLOOKUP(E34,A$3:B$10,2,0)</f>
        <v>Ruiz R</v>
      </c>
      <c r="I34" s="73" t="s">
        <v>86</v>
      </c>
      <c r="J34" s="72" t="str">
        <f>VLOOKUP(F34,A$3:B$10,2,0)</f>
        <v>Yefimov V</v>
      </c>
      <c r="K34" s="31">
        <v>3</v>
      </c>
      <c r="L34" s="57">
        <v>1</v>
      </c>
      <c r="N34" s="48"/>
      <c r="O34" s="52" t="str">
        <f>IF(P26="","",IF(P26="V",O27,O26))</f>
        <v xml:space="preserve">Abbasi A </v>
      </c>
      <c r="P34" s="225" t="s">
        <v>0</v>
      </c>
      <c r="Q34" s="227" t="str">
        <f>IF(P34="","",IF(P34="V",O34,O35))</f>
        <v xml:space="preserve">Abbasi A </v>
      </c>
      <c r="R34" s="228"/>
      <c r="S34" s="51"/>
      <c r="T34" s="51"/>
      <c r="U34" s="51"/>
      <c r="V34" s="51"/>
      <c r="W34" s="51"/>
      <c r="X34" s="51"/>
      <c r="Y34" s="50"/>
      <c r="AA34" s="67" t="s">
        <v>106</v>
      </c>
      <c r="AB34" s="42"/>
      <c r="AC34" s="42"/>
      <c r="AD34" s="42"/>
      <c r="AE34" s="42"/>
      <c r="AF34" s="42"/>
      <c r="AG34" s="42"/>
      <c r="AH34" s="42"/>
      <c r="AI34" s="42"/>
      <c r="AJ34" s="42"/>
      <c r="AK34" s="44"/>
    </row>
    <row r="35" spans="3:37" x14ac:dyDescent="0.3">
      <c r="D35" s="223"/>
      <c r="E35">
        <v>4</v>
      </c>
      <c r="F35">
        <v>7</v>
      </c>
      <c r="H35" s="72" t="str">
        <f>VLOOKUP(E35,A$3:B$10,2,0)</f>
        <v xml:space="preserve">Reitspies D </v>
      </c>
      <c r="I35" s="73" t="s">
        <v>86</v>
      </c>
      <c r="J35" s="72" t="str">
        <f>VLOOKUP(F35,A$3:B$10,2,0)</f>
        <v xml:space="preserve">Tregler T </v>
      </c>
      <c r="K35" s="31">
        <v>3</v>
      </c>
      <c r="L35" s="57">
        <v>0</v>
      </c>
      <c r="N35" s="48"/>
      <c r="O35" s="51" t="str">
        <f>IF(P29="","",IF(P29="V",O30,O29))</f>
        <v>Ruiz R</v>
      </c>
      <c r="P35" s="226"/>
      <c r="Q35" s="229"/>
      <c r="R35" s="230"/>
      <c r="S35" s="51"/>
      <c r="T35" s="51"/>
      <c r="U35" s="51"/>
      <c r="V35" s="51"/>
      <c r="W35" s="51"/>
      <c r="X35" s="51"/>
      <c r="Y35" s="50"/>
      <c r="AA35" s="34" t="s">
        <v>107</v>
      </c>
      <c r="AK35" s="35"/>
    </row>
    <row r="36" spans="3:37" x14ac:dyDescent="0.3">
      <c r="D36" s="224"/>
      <c r="E36" s="38">
        <v>5</v>
      </c>
      <c r="F36" s="38">
        <v>6</v>
      </c>
      <c r="G36" s="38"/>
      <c r="H36" s="74" t="str">
        <f>VLOOKUP(E36,A$3:B$10,2,0)</f>
        <v xml:space="preserve">Abbasi A </v>
      </c>
      <c r="I36" s="75" t="s">
        <v>86</v>
      </c>
      <c r="J36" s="74" t="str">
        <f>VLOOKUP(F36,A$3:B$10,2,0)</f>
        <v>Kveton O</v>
      </c>
      <c r="K36" s="59">
        <v>2</v>
      </c>
      <c r="L36" s="28">
        <v>3</v>
      </c>
      <c r="N36" s="53"/>
      <c r="O36" s="54"/>
      <c r="P36" s="69"/>
      <c r="Q36" s="54"/>
      <c r="R36" s="54"/>
      <c r="S36" s="54"/>
      <c r="T36" s="54"/>
      <c r="U36" s="54"/>
      <c r="V36" s="54"/>
      <c r="W36" s="54"/>
      <c r="X36" s="54"/>
      <c r="Y36" s="55"/>
      <c r="AA36" s="37" t="s">
        <v>100</v>
      </c>
      <c r="AB36" s="38"/>
      <c r="AC36" s="38"/>
      <c r="AD36" s="38"/>
      <c r="AE36" s="38"/>
      <c r="AF36" s="38"/>
      <c r="AG36" s="38"/>
      <c r="AH36" s="38"/>
      <c r="AI36" s="38"/>
      <c r="AJ36" s="38"/>
      <c r="AK36" s="39"/>
    </row>
  </sheetData>
  <mergeCells count="186">
    <mergeCell ref="AK17:AK18"/>
    <mergeCell ref="AF17:AF18"/>
    <mergeCell ref="AG17:AG18"/>
    <mergeCell ref="AH17:AH18"/>
    <mergeCell ref="AB18:AC18"/>
    <mergeCell ref="AD18:AE18"/>
    <mergeCell ref="D28:D31"/>
    <mergeCell ref="P29:P30"/>
    <mergeCell ref="Q29:R30"/>
    <mergeCell ref="AC31:AD31"/>
    <mergeCell ref="AF23:AG24"/>
    <mergeCell ref="AI23:AK24"/>
    <mergeCell ref="V24:Y24"/>
    <mergeCell ref="P26:P27"/>
    <mergeCell ref="Q26:R27"/>
    <mergeCell ref="U27:U29"/>
    <mergeCell ref="W27:Y29"/>
    <mergeCell ref="AF19:AF20"/>
    <mergeCell ref="AG19:AG20"/>
    <mergeCell ref="AH19:AH20"/>
    <mergeCell ref="AD20:AE20"/>
    <mergeCell ref="P20:Q20"/>
    <mergeCell ref="R20:S20"/>
    <mergeCell ref="T20:U20"/>
    <mergeCell ref="O32:R32"/>
    <mergeCell ref="D33:D36"/>
    <mergeCell ref="P34:P35"/>
    <mergeCell ref="Q34:R35"/>
    <mergeCell ref="D23:D26"/>
    <mergeCell ref="N23:Y23"/>
    <mergeCell ref="AA23:AD24"/>
    <mergeCell ref="AK15:AK16"/>
    <mergeCell ref="D18:D21"/>
    <mergeCell ref="P18:Q18"/>
    <mergeCell ref="R18:S18"/>
    <mergeCell ref="T18:U18"/>
    <mergeCell ref="V18:W18"/>
    <mergeCell ref="X18:Y18"/>
    <mergeCell ref="Z18:AA18"/>
    <mergeCell ref="M17:M18"/>
    <mergeCell ref="N17:N18"/>
    <mergeCell ref="O17:O18"/>
    <mergeCell ref="M19:M20"/>
    <mergeCell ref="N19:N20"/>
    <mergeCell ref="O19:O20"/>
    <mergeCell ref="AI19:AI20"/>
    <mergeCell ref="AJ19:AJ20"/>
    <mergeCell ref="AK19:AK20"/>
    <mergeCell ref="V20:W20"/>
    <mergeCell ref="X20:Y20"/>
    <mergeCell ref="Z20:AA20"/>
    <mergeCell ref="AB20:AC20"/>
    <mergeCell ref="D13:D16"/>
    <mergeCell ref="M13:M14"/>
    <mergeCell ref="N13:N14"/>
    <mergeCell ref="O13:O14"/>
    <mergeCell ref="AI17:AI18"/>
    <mergeCell ref="AH15:AH16"/>
    <mergeCell ref="AI15:AI16"/>
    <mergeCell ref="AJ15:AJ16"/>
    <mergeCell ref="AH13:AH14"/>
    <mergeCell ref="AI13:AI14"/>
    <mergeCell ref="AJ13:AJ14"/>
    <mergeCell ref="AJ17:AJ18"/>
    <mergeCell ref="M15:M16"/>
    <mergeCell ref="N15:N16"/>
    <mergeCell ref="O15:O16"/>
    <mergeCell ref="AF15:AF16"/>
    <mergeCell ref="AG15:AG16"/>
    <mergeCell ref="P16:Q16"/>
    <mergeCell ref="R16:S16"/>
    <mergeCell ref="T16:U16"/>
    <mergeCell ref="V16:W16"/>
    <mergeCell ref="X16:Y16"/>
    <mergeCell ref="Z16:AA16"/>
    <mergeCell ref="AB16:AC16"/>
    <mergeCell ref="AD16:AE16"/>
    <mergeCell ref="AK11:AK12"/>
    <mergeCell ref="P12:Q12"/>
    <mergeCell ref="R12:S12"/>
    <mergeCell ref="T12:U12"/>
    <mergeCell ref="V12:W12"/>
    <mergeCell ref="X12:Y12"/>
    <mergeCell ref="Z12:AA12"/>
    <mergeCell ref="AB12:AC12"/>
    <mergeCell ref="AK13:AK14"/>
    <mergeCell ref="P14:Q14"/>
    <mergeCell ref="R14:S14"/>
    <mergeCell ref="T14:U14"/>
    <mergeCell ref="V14:W14"/>
    <mergeCell ref="X14:Y14"/>
    <mergeCell ref="Z14:AA14"/>
    <mergeCell ref="AF13:AF14"/>
    <mergeCell ref="AG13:AG14"/>
    <mergeCell ref="AB14:AC14"/>
    <mergeCell ref="AD14:AE14"/>
    <mergeCell ref="M11:M12"/>
    <mergeCell ref="N11:N12"/>
    <mergeCell ref="O11:O12"/>
    <mergeCell ref="AF11:AF12"/>
    <mergeCell ref="AG11:AG12"/>
    <mergeCell ref="AH11:AH12"/>
    <mergeCell ref="AD12:AE12"/>
    <mergeCell ref="AI9:AI10"/>
    <mergeCell ref="AJ9:AJ10"/>
    <mergeCell ref="AI11:AI12"/>
    <mergeCell ref="AJ11:AJ12"/>
    <mergeCell ref="AI7:AI8"/>
    <mergeCell ref="AJ7:AJ8"/>
    <mergeCell ref="AK7:AK8"/>
    <mergeCell ref="D8:D11"/>
    <mergeCell ref="P8:Q8"/>
    <mergeCell ref="R8:S8"/>
    <mergeCell ref="T8:U8"/>
    <mergeCell ref="V8:W8"/>
    <mergeCell ref="X8:Y8"/>
    <mergeCell ref="AK9:AK10"/>
    <mergeCell ref="P10:Q10"/>
    <mergeCell ref="R10:S10"/>
    <mergeCell ref="T10:U10"/>
    <mergeCell ref="V10:W10"/>
    <mergeCell ref="X10:Y10"/>
    <mergeCell ref="Z10:AA10"/>
    <mergeCell ref="AB10:AC10"/>
    <mergeCell ref="M9:M10"/>
    <mergeCell ref="N9:N10"/>
    <mergeCell ref="O9:O10"/>
    <mergeCell ref="AF9:AF10"/>
    <mergeCell ref="AG9:AG10"/>
    <mergeCell ref="AH9:AH10"/>
    <mergeCell ref="AD10:AE10"/>
    <mergeCell ref="M7:M8"/>
    <mergeCell ref="N7:N8"/>
    <mergeCell ref="O7:O8"/>
    <mergeCell ref="AF7:AF8"/>
    <mergeCell ref="AG7:AG8"/>
    <mergeCell ref="Z8:AA8"/>
    <mergeCell ref="AB8:AC8"/>
    <mergeCell ref="AD8:AE8"/>
    <mergeCell ref="AH7:AH8"/>
    <mergeCell ref="AH3:AH4"/>
    <mergeCell ref="AI3:AI4"/>
    <mergeCell ref="AJ3:AJ4"/>
    <mergeCell ref="AK3:AK4"/>
    <mergeCell ref="M5:M6"/>
    <mergeCell ref="N5:N6"/>
    <mergeCell ref="O5:O6"/>
    <mergeCell ref="AF5:AF6"/>
    <mergeCell ref="AG5:AG6"/>
    <mergeCell ref="AH5:AH6"/>
    <mergeCell ref="X3:Y4"/>
    <mergeCell ref="Z3:AA4"/>
    <mergeCell ref="AB3:AC4"/>
    <mergeCell ref="AD3:AE4"/>
    <mergeCell ref="AF3:AF4"/>
    <mergeCell ref="AG3:AG4"/>
    <mergeCell ref="AI5:AI6"/>
    <mergeCell ref="AJ5:AJ6"/>
    <mergeCell ref="AK5:AK6"/>
    <mergeCell ref="P6:Q6"/>
    <mergeCell ref="R6:S6"/>
    <mergeCell ref="T6:U6"/>
    <mergeCell ref="V6:W6"/>
    <mergeCell ref="X6:Y6"/>
    <mergeCell ref="V2:W2"/>
    <mergeCell ref="AF2:AG2"/>
    <mergeCell ref="D3:D6"/>
    <mergeCell ref="M3:M4"/>
    <mergeCell ref="N3:N4"/>
    <mergeCell ref="O3:O4"/>
    <mergeCell ref="P3:Q4"/>
    <mergeCell ref="R3:S4"/>
    <mergeCell ref="T3:U4"/>
    <mergeCell ref="V3:W4"/>
    <mergeCell ref="Z6:AA6"/>
    <mergeCell ref="AB6:AC6"/>
    <mergeCell ref="AD6:AE6"/>
    <mergeCell ref="AL3:AL4"/>
    <mergeCell ref="AL5:AL6"/>
    <mergeCell ref="AL7:AL8"/>
    <mergeCell ref="AL9:AL10"/>
    <mergeCell ref="AL11:AL12"/>
    <mergeCell ref="AL13:AL14"/>
    <mergeCell ref="AL15:AL16"/>
    <mergeCell ref="AL17:AL18"/>
    <mergeCell ref="AL19:AL20"/>
  </mergeCells>
  <conditionalFormatting sqref="K3:K6 K13:K16 K18:K21 K23:K26 K33:K36">
    <cfRule type="cellIs" dxfId="76" priority="10" operator="equal">
      <formula>A1="&lt;&gt;"</formula>
    </cfRule>
  </conditionalFormatting>
  <conditionalFormatting sqref="K8:K11">
    <cfRule type="cellIs" dxfId="75" priority="17" operator="equal">
      <formula>A7="&lt;&gt;"</formula>
    </cfRule>
  </conditionalFormatting>
  <conditionalFormatting sqref="K28:K31">
    <cfRule type="cellIs" dxfId="74" priority="8" operator="equal">
      <formula>A26="&lt;&gt;"</formula>
    </cfRule>
  </conditionalFormatting>
  <conditionalFormatting sqref="K3:L6">
    <cfRule type="cellIs" dxfId="73" priority="11" operator="equal">
      <formula>""""""</formula>
    </cfRule>
  </conditionalFormatting>
  <conditionalFormatting sqref="K8:L11">
    <cfRule type="cellIs" dxfId="72" priority="5" operator="equal">
      <formula>""""""</formula>
    </cfRule>
  </conditionalFormatting>
  <conditionalFormatting sqref="L3:L6 L8:L11 L13:L16 L23:L26">
    <cfRule type="cellIs" dxfId="71" priority="16" operator="equal">
      <formula>C1="&lt;&gt;"</formula>
    </cfRule>
  </conditionalFormatting>
  <conditionalFormatting sqref="L18:L21">
    <cfRule type="cellIs" dxfId="70" priority="35" operator="equal">
      <formula>C31="&lt;&gt;"</formula>
    </cfRule>
  </conditionalFormatting>
  <conditionalFormatting sqref="L28:L31">
    <cfRule type="cellIs" dxfId="69" priority="9" operator="equal">
      <formula>C26="&lt;&gt;"</formula>
    </cfRule>
  </conditionalFormatting>
  <conditionalFormatting sqref="L33:L36">
    <cfRule type="cellIs" dxfId="68" priority="34" operator="equal">
      <formula>#REF!="&lt;&gt;"</formula>
    </cfRule>
  </conditionalFormatting>
  <conditionalFormatting sqref="P5:AE20">
    <cfRule type="cellIs" dxfId="67" priority="14" operator="equal">
      <formula>"D"</formula>
    </cfRule>
    <cfRule type="cellIs" dxfId="66" priority="15" operator="equal">
      <formula>"V"</formula>
    </cfRule>
  </conditionalFormatting>
  <conditionalFormatting sqref="V2:W2">
    <cfRule type="cellIs" dxfId="65" priority="3" operator="equal">
      <formula>"D"</formula>
    </cfRule>
    <cfRule type="cellIs" dxfId="64" priority="4" operator="equal">
      <formula>"V"</formula>
    </cfRule>
  </conditionalFormatting>
  <conditionalFormatting sqref="AK5:AL5">
    <cfRule type="cellIs" dxfId="63" priority="12" operator="greaterThan">
      <formula>4</formula>
    </cfRule>
    <cfRule type="cellIs" dxfId="62" priority="13" stopIfTrue="1" operator="lessThanOrEqual">
      <formula>4</formula>
    </cfRule>
  </conditionalFormatting>
  <conditionalFormatting sqref="AK7:AL7">
    <cfRule type="cellIs" dxfId="61" priority="1" operator="greaterThan">
      <formula>4</formula>
    </cfRule>
    <cfRule type="cellIs" dxfId="60" priority="2" stopIfTrue="1" operator="lessThanOrEqual">
      <formula>4</formula>
    </cfRule>
  </conditionalFormatting>
  <conditionalFormatting sqref="AK9:AL9 AK11:AL11 AK13:AL13 AK15:AL15 AK17:AL17 AK19:AL19">
    <cfRule type="cellIs" dxfId="59" priority="6" operator="greaterThan">
      <formula>4</formula>
    </cfRule>
    <cfRule type="cellIs" dxfId="58" priority="7" stopIfTrue="1" operator="lessThanOrEqual">
      <formula>4</formula>
    </cfRule>
  </conditionalFormatting>
  <pageMargins left="0.7" right="0.7" top="0.75" bottom="0.75" header="0.3" footer="0.3"/>
  <ignoredErrors>
    <ignoredError sqref="AG26" formula="1"/>
  </ignoredErrors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41" r:id="rId3" name="Button 1">
              <controlPr defaultSize="0" print="0" autoFill="0" autoPict="0">
                <anchor moveWithCells="1" sizeWithCells="1">
                  <from>
                    <xdr:col>27</xdr:col>
                    <xdr:colOff>22860</xdr:colOff>
                    <xdr:row>20</xdr:row>
                    <xdr:rowOff>190500</xdr:rowOff>
                  </from>
                  <to>
                    <xdr:col>27</xdr:col>
                    <xdr:colOff>213360</xdr:colOff>
                    <xdr:row>21</xdr:row>
                    <xdr:rowOff>68580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F2A887-73EE-4A13-ABA2-A00A5109FE7B}">
  <dimension ref="A1:AR60"/>
  <sheetViews>
    <sheetView tabSelected="1" topLeftCell="A30" workbookViewId="0">
      <selection activeCell="B30" sqref="B30"/>
    </sheetView>
  </sheetViews>
  <sheetFormatPr baseColWidth="10" defaultRowHeight="14.4" x14ac:dyDescent="0.3"/>
  <cols>
    <col min="1" max="1" width="4.6640625" customWidth="1"/>
    <col min="2" max="2" width="15.33203125" customWidth="1"/>
    <col min="3" max="3" width="4.5546875" customWidth="1"/>
    <col min="4" max="4" width="2.44140625" customWidth="1"/>
    <col min="5" max="5" width="3.5546875" customWidth="1"/>
    <col min="6" max="6" width="3.33203125" customWidth="1"/>
    <col min="7" max="7" width="1.5546875" customWidth="1"/>
    <col min="8" max="8" width="12.6640625" customWidth="1"/>
    <col min="9" max="9" width="2.6640625" customWidth="1"/>
    <col min="10" max="10" width="12.6640625" customWidth="1"/>
    <col min="11" max="12" width="2.88671875" customWidth="1"/>
    <col min="13" max="13" width="7.33203125" style="119" customWidth="1"/>
    <col min="14" max="14" width="6.6640625" customWidth="1"/>
    <col min="15" max="15" width="4.6640625" customWidth="1"/>
    <col min="16" max="16" width="15.6640625" customWidth="1"/>
    <col min="17" max="17" width="12.44140625" customWidth="1"/>
    <col min="18" max="18" width="16.6640625" customWidth="1"/>
    <col min="19" max="30" width="5.6640625" customWidth="1"/>
    <col min="31" max="31" width="7.109375" customWidth="1"/>
    <col min="32" max="32" width="5.6640625" customWidth="1"/>
    <col min="33" max="33" width="7.5546875" customWidth="1"/>
    <col min="34" max="34" width="8.88671875" customWidth="1"/>
    <col min="35" max="35" width="6.109375" customWidth="1"/>
    <col min="36" max="36" width="7.33203125" customWidth="1"/>
    <col min="37" max="37" width="8.6640625" customWidth="1"/>
    <col min="38" max="38" width="8.109375" customWidth="1"/>
    <col min="39" max="39" width="8.33203125" customWidth="1"/>
    <col min="40" max="40" width="8.44140625" customWidth="1"/>
    <col min="41" max="41" width="7.88671875" customWidth="1"/>
  </cols>
  <sheetData>
    <row r="1" spans="1:44" ht="17.399999999999999" x14ac:dyDescent="0.3">
      <c r="A1" t="s">
        <v>5</v>
      </c>
      <c r="B1" s="90" t="s">
        <v>7</v>
      </c>
      <c r="C1" s="8"/>
      <c r="D1" t="s">
        <v>27</v>
      </c>
      <c r="H1" t="s">
        <v>166</v>
      </c>
      <c r="M1" s="130">
        <v>2.0833333333333332E-2</v>
      </c>
      <c r="P1" s="40"/>
      <c r="Q1" s="40"/>
      <c r="R1" s="40"/>
      <c r="S1" s="40"/>
      <c r="T1" s="40"/>
      <c r="U1" s="40" t="str">
        <f>+H1</f>
        <v>03 et 04 février</v>
      </c>
      <c r="V1" s="40"/>
      <c r="W1" s="40"/>
      <c r="X1" s="40"/>
      <c r="Y1" s="40"/>
      <c r="Z1" s="40" t="s">
        <v>160</v>
      </c>
      <c r="AA1" s="40"/>
      <c r="AB1" s="145"/>
      <c r="AC1" s="319">
        <v>3.9609999999999999E-2</v>
      </c>
      <c r="AD1" s="319"/>
      <c r="AE1" s="145"/>
      <c r="AF1" s="145"/>
      <c r="AG1" s="40"/>
      <c r="AH1" s="40"/>
      <c r="AI1" s="40"/>
      <c r="AJ1" s="40"/>
      <c r="AK1" s="40"/>
      <c r="AL1" s="40"/>
    </row>
    <row r="2" spans="1:44" x14ac:dyDescent="0.3">
      <c r="B2" s="91" t="s">
        <v>122</v>
      </c>
      <c r="C2" s="8"/>
      <c r="H2" t="s">
        <v>138</v>
      </c>
      <c r="J2" s="125" t="s">
        <v>176</v>
      </c>
      <c r="M2" s="131">
        <v>2.0833333333333332E-2</v>
      </c>
      <c r="W2" s="287"/>
      <c r="X2" s="288"/>
      <c r="AG2" s="192" t="s">
        <v>41</v>
      </c>
      <c r="AH2" s="192"/>
    </row>
    <row r="3" spans="1:44" x14ac:dyDescent="0.3">
      <c r="A3">
        <v>1</v>
      </c>
      <c r="B3" s="88" t="s">
        <v>167</v>
      </c>
      <c r="C3" s="146">
        <f>(ROW(A1)-1)*6</f>
        <v>0</v>
      </c>
      <c r="D3" s="222" t="s">
        <v>87</v>
      </c>
      <c r="E3" s="42">
        <v>1</v>
      </c>
      <c r="F3" s="42">
        <v>8</v>
      </c>
      <c r="G3" s="42"/>
      <c r="H3" s="70" t="str">
        <f>VLOOKUP(E3,A$3:B$10,2,0)</f>
        <v>D. Reitšpies</v>
      </c>
      <c r="I3" s="71" t="s">
        <v>86</v>
      </c>
      <c r="J3" s="70" t="str">
        <f>VLOOKUP(F3,A$3:B$10,2,0)</f>
        <v>I. Pryshchepa</v>
      </c>
      <c r="K3" s="32">
        <v>1</v>
      </c>
      <c r="L3" s="33">
        <v>3</v>
      </c>
      <c r="M3" s="127">
        <v>0.33333333333333331</v>
      </c>
      <c r="N3" s="232" t="s">
        <v>94</v>
      </c>
      <c r="O3" s="233" t="s">
        <v>65</v>
      </c>
      <c r="P3" s="289" t="s">
        <v>9</v>
      </c>
      <c r="Q3" s="277" t="str">
        <f>P5</f>
        <v>D. Reitšpies</v>
      </c>
      <c r="R3" s="278"/>
      <c r="S3" s="277" t="str">
        <f>P7</f>
        <v>R. Bhanja</v>
      </c>
      <c r="T3" s="278"/>
      <c r="U3" s="277" t="str">
        <f>P9</f>
        <v>L. Devos</v>
      </c>
      <c r="V3" s="278"/>
      <c r="W3" s="277" t="str">
        <f>P11</f>
        <v xml:space="preserve">TOTO </v>
      </c>
      <c r="X3" s="278"/>
      <c r="Y3" s="277" t="str">
        <f>P13</f>
        <v>M. Benes</v>
      </c>
      <c r="Z3" s="278"/>
      <c r="AA3" s="277" t="str">
        <f>P15</f>
        <v>M. Horejsi</v>
      </c>
      <c r="AB3" s="278"/>
      <c r="AC3" s="277" t="str">
        <f>P17</f>
        <v>V. Rozinek</v>
      </c>
      <c r="AD3" s="278"/>
      <c r="AE3" s="277" t="str">
        <f>+P19</f>
        <v>I. Pryshchepa</v>
      </c>
      <c r="AF3" s="281"/>
      <c r="AG3" s="283" t="s">
        <v>0</v>
      </c>
      <c r="AH3" s="274" t="s">
        <v>1</v>
      </c>
      <c r="AI3" s="274" t="s">
        <v>8</v>
      </c>
      <c r="AJ3" s="274" t="s">
        <v>159</v>
      </c>
      <c r="AK3" s="316" t="s">
        <v>11</v>
      </c>
      <c r="AL3" s="275" t="s">
        <v>110</v>
      </c>
      <c r="AM3" s="318" t="s">
        <v>12</v>
      </c>
      <c r="AN3" s="275" t="s">
        <v>156</v>
      </c>
      <c r="AO3" s="275" t="s">
        <v>158</v>
      </c>
      <c r="AQ3" t="s">
        <v>174</v>
      </c>
      <c r="AR3" t="s">
        <v>175</v>
      </c>
    </row>
    <row r="4" spans="1:44" ht="16.5" customHeight="1" x14ac:dyDescent="0.3">
      <c r="A4">
        <v>2</v>
      </c>
      <c r="B4" s="88" t="s">
        <v>168</v>
      </c>
      <c r="C4" s="146">
        <f>(ROW(A2)-1)*6</f>
        <v>6</v>
      </c>
      <c r="D4" s="223"/>
      <c r="E4">
        <v>2</v>
      </c>
      <c r="F4">
        <v>7</v>
      </c>
      <c r="H4" s="72" t="str">
        <f>VLOOKUP(E4,A$3:B$10,2,0)</f>
        <v>R. Bhanja</v>
      </c>
      <c r="I4" s="73" t="s">
        <v>86</v>
      </c>
      <c r="J4" s="72" t="str">
        <f>VLOOKUP(F4,A$3:B$10,2,0)</f>
        <v>V. Rozinek</v>
      </c>
      <c r="K4" s="31">
        <v>3</v>
      </c>
      <c r="L4" s="57">
        <v>1</v>
      </c>
      <c r="M4" s="127">
        <f>+M3+$M$1</f>
        <v>0.35416666666666663</v>
      </c>
      <c r="N4" s="232"/>
      <c r="O4" s="164"/>
      <c r="P4" s="290"/>
      <c r="Q4" s="279"/>
      <c r="R4" s="280"/>
      <c r="S4" s="279"/>
      <c r="T4" s="280"/>
      <c r="U4" s="279"/>
      <c r="V4" s="280"/>
      <c r="W4" s="279"/>
      <c r="X4" s="280"/>
      <c r="Y4" s="279"/>
      <c r="Z4" s="280"/>
      <c r="AA4" s="279"/>
      <c r="AB4" s="280"/>
      <c r="AC4" s="279"/>
      <c r="AD4" s="280"/>
      <c r="AE4" s="279"/>
      <c r="AF4" s="282"/>
      <c r="AG4" s="284"/>
      <c r="AH4" s="271"/>
      <c r="AI4" s="271"/>
      <c r="AJ4" s="271"/>
      <c r="AK4" s="317"/>
      <c r="AL4" s="276"/>
      <c r="AM4" s="276"/>
      <c r="AN4" s="276" t="s">
        <v>157</v>
      </c>
      <c r="AO4" s="276"/>
    </row>
    <row r="5" spans="1:44" ht="15" customHeight="1" x14ac:dyDescent="0.3">
      <c r="A5">
        <v>3</v>
      </c>
      <c r="B5" s="88" t="s">
        <v>173</v>
      </c>
      <c r="C5" s="146">
        <f>(ROW(A3)-1)*6</f>
        <v>12</v>
      </c>
      <c r="D5" s="223"/>
      <c r="E5">
        <v>3</v>
      </c>
      <c r="F5">
        <v>6</v>
      </c>
      <c r="H5" s="72" t="str">
        <f>VLOOKUP(E5,A$3:B$10,2,0)</f>
        <v>L. Devos</v>
      </c>
      <c r="I5" s="73" t="s">
        <v>86</v>
      </c>
      <c r="J5" s="72" t="str">
        <f>VLOOKUP(F5,A$3:B$10,2,0)</f>
        <v>M. Horejsi</v>
      </c>
      <c r="K5" s="31">
        <v>2</v>
      </c>
      <c r="L5" s="57">
        <v>3</v>
      </c>
      <c r="M5" s="127">
        <f>+M4+$M$1</f>
        <v>0.37499999999999994</v>
      </c>
      <c r="N5" s="199">
        <v>1</v>
      </c>
      <c r="O5" s="270">
        <f>+AN5</f>
        <v>7</v>
      </c>
      <c r="P5" s="270" t="str">
        <f>VLOOKUP(N5,$A$3:$B$10,2)</f>
        <v>D. Reitšpies</v>
      </c>
      <c r="Q5" s="107"/>
      <c r="R5" s="108"/>
      <c r="S5" s="109">
        <f>+K8</f>
        <v>3</v>
      </c>
      <c r="T5" s="110">
        <f>+L8</f>
        <v>2</v>
      </c>
      <c r="U5" s="109">
        <f>+K13</f>
        <v>2</v>
      </c>
      <c r="V5" s="110">
        <f>+L13</f>
        <v>3</v>
      </c>
      <c r="W5" s="109">
        <f>+K19</f>
        <v>0</v>
      </c>
      <c r="X5" s="110">
        <f>+L19</f>
        <v>3</v>
      </c>
      <c r="Y5" s="111">
        <f>+K24</f>
        <v>0</v>
      </c>
      <c r="Z5" s="111">
        <f>+L24</f>
        <v>0</v>
      </c>
      <c r="AA5" s="109">
        <f>+K29</f>
        <v>0</v>
      </c>
      <c r="AB5" s="111">
        <f>+L29</f>
        <v>0</v>
      </c>
      <c r="AC5" s="109">
        <f>+K36</f>
        <v>0</v>
      </c>
      <c r="AD5" s="111">
        <f>+L36</f>
        <v>0</v>
      </c>
      <c r="AE5" s="109">
        <f>+K3</f>
        <v>1</v>
      </c>
      <c r="AF5" s="112">
        <f>+L3</f>
        <v>3</v>
      </c>
      <c r="AG5" s="295">
        <f>+Q5+S5+U5+W5+Y5+AA5+AC5+AE5</f>
        <v>6</v>
      </c>
      <c r="AH5" s="297">
        <f>+R5+T5+V5+X5+Z5+AB5+AD5+AF5</f>
        <v>11</v>
      </c>
      <c r="AI5" s="299">
        <f>COUNTIF(Q6:AF6,"V")</f>
        <v>1</v>
      </c>
      <c r="AJ5" s="299">
        <f>COUNTIF(Q6:AF6,"D")</f>
        <v>3</v>
      </c>
      <c r="AK5" s="264">
        <f>IF(P5=0,"",RANK(AI5,$AI$5:$AI$20))</f>
        <v>7</v>
      </c>
      <c r="AL5" s="272">
        <f>IF(AND(+AG5&gt;0,+AH5&gt;0),+AG5/AH5,IF(AND(AG5&gt;0,+AH5=0),AG5/1,0))</f>
        <v>0.54545454545454541</v>
      </c>
      <c r="AM5" s="314">
        <f>RANK(AL5,$AL$5:$AL$20)</f>
        <v>7</v>
      </c>
      <c r="AN5" s="291">
        <f>RANK(AP5,$AP$5:$AP$20)</f>
        <v>7</v>
      </c>
      <c r="AO5" s="258">
        <f>+AI5+AJ5</f>
        <v>4</v>
      </c>
      <c r="AP5">
        <f>+(AG5/AH5)+IF(AJ5=0,AI5,(AI5/AJ5))</f>
        <v>0.87878787878787867</v>
      </c>
      <c r="AQ5" s="150">
        <f>+AG5-AH5+AI5-AJ5</f>
        <v>-7</v>
      </c>
      <c r="AR5" s="314">
        <f>RANK(AQ5,$AQ$5:$AQ$20)</f>
        <v>7</v>
      </c>
    </row>
    <row r="6" spans="1:44" ht="15" customHeight="1" x14ac:dyDescent="0.3">
      <c r="A6">
        <v>4</v>
      </c>
      <c r="B6" s="88" t="str">
        <f>+J2</f>
        <v xml:space="preserve">TOTO </v>
      </c>
      <c r="C6" s="148"/>
      <c r="D6" s="224"/>
      <c r="E6" s="38">
        <v>4</v>
      </c>
      <c r="F6" s="38">
        <v>5</v>
      </c>
      <c r="G6" s="38"/>
      <c r="H6" s="156" t="str">
        <f>VLOOKUP(E6,A$3:B$10,2,0)</f>
        <v xml:space="preserve">TOTO </v>
      </c>
      <c r="I6" s="75" t="s">
        <v>86</v>
      </c>
      <c r="J6" s="74" t="str">
        <f>VLOOKUP(F6,A$3:B$10,2,0)</f>
        <v>M. Benes</v>
      </c>
      <c r="K6" s="59">
        <v>3</v>
      </c>
      <c r="L6" s="28">
        <v>0</v>
      </c>
      <c r="M6" s="127">
        <f>+M5+$M$1</f>
        <v>0.39583333333333326</v>
      </c>
      <c r="N6" s="199"/>
      <c r="O6" s="172"/>
      <c r="P6" s="271"/>
      <c r="Q6" s="301" t="str">
        <f>IF(Q5="","",IF(Q5=3,"V","D"))</f>
        <v/>
      </c>
      <c r="R6" s="302"/>
      <c r="S6" s="293" t="str">
        <f>IF($P$5=0,"",IF(S5+T5=0,+$D$1,IF(S5=3,"V","D")))</f>
        <v>V</v>
      </c>
      <c r="T6" s="294"/>
      <c r="U6" s="293" t="str">
        <f t="shared" ref="U6" si="0">IF($P$5=0,"",IF(U5+V5=0,+$D$1,IF(U5=3,"V","D")))</f>
        <v>D</v>
      </c>
      <c r="V6" s="294"/>
      <c r="W6" s="293" t="str">
        <f t="shared" ref="W6" si="1">IF($P$5=0,"",IF(W5+X5=0,+$D$1,IF(W5=3,"V","D")))</f>
        <v>D</v>
      </c>
      <c r="X6" s="294"/>
      <c r="Y6" s="293" t="str">
        <f t="shared" ref="Y6" si="2">IF($P$5=0,"",IF(Y5+Z5=0,+$D$1,IF(Y5=3,"V","D")))</f>
        <v>NJ</v>
      </c>
      <c r="Z6" s="294"/>
      <c r="AA6" s="293" t="str">
        <f t="shared" ref="AA6" si="3">IF($P$5=0,"",IF(AA5+AB5=0,+$D$1,IF(AA5=3,"V","D")))</f>
        <v>NJ</v>
      </c>
      <c r="AB6" s="294"/>
      <c r="AC6" s="293" t="str">
        <f t="shared" ref="AC6" si="4">IF($P$5=0,"",IF(AC5+AD5=0,+$D$1,IF(AC5=3,"V","D")))</f>
        <v>NJ</v>
      </c>
      <c r="AD6" s="294"/>
      <c r="AE6" s="293" t="str">
        <f t="shared" ref="AE6" si="5">IF($P$5=0,"",IF(AE5+AF5=0,+$D$1,IF(AE5=3,"V","D")))</f>
        <v>D</v>
      </c>
      <c r="AF6" s="294"/>
      <c r="AG6" s="296"/>
      <c r="AH6" s="298"/>
      <c r="AI6" s="300"/>
      <c r="AJ6" s="300"/>
      <c r="AK6" s="265"/>
      <c r="AL6" s="273"/>
      <c r="AM6" s="315"/>
      <c r="AN6" s="292"/>
      <c r="AO6" s="259"/>
      <c r="AR6" s="315"/>
    </row>
    <row r="7" spans="1:44" ht="15" customHeight="1" x14ac:dyDescent="0.3">
      <c r="A7">
        <v>5</v>
      </c>
      <c r="B7" s="88" t="s">
        <v>169</v>
      </c>
      <c r="C7" s="149"/>
      <c r="H7" s="72"/>
      <c r="I7" s="72"/>
      <c r="J7" s="72"/>
      <c r="K7" s="40"/>
      <c r="L7" s="40"/>
      <c r="M7" s="128"/>
      <c r="N7" s="199">
        <v>2</v>
      </c>
      <c r="O7" s="270">
        <f>+AN7</f>
        <v>5</v>
      </c>
      <c r="P7" s="270" t="str">
        <f>VLOOKUP(N7,$A$3:$B$10,2)</f>
        <v>R. Bhanja</v>
      </c>
      <c r="Q7" s="109">
        <f>+T5</f>
        <v>2</v>
      </c>
      <c r="R7" s="110">
        <f>+S5</f>
        <v>3</v>
      </c>
      <c r="S7" s="107"/>
      <c r="T7" s="108"/>
      <c r="U7" s="109">
        <f>+K18</f>
        <v>3</v>
      </c>
      <c r="V7" s="110">
        <f>+L18</f>
        <v>2</v>
      </c>
      <c r="W7" s="109">
        <f>+L23</f>
        <v>0</v>
      </c>
      <c r="X7" s="110">
        <f>+K23</f>
        <v>0</v>
      </c>
      <c r="Y7" s="111">
        <f>+K28</f>
        <v>0</v>
      </c>
      <c r="Z7" s="111">
        <f>+L28</f>
        <v>0</v>
      </c>
      <c r="AA7" s="109">
        <f>+K33</f>
        <v>0</v>
      </c>
      <c r="AB7" s="110">
        <f>+L33</f>
        <v>0</v>
      </c>
      <c r="AC7" s="109">
        <f>++K4</f>
        <v>3</v>
      </c>
      <c r="AD7" s="110">
        <f>+L4</f>
        <v>1</v>
      </c>
      <c r="AE7" s="109">
        <f>+K14</f>
        <v>2</v>
      </c>
      <c r="AF7" s="112">
        <f>+L14</f>
        <v>3</v>
      </c>
      <c r="AG7" s="295">
        <f>+Q7+S7+U7+W7+Y7+AA7+AC7+AE7</f>
        <v>10</v>
      </c>
      <c r="AH7" s="297">
        <f>+R7+T7+V7+X7+Z7+AB7+AD7+AF7</f>
        <v>9</v>
      </c>
      <c r="AI7" s="299">
        <f>COUNTIF(Q8:AF8,"V")</f>
        <v>2</v>
      </c>
      <c r="AJ7" s="299">
        <f t="shared" ref="AJ7" si="6">COUNTIF(Q8:AF8,"D")</f>
        <v>2</v>
      </c>
      <c r="AK7" s="264">
        <f>IF(P7=0,"",RANK(AI7,$AI$5:$AI$20))</f>
        <v>4</v>
      </c>
      <c r="AL7" s="272">
        <f>IF(AND(+AG7&gt;0,+AH7&gt;0),+AG7/AH7,IF(AND(AG7&gt;0,+AH7=0),AG7/1,0))</f>
        <v>1.1111111111111112</v>
      </c>
      <c r="AM7" s="314">
        <f>RANK(AL7,$AL$5:$AL$20)</f>
        <v>5</v>
      </c>
      <c r="AN7" s="291">
        <f>RANK(AP7,$AP$5:$AP$20)</f>
        <v>5</v>
      </c>
      <c r="AO7" s="258">
        <f>+AI7+AJ7</f>
        <v>4</v>
      </c>
      <c r="AP7">
        <f>+(AG7/AH7)+IF(AJ7=0,AI7,(AI7/AJ7))</f>
        <v>2.1111111111111112</v>
      </c>
      <c r="AQ7" s="150">
        <f>+AG7-AH7+AI7-AJ7</f>
        <v>1</v>
      </c>
      <c r="AR7" s="314">
        <f>RANK(AQ7,$AQ$5:$AQ$20)</f>
        <v>5</v>
      </c>
    </row>
    <row r="8" spans="1:44" ht="15" customHeight="1" x14ac:dyDescent="0.3">
      <c r="A8">
        <v>6</v>
      </c>
      <c r="B8" s="88" t="s">
        <v>170</v>
      </c>
      <c r="C8" s="147"/>
      <c r="D8" s="222" t="s">
        <v>88</v>
      </c>
      <c r="E8" s="42">
        <v>1</v>
      </c>
      <c r="F8" s="42">
        <v>2</v>
      </c>
      <c r="G8" s="42"/>
      <c r="H8" s="70" t="str">
        <f>VLOOKUP(E8,A$3:B$10,2,0)</f>
        <v>D. Reitšpies</v>
      </c>
      <c r="I8" s="71" t="s">
        <v>86</v>
      </c>
      <c r="J8" s="70" t="str">
        <f>VLOOKUP(F8,A$3:B$10,2,0)</f>
        <v>R. Bhanja</v>
      </c>
      <c r="K8" s="32">
        <v>3</v>
      </c>
      <c r="L8" s="33">
        <v>2</v>
      </c>
      <c r="M8" s="127">
        <f>+M6+$M$2</f>
        <v>0.41666666666666657</v>
      </c>
      <c r="N8" s="199"/>
      <c r="O8" s="172"/>
      <c r="P8" s="271"/>
      <c r="Q8" s="293" t="str">
        <f>IF($P$5=0,"",IF(Q7+R7=0,+$D$1,IF(Q7=3,"V","D")))</f>
        <v>D</v>
      </c>
      <c r="R8" s="294"/>
      <c r="S8" s="303"/>
      <c r="T8" s="304"/>
      <c r="U8" s="293" t="str">
        <f t="shared" ref="U8" si="7">IF($P$5=0,"",IF(U7+V7=0,+$D$1,IF(U7=3,"V","D")))</f>
        <v>V</v>
      </c>
      <c r="V8" s="294"/>
      <c r="W8" s="293" t="str">
        <f t="shared" ref="W8" si="8">IF($P$5=0,"",IF(W7+X7=0,+$D$1,IF(W7=3,"V","D")))</f>
        <v>NJ</v>
      </c>
      <c r="X8" s="294"/>
      <c r="Y8" s="293" t="str">
        <f t="shared" ref="Y8" si="9">IF($P$5=0,"",IF(Y7+Z7=0,+$D$1,IF(Y7=3,"V","D")))</f>
        <v>NJ</v>
      </c>
      <c r="Z8" s="294"/>
      <c r="AA8" s="293" t="str">
        <f t="shared" ref="AA8" si="10">IF($P$5=0,"",IF(AA7+AB7=0,+$D$1,IF(AA7=3,"V","D")))</f>
        <v>NJ</v>
      </c>
      <c r="AB8" s="294"/>
      <c r="AC8" s="293" t="str">
        <f t="shared" ref="AC8" si="11">IF($P$5=0,"",IF(AC7+AD7=0,+$D$1,IF(AC7=3,"V","D")))</f>
        <v>V</v>
      </c>
      <c r="AD8" s="294"/>
      <c r="AE8" s="293" t="str">
        <f t="shared" ref="AE8" si="12">IF($P$5=0,"",IF(AE7+AF7=0,+$D$1,IF(AE7=3,"V","D")))</f>
        <v>D</v>
      </c>
      <c r="AF8" s="294"/>
      <c r="AG8" s="296"/>
      <c r="AH8" s="298"/>
      <c r="AI8" s="300"/>
      <c r="AJ8" s="300"/>
      <c r="AK8" s="265"/>
      <c r="AL8" s="273"/>
      <c r="AM8" s="315"/>
      <c r="AN8" s="292"/>
      <c r="AO8" s="259"/>
      <c r="AR8" s="315"/>
    </row>
    <row r="9" spans="1:44" ht="15" customHeight="1" x14ac:dyDescent="0.3">
      <c r="A9">
        <v>7</v>
      </c>
      <c r="B9" s="88" t="s">
        <v>171</v>
      </c>
      <c r="C9" s="147"/>
      <c r="D9" s="223"/>
      <c r="E9">
        <v>3</v>
      </c>
      <c r="F9">
        <v>7</v>
      </c>
      <c r="H9" s="72" t="str">
        <f>VLOOKUP(E9,A$3:B$10,2,0)</f>
        <v>L. Devos</v>
      </c>
      <c r="I9" s="73" t="s">
        <v>86</v>
      </c>
      <c r="J9" s="72" t="str">
        <f>VLOOKUP(F9,A$3:B$10,2,0)</f>
        <v>V. Rozinek</v>
      </c>
      <c r="K9" s="31">
        <v>3</v>
      </c>
      <c r="L9" s="57">
        <v>0</v>
      </c>
      <c r="M9" s="127">
        <f>+M8+$M$2</f>
        <v>0.43749999999999989</v>
      </c>
      <c r="N9" s="199">
        <v>3</v>
      </c>
      <c r="O9" s="270">
        <f>+AN9</f>
        <v>4</v>
      </c>
      <c r="P9" s="270" t="str">
        <f>VLOOKUP(N9,$A$3:$B$10,2)</f>
        <v>L. Devos</v>
      </c>
      <c r="Q9" s="109">
        <f>+V5</f>
        <v>3</v>
      </c>
      <c r="R9" s="110">
        <f>+U5</f>
        <v>2</v>
      </c>
      <c r="S9" s="109">
        <f>+V7</f>
        <v>2</v>
      </c>
      <c r="T9" s="110">
        <f>+U7</f>
        <v>3</v>
      </c>
      <c r="U9" s="107"/>
      <c r="V9" s="108"/>
      <c r="W9" s="109">
        <f>+K30</f>
        <v>0</v>
      </c>
      <c r="X9" s="110">
        <f>+L30</f>
        <v>0</v>
      </c>
      <c r="Y9" s="111">
        <f>+K34</f>
        <v>0</v>
      </c>
      <c r="Z9" s="111">
        <f>+L34</f>
        <v>0</v>
      </c>
      <c r="AA9" s="109">
        <f>+K5</f>
        <v>2</v>
      </c>
      <c r="AB9" s="110">
        <f>+L5</f>
        <v>3</v>
      </c>
      <c r="AC9" s="109">
        <f>+K9</f>
        <v>3</v>
      </c>
      <c r="AD9" s="110">
        <f>+L9</f>
        <v>0</v>
      </c>
      <c r="AE9" s="109">
        <f>+K26</f>
        <v>0</v>
      </c>
      <c r="AF9" s="112">
        <f>+L26</f>
        <v>0</v>
      </c>
      <c r="AG9" s="295">
        <f>+Q9+S9+U9+W9+Y9+AA9+AC9+AE9</f>
        <v>10</v>
      </c>
      <c r="AH9" s="297">
        <f>+R9+T9+V9+X9+Z9+AB9+AD9+AF9</f>
        <v>8</v>
      </c>
      <c r="AI9" s="299">
        <f>COUNTIF(Q10:AF10,"V")</f>
        <v>2</v>
      </c>
      <c r="AJ9" s="299">
        <f t="shared" ref="AJ9" si="13">COUNTIF(Q10:AF10,"D")</f>
        <v>2</v>
      </c>
      <c r="AK9" s="264">
        <f>IF(P9=0,"",RANK(AI9,$AI$5:$AI$20))</f>
        <v>4</v>
      </c>
      <c r="AL9" s="272">
        <f>IF(AND(+AG9&gt;0,+AH9&gt;0),+AG9/AH9,IF(AND(AG9&gt;0,+AH9=0),AG9/1,0))</f>
        <v>1.25</v>
      </c>
      <c r="AM9" s="314">
        <f>RANK(AL9,$AL$5:$AL$20)</f>
        <v>4</v>
      </c>
      <c r="AN9" s="291">
        <f>RANK(AP9,$AP$5:$AP$20)</f>
        <v>4</v>
      </c>
      <c r="AO9" s="258">
        <f t="shared" ref="AO9" si="14">+AI9+AJ9</f>
        <v>4</v>
      </c>
      <c r="AP9">
        <f>+(AG9/AH9)+IF(AJ9=0,AI9,(AI9/AJ9))</f>
        <v>2.25</v>
      </c>
      <c r="AQ9" s="150">
        <f>+AG9-AH9+AI9-AJ9</f>
        <v>2</v>
      </c>
      <c r="AR9" s="314">
        <f>RANK(AQ9,$AQ$5:$AQ$20)</f>
        <v>4</v>
      </c>
    </row>
    <row r="10" spans="1:44" ht="15" customHeight="1" x14ac:dyDescent="0.3">
      <c r="A10">
        <v>8</v>
      </c>
      <c r="B10" s="89" t="s">
        <v>172</v>
      </c>
      <c r="C10" s="147"/>
      <c r="D10" s="223"/>
      <c r="E10">
        <v>5</v>
      </c>
      <c r="F10">
        <v>8</v>
      </c>
      <c r="H10" s="72" t="str">
        <f>VLOOKUP(E10,A$3:B$10,2,0)</f>
        <v>M. Benes</v>
      </c>
      <c r="I10" s="73" t="s">
        <v>86</v>
      </c>
      <c r="J10" s="72" t="str">
        <f>VLOOKUP(F10,A$3:B$10,2,0)</f>
        <v>I. Pryshchepa</v>
      </c>
      <c r="K10" s="31">
        <v>3</v>
      </c>
      <c r="L10" s="57">
        <v>1</v>
      </c>
      <c r="M10" s="127">
        <f>+M9+$M$2</f>
        <v>0.4583333333333332</v>
      </c>
      <c r="N10" s="199"/>
      <c r="O10" s="172"/>
      <c r="P10" s="271"/>
      <c r="Q10" s="293" t="str">
        <f t="shared" ref="Q10" si="15">IF($P$5=0,"",IF(Q9+R9=0,+$D$1,IF(Q9=3,"V","D")))</f>
        <v>V</v>
      </c>
      <c r="R10" s="294"/>
      <c r="S10" s="293" t="str">
        <f t="shared" ref="S10" si="16">IF($P$5=0,"",IF(S9+T9=0,+$D$1,IF(S9=3,"V","D")))</f>
        <v>D</v>
      </c>
      <c r="T10" s="294"/>
      <c r="U10" s="303"/>
      <c r="V10" s="304"/>
      <c r="W10" s="293" t="str">
        <f t="shared" ref="W10" si="17">IF($P$5=0,"",IF(W9+X9=0,+$D$1,IF(W9=3,"V","D")))</f>
        <v>NJ</v>
      </c>
      <c r="X10" s="294"/>
      <c r="Y10" s="293" t="str">
        <f t="shared" ref="Y10" si="18">IF($P$5=0,"",IF(Y9+Z9=0,+$D$1,IF(Y9=3,"V","D")))</f>
        <v>NJ</v>
      </c>
      <c r="Z10" s="294"/>
      <c r="AA10" s="293" t="str">
        <f t="shared" ref="AA10" si="19">IF($P$5=0,"",IF(AA9+AB9=0,+$D$1,IF(AA9=3,"V","D")))</f>
        <v>D</v>
      </c>
      <c r="AB10" s="294"/>
      <c r="AC10" s="293" t="str">
        <f t="shared" ref="AC10" si="20">IF($P$5=0,"",IF(AC9+AD9=0,+$D$1,IF(AC9=3,"V","D")))</f>
        <v>V</v>
      </c>
      <c r="AD10" s="294"/>
      <c r="AE10" s="293" t="str">
        <f t="shared" ref="AE10" si="21">IF($P$5=0,"",IF(AE9+AF9=0,+$D$1,IF(AE9=3,"V","D")))</f>
        <v>NJ</v>
      </c>
      <c r="AF10" s="294"/>
      <c r="AG10" s="296"/>
      <c r="AH10" s="298"/>
      <c r="AI10" s="300"/>
      <c r="AJ10" s="300"/>
      <c r="AK10" s="265"/>
      <c r="AL10" s="273"/>
      <c r="AM10" s="315"/>
      <c r="AN10" s="292"/>
      <c r="AO10" s="259"/>
      <c r="AR10" s="315"/>
    </row>
    <row r="11" spans="1:44" ht="15" customHeight="1" x14ac:dyDescent="0.3">
      <c r="D11" s="224"/>
      <c r="E11" s="38">
        <v>4</v>
      </c>
      <c r="F11" s="38">
        <v>6</v>
      </c>
      <c r="G11" s="38"/>
      <c r="H11" s="156" t="str">
        <f>VLOOKUP(E11,A$3:B$10,2,0)</f>
        <v xml:space="preserve">TOTO </v>
      </c>
      <c r="I11" s="75" t="s">
        <v>86</v>
      </c>
      <c r="J11" s="74" t="str">
        <f>VLOOKUP(F11,A$3:B$10,2,0)</f>
        <v>M. Horejsi</v>
      </c>
      <c r="K11" s="59">
        <v>2</v>
      </c>
      <c r="L11" s="28">
        <v>3</v>
      </c>
      <c r="M11" s="127">
        <f>+M10+$M$2</f>
        <v>0.47916666666666652</v>
      </c>
      <c r="N11" s="199">
        <v>4</v>
      </c>
      <c r="O11" s="270">
        <f>+AN11</f>
        <v>1</v>
      </c>
      <c r="P11" s="270" t="str">
        <f>VLOOKUP(N11,$A$3:$B$10,2)</f>
        <v xml:space="preserve">TOTO </v>
      </c>
      <c r="Q11" s="113">
        <f>IF(+X5="",0,+X5)</f>
        <v>3</v>
      </c>
      <c r="R11" s="114">
        <f>IF(+W5="",0,+W5)</f>
        <v>0</v>
      </c>
      <c r="S11" s="109">
        <f>IF(+X7="",0,X7)</f>
        <v>0</v>
      </c>
      <c r="T11" s="111">
        <f>IF(+W7="",0,W7)</f>
        <v>0</v>
      </c>
      <c r="U11" s="109">
        <f>IF(+X9="",0,X9)</f>
        <v>0</v>
      </c>
      <c r="V11" s="111">
        <f>IF(+W9="",0,W9)</f>
        <v>0</v>
      </c>
      <c r="W11" s="107"/>
      <c r="X11" s="108"/>
      <c r="Y11" s="111">
        <f>+K6</f>
        <v>3</v>
      </c>
      <c r="Z11" s="111">
        <f>+L6</f>
        <v>0</v>
      </c>
      <c r="AA11" s="109">
        <f>+K11</f>
        <v>2</v>
      </c>
      <c r="AB11" s="110">
        <f>+L11</f>
        <v>3</v>
      </c>
      <c r="AC11" s="109">
        <f>+K15</f>
        <v>3</v>
      </c>
      <c r="AD11" s="110">
        <f>+L15</f>
        <v>0</v>
      </c>
      <c r="AE11" s="109">
        <f>+K35</f>
        <v>0</v>
      </c>
      <c r="AF11" s="112">
        <f>+L35</f>
        <v>0</v>
      </c>
      <c r="AG11" s="295">
        <f>+Q11+S11+U11+W11+Y11+AA11+AC11+AE11</f>
        <v>11</v>
      </c>
      <c r="AH11" s="297">
        <f>+R11+T11+V11+X11+Z11+AB11+AD11+AF11</f>
        <v>3</v>
      </c>
      <c r="AI11" s="299">
        <f>COUNTIF(Q12:AF12,"V")</f>
        <v>3</v>
      </c>
      <c r="AJ11" s="299">
        <f t="shared" ref="AJ11" si="22">COUNTIF(Q12:AF12,"D")</f>
        <v>1</v>
      </c>
      <c r="AK11" s="264">
        <f>IF(P11=0,"",RANK(AI11,$AI$5:$AI$20))</f>
        <v>1</v>
      </c>
      <c r="AL11" s="272">
        <f>IF(AND(+AG11&gt;0,+AH11&gt;0),+AG11/AH11,IF(AND(AG11&gt;0,+AH11=0),AG11/1,0))</f>
        <v>3.6666666666666665</v>
      </c>
      <c r="AM11" s="291">
        <f>IF(+AL11&gt;0,RANK(AL11,$AL$5:$AL$20),"")</f>
        <v>1</v>
      </c>
      <c r="AN11" s="291">
        <f>RANK(AP11,$AP$5:$AP$20)</f>
        <v>1</v>
      </c>
      <c r="AO11" s="258">
        <f t="shared" ref="AO11" si="23">+AI11+AJ11</f>
        <v>4</v>
      </c>
      <c r="AP11">
        <f>+(AG11/AH11)+IF(AJ11=0,AI11,(AI11/AJ11))</f>
        <v>6.6666666666666661</v>
      </c>
      <c r="AQ11" s="150">
        <f>+AG11-AH11+AI11-AJ11</f>
        <v>10</v>
      </c>
      <c r="AR11" s="314">
        <f>RANK(AQ11,$AQ$5:$AQ$20)</f>
        <v>1</v>
      </c>
    </row>
    <row r="12" spans="1:44" ht="15" customHeight="1" x14ac:dyDescent="0.3">
      <c r="B12" s="93"/>
      <c r="C12" s="93"/>
      <c r="H12" s="72"/>
      <c r="I12" s="72"/>
      <c r="J12" s="72"/>
      <c r="K12" s="40"/>
      <c r="L12" s="40"/>
      <c r="M12" s="128"/>
      <c r="N12" s="199"/>
      <c r="O12" s="172"/>
      <c r="P12" s="271"/>
      <c r="Q12" s="293" t="str">
        <f t="shared" ref="Q12" si="24">IF($P$5=0,"",IF(Q11+R11=0,+$D$1,IF(Q11=3,"V","D")))</f>
        <v>V</v>
      </c>
      <c r="R12" s="294"/>
      <c r="S12" s="293" t="str">
        <f t="shared" ref="S12" si="25">IF($P$5=0,"",IF(S11+T11=0,+$D$1,IF(S11=3,"V","D")))</f>
        <v>NJ</v>
      </c>
      <c r="T12" s="294"/>
      <c r="U12" s="293" t="str">
        <f t="shared" ref="U12" si="26">IF($P$5=0,"",IF(U11+V11=0,+$D$1,IF(U11=3,"V","D")))</f>
        <v>NJ</v>
      </c>
      <c r="V12" s="294"/>
      <c r="W12" s="303"/>
      <c r="X12" s="304"/>
      <c r="Y12" s="293" t="str">
        <f t="shared" ref="Y12" si="27">IF($P$5=0,"",IF(Y11+Z11=0,+$D$1,IF(Y11=3,"V","D")))</f>
        <v>V</v>
      </c>
      <c r="Z12" s="294"/>
      <c r="AA12" s="293" t="str">
        <f t="shared" ref="AA12" si="28">IF($P$5=0,"",IF(AA11+AB11=0,+$D$1,IF(AA11=3,"V","D")))</f>
        <v>D</v>
      </c>
      <c r="AB12" s="294"/>
      <c r="AC12" s="293" t="str">
        <f t="shared" ref="AC12" si="29">IF($P$5=0,"",IF(AC11+AD11=0,+$D$1,IF(AC11=3,"V","D")))</f>
        <v>V</v>
      </c>
      <c r="AD12" s="294"/>
      <c r="AE12" s="293" t="str">
        <f t="shared" ref="AE12" si="30">IF($P$5=0,"",IF(AE11+AF11=0,+$D$1,IF(AE11=3,"V","D")))</f>
        <v>NJ</v>
      </c>
      <c r="AF12" s="294"/>
      <c r="AG12" s="296"/>
      <c r="AH12" s="298"/>
      <c r="AI12" s="300"/>
      <c r="AJ12" s="300"/>
      <c r="AK12" s="265"/>
      <c r="AL12" s="273"/>
      <c r="AM12" s="292"/>
      <c r="AN12" s="292"/>
      <c r="AO12" s="259"/>
      <c r="AR12" s="315"/>
    </row>
    <row r="13" spans="1:44" ht="15" customHeight="1" x14ac:dyDescent="0.3">
      <c r="B13" s="93"/>
      <c r="C13" s="93"/>
      <c r="D13" s="222" t="s">
        <v>89</v>
      </c>
      <c r="E13" s="42">
        <v>1</v>
      </c>
      <c r="F13" s="42">
        <v>3</v>
      </c>
      <c r="G13" s="42"/>
      <c r="H13" s="70" t="str">
        <f>VLOOKUP(E13,A$3:B$10,2,0)</f>
        <v>D. Reitšpies</v>
      </c>
      <c r="I13" s="71" t="s">
        <v>86</v>
      </c>
      <c r="J13" s="70" t="str">
        <f>VLOOKUP(F13,A$3:B$10,2,0)</f>
        <v>L. Devos</v>
      </c>
      <c r="K13" s="32">
        <v>2</v>
      </c>
      <c r="L13" s="33">
        <v>3</v>
      </c>
      <c r="M13" s="127">
        <f>+M11+$M$2</f>
        <v>0.49999999999999983</v>
      </c>
      <c r="N13" s="199">
        <v>5</v>
      </c>
      <c r="O13" s="270">
        <f>+AN13</f>
        <v>3</v>
      </c>
      <c r="P13" s="270" t="str">
        <f>VLOOKUP(N13,$A$3:$B$10,2)</f>
        <v>M. Benes</v>
      </c>
      <c r="Q13" s="109">
        <f>IF(+Z5="",0,Z5)</f>
        <v>0</v>
      </c>
      <c r="R13" s="110">
        <f>IF(+Y5="",0,Y5)</f>
        <v>0</v>
      </c>
      <c r="S13" s="113">
        <f>IF(+Z7="",0,+Z7)</f>
        <v>0</v>
      </c>
      <c r="T13" s="115">
        <f>IF(+Y7="",0,+Y7)</f>
        <v>0</v>
      </c>
      <c r="U13" s="109">
        <f>IF(+Z9="",0,+Z9)</f>
        <v>0</v>
      </c>
      <c r="V13" s="111">
        <f>IF(+Y9="",0,+Y9)</f>
        <v>0</v>
      </c>
      <c r="W13" s="109">
        <f>+Z11</f>
        <v>0</v>
      </c>
      <c r="X13" s="110">
        <f>+Y11</f>
        <v>3</v>
      </c>
      <c r="Y13" s="107"/>
      <c r="Z13" s="108"/>
      <c r="AA13" s="109">
        <f>+K16</f>
        <v>3</v>
      </c>
      <c r="AB13" s="110">
        <f>+L16</f>
        <v>2</v>
      </c>
      <c r="AC13" s="109">
        <f>+K21</f>
        <v>3</v>
      </c>
      <c r="AD13" s="110">
        <f>+L21</f>
        <v>0</v>
      </c>
      <c r="AE13" s="109">
        <f>+K10</f>
        <v>3</v>
      </c>
      <c r="AF13" s="112">
        <f>+L10</f>
        <v>1</v>
      </c>
      <c r="AG13" s="295">
        <f>+Q13+S13+U13+W13+Y13+AA13+AC13+AE13</f>
        <v>9</v>
      </c>
      <c r="AH13" s="297">
        <f>+R13+T13+V13+X13+Z13+AB13+AD13+AF13</f>
        <v>6</v>
      </c>
      <c r="AI13" s="299">
        <f>COUNTIF(Q14:AF14,"V")</f>
        <v>3</v>
      </c>
      <c r="AJ13" s="299">
        <f t="shared" ref="AJ13" si="31">COUNTIF(Q14:AF14,"D")</f>
        <v>1</v>
      </c>
      <c r="AK13" s="264">
        <f>IF(P13=0,"",RANK(AI13,$AI$5:$AI$20))</f>
        <v>1</v>
      </c>
      <c r="AL13" s="272">
        <f>IF(AND(+AG13&gt;0,+AH13&gt;0),+AG13/AH13,IF(AND(AG13&gt;0,+AH13=0),AG13/1,0))</f>
        <v>1.5</v>
      </c>
      <c r="AM13" s="291">
        <f>IF(+AL13&gt;0,RANK(AL13,$AL$5:$AL$20),"")</f>
        <v>3</v>
      </c>
      <c r="AN13" s="291">
        <f>RANK(AP13,$AP$5:$AP$20)</f>
        <v>3</v>
      </c>
      <c r="AO13" s="258">
        <f t="shared" ref="AO13" si="32">+AI13+AJ13</f>
        <v>4</v>
      </c>
      <c r="AP13">
        <f>+(AG13/AH13)+IF(AJ13=0,AI13,(AI13/AJ13))</f>
        <v>4.5</v>
      </c>
      <c r="AQ13" s="150">
        <f>+AG13-AH13+AI13-AJ13</f>
        <v>5</v>
      </c>
      <c r="AR13" s="314">
        <f>RANK(AQ13,$AQ$5:$AQ$20)</f>
        <v>3</v>
      </c>
    </row>
    <row r="14" spans="1:44" ht="15" customHeight="1" x14ac:dyDescent="0.3">
      <c r="B14" s="93"/>
      <c r="C14" s="93"/>
      <c r="D14" s="223"/>
      <c r="E14">
        <v>2</v>
      </c>
      <c r="F14">
        <v>8</v>
      </c>
      <c r="H14" s="72" t="str">
        <f>VLOOKUP(E14,A$3:B$10,2,0)</f>
        <v>R. Bhanja</v>
      </c>
      <c r="I14" s="73" t="s">
        <v>86</v>
      </c>
      <c r="J14" s="72" t="str">
        <f>VLOOKUP(F14,A$3:B$10,2,0)</f>
        <v>I. Pryshchepa</v>
      </c>
      <c r="K14" s="31">
        <v>2</v>
      </c>
      <c r="L14" s="57">
        <v>3</v>
      </c>
      <c r="M14" s="127">
        <f>+M13+$M$2</f>
        <v>0.52083333333333315</v>
      </c>
      <c r="N14" s="199"/>
      <c r="O14" s="172"/>
      <c r="P14" s="271"/>
      <c r="Q14" s="293" t="str">
        <f t="shared" ref="Q14" si="33">IF($P$5=0,"",IF(Q13+R13=0,+$D$1,IF(Q13=3,"V","D")))</f>
        <v>NJ</v>
      </c>
      <c r="R14" s="294"/>
      <c r="S14" s="293" t="str">
        <f t="shared" ref="S14" si="34">IF($P$5=0,"",IF(S13+T13=0,+$D$1,IF(S13=3,"V","D")))</f>
        <v>NJ</v>
      </c>
      <c r="T14" s="294"/>
      <c r="U14" s="293" t="str">
        <f t="shared" ref="U14" si="35">IF($P$5=0,"",IF(U13+V13=0,+$D$1,IF(U13=3,"V","D")))</f>
        <v>NJ</v>
      </c>
      <c r="V14" s="294"/>
      <c r="W14" s="293" t="str">
        <f t="shared" ref="W14" si="36">IF($P$5=0,"",IF(W13+X13=0,+$D$1,IF(W13=3,"V","D")))</f>
        <v>D</v>
      </c>
      <c r="X14" s="294"/>
      <c r="Y14" s="303"/>
      <c r="Z14" s="304"/>
      <c r="AA14" s="293" t="str">
        <f t="shared" ref="AA14" si="37">IF($P$5=0,"",IF(AA13+AB13=0,+$D$1,IF(AA13=3,"V","D")))</f>
        <v>V</v>
      </c>
      <c r="AB14" s="294"/>
      <c r="AC14" s="293" t="str">
        <f t="shared" ref="AC14" si="38">IF($P$5=0,"",IF(AC13+AD13=0,+$D$1,IF(AC13=3,"V","D")))</f>
        <v>V</v>
      </c>
      <c r="AD14" s="294"/>
      <c r="AE14" s="293" t="str">
        <f t="shared" ref="AE14" si="39">IF($P$5=0,"",IF(AE13+AF13=0,+$D$1,IF(AE13=3,"V","D")))</f>
        <v>V</v>
      </c>
      <c r="AF14" s="294"/>
      <c r="AG14" s="296"/>
      <c r="AH14" s="298"/>
      <c r="AI14" s="300"/>
      <c r="AJ14" s="300"/>
      <c r="AK14" s="265"/>
      <c r="AL14" s="273"/>
      <c r="AM14" s="292"/>
      <c r="AN14" s="292"/>
      <c r="AO14" s="259"/>
      <c r="AR14" s="315"/>
    </row>
    <row r="15" spans="1:44" ht="15" customHeight="1" x14ac:dyDescent="0.3">
      <c r="B15" s="20"/>
      <c r="C15" s="20"/>
      <c r="D15" s="223"/>
      <c r="E15">
        <v>4</v>
      </c>
      <c r="F15">
        <v>7</v>
      </c>
      <c r="H15" s="157" t="str">
        <f>VLOOKUP(E15,A$3:B$10,2,0)</f>
        <v xml:space="preserve">TOTO </v>
      </c>
      <c r="I15" s="73" t="s">
        <v>86</v>
      </c>
      <c r="J15" s="72" t="str">
        <f>VLOOKUP(F15,A$3:B$10,2,0)</f>
        <v>V. Rozinek</v>
      </c>
      <c r="K15" s="31">
        <v>3</v>
      </c>
      <c r="L15" s="57">
        <v>0</v>
      </c>
      <c r="M15" s="127">
        <f>+M14+$M$2</f>
        <v>0.54166666666666652</v>
      </c>
      <c r="N15" s="199">
        <v>6</v>
      </c>
      <c r="O15" s="270">
        <f>+AN15</f>
        <v>2</v>
      </c>
      <c r="P15" s="270" t="str">
        <f>VLOOKUP(N15,$A$3:$B$10,2)</f>
        <v>M. Horejsi</v>
      </c>
      <c r="Q15" s="113">
        <f>IF(+AB5="","0",+AB5)</f>
        <v>0</v>
      </c>
      <c r="R15" s="114">
        <f>IF(+AA5="",0,+AA5)</f>
        <v>0</v>
      </c>
      <c r="S15" s="113">
        <f>IF(+AB7="",0,AB7)</f>
        <v>0</v>
      </c>
      <c r="T15" s="115">
        <f>IF(+AA7="",0,AA7)</f>
        <v>0</v>
      </c>
      <c r="U15" s="109">
        <f>+AB9</f>
        <v>3</v>
      </c>
      <c r="V15" s="110">
        <f>+AA9</f>
        <v>2</v>
      </c>
      <c r="W15" s="109">
        <f>+AB11</f>
        <v>3</v>
      </c>
      <c r="X15" s="110">
        <f>+AA11</f>
        <v>2</v>
      </c>
      <c r="Y15" s="111">
        <f>+AB13</f>
        <v>2</v>
      </c>
      <c r="Z15" s="111">
        <f>+AA13</f>
        <v>3</v>
      </c>
      <c r="AA15" s="107"/>
      <c r="AB15" s="108"/>
      <c r="AC15" s="109">
        <f>+K25</f>
        <v>0</v>
      </c>
      <c r="AD15" s="110">
        <f>+L25</f>
        <v>0</v>
      </c>
      <c r="AE15" s="109">
        <f>+K20</f>
        <v>3</v>
      </c>
      <c r="AF15" s="112">
        <f>+L20</f>
        <v>0</v>
      </c>
      <c r="AG15" s="295">
        <f>+Q15+S15+U15+W15+Y15+AA15+AC15+AE15</f>
        <v>11</v>
      </c>
      <c r="AH15" s="297">
        <f>+R15+T15+V15+X15+Z15+AB15+AD15+AF15</f>
        <v>7</v>
      </c>
      <c r="AI15" s="299">
        <f>COUNTIF(Q16:AF16,"V")</f>
        <v>3</v>
      </c>
      <c r="AJ15" s="299">
        <f>COUNTIF(Q16:AF16,"D")</f>
        <v>1</v>
      </c>
      <c r="AK15" s="264">
        <f>IF(P15=0,"",RANK(AI15,$AI$5:$AI$20))</f>
        <v>1</v>
      </c>
      <c r="AL15" s="272">
        <f>IF(AND(+AG15&gt;0,+AH15&gt;0),+AG15/AH15,IF(AND(AG15&gt;0,+AH15=0),AG15/1,0))</f>
        <v>1.5714285714285714</v>
      </c>
      <c r="AM15" s="291">
        <f>IF(+AL15&gt;0,RANK(AL15,$AL$5:$AL$20),"")</f>
        <v>2</v>
      </c>
      <c r="AN15" s="291">
        <f>RANK(AP15,$AP$5:$AP$20)</f>
        <v>2</v>
      </c>
      <c r="AO15" s="258">
        <f t="shared" ref="AO15" si="40">+AI15+AJ15</f>
        <v>4</v>
      </c>
      <c r="AP15">
        <f>+(AG15/AH15)+IF(AJ15=0,AI15,(AI15/AJ15))</f>
        <v>4.5714285714285712</v>
      </c>
      <c r="AQ15" s="150">
        <f>+AG15-AH15+AI15-AJ15</f>
        <v>6</v>
      </c>
      <c r="AR15" s="314">
        <f>RANK(AQ15,$AQ$5:$AQ$20)</f>
        <v>2</v>
      </c>
    </row>
    <row r="16" spans="1:44" ht="15" customHeight="1" x14ac:dyDescent="0.3">
      <c r="B16" s="20"/>
      <c r="C16" s="20"/>
      <c r="D16" s="224"/>
      <c r="E16" s="38">
        <v>5</v>
      </c>
      <c r="F16" s="38">
        <v>6</v>
      </c>
      <c r="G16" s="38"/>
      <c r="H16" s="74" t="str">
        <f>VLOOKUP(E16,A$3:B$10,2,0)</f>
        <v>M. Benes</v>
      </c>
      <c r="I16" s="75" t="s">
        <v>86</v>
      </c>
      <c r="J16" s="74" t="str">
        <f>VLOOKUP(F16,A$3:B$10,2,0)</f>
        <v>M. Horejsi</v>
      </c>
      <c r="K16" s="59">
        <v>3</v>
      </c>
      <c r="L16" s="28">
        <v>2</v>
      </c>
      <c r="M16" s="127">
        <f>+M15+$M$2</f>
        <v>0.56249999999999989</v>
      </c>
      <c r="N16" s="199"/>
      <c r="O16" s="172"/>
      <c r="P16" s="271"/>
      <c r="Q16" s="293" t="str">
        <f t="shared" ref="Q16" si="41">IF($P$5=0,"",IF(Q15+R15=0,+$D$1,IF(Q15=3,"V","D")))</f>
        <v>NJ</v>
      </c>
      <c r="R16" s="294"/>
      <c r="S16" s="293" t="str">
        <f t="shared" ref="S16" si="42">IF($P$5=0,"",IF(S15+T15=0,+$D$1,IF(S15=3,"V","D")))</f>
        <v>NJ</v>
      </c>
      <c r="T16" s="294"/>
      <c r="U16" s="293" t="str">
        <f t="shared" ref="U16" si="43">IF($P$5=0,"",IF(U15+V15=0,+$D$1,IF(U15=3,"V","D")))</f>
        <v>V</v>
      </c>
      <c r="V16" s="294"/>
      <c r="W16" s="293" t="str">
        <f t="shared" ref="W16" si="44">IF($P$5=0,"",IF(W15+X15=0,+$D$1,IF(W15=3,"V","D")))</f>
        <v>V</v>
      </c>
      <c r="X16" s="294"/>
      <c r="Y16" s="293" t="str">
        <f t="shared" ref="Y16" si="45">IF($P$5=0,"",IF(Y15+Z15=0,+$D$1,IF(Y15=3,"V","D")))</f>
        <v>D</v>
      </c>
      <c r="Z16" s="294"/>
      <c r="AA16" s="303"/>
      <c r="AB16" s="304"/>
      <c r="AC16" s="293" t="str">
        <f t="shared" ref="AC16" si="46">IF($P$5=0,"",IF(AC15+AD15=0,+$D$1,IF(AC15=3,"V","D")))</f>
        <v>NJ</v>
      </c>
      <c r="AD16" s="294"/>
      <c r="AE16" s="293" t="str">
        <f t="shared" ref="AE16" si="47">IF($P$5=0,"",IF(AE15+AF15=0,+$D$1,IF(AE15=3,"V","D")))</f>
        <v>V</v>
      </c>
      <c r="AF16" s="294"/>
      <c r="AG16" s="296"/>
      <c r="AH16" s="298"/>
      <c r="AI16" s="300"/>
      <c r="AJ16" s="300"/>
      <c r="AK16" s="265"/>
      <c r="AL16" s="273"/>
      <c r="AM16" s="292"/>
      <c r="AN16" s="292"/>
      <c r="AO16" s="259"/>
      <c r="AR16" s="315"/>
    </row>
    <row r="17" spans="2:44" ht="15" customHeight="1" x14ac:dyDescent="0.3">
      <c r="B17" s="20"/>
      <c r="C17" s="20"/>
      <c r="D17" s="47"/>
      <c r="H17" s="72"/>
      <c r="I17" s="72"/>
      <c r="J17" s="72"/>
      <c r="K17" s="40"/>
      <c r="L17" s="40"/>
      <c r="M17" s="128"/>
      <c r="N17" s="199">
        <v>7</v>
      </c>
      <c r="O17" s="270">
        <f>+AN17</f>
        <v>8</v>
      </c>
      <c r="P17" s="270" t="str">
        <f>VLOOKUP(N17,$A$3:$B$10,2)</f>
        <v>V. Rozinek</v>
      </c>
      <c r="Q17" s="109">
        <f>+AD5</f>
        <v>0</v>
      </c>
      <c r="R17" s="110">
        <f>+AC5</f>
        <v>0</v>
      </c>
      <c r="S17" s="109">
        <f>+AD7</f>
        <v>1</v>
      </c>
      <c r="T17" s="110">
        <f>+AC7</f>
        <v>3</v>
      </c>
      <c r="U17" s="109">
        <f>+AD9</f>
        <v>0</v>
      </c>
      <c r="V17" s="110">
        <f>+AC9</f>
        <v>3</v>
      </c>
      <c r="W17" s="109">
        <f>+AD11</f>
        <v>0</v>
      </c>
      <c r="X17" s="110">
        <f>+AC11</f>
        <v>3</v>
      </c>
      <c r="Y17" s="115">
        <f>IF(+AD13="",0,+AD13)</f>
        <v>0</v>
      </c>
      <c r="Z17" s="115">
        <f>IF(+AC13="",0,+AC13)</f>
        <v>3</v>
      </c>
      <c r="AA17" s="113">
        <f>IF(+AD15="",0,+AD15)</f>
        <v>0</v>
      </c>
      <c r="AB17" s="115">
        <f>IF(+AC15="",0,+AC15)</f>
        <v>0</v>
      </c>
      <c r="AC17" s="107"/>
      <c r="AD17" s="108"/>
      <c r="AE17" s="109">
        <f>+K31</f>
        <v>0</v>
      </c>
      <c r="AF17" s="112">
        <f>+L31</f>
        <v>0</v>
      </c>
      <c r="AG17" s="295">
        <f>+Q17+S17+U17+W17+Y17+AA17+AC17+AE17</f>
        <v>1</v>
      </c>
      <c r="AH17" s="297">
        <f>+R17+T17+V17+X17+Z17+AB17+AD17+AF17</f>
        <v>12</v>
      </c>
      <c r="AI17" s="299">
        <f>COUNTIF(Q18:AF18,"V")</f>
        <v>0</v>
      </c>
      <c r="AJ17" s="299">
        <f t="shared" ref="AJ17" si="48">COUNTIF(Q18:AF18,"D")</f>
        <v>4</v>
      </c>
      <c r="AK17" s="264">
        <f>IF(P17=0,"",RANK(AI17,$AI$5:$AI$20))</f>
        <v>8</v>
      </c>
      <c r="AL17" s="272">
        <f>IF(AND(+AG17&gt;0,+AH17&gt;0),+AG17/AH17,IF(AND(AG17&gt;0,+AH17=0),AG17/1,0))</f>
        <v>8.3333333333333329E-2</v>
      </c>
      <c r="AM17" s="291">
        <f>IF(+AL17&gt;0,RANK(AL17,$AL$5:$AL$20),"")</f>
        <v>8</v>
      </c>
      <c r="AN17" s="291">
        <f>RANK(AP17,$AP$5:$AP$20)</f>
        <v>8</v>
      </c>
      <c r="AO17" s="258">
        <f t="shared" ref="AO17" si="49">+AI17+AJ17</f>
        <v>4</v>
      </c>
      <c r="AP17">
        <f>+(AG17/AH17)+IF(AJ17=0,AI17,(AI17/AJ17))</f>
        <v>8.3333333333333329E-2</v>
      </c>
      <c r="AQ17" s="150">
        <f>+AG17-AH17+AI17-AJ17</f>
        <v>-15</v>
      </c>
      <c r="AR17" s="314">
        <f>RANK(AQ17,$AQ$5:$AQ$20)</f>
        <v>8</v>
      </c>
    </row>
    <row r="18" spans="2:44" ht="15" customHeight="1" x14ac:dyDescent="0.3">
      <c r="B18" s="20"/>
      <c r="C18" s="20"/>
      <c r="D18" s="222" t="s">
        <v>90</v>
      </c>
      <c r="E18" s="42">
        <v>2</v>
      </c>
      <c r="F18" s="42">
        <v>3</v>
      </c>
      <c r="G18" s="42"/>
      <c r="H18" s="70" t="str">
        <f>VLOOKUP(E18,A$3:B$10,2,0)</f>
        <v>R. Bhanja</v>
      </c>
      <c r="I18" s="71" t="s">
        <v>86</v>
      </c>
      <c r="J18" s="70" t="str">
        <f>VLOOKUP(F18,A$3:B$10,2,0)</f>
        <v>L. Devos</v>
      </c>
      <c r="K18" s="32">
        <v>3</v>
      </c>
      <c r="L18" s="33">
        <v>2</v>
      </c>
      <c r="M18" s="127">
        <f>+M16+$M$2</f>
        <v>0.58333333333333326</v>
      </c>
      <c r="N18" s="199"/>
      <c r="O18" s="172"/>
      <c r="P18" s="271"/>
      <c r="Q18" s="293" t="str">
        <f t="shared" ref="Q18" si="50">IF($P$5=0,"",IF(Q17+R17=0,+$D$1,IF(Q17=3,"V","D")))</f>
        <v>NJ</v>
      </c>
      <c r="R18" s="294"/>
      <c r="S18" s="293" t="str">
        <f t="shared" ref="S18" si="51">IF($P$5=0,"",IF(S17+T17=0,+$D$1,IF(S17=3,"V","D")))</f>
        <v>D</v>
      </c>
      <c r="T18" s="294"/>
      <c r="U18" s="293" t="str">
        <f t="shared" ref="U18" si="52">IF($P$5=0,"",IF(U17+V17=0,+$D$1,IF(U17=3,"V","D")))</f>
        <v>D</v>
      </c>
      <c r="V18" s="294"/>
      <c r="W18" s="293" t="str">
        <f t="shared" ref="W18" si="53">IF($P$5=0,"",IF(W17+X17=0,+$D$1,IF(W17=3,"V","D")))</f>
        <v>D</v>
      </c>
      <c r="X18" s="294"/>
      <c r="Y18" s="293" t="str">
        <f t="shared" ref="Y18" si="54">IF($P$5=0,"",IF(Y17+Z17=0,+$D$1,IF(Y17=3,"V","D")))</f>
        <v>D</v>
      </c>
      <c r="Z18" s="294"/>
      <c r="AA18" s="293" t="str">
        <f t="shared" ref="AA18" si="55">IF($P$5=0,"",IF(AA17+AB17=0,+$D$1,IF(AA17=3,"V","D")))</f>
        <v>NJ</v>
      </c>
      <c r="AB18" s="294"/>
      <c r="AC18" s="303"/>
      <c r="AD18" s="304"/>
      <c r="AE18" s="293" t="str">
        <f>IF($P$5=0,"",IF(AE17+AF17=0,+$D$1,IF(AE17=3,"V","D")))</f>
        <v>NJ</v>
      </c>
      <c r="AF18" s="294"/>
      <c r="AG18" s="296"/>
      <c r="AH18" s="298"/>
      <c r="AI18" s="300"/>
      <c r="AJ18" s="300"/>
      <c r="AK18" s="265"/>
      <c r="AL18" s="273"/>
      <c r="AM18" s="292"/>
      <c r="AN18" s="292"/>
      <c r="AO18" s="259"/>
      <c r="AR18" s="315"/>
    </row>
    <row r="19" spans="2:44" ht="15" customHeight="1" x14ac:dyDescent="0.3">
      <c r="D19" s="223"/>
      <c r="E19">
        <v>1</v>
      </c>
      <c r="F19">
        <v>4</v>
      </c>
      <c r="H19" s="72" t="str">
        <f>VLOOKUP(E19,A$3:B$10,2,0)</f>
        <v>D. Reitšpies</v>
      </c>
      <c r="I19" s="73" t="s">
        <v>86</v>
      </c>
      <c r="J19" s="157" t="str">
        <f>VLOOKUP(F19,A$3:B$10,2,0)</f>
        <v xml:space="preserve">TOTO </v>
      </c>
      <c r="K19" s="31">
        <v>0</v>
      </c>
      <c r="L19" s="57">
        <v>3</v>
      </c>
      <c r="M19" s="127">
        <f>+M18+$M$2</f>
        <v>0.60416666666666663</v>
      </c>
      <c r="N19" s="199">
        <v>8</v>
      </c>
      <c r="O19" s="270">
        <f>+AN19</f>
        <v>6</v>
      </c>
      <c r="P19" s="270" t="str">
        <f>VLOOKUP(N19,$A$3:$B$10,2)</f>
        <v>I. Pryshchepa</v>
      </c>
      <c r="Q19" s="116">
        <f>+AF5</f>
        <v>3</v>
      </c>
      <c r="R19" s="117">
        <f>+AE5</f>
        <v>1</v>
      </c>
      <c r="S19" s="116">
        <f>+AF7</f>
        <v>3</v>
      </c>
      <c r="T19" s="117">
        <f>+AE7</f>
        <v>2</v>
      </c>
      <c r="U19" s="109">
        <f>+AF9</f>
        <v>0</v>
      </c>
      <c r="V19" s="111">
        <f>+AE9</f>
        <v>0</v>
      </c>
      <c r="W19" s="113">
        <f>+AF11</f>
        <v>0</v>
      </c>
      <c r="X19" s="114">
        <f>+AE11</f>
        <v>0</v>
      </c>
      <c r="Y19" s="118">
        <f>+AF13</f>
        <v>1</v>
      </c>
      <c r="Z19" s="118">
        <f>+AE13</f>
        <v>3</v>
      </c>
      <c r="AA19" s="116">
        <f>+AF15</f>
        <v>0</v>
      </c>
      <c r="AB19" s="117">
        <f>+AE15</f>
        <v>3</v>
      </c>
      <c r="AC19" s="113">
        <f>IF(+AF17="",0,+AF17)</f>
        <v>0</v>
      </c>
      <c r="AD19" s="114">
        <f>IF(+AE17="",0,+AE17)</f>
        <v>0</v>
      </c>
      <c r="AE19" s="107"/>
      <c r="AF19" s="108"/>
      <c r="AG19" s="295">
        <f>+Q19+S19+U19+W19+Y19+AA19+AC19+AE19</f>
        <v>7</v>
      </c>
      <c r="AH19" s="297">
        <f>+R19+T19+V19+X19+Z19+AB19+AD19+AF19</f>
        <v>9</v>
      </c>
      <c r="AI19" s="299">
        <f>COUNTIF(Q20:AF20,"V")</f>
        <v>2</v>
      </c>
      <c r="AJ19" s="299">
        <f t="shared" ref="AJ19" si="56">COUNTIF(Q20:AF20,"D")</f>
        <v>2</v>
      </c>
      <c r="AK19" s="264">
        <f>IF(P19=0,"",RANK(AI19,$AI$5:$AI$20))</f>
        <v>4</v>
      </c>
      <c r="AL19" s="272">
        <f>IF(AND(+AG19&gt;0,+AH19&gt;0),+AG19/AH19,IF(AND(AG19&gt;0,+AH19=0),AG19/1,0))</f>
        <v>0.77777777777777779</v>
      </c>
      <c r="AM19" s="291">
        <f>IF(+AL19&gt;0,RANK(AL19,$AL$5:$AL$20),"")</f>
        <v>6</v>
      </c>
      <c r="AN19" s="291">
        <f>RANK(AP19,$AP$5:$AP$20)</f>
        <v>6</v>
      </c>
      <c r="AO19" s="258">
        <f t="shared" ref="AO19" si="57">+AI19+AJ19</f>
        <v>4</v>
      </c>
      <c r="AP19">
        <f>+(AG19/AH19)+IF(AJ19=0,AI19,(AI19/AJ19))</f>
        <v>1.7777777777777777</v>
      </c>
      <c r="AQ19" s="150">
        <f>+AG19-AH19+AI19-AJ19</f>
        <v>-2</v>
      </c>
      <c r="AR19" s="314">
        <f>RANK(AQ19,$AQ$5:$AQ$20)</f>
        <v>6</v>
      </c>
    </row>
    <row r="20" spans="2:44" ht="15" customHeight="1" x14ac:dyDescent="0.3">
      <c r="D20" s="223"/>
      <c r="E20">
        <v>6</v>
      </c>
      <c r="F20">
        <v>8</v>
      </c>
      <c r="H20" s="72" t="str">
        <f>VLOOKUP(E20,A$3:B$10,2,0)</f>
        <v>M. Horejsi</v>
      </c>
      <c r="I20" s="73" t="s">
        <v>86</v>
      </c>
      <c r="J20" s="72" t="str">
        <f>VLOOKUP(F20,A$3:B$10,2,0)</f>
        <v>I. Pryshchepa</v>
      </c>
      <c r="K20" s="31">
        <v>3</v>
      </c>
      <c r="L20" s="57">
        <v>0</v>
      </c>
      <c r="M20" s="127">
        <f>+M19+$M$2</f>
        <v>0.625</v>
      </c>
      <c r="N20" s="199"/>
      <c r="O20" s="172"/>
      <c r="P20" s="271"/>
      <c r="Q20" s="293" t="str">
        <f t="shared" ref="Q20" si="58">IF($P$5=0,"",IF(Q19+R19=0,+$D$1,IF(Q19=3,"V","D")))</f>
        <v>V</v>
      </c>
      <c r="R20" s="294"/>
      <c r="S20" s="293" t="str">
        <f t="shared" ref="S20" si="59">IF($P$5=0,"",IF(S19+T19=0,+$D$1,IF(S19=3,"V","D")))</f>
        <v>V</v>
      </c>
      <c r="T20" s="294"/>
      <c r="U20" s="293" t="str">
        <f t="shared" ref="U20" si="60">IF($P$5=0,"",IF(U19+V19=0,+$D$1,IF(U19=3,"V","D")))</f>
        <v>NJ</v>
      </c>
      <c r="V20" s="294"/>
      <c r="W20" s="293" t="str">
        <f t="shared" ref="W20" si="61">IF($P$5=0,"",IF(W19+X19=0,+$D$1,IF(W19=3,"V","D")))</f>
        <v>NJ</v>
      </c>
      <c r="X20" s="294"/>
      <c r="Y20" s="293" t="str">
        <f t="shared" ref="Y20" si="62">IF($P$5=0,"",IF(Y19+Z19=0,+$D$1,IF(Y19=3,"V","D")))</f>
        <v>D</v>
      </c>
      <c r="Z20" s="294"/>
      <c r="AA20" s="293" t="str">
        <f t="shared" ref="AA20" si="63">IF($P$5=0,"",IF(AA19+AB19=0,+$D$1,IF(AA19=3,"V","D")))</f>
        <v>D</v>
      </c>
      <c r="AB20" s="294"/>
      <c r="AC20" s="293" t="str">
        <f t="shared" ref="AC20" si="64">IF($P$5=0,"",IF(AC19+AD19=0,+$D$1,IF(AC19=3,"V","D")))</f>
        <v>NJ</v>
      </c>
      <c r="AD20" s="294"/>
      <c r="AE20" s="303" t="str">
        <f>IF(AE19+AF19=0,"",IF(AE19=3,"V","D"))</f>
        <v/>
      </c>
      <c r="AF20" s="304"/>
      <c r="AG20" s="296"/>
      <c r="AH20" s="298"/>
      <c r="AI20" s="300"/>
      <c r="AJ20" s="300"/>
      <c r="AK20" s="265"/>
      <c r="AL20" s="273"/>
      <c r="AM20" s="292"/>
      <c r="AN20" s="292"/>
      <c r="AO20" s="259"/>
      <c r="AR20" s="315"/>
    </row>
    <row r="21" spans="2:44" ht="16.5" customHeight="1" x14ac:dyDescent="0.3">
      <c r="D21" s="224"/>
      <c r="E21" s="38">
        <v>5</v>
      </c>
      <c r="F21" s="38">
        <v>7</v>
      </c>
      <c r="G21" s="38"/>
      <c r="H21" s="74" t="str">
        <f>VLOOKUP(E21,A$3:B$10,2,0)</f>
        <v>M. Benes</v>
      </c>
      <c r="I21" s="75" t="s">
        <v>86</v>
      </c>
      <c r="J21" s="74" t="str">
        <f>VLOOKUP(F21,A$3:B$10,2,0)</f>
        <v>V. Rozinek</v>
      </c>
      <c r="K21" s="59">
        <v>3</v>
      </c>
      <c r="L21" s="28">
        <v>0</v>
      </c>
      <c r="M21" s="127">
        <f>+M20+$M$2</f>
        <v>0.64583333333333337</v>
      </c>
      <c r="Q21" s="22"/>
      <c r="U21" s="22"/>
      <c r="Y21" s="22"/>
      <c r="AA21" s="22"/>
      <c r="AG21" s="151">
        <f>SUM(AG5:AG20)</f>
        <v>65</v>
      </c>
    </row>
    <row r="22" spans="2:44" ht="15" customHeight="1" x14ac:dyDescent="0.3">
      <c r="D22" s="152"/>
      <c r="E22" s="152"/>
      <c r="F22" s="152"/>
      <c r="G22" s="152"/>
      <c r="H22" s="153"/>
      <c r="I22" s="153"/>
      <c r="J22" s="153"/>
      <c r="K22" s="154"/>
      <c r="L22" s="154"/>
      <c r="M22" s="129"/>
      <c r="AD22" s="41"/>
      <c r="AE22" s="41"/>
      <c r="AF22" s="41"/>
      <c r="AG22" s="41"/>
      <c r="AH22" s="41"/>
      <c r="AI22" s="41"/>
      <c r="AJ22" s="41"/>
    </row>
    <row r="23" spans="2:44" x14ac:dyDescent="0.3">
      <c r="B23" t="s">
        <v>163</v>
      </c>
      <c r="D23" s="222" t="s">
        <v>91</v>
      </c>
      <c r="E23" s="42">
        <v>4</v>
      </c>
      <c r="F23" s="42">
        <v>2</v>
      </c>
      <c r="G23" s="42"/>
      <c r="H23" s="158" t="str">
        <f>VLOOKUP(E23,A$3:B$10,2,0)</f>
        <v xml:space="preserve">TOTO </v>
      </c>
      <c r="I23" s="71" t="s">
        <v>86</v>
      </c>
      <c r="J23" s="70" t="str">
        <f>VLOOKUP(F23,A$3:B$10,2,0)</f>
        <v>R. Bhanja</v>
      </c>
      <c r="K23" s="32"/>
      <c r="L23" s="33"/>
      <c r="M23" s="127">
        <v>0.33333333333333331</v>
      </c>
      <c r="O23" s="251" t="s">
        <v>108</v>
      </c>
      <c r="P23" s="252"/>
      <c r="Q23" s="252"/>
      <c r="R23" s="252"/>
      <c r="S23" s="252"/>
      <c r="T23" s="252"/>
      <c r="U23" s="252"/>
      <c r="V23" s="252"/>
      <c r="W23" s="252"/>
      <c r="X23" s="252"/>
      <c r="Y23" s="252"/>
      <c r="Z23" s="253"/>
      <c r="AB23" s="234"/>
      <c r="AC23" s="235"/>
      <c r="AD23" s="235"/>
      <c r="AE23" s="236"/>
      <c r="AG23" s="234"/>
      <c r="AH23" s="236"/>
      <c r="AJ23" s="234"/>
      <c r="AK23" s="235"/>
      <c r="AL23" s="236"/>
      <c r="AN23" s="234"/>
      <c r="AO23" s="235"/>
      <c r="AP23" s="235"/>
      <c r="AQ23" s="236"/>
    </row>
    <row r="24" spans="2:44" x14ac:dyDescent="0.3">
      <c r="D24" s="223"/>
      <c r="E24">
        <v>1</v>
      </c>
      <c r="F24">
        <v>5</v>
      </c>
      <c r="H24" s="72" t="str">
        <f>VLOOKUP(E24,A$3:B$10,2,0)</f>
        <v>D. Reitšpies</v>
      </c>
      <c r="I24" s="73" t="s">
        <v>86</v>
      </c>
      <c r="J24" s="72" t="str">
        <f>VLOOKUP(F24,A$3:B$10,2,0)</f>
        <v>M. Benes</v>
      </c>
      <c r="K24" s="31"/>
      <c r="L24" s="57"/>
      <c r="M24" s="127">
        <f>+M23+$M$1</f>
        <v>0.35416666666666663</v>
      </c>
      <c r="O24" s="48"/>
      <c r="P24" s="49" t="s">
        <v>111</v>
      </c>
      <c r="Q24" s="49"/>
      <c r="R24" s="49" t="s">
        <v>64</v>
      </c>
      <c r="S24" s="49"/>
      <c r="T24" s="49"/>
      <c r="U24" s="49"/>
      <c r="V24" s="49"/>
      <c r="W24" s="254" t="s">
        <v>95</v>
      </c>
      <c r="X24" s="254"/>
      <c r="Y24" s="254"/>
      <c r="Z24" s="255"/>
      <c r="AB24" s="237"/>
      <c r="AC24" s="238"/>
      <c r="AD24" s="238"/>
      <c r="AE24" s="239"/>
      <c r="AG24" s="237"/>
      <c r="AH24" s="239"/>
      <c r="AJ24" s="237"/>
      <c r="AK24" s="238"/>
      <c r="AL24" s="239"/>
      <c r="AN24" s="237"/>
      <c r="AO24" s="238"/>
      <c r="AP24" s="238"/>
      <c r="AQ24" s="239"/>
    </row>
    <row r="25" spans="2:44" x14ac:dyDescent="0.3">
      <c r="D25" s="223"/>
      <c r="E25">
        <v>6</v>
      </c>
      <c r="F25">
        <v>7</v>
      </c>
      <c r="H25" s="72" t="str">
        <f>VLOOKUP(E25,A$3:B$10,2,0)</f>
        <v>M. Horejsi</v>
      </c>
      <c r="I25" s="73" t="s">
        <v>86</v>
      </c>
      <c r="J25" s="72" t="str">
        <f>VLOOKUP(F25,A$3:B$10,2,0)</f>
        <v>V. Rozinek</v>
      </c>
      <c r="K25" s="31"/>
      <c r="L25" s="57"/>
      <c r="M25" s="127">
        <f>+M24+$M$1</f>
        <v>0.37499999999999994</v>
      </c>
      <c r="O25" s="48"/>
      <c r="P25" s="51"/>
      <c r="Q25" s="132">
        <v>0.58333333333333337</v>
      </c>
      <c r="R25" s="132"/>
      <c r="S25" s="132"/>
      <c r="T25" s="51"/>
      <c r="U25" s="51"/>
      <c r="V25" s="51"/>
      <c r="W25" s="51"/>
      <c r="X25" s="51"/>
      <c r="Y25" s="51"/>
      <c r="Z25" s="50"/>
      <c r="AB25" s="48"/>
      <c r="AC25" s="51"/>
      <c r="AD25" s="51"/>
      <c r="AE25" s="122"/>
      <c r="AG25" s="48"/>
      <c r="AH25" s="122"/>
      <c r="AJ25" s="48"/>
      <c r="AK25" s="51"/>
      <c r="AL25" s="102"/>
      <c r="AN25" s="48"/>
      <c r="AO25" s="51"/>
      <c r="AP25" s="51"/>
      <c r="AQ25" s="50"/>
    </row>
    <row r="26" spans="2:44" x14ac:dyDescent="0.3">
      <c r="D26" s="224"/>
      <c r="E26" s="38">
        <v>3</v>
      </c>
      <c r="F26" s="38">
        <v>8</v>
      </c>
      <c r="G26" s="38"/>
      <c r="H26" s="74" t="str">
        <f>VLOOKUP(E26,A$3:B$10,2,0)</f>
        <v>L. Devos</v>
      </c>
      <c r="I26" s="75" t="s">
        <v>86</v>
      </c>
      <c r="J26" s="74" t="str">
        <f>VLOOKUP(F26,A$3:B$10,2,0)</f>
        <v>I. Pryshchepa</v>
      </c>
      <c r="K26" s="59"/>
      <c r="L26" s="28"/>
      <c r="M26" s="127">
        <f>+M25+$M$1</f>
        <v>0.39583333333333326</v>
      </c>
      <c r="N26" s="127">
        <v>0.59375</v>
      </c>
      <c r="O26" s="48">
        <v>1</v>
      </c>
      <c r="P26" s="51" t="str">
        <f>IF(AO5&lt;7,"",VLOOKUP(O26,O$5:P$20,2,0))</f>
        <v/>
      </c>
      <c r="Q26" s="225" t="s">
        <v>0</v>
      </c>
      <c r="R26" s="227" t="str">
        <f>IF(Q26="","",IF(Q26="V",+P26,P27))</f>
        <v/>
      </c>
      <c r="S26" s="228"/>
      <c r="T26" s="51"/>
      <c r="U26" s="51"/>
      <c r="V26" s="132">
        <v>0.64583333333333337</v>
      </c>
      <c r="W26" s="51"/>
      <c r="X26" s="51"/>
      <c r="Y26" s="51"/>
      <c r="Z26" s="50"/>
      <c r="AB26" s="48"/>
      <c r="AC26" s="51"/>
      <c r="AD26" s="51"/>
      <c r="AE26" s="122"/>
      <c r="AG26" s="48"/>
      <c r="AH26" s="50"/>
      <c r="AJ26" s="48"/>
      <c r="AK26" s="51"/>
      <c r="AL26" s="103"/>
      <c r="AN26" s="48"/>
      <c r="AO26" s="51"/>
      <c r="AP26" s="51"/>
      <c r="AQ26" s="50"/>
    </row>
    <row r="27" spans="2:44" ht="18.75" customHeight="1" x14ac:dyDescent="0.35">
      <c r="H27" s="72"/>
      <c r="I27" s="72"/>
      <c r="J27" s="72"/>
      <c r="K27" s="40"/>
      <c r="L27" s="40"/>
      <c r="M27" s="129"/>
      <c r="O27" s="48">
        <v>4</v>
      </c>
      <c r="P27" s="51" t="str">
        <f>IF(AO5&lt;7,"",VLOOKUP(O27,O$5:P$20,2,0))</f>
        <v/>
      </c>
      <c r="Q27" s="226"/>
      <c r="R27" s="229"/>
      <c r="S27" s="230"/>
      <c r="T27" s="51"/>
      <c r="U27" s="51"/>
      <c r="V27" s="225" t="s">
        <v>1</v>
      </c>
      <c r="W27" s="51"/>
      <c r="X27" s="241" t="str">
        <f>IF(V27="V",+R26,IF(V27="D",R29,""))</f>
        <v/>
      </c>
      <c r="Y27" s="242"/>
      <c r="Z27" s="243"/>
      <c r="AB27" s="48"/>
      <c r="AC27" s="51"/>
      <c r="AD27" s="51"/>
      <c r="AE27" s="122"/>
      <c r="AG27" s="48"/>
      <c r="AH27" s="50"/>
      <c r="AJ27" s="48"/>
      <c r="AK27" s="51"/>
      <c r="AL27" s="103"/>
      <c r="AM27" s="92"/>
      <c r="AN27" s="48"/>
      <c r="AO27" s="51"/>
      <c r="AP27" s="51"/>
      <c r="AQ27" s="50"/>
    </row>
    <row r="28" spans="2:44" ht="15" customHeight="1" x14ac:dyDescent="0.3">
      <c r="D28" s="222" t="s">
        <v>92</v>
      </c>
      <c r="E28" s="42">
        <v>2</v>
      </c>
      <c r="F28" s="42">
        <v>5</v>
      </c>
      <c r="G28" s="42"/>
      <c r="H28" s="70" t="str">
        <f>VLOOKUP(E28,A$3:B$10,2,0)</f>
        <v>R. Bhanja</v>
      </c>
      <c r="I28" s="71" t="s">
        <v>86</v>
      </c>
      <c r="J28" s="70" t="str">
        <f>VLOOKUP(F28,A$3:B$10,2,0)</f>
        <v>M. Benes</v>
      </c>
      <c r="K28" s="32"/>
      <c r="L28" s="33"/>
      <c r="M28" s="127">
        <f>+M26+$M$2</f>
        <v>0.41666666666666657</v>
      </c>
      <c r="O28" s="48"/>
      <c r="P28" s="51"/>
      <c r="Q28" s="132">
        <v>0.60416666666666663</v>
      </c>
      <c r="R28" s="312" t="s">
        <v>164</v>
      </c>
      <c r="S28" s="313"/>
      <c r="T28" s="51"/>
      <c r="U28" s="51"/>
      <c r="V28" s="240"/>
      <c r="W28" s="51"/>
      <c r="X28" s="244"/>
      <c r="Y28" s="245"/>
      <c r="Z28" s="246"/>
      <c r="AB28" s="48"/>
      <c r="AC28" s="51"/>
      <c r="AD28" s="51"/>
      <c r="AE28" s="122"/>
      <c r="AG28" s="48"/>
      <c r="AH28" s="50"/>
      <c r="AJ28" s="48"/>
      <c r="AK28" s="51"/>
      <c r="AL28" s="102"/>
      <c r="AN28" s="48"/>
      <c r="AO28" s="51"/>
      <c r="AP28" s="51"/>
      <c r="AQ28" s="50"/>
    </row>
    <row r="29" spans="2:44" ht="15" customHeight="1" x14ac:dyDescent="0.3">
      <c r="D29" s="223"/>
      <c r="E29">
        <v>1</v>
      </c>
      <c r="F29">
        <v>6</v>
      </c>
      <c r="H29" s="72" t="str">
        <f>VLOOKUP(E29,A$3:B$10,2,0)</f>
        <v>D. Reitšpies</v>
      </c>
      <c r="I29" s="73" t="s">
        <v>86</v>
      </c>
      <c r="J29" s="72" t="str">
        <f>VLOOKUP(F29,A$3:B$10,2,0)</f>
        <v>M. Horejsi</v>
      </c>
      <c r="K29" s="31"/>
      <c r="L29" s="57"/>
      <c r="M29" s="127">
        <f>+M28+$M$2</f>
        <v>0.43749999999999989</v>
      </c>
      <c r="N29" s="127">
        <v>0.61458333333333337</v>
      </c>
      <c r="O29" s="48">
        <v>2</v>
      </c>
      <c r="P29" s="51" t="str">
        <f>IF(+AO5&lt;7,"",VLOOKUP(O29,O$5:P$20,2,0))</f>
        <v/>
      </c>
      <c r="Q29" s="225" t="s">
        <v>0</v>
      </c>
      <c r="R29" s="227" t="str">
        <f>IF(Q29="","",IF(Q29="V",+P29,P30))</f>
        <v/>
      </c>
      <c r="S29" s="228"/>
      <c r="T29" s="51"/>
      <c r="U29" s="51"/>
      <c r="V29" s="226"/>
      <c r="W29" s="51"/>
      <c r="X29" s="247"/>
      <c r="Y29" s="248"/>
      <c r="Z29" s="249"/>
      <c r="AB29" s="48"/>
      <c r="AC29" s="51"/>
      <c r="AD29" s="51"/>
      <c r="AE29" s="122"/>
      <c r="AG29" s="48"/>
      <c r="AH29" s="122"/>
      <c r="AJ29" s="48"/>
      <c r="AK29" s="51"/>
      <c r="AL29" s="102"/>
      <c r="AN29" s="48"/>
      <c r="AO29" s="51"/>
      <c r="AP29" s="51"/>
      <c r="AQ29" s="50"/>
    </row>
    <row r="30" spans="2:44" ht="15" customHeight="1" x14ac:dyDescent="0.3">
      <c r="D30" s="223"/>
      <c r="E30">
        <v>3</v>
      </c>
      <c r="F30">
        <v>4</v>
      </c>
      <c r="H30" s="72" t="str">
        <f>VLOOKUP(E30,A$3:B$10,2,0)</f>
        <v>L. Devos</v>
      </c>
      <c r="I30" s="73" t="s">
        <v>86</v>
      </c>
      <c r="J30" s="157" t="str">
        <f>VLOOKUP(F30,A$3:B$10,2,0)</f>
        <v xml:space="preserve">TOTO </v>
      </c>
      <c r="K30" s="31"/>
      <c r="L30" s="57"/>
      <c r="M30" s="127">
        <f>+M29+$M$2</f>
        <v>0.4583333333333332</v>
      </c>
      <c r="O30" s="48">
        <v>3</v>
      </c>
      <c r="P30" s="51" t="str">
        <f>IF(+AO5&lt;7,"",VLOOKUP(O30,O$5:P$20,2,0))</f>
        <v/>
      </c>
      <c r="Q30" s="226"/>
      <c r="R30" s="229"/>
      <c r="S30" s="230"/>
      <c r="T30" s="51"/>
      <c r="U30" s="51"/>
      <c r="V30" s="52"/>
      <c r="W30" s="51"/>
      <c r="X30" s="52" t="s">
        <v>165</v>
      </c>
      <c r="Y30" s="51"/>
      <c r="Z30" s="50"/>
      <c r="AB30" s="48"/>
      <c r="AC30" s="51"/>
      <c r="AD30" s="51"/>
      <c r="AE30" s="122"/>
      <c r="AG30" s="48"/>
      <c r="AH30" s="122"/>
      <c r="AJ30" s="48"/>
      <c r="AK30" s="51"/>
      <c r="AL30" s="102"/>
      <c r="AN30" s="48"/>
      <c r="AO30" s="51"/>
      <c r="AP30" s="51"/>
      <c r="AQ30" s="50"/>
    </row>
    <row r="31" spans="2:44" x14ac:dyDescent="0.3">
      <c r="D31" s="224"/>
      <c r="E31" s="38">
        <v>7</v>
      </c>
      <c r="F31" s="38">
        <v>8</v>
      </c>
      <c r="G31" s="38"/>
      <c r="H31" s="74" t="str">
        <f>VLOOKUP(E31,A$3:B$10,2,0)</f>
        <v>V. Rozinek</v>
      </c>
      <c r="I31" s="75" t="s">
        <v>86</v>
      </c>
      <c r="J31" s="74" t="str">
        <f>VLOOKUP(F31,A$3:B$10,2,0)</f>
        <v>I. Pryshchepa</v>
      </c>
      <c r="K31" s="59"/>
      <c r="L31" s="28"/>
      <c r="M31" s="127">
        <f>+M30+$M$2</f>
        <v>0.47916666666666652</v>
      </c>
      <c r="O31" s="48"/>
      <c r="P31" s="51"/>
      <c r="Q31" s="68"/>
      <c r="R31" s="51"/>
      <c r="S31" s="51"/>
      <c r="T31" s="51"/>
      <c r="U31" s="51"/>
      <c r="V31" s="52"/>
      <c r="W31" s="51"/>
      <c r="X31" s="51"/>
      <c r="Y31" s="51"/>
      <c r="Z31" s="50"/>
      <c r="AB31" s="48"/>
      <c r="AC31" s="51"/>
      <c r="AD31" s="51"/>
      <c r="AE31" s="122"/>
      <c r="AG31" s="48"/>
      <c r="AH31" s="122"/>
      <c r="AJ31" s="48"/>
      <c r="AK31" s="51"/>
      <c r="AL31" s="103"/>
      <c r="AN31" s="48"/>
      <c r="AO31" s="51"/>
      <c r="AP31" s="51"/>
      <c r="AQ31" s="50"/>
    </row>
    <row r="32" spans="2:44" x14ac:dyDescent="0.3">
      <c r="H32" s="72"/>
      <c r="I32" s="72"/>
      <c r="J32" s="72"/>
      <c r="K32" s="40"/>
      <c r="L32" s="40"/>
      <c r="M32" s="129"/>
      <c r="O32" s="48"/>
      <c r="P32" s="254" t="s">
        <v>96</v>
      </c>
      <c r="Q32" s="254"/>
      <c r="R32" s="254"/>
      <c r="S32" s="254"/>
      <c r="T32" s="51"/>
      <c r="U32" s="51"/>
      <c r="V32" s="51"/>
      <c r="W32" s="51"/>
      <c r="X32" s="51"/>
      <c r="Y32" s="51"/>
      <c r="Z32" s="50"/>
      <c r="AB32" s="48"/>
      <c r="AC32" s="51"/>
      <c r="AD32" s="51"/>
      <c r="AE32" s="122"/>
      <c r="AG32" s="48"/>
      <c r="AH32" s="101"/>
      <c r="AJ32" s="48"/>
      <c r="AK32" s="51"/>
      <c r="AL32" s="102"/>
      <c r="AN32" s="48"/>
      <c r="AO32" s="51"/>
      <c r="AP32" s="51"/>
      <c r="AQ32" s="50"/>
    </row>
    <row r="33" spans="4:43" x14ac:dyDescent="0.3">
      <c r="D33" s="222" t="s">
        <v>93</v>
      </c>
      <c r="E33" s="42">
        <v>2</v>
      </c>
      <c r="F33" s="42">
        <v>6</v>
      </c>
      <c r="G33" s="42"/>
      <c r="H33" s="70" t="str">
        <f>VLOOKUP(E33,A$3:B$10,2,0)</f>
        <v>R. Bhanja</v>
      </c>
      <c r="I33" s="71" t="s">
        <v>86</v>
      </c>
      <c r="J33" s="70" t="str">
        <f>VLOOKUP(F33,A$3:B$10,2,0)</f>
        <v>M. Horejsi</v>
      </c>
      <c r="K33" s="32"/>
      <c r="L33" s="33"/>
      <c r="M33" s="127">
        <f>+M31+$M$2</f>
        <v>0.49999999999999983</v>
      </c>
      <c r="O33" s="48"/>
      <c r="P33" s="51"/>
      <c r="Q33" s="132">
        <v>0.625</v>
      </c>
      <c r="R33" s="51"/>
      <c r="S33" s="51"/>
      <c r="T33" s="51"/>
      <c r="U33" s="51"/>
      <c r="V33" s="51"/>
      <c r="W33" s="51"/>
      <c r="X33" s="51"/>
      <c r="Y33" s="51"/>
      <c r="Z33" s="50"/>
      <c r="AB33" s="48"/>
      <c r="AC33" s="51"/>
      <c r="AD33" s="250"/>
      <c r="AE33" s="250"/>
      <c r="AG33" s="98"/>
      <c r="AH33" s="99"/>
      <c r="AJ33" s="48"/>
      <c r="AK33" s="51"/>
      <c r="AL33" s="102"/>
      <c r="AN33" s="53"/>
      <c r="AO33" s="54"/>
      <c r="AP33" s="311"/>
      <c r="AQ33" s="311"/>
    </row>
    <row r="34" spans="4:43" x14ac:dyDescent="0.3">
      <c r="D34" s="223"/>
      <c r="E34">
        <v>3</v>
      </c>
      <c r="F34">
        <v>5</v>
      </c>
      <c r="H34" s="72" t="str">
        <f>VLOOKUP(E34,A$3:B$10,2,0)</f>
        <v>L. Devos</v>
      </c>
      <c r="I34" s="73" t="s">
        <v>86</v>
      </c>
      <c r="J34" s="72" t="str">
        <f>VLOOKUP(F34,A$3:B$10,2,0)</f>
        <v>M. Benes</v>
      </c>
      <c r="K34" s="31"/>
      <c r="L34" s="57"/>
      <c r="M34" s="127">
        <f>+M33+$M$2</f>
        <v>0.52083333333333315</v>
      </c>
      <c r="N34" s="127">
        <v>0.63541666666666663</v>
      </c>
      <c r="O34" s="48"/>
      <c r="P34" s="52" t="str">
        <f>IF(Q26="","",IF(Q26="V",P27,P26))</f>
        <v/>
      </c>
      <c r="Q34" s="225" t="s">
        <v>0</v>
      </c>
      <c r="R34" s="227" t="str">
        <f>IF(Q34="","",IF(Q34="V",P34,P35))</f>
        <v/>
      </c>
      <c r="S34" s="228"/>
      <c r="T34" s="51"/>
      <c r="U34" s="51"/>
      <c r="V34" s="51"/>
      <c r="W34" s="51"/>
      <c r="X34" s="51"/>
      <c r="Y34" s="51"/>
      <c r="Z34" s="50"/>
      <c r="AB34" s="48"/>
      <c r="AC34" s="51"/>
      <c r="AD34" s="144"/>
      <c r="AE34" s="122"/>
      <c r="AG34" s="98"/>
      <c r="AH34" s="99"/>
      <c r="AJ34" s="48"/>
      <c r="AK34" s="51"/>
      <c r="AL34" s="104"/>
    </row>
    <row r="35" spans="4:43" x14ac:dyDescent="0.3">
      <c r="D35" s="223"/>
      <c r="E35">
        <v>4</v>
      </c>
      <c r="F35">
        <v>8</v>
      </c>
      <c r="H35" s="157" t="str">
        <f>VLOOKUP(E35,A$3:B$10,2,0)</f>
        <v xml:space="preserve">TOTO </v>
      </c>
      <c r="I35" s="73" t="s">
        <v>86</v>
      </c>
      <c r="J35" s="72" t="str">
        <f>VLOOKUP(F35,A$3:B$10,2,0)</f>
        <v>I. Pryshchepa</v>
      </c>
      <c r="K35" s="31"/>
      <c r="L35" s="57"/>
      <c r="M35" s="127">
        <f>+M34+$M$2</f>
        <v>0.54166666666666652</v>
      </c>
      <c r="O35" s="48"/>
      <c r="P35" s="51" t="str">
        <f>IF(Q29="","",IF(Q29="V",P30,P29))</f>
        <v/>
      </c>
      <c r="Q35" s="226"/>
      <c r="R35" s="229"/>
      <c r="S35" s="230"/>
      <c r="T35" s="51"/>
      <c r="U35" s="51"/>
      <c r="V35" s="51"/>
      <c r="W35" s="51"/>
      <c r="X35" s="51"/>
      <c r="Y35" s="51"/>
      <c r="Z35" s="50"/>
      <c r="AB35" s="53"/>
      <c r="AC35" s="54"/>
      <c r="AD35" s="54"/>
      <c r="AE35" s="55"/>
      <c r="AG35" s="100"/>
      <c r="AH35" s="97"/>
      <c r="AJ35" s="64"/>
      <c r="AK35" s="65"/>
      <c r="AL35" s="97"/>
      <c r="AN35" s="51"/>
      <c r="AP35" s="126"/>
    </row>
    <row r="36" spans="4:43" x14ac:dyDescent="0.3">
      <c r="D36" s="224"/>
      <c r="E36" s="38">
        <v>1</v>
      </c>
      <c r="F36" s="38">
        <v>7</v>
      </c>
      <c r="G36" s="38"/>
      <c r="H36" s="74" t="str">
        <f>VLOOKUP(E36,A$3:B$10,2,0)</f>
        <v>D. Reitšpies</v>
      </c>
      <c r="I36" s="75" t="s">
        <v>86</v>
      </c>
      <c r="J36" s="74" t="str">
        <f>VLOOKUP(F36,A$3:B$10,2,0)</f>
        <v>V. Rozinek</v>
      </c>
      <c r="K36" s="59"/>
      <c r="L36" s="28"/>
      <c r="M36" s="127">
        <f>+M35+$M$2</f>
        <v>0.56249999999999989</v>
      </c>
      <c r="O36" s="53"/>
      <c r="P36" s="54"/>
      <c r="Q36" s="69"/>
      <c r="R36" s="54"/>
      <c r="S36" s="54"/>
      <c r="T36" s="54"/>
      <c r="U36" s="54"/>
      <c r="V36" s="54"/>
      <c r="W36" s="54"/>
      <c r="X36" s="54"/>
      <c r="Y36" s="54"/>
      <c r="Z36" s="55"/>
      <c r="AN36" s="51"/>
      <c r="AP36" s="126"/>
    </row>
    <row r="37" spans="4:43" x14ac:dyDescent="0.3">
      <c r="AB37" s="67"/>
      <c r="AC37" s="42"/>
      <c r="AD37" s="42"/>
      <c r="AE37" s="42"/>
      <c r="AF37" s="42"/>
      <c r="AG37" s="42"/>
      <c r="AH37" s="42"/>
      <c r="AI37" s="42"/>
      <c r="AJ37" s="42"/>
      <c r="AK37" s="42"/>
      <c r="AL37" s="44"/>
      <c r="AN37" s="51"/>
      <c r="AP37" s="126"/>
    </row>
    <row r="38" spans="4:43" x14ac:dyDescent="0.3">
      <c r="F38" s="324" t="s">
        <v>87</v>
      </c>
      <c r="H38" s="321" t="str">
        <f ca="1">IFERROR(VLOOKUP($J$2,OFFSET($H$3,(ROW($A1)-1)*5,,4),1,0),VLOOKUP($J$2,OFFSET($J$3,(ROW(A1)-1)*5,,4),1,0))</f>
        <v xml:space="preserve">TOTO </v>
      </c>
      <c r="I38" s="321"/>
      <c r="J38" s="321" t="str">
        <f ca="1">IFERROR(VLOOKUP($J$2,OFFSET($H$3:$J$3,(ROW($A1)-1)*5,,4),3,0),VLOOKUP($J$2,CHOOSE({1,2},OFFSET($J$3,(ROW($A1)-1)*5,,4),OFFSET($H$3,(ROW($A1)-1)*5,,4)),2,0))</f>
        <v>M. Benes</v>
      </c>
      <c r="K38" s="322" cm="1">
        <f t="array" aca="1" ref="K38" ca="1">INDEX(time,SUMPRODUCT((ISNUMBER(SEARCH($H38,OFFSET($H$3:$J$3,(ROW($A1)-1)*5,,4)))*1)*ROW(OFFSET($H$3,(ROW($A1)-1)*5,,4)))-2,COLUMN(A:A))</f>
        <v>3</v>
      </c>
      <c r="L38" s="322" cm="1">
        <f t="array" aca="1" ref="L38" ca="1">INDEX(time,SUMPRODUCT((ISNUMBER(SEARCH($H38,OFFSET($H$3:$J$3,(ROW($A1)-1)*5,,4)))*1)*ROW(OFFSET($H$3,(ROW($A1)-1)*5,,4)))-2,COLUMN(B:B))</f>
        <v>0</v>
      </c>
      <c r="M38" s="323" cm="1">
        <f t="array" aca="1" ref="M38" ca="1">INDEX(time,SUMPRODUCT((ISNUMBER(SEARCH($H38,OFFSET($H$3:$J$3,(ROW($A1)-1)*5,,4)))*1)*ROW(OFFSET($H$3,(ROW($A1)-1)*5,,4)))-2,COLUMN(C:C))</f>
        <v>0.39583333333333326</v>
      </c>
      <c r="AB38" s="34"/>
      <c r="AL38" s="35"/>
    </row>
    <row r="39" spans="4:43" ht="13.2" customHeight="1" x14ac:dyDescent="0.3">
      <c r="F39" s="324" t="s">
        <v>88</v>
      </c>
      <c r="H39" s="321" t="str">
        <f t="shared" ref="H39:H47" ca="1" si="65">IFERROR(VLOOKUP($J$2,OFFSET($H$3,(ROW($A2)-1)*5,,4),1,0),VLOOKUP($J$2,OFFSET($J$3,(ROW(A2)-1)*5,,4),1,0))</f>
        <v xml:space="preserve">TOTO </v>
      </c>
      <c r="I39" s="322"/>
      <c r="J39" s="321" t="str">
        <f ca="1">IFERROR(VLOOKUP($J$2,OFFSET($H$3:$J$3,(ROW($A2)-1)*5,,4),3,0),VLOOKUP($J$2,CHOOSE({1,2},OFFSET($J$3,(ROW($A2)-1)*5,,4),OFFSET($H$3,(ROW($A2)-1)*5,,4)),2,0))</f>
        <v>M. Horejsi</v>
      </c>
      <c r="K39" s="322" cm="1">
        <f t="array" aca="1" ref="K39" ca="1">INDEX(time,SUMPRODUCT((ISNUMBER(SEARCH($H39,OFFSET($H$3:$J$3,(ROW($A2)-1)*5,,4)))*1)*ROW(OFFSET($H$3,(ROW($A2)-1)*5,,4)))-2,COLUMN(A:A))</f>
        <v>2</v>
      </c>
      <c r="L39" s="322" cm="1">
        <f t="array" aca="1" ref="L39" ca="1">INDEX(time,SUMPRODUCT((ISNUMBER(SEARCH($H39,OFFSET($H$3:$J$3,(ROW($A2)-1)*5,,4)))*1)*ROW(OFFSET($H$3,(ROW($A2)-1)*5,,4)))-2,COLUMN(B:B))</f>
        <v>3</v>
      </c>
      <c r="M39" s="323" cm="1">
        <f t="array" aca="1" ref="M39" ca="1">INDEX(time,SUMPRODUCT((ISNUMBER(SEARCH($H39,OFFSET($H$3:$J$3,(ROW($A2)-1)*5,,4)))*1)*ROW(OFFSET($H$3,(ROW($A2)-1)*5,,4)))-2,COLUMN(C:C))</f>
        <v>0.47916666666666652</v>
      </c>
      <c r="P39" t="s">
        <v>181</v>
      </c>
      <c r="AB39" s="37"/>
      <c r="AC39" s="38"/>
      <c r="AD39" s="38"/>
      <c r="AE39" s="38"/>
      <c r="AF39" s="38"/>
      <c r="AG39" s="38"/>
      <c r="AH39" s="38"/>
      <c r="AI39" s="38"/>
      <c r="AJ39" s="38"/>
      <c r="AK39" s="38"/>
      <c r="AL39" s="39"/>
    </row>
    <row r="40" spans="4:43" ht="12.6" customHeight="1" x14ac:dyDescent="0.3">
      <c r="F40" s="324" t="s">
        <v>89</v>
      </c>
      <c r="H40" s="321" t="str">
        <f t="shared" ca="1" si="65"/>
        <v xml:space="preserve">TOTO </v>
      </c>
      <c r="I40" s="322"/>
      <c r="J40" s="321" t="str">
        <f ca="1">IFERROR(VLOOKUP($J$2,OFFSET($H$3:$J$3,(ROW($A3)-1)*5,,4),3,0),VLOOKUP($J$2,CHOOSE({1,2},OFFSET($J$3,(ROW($A3)-1)*5,,4),OFFSET($H$3,(ROW($A3)-1)*5,,4)),2,0))</f>
        <v>V. Rozinek</v>
      </c>
      <c r="K40" s="322" cm="1">
        <f t="array" aca="1" ref="K40" ca="1">INDEX(time,SUMPRODUCT((ISNUMBER(SEARCH($H40,OFFSET($H$3:$J$3,(ROW($A3)-1)*5,,4)))*1)*ROW(OFFSET($H$3,(ROW($A3)-1)*5,,4)))-2,COLUMN(A:A))</f>
        <v>3</v>
      </c>
      <c r="L40" s="322" cm="1">
        <f t="array" aca="1" ref="L40" ca="1">INDEX(time,SUMPRODUCT((ISNUMBER(SEARCH($H40,OFFSET($H$3:$J$3,(ROW($A3)-1)*5,,4)))*1)*ROW(OFFSET($H$3,(ROW($A3)-1)*5,,4)))-2,COLUMN(B:B))</f>
        <v>0</v>
      </c>
      <c r="M40" s="323" cm="1">
        <f t="array" aca="1" ref="M40" ca="1">INDEX(time,SUMPRODUCT((ISNUMBER(SEARCH($H40,OFFSET($H$3:$J$3,(ROW($A3)-1)*5,,4)))*1)*ROW(OFFSET($H$3,(ROW($A3)-1)*5,,4)))-2,COLUMN(C:C))</f>
        <v>0.54166666666666652</v>
      </c>
      <c r="O40" s="161" t="s">
        <v>180</v>
      </c>
      <c r="P40" s="159" t="str" cm="1">
        <f t="array" ref="P40">IFERROR(INDEX(noms,INT(SMALL(IF((--(ISNUMBER(SEARCH($J$2,noms))*ROW(noms)))=0,"",ROW(noms)+(COLUMN($A:$C)/1000)),ROW(A1)))-2,(SMALL(IF((--(ISNUMBER(SEARCH($J$2,noms))*ROW(noms)))=0,"",ROW(noms)+(COLUMN($A:$C)/1000)),ROW($A1))-INT(SMALL(IF((--(ISNUMBER(SEARCH($J$2,noms))*ROW(noms)))=0,"",ROW(noms)+(COLUMN($A:$C)/1000)),ROW(A1))))*1000),"")</f>
        <v xml:space="preserve">TOTO </v>
      </c>
      <c r="Q40" s="159" t="str" cm="1">
        <f t="array" ref="Q40">IFERROR(IFERROR(INDEX(noms,INT(SMALL(IF((--(ISNUMBER(SEARCH($J$2,noms))*ROW(noms)))=0,"",ROW(noms)+(COLUMN($A:$C)/1000)),ROW(B1)))-2,((SMALL(IF((--(ISNUMBER(SEARCH($J$2,noms))*ROW(noms)))=0,"",ROW(noms)+(COLUMN($A:$C)/1000)),ROW($A1))-INT(SMALL(IF((--(ISNUMBER(SEARCH($J$2,noms))*ROW(noms)))=0,"",ROW(noms)+(COLUMN($A:$C)/1000)),ROW(B1))))*1000)+2),INDEX(noms,INT(SMALL(IF((--(ISNUMBER(SEARCH($J$2,noms))*ROW(noms)))=0,"",ROW(noms)+(COLUMN($A:$C)/1000)),ROW(B1)))-2,((SMALL(IF((--(ISNUMBER(SEARCH($J$2,noms))*ROW(noms)))=0,"",ROW(noms)+(COLUMN($A:$C)/1000)),ROW($A1))-INT(SMALL(IF((--(ISNUMBER(SEARCH($J$2,noms))*ROW(noms)))=0,"",ROW(noms)+(COLUMN($A:$C)/1000)),ROW(B1))))*1000)-2)),"")</f>
        <v>M. Benes</v>
      </c>
      <c r="R40" s="159" cm="1">
        <f t="array" ref="R40">IFERROR(INDEX(time,INT(SMALL(IF((--(ISNUMBER(SEARCH($J$2,noms))*ROW(noms)))=0,"",ROW(noms)+(COLUMN($A:$C)/1000)),ROW(B1)))-2,COLUMN(A:A)),"")</f>
        <v>3</v>
      </c>
      <c r="S40" s="159" cm="1">
        <f t="array" ref="S40">IFERROR(INDEX(time,INT(SMALL(IF((--(ISNUMBER(SEARCH($J$2,noms))*ROW(noms)))=0,"",ROW(noms)+(COLUMN($A:$C)/1000)),ROW(C1)))-2,COLUMN(B:B)),"")</f>
        <v>0</v>
      </c>
      <c r="T40" s="160" cm="1">
        <f t="array" ref="T40">IFERROR(INDEX(time,INT(SMALL(IF((--(ISNUMBER(SEARCH($J$2,noms))*ROW(noms)))=0,"",ROW(noms)+(COLUMN($A:$C)/1000)),ROW(D1)))-2,COLUMN(C:C)),"")</f>
        <v>0.39583333333333326</v>
      </c>
    </row>
    <row r="41" spans="4:43" x14ac:dyDescent="0.3">
      <c r="F41" s="324" t="s">
        <v>90</v>
      </c>
      <c r="H41" s="321" t="str">
        <f t="shared" ca="1" si="65"/>
        <v xml:space="preserve">TOTO </v>
      </c>
      <c r="I41" s="322"/>
      <c r="J41" s="321" t="str">
        <f ca="1">IFERROR(VLOOKUP($J$2,OFFSET($H$3:$J$3,(ROW($A4)-1)*5,,4),3,0),VLOOKUP($J$2,CHOOSE({1,2},OFFSET($J$3,(ROW($A4)-1)*5,,4),OFFSET($H$3,(ROW($A4)-1)*5,,4)),2,0))</f>
        <v>D. Reitšpies</v>
      </c>
      <c r="K41" s="322" cm="1">
        <f t="array" aca="1" ref="K41" ca="1">INDEX(time,SUMPRODUCT((ISNUMBER(SEARCH($H41,OFFSET($H$3:$J$3,(ROW($A4)-1)*5,,4)))*1)*ROW(OFFSET($H$3,(ROW($A4)-1)*5,,4)))-2,COLUMN(A:A))</f>
        <v>0</v>
      </c>
      <c r="L41" s="322" cm="1">
        <f t="array" aca="1" ref="L41" ca="1">INDEX(time,SUMPRODUCT((ISNUMBER(SEARCH($H41,OFFSET($H$3:$J$3,(ROW($A4)-1)*5,,4)))*1)*ROW(OFFSET($H$3,(ROW($A4)-1)*5,,4)))-2,COLUMN(B:B))</f>
        <v>3</v>
      </c>
      <c r="M41" s="323" cm="1">
        <f t="array" aca="1" ref="M41" ca="1">INDEX(time,SUMPRODUCT((ISNUMBER(SEARCH($H41,OFFSET($H$3:$J$3,(ROW($A4)-1)*5,,4)))*1)*ROW(OFFSET($H$3,(ROW($A4)-1)*5,,4)))-2,COLUMN(C:C))</f>
        <v>0.60416666666666663</v>
      </c>
      <c r="O41" s="161" t="s">
        <v>180</v>
      </c>
      <c r="P41" s="159" t="str" cm="1">
        <f t="array" ref="P41">IFERROR(INDEX(noms,INT(SMALL(IF((--(ISNUMBER(SEARCH($J$2,noms))*ROW(noms)))=0,"",ROW(noms)+(COLUMN($A:$C)/1000)),ROW(A2)))-2,(SMALL(IF((--(ISNUMBER(SEARCH($J$2,noms))*ROW(noms)))=0,"",ROW(noms)+(COLUMN($A:$C)/1000)),ROW($A2))-INT(SMALL(IF((--(ISNUMBER(SEARCH($J$2,noms))*ROW(noms)))=0,"",ROW(noms)+(COLUMN($A:$C)/1000)),ROW(A2))))*1000),"")</f>
        <v xml:space="preserve">TOTO </v>
      </c>
      <c r="Q41" s="159" t="str" cm="1">
        <f t="array" ref="Q41">IFERROR(IFERROR(INDEX(noms,INT(SMALL(IF((--(ISNUMBER(SEARCH($J$2,noms))*ROW(noms)))=0,"",ROW(noms)+(COLUMN($A:$C)/1000)),ROW(B2)))-2,((SMALL(IF((--(ISNUMBER(SEARCH($J$2,noms))*ROW(noms)))=0,"",ROW(noms)+(COLUMN($A:$C)/1000)),ROW($A2))-INT(SMALL(IF((--(ISNUMBER(SEARCH($J$2,noms))*ROW(noms)))=0,"",ROW(noms)+(COLUMN($A:$C)/1000)),ROW(B2))))*1000)+2),INDEX(noms,INT(SMALL(IF((--(ISNUMBER(SEARCH($J$2,noms))*ROW(noms)))=0,"",ROW(noms)+(COLUMN($A:$C)/1000)),ROW(B2)))-2,((SMALL(IF((--(ISNUMBER(SEARCH($J$2,noms))*ROW(noms)))=0,"",ROW(noms)+(COLUMN($A:$C)/1000)),ROW($A2))-INT(SMALL(IF((--(ISNUMBER(SEARCH($J$2,noms))*ROW(noms)))=0,"",ROW(noms)+(COLUMN($A:$C)/1000)),ROW(B2))))*1000)-2)),"")</f>
        <v>M. Horejsi</v>
      </c>
      <c r="R41" s="159" cm="1">
        <f t="array" ref="R41">IFERROR(INDEX(time,INT(SMALL(IF((--(ISNUMBER(SEARCH($J$2,noms))*ROW(noms)))=0,"",ROW(noms)+(COLUMN($A:$C)/1000)),ROW(B2)))-2,COLUMN(A:A)),"")</f>
        <v>2</v>
      </c>
      <c r="S41" s="159" cm="1">
        <f t="array" ref="S41">IFERROR(INDEX(time,INT(SMALL(IF((--(ISNUMBER(SEARCH($J$2,noms))*ROW(noms)))=0,"",ROW(noms)+(COLUMN($A:$C)/1000)),ROW(C2)))-2,COLUMN(B:B)),"")</f>
        <v>3</v>
      </c>
      <c r="T41" s="160" cm="1">
        <f t="array" ref="T41">IFERROR(INDEX(time,INT(SMALL(IF((--(ISNUMBER(SEARCH($J$2,noms))*ROW(noms)))=0,"",ROW(noms)+(COLUMN($A:$C)/1000)),ROW(D2)))-2,COLUMN(C:C)),"")</f>
        <v>0.47916666666666652</v>
      </c>
    </row>
    <row r="42" spans="4:43" x14ac:dyDescent="0.3">
      <c r="D42" s="325" t="s">
        <v>179</v>
      </c>
      <c r="F42" s="324" t="s">
        <v>91</v>
      </c>
      <c r="H42" s="321" t="str">
        <f t="shared" ca="1" si="65"/>
        <v xml:space="preserve">TOTO </v>
      </c>
      <c r="I42" s="322"/>
      <c r="J42" s="321" t="str">
        <f ca="1">IFERROR(VLOOKUP($J$2,OFFSET($H$3:$J$3,(ROW($A5)-1)*5,,4),3,0),VLOOKUP($J$2,CHOOSE({1,2},OFFSET($J$3,(ROW($A5)-1)*5,,4),OFFSET($H$3,(ROW($A5)-1)*5,,4)),2,0))</f>
        <v>R. Bhanja</v>
      </c>
      <c r="K42" s="322" cm="1">
        <f t="array" aca="1" ref="K42" ca="1">INDEX(time,SUMPRODUCT((ISNUMBER(SEARCH($H42,OFFSET($H$3:$J$3,(ROW($A5)-1)*5,,4)))*1)*ROW(OFFSET($H$3,(ROW($A5)-1)*5,,4)))-2,COLUMN(A:A))</f>
        <v>0</v>
      </c>
      <c r="L42" s="322" cm="1">
        <f t="array" aca="1" ref="L42" ca="1">INDEX(time,SUMPRODUCT((ISNUMBER(SEARCH($H42,OFFSET($H$3:$J$3,(ROW($A5)-1)*5,,4)))*1)*ROW(OFFSET($H$3,(ROW($A5)-1)*5,,4)))-2,COLUMN(B:B))</f>
        <v>0</v>
      </c>
      <c r="M42" s="323" cm="1">
        <f t="array" aca="1" ref="M42" ca="1">INDEX(time,SUMPRODUCT((ISNUMBER(SEARCH($H42,OFFSET($H$3:$J$3,(ROW($A5)-1)*5,,4)))*1)*ROW(OFFSET($H$3,(ROW($A5)-1)*5,,4)))-2,COLUMN(C:C))</f>
        <v>0.33333333333333331</v>
      </c>
      <c r="O42" s="161" t="s">
        <v>180</v>
      </c>
      <c r="P42" s="159" t="str" cm="1">
        <f t="array" ref="P42">IFERROR(INDEX(noms,INT(SMALL(IF((--(ISNUMBER(SEARCH($J$2,noms))*ROW(noms)))=0,"",ROW(noms)+(COLUMN($A:$C)/1000)),ROW(A3)))-2,(SMALL(IF((--(ISNUMBER(SEARCH($J$2,noms))*ROW(noms)))=0,"",ROW(noms)+(COLUMN($A:$C)/1000)),ROW($A3))-INT(SMALL(IF((--(ISNUMBER(SEARCH($J$2,noms))*ROW(noms)))=0,"",ROW(noms)+(COLUMN($A:$C)/1000)),ROW(A3))))*1000),"")</f>
        <v xml:space="preserve">TOTO </v>
      </c>
      <c r="Q42" s="159" t="str" cm="1">
        <f t="array" ref="Q42">IFERROR(IFERROR(INDEX(noms,INT(SMALL(IF((--(ISNUMBER(SEARCH($J$2,noms))*ROW(noms)))=0,"",ROW(noms)+(COLUMN($A:$C)/1000)),ROW(B3)))-2,((SMALL(IF((--(ISNUMBER(SEARCH($J$2,noms))*ROW(noms)))=0,"",ROW(noms)+(COLUMN($A:$C)/1000)),ROW($A3))-INT(SMALL(IF((--(ISNUMBER(SEARCH($J$2,noms))*ROW(noms)))=0,"",ROW(noms)+(COLUMN($A:$C)/1000)),ROW(B3))))*1000)+2),INDEX(noms,INT(SMALL(IF((--(ISNUMBER(SEARCH($J$2,noms))*ROW(noms)))=0,"",ROW(noms)+(COLUMN($A:$C)/1000)),ROW(B3)))-2,((SMALL(IF((--(ISNUMBER(SEARCH($J$2,noms))*ROW(noms)))=0,"",ROW(noms)+(COLUMN($A:$C)/1000)),ROW($A3))-INT(SMALL(IF((--(ISNUMBER(SEARCH($J$2,noms))*ROW(noms)))=0,"",ROW(noms)+(COLUMN($A:$C)/1000)),ROW(B3))))*1000)-2)),"")</f>
        <v>V. Rozinek</v>
      </c>
      <c r="R42" s="159" cm="1">
        <f t="array" ref="R42">IFERROR(INDEX(time,INT(SMALL(IF((--(ISNUMBER(SEARCH($J$2,noms))*ROW(noms)))=0,"",ROW(noms)+(COLUMN($A:$C)/1000)),ROW(B3)))-2,COLUMN(A:A)),"")</f>
        <v>3</v>
      </c>
      <c r="S42" s="159" cm="1">
        <f t="array" ref="S42">IFERROR(INDEX(time,INT(SMALL(IF((--(ISNUMBER(SEARCH($J$2,noms))*ROW(noms)))=0,"",ROW(noms)+(COLUMN($A:$C)/1000)),ROW(C3)))-2,COLUMN(B:B)),"")</f>
        <v>0</v>
      </c>
      <c r="T42" s="160" cm="1">
        <f t="array" ref="T42">IFERROR(INDEX(time,INT(SMALL(IF((--(ISNUMBER(SEARCH($J$2,noms))*ROW(noms)))=0,"",ROW(noms)+(COLUMN($A:$C)/1000)),ROW(D3)))-2,COLUMN(C:C)),"")</f>
        <v>0.54166666666666652</v>
      </c>
    </row>
    <row r="43" spans="4:43" x14ac:dyDescent="0.3">
      <c r="D43" s="325" t="s">
        <v>179</v>
      </c>
      <c r="F43" s="324" t="s">
        <v>92</v>
      </c>
      <c r="H43" s="321" t="str">
        <f t="shared" ca="1" si="65"/>
        <v xml:space="preserve">TOTO </v>
      </c>
      <c r="I43" s="322"/>
      <c r="J43" s="321" t="str">
        <f ca="1">IFERROR(VLOOKUP($J$2,OFFSET($H$3:$J$3,(ROW($A6)-1)*5,,4),3,0),VLOOKUP($J$2,CHOOSE({1,2},OFFSET($J$3,(ROW($A6)-1)*5,,4),OFFSET($H$3,(ROW($A6)-1)*5,,4)),2,0))</f>
        <v>L. Devos</v>
      </c>
      <c r="K43" s="322" cm="1">
        <f t="array" aca="1" ref="K43" ca="1">INDEX(time,SUMPRODUCT((ISNUMBER(SEARCH($H43,OFFSET($H$3:$J$3,(ROW($A6)-1)*5,,4)))*1)*ROW(OFFSET($H$3,(ROW($A6)-1)*5,,4)))-2,COLUMN(A:A))</f>
        <v>0</v>
      </c>
      <c r="L43" s="322" cm="1">
        <f t="array" aca="1" ref="L43" ca="1">INDEX(time,SUMPRODUCT((ISNUMBER(SEARCH($H43,OFFSET($H$3:$J$3,(ROW($A6)-1)*5,,4)))*1)*ROW(OFFSET($H$3,(ROW($A6)-1)*5,,4)))-2,COLUMN(B:B))</f>
        <v>0</v>
      </c>
      <c r="M43" s="323" cm="1">
        <f t="array" aca="1" ref="M43" ca="1">INDEX(time,SUMPRODUCT((ISNUMBER(SEARCH($H43,OFFSET($H$3:$J$3,(ROW($A6)-1)*5,,4)))*1)*ROW(OFFSET($H$3,(ROW($A6)-1)*5,,4)))-2,COLUMN(C:C))</f>
        <v>0.4583333333333332</v>
      </c>
      <c r="O43" s="161" t="s">
        <v>180</v>
      </c>
      <c r="P43" s="159" t="str" cm="1">
        <f t="array" ref="P43">IFERROR(INDEX(noms,INT(SMALL(IF((--(ISNUMBER(SEARCH($J$2,noms))*ROW(noms)))=0,"",ROW(noms)+(COLUMN($A:$C)/1000)),ROW(A4)))-2,(SMALL(IF((--(ISNUMBER(SEARCH($J$2,noms))*ROW(noms)))=0,"",ROW(noms)+(COLUMN($A:$C)/1000)),ROW($A4))-INT(SMALL(IF((--(ISNUMBER(SEARCH($J$2,noms))*ROW(noms)))=0,"",ROW(noms)+(COLUMN($A:$C)/1000)),ROW(A4))))*1000),"")</f>
        <v xml:space="preserve">TOTO </v>
      </c>
      <c r="Q43" s="159" t="str" cm="1">
        <f t="array" ref="Q43">IFERROR(IFERROR(INDEX(noms,INT(SMALL(IF((--(ISNUMBER(SEARCH($J$2,noms))*ROW(noms)))=0,"",ROW(noms)+(COLUMN($A:$C)/1000)),ROW(B4)))-2,((SMALL(IF((--(ISNUMBER(SEARCH($J$2,noms))*ROW(noms)))=0,"",ROW(noms)+(COLUMN($A:$C)/1000)),ROW($A4))-INT(SMALL(IF((--(ISNUMBER(SEARCH($J$2,noms))*ROW(noms)))=0,"",ROW(noms)+(COLUMN($A:$C)/1000)),ROW(B4))))*1000)+2),INDEX(noms,INT(SMALL(IF((--(ISNUMBER(SEARCH($J$2,noms))*ROW(noms)))=0,"",ROW(noms)+(COLUMN($A:$C)/1000)),ROW(B4)))-2,((SMALL(IF((--(ISNUMBER(SEARCH($J$2,noms))*ROW(noms)))=0,"",ROW(noms)+(COLUMN($A:$C)/1000)),ROW($A4))-INT(SMALL(IF((--(ISNUMBER(SEARCH($J$2,noms))*ROW(noms)))=0,"",ROW(noms)+(COLUMN($A:$C)/1000)),ROW(B4))))*1000)-2)),"")</f>
        <v>D. Reitšpies</v>
      </c>
      <c r="R43" s="159" cm="1">
        <f t="array" ref="R43">IFERROR(INDEX(time,INT(SMALL(IF((--(ISNUMBER(SEARCH($J$2,noms))*ROW(noms)))=0,"",ROW(noms)+(COLUMN($A:$C)/1000)),ROW(B4)))-2,COLUMN(A:A)),"")</f>
        <v>0</v>
      </c>
      <c r="S43" s="159" cm="1">
        <f t="array" ref="S43">IFERROR(INDEX(time,INT(SMALL(IF((--(ISNUMBER(SEARCH($J$2,noms))*ROW(noms)))=0,"",ROW(noms)+(COLUMN($A:$C)/1000)),ROW(C4)))-2,COLUMN(B:B)),"")</f>
        <v>3</v>
      </c>
      <c r="T43" s="160" cm="1">
        <f t="array" ref="T43">IFERROR(INDEX(time,INT(SMALL(IF((--(ISNUMBER(SEARCH($J$2,noms))*ROW(noms)))=0,"",ROW(noms)+(COLUMN($A:$C)/1000)),ROW(D4)))-2,COLUMN(C:C)),"")</f>
        <v>0.60416666666666663</v>
      </c>
    </row>
    <row r="44" spans="4:43" x14ac:dyDescent="0.3">
      <c r="D44" s="325" t="s">
        <v>179</v>
      </c>
      <c r="F44" s="324" t="s">
        <v>93</v>
      </c>
      <c r="H44" s="321" t="str">
        <f t="shared" ca="1" si="65"/>
        <v xml:space="preserve">TOTO </v>
      </c>
      <c r="I44" s="322"/>
      <c r="J44" s="321" t="str">
        <f ca="1">IFERROR(VLOOKUP($J$2,OFFSET($H$3:$J$3,(ROW($A7)-1)*5,,4),3,0),VLOOKUP($J$2,CHOOSE({1,2},OFFSET($J$3,(ROW($A7)-1)*5,,4),OFFSET($H$3,(ROW($A7)-1)*5,,4)),2,0))</f>
        <v>I. Pryshchepa</v>
      </c>
      <c r="K44" s="322" cm="1">
        <f t="array" aca="1" ref="K44" ca="1">INDEX(time,SUMPRODUCT((ISNUMBER(SEARCH($H44,OFFSET($H$3:$J$3,(ROW($A7)-1)*5,,4)))*1)*ROW(OFFSET($H$3,(ROW($A7)-1)*5,,4)))-2,COLUMN(A:A))</f>
        <v>0</v>
      </c>
      <c r="L44" s="322" cm="1">
        <f t="array" aca="1" ref="L44" ca="1">INDEX(time,SUMPRODUCT((ISNUMBER(SEARCH($H44,OFFSET($H$3:$J$3,(ROW($A7)-1)*5,,4)))*1)*ROW(OFFSET($H$3,(ROW($A7)-1)*5,,4)))-2,COLUMN(B:B))</f>
        <v>0</v>
      </c>
      <c r="M44" s="323" cm="1">
        <f t="array" aca="1" ref="M44" ca="1">INDEX(time,SUMPRODUCT((ISNUMBER(SEARCH($H44,OFFSET($H$3:$J$3,(ROW($A7)-1)*5,,4)))*1)*ROW(OFFSET($H$3,(ROW($A7)-1)*5,,4)))-2,COLUMN(C:C))</f>
        <v>0.54166666666666652</v>
      </c>
      <c r="O44" s="162" t="s">
        <v>179</v>
      </c>
      <c r="P44" s="159" t="str" cm="1">
        <f t="array" ref="P44">IFERROR(INDEX(noms,INT(SMALL(IF((--(ISNUMBER(SEARCH($J$2,noms))*ROW(noms)))=0,"",ROW(noms)+(COLUMN($A:$C)/1000)),ROW(A5)))-2,(SMALL(IF((--(ISNUMBER(SEARCH($J$2,noms))*ROW(noms)))=0,"",ROW(noms)+(COLUMN($A:$C)/1000)),ROW($A5))-INT(SMALL(IF((--(ISNUMBER(SEARCH($J$2,noms))*ROW(noms)))=0,"",ROW(noms)+(COLUMN($A:$C)/1000)),ROW(A5))))*1000),"")</f>
        <v xml:space="preserve">TOTO </v>
      </c>
      <c r="Q44" s="159" t="str" cm="1">
        <f t="array" ref="Q44">IFERROR(IFERROR(INDEX(noms,INT(SMALL(IF((--(ISNUMBER(SEARCH($J$2,noms))*ROW(noms)))=0,"",ROW(noms)+(COLUMN($A:$C)/1000)),ROW(B5)))-2,((SMALL(IF((--(ISNUMBER(SEARCH($J$2,noms))*ROW(noms)))=0,"",ROW(noms)+(COLUMN($A:$C)/1000)),ROW($A5))-INT(SMALL(IF((--(ISNUMBER(SEARCH($J$2,noms))*ROW(noms)))=0,"",ROW(noms)+(COLUMN($A:$C)/1000)),ROW(B5))))*1000)+2),INDEX(noms,INT(SMALL(IF((--(ISNUMBER(SEARCH($J$2,noms))*ROW(noms)))=0,"",ROW(noms)+(COLUMN($A:$C)/1000)),ROW(B5)))-2,((SMALL(IF((--(ISNUMBER(SEARCH($J$2,noms))*ROW(noms)))=0,"",ROW(noms)+(COLUMN($A:$C)/1000)),ROW($A5))-INT(SMALL(IF((--(ISNUMBER(SEARCH($J$2,noms))*ROW(noms)))=0,"",ROW(noms)+(COLUMN($A:$C)/1000)),ROW(B5))))*1000)-2)),"")</f>
        <v>R. Bhanja</v>
      </c>
      <c r="R44" s="159" cm="1">
        <f t="array" ref="R44">IFERROR(INDEX(time,INT(SMALL(IF((--(ISNUMBER(SEARCH($J$2,noms))*ROW(noms)))=0,"",ROW(noms)+(COLUMN($A:$C)/1000)),ROW(B5)))-2,COLUMN(A:A)),"")</f>
        <v>0</v>
      </c>
      <c r="S44" s="159" cm="1">
        <f t="array" ref="S44">IFERROR(INDEX(time,INT(SMALL(IF((--(ISNUMBER(SEARCH($J$2,noms))*ROW(noms)))=0,"",ROW(noms)+(COLUMN($A:$C)/1000)),ROW(C5)))-2,COLUMN(B:B)),"")</f>
        <v>0</v>
      </c>
      <c r="T44" s="160" cm="1">
        <f t="array" ref="T44">IFERROR(INDEX(time,INT(SMALL(IF((--(ISNUMBER(SEARCH($J$2,noms))*ROW(noms)))=0,"",ROW(noms)+(COLUMN($A:$C)/1000)),ROW(D5)))-2,COLUMN(C:C)),"")</f>
        <v>0.33333333333333331</v>
      </c>
    </row>
    <row r="45" spans="4:43" x14ac:dyDescent="0.3">
      <c r="H45" s="320"/>
      <c r="J45" s="320"/>
      <c r="M45" s="127"/>
      <c r="O45" s="162" t="s">
        <v>179</v>
      </c>
      <c r="P45" s="159" t="str" cm="1">
        <f t="array" ref="P45">IFERROR(INDEX(noms,INT(SMALL(IF((--(ISNUMBER(SEARCH($J$2,noms))*ROW(noms)))=0,"",ROW(noms)+(COLUMN($A:$C)/1000)),ROW(A6)))-2,(SMALL(IF((--(ISNUMBER(SEARCH($J$2,noms))*ROW(noms)))=0,"",ROW(noms)+(COLUMN($A:$C)/1000)),ROW($A6))-INT(SMALL(IF((--(ISNUMBER(SEARCH($J$2,noms))*ROW(noms)))=0,"",ROW(noms)+(COLUMN($A:$C)/1000)),ROW(A6))))*1000),"")</f>
        <v xml:space="preserve">TOTO </v>
      </c>
      <c r="Q45" s="159" t="str" cm="1">
        <f t="array" ref="Q45">IFERROR(IFERROR(INDEX(noms,INT(SMALL(IF((--(ISNUMBER(SEARCH($J$2,noms))*ROW(noms)))=0,"",ROW(noms)+(COLUMN($A:$C)/1000)),ROW(B6)))-2,((SMALL(IF((--(ISNUMBER(SEARCH($J$2,noms))*ROW(noms)))=0,"",ROW(noms)+(COLUMN($A:$C)/1000)),ROW($A6))-INT(SMALL(IF((--(ISNUMBER(SEARCH($J$2,noms))*ROW(noms)))=0,"",ROW(noms)+(COLUMN($A:$C)/1000)),ROW(B6))))*1000)+2),INDEX(noms,INT(SMALL(IF((--(ISNUMBER(SEARCH($J$2,noms))*ROW(noms)))=0,"",ROW(noms)+(COLUMN($A:$C)/1000)),ROW(B6)))-2,((SMALL(IF((--(ISNUMBER(SEARCH($J$2,noms))*ROW(noms)))=0,"",ROW(noms)+(COLUMN($A:$C)/1000)),ROW($A6))-INT(SMALL(IF((--(ISNUMBER(SEARCH($J$2,noms))*ROW(noms)))=0,"",ROW(noms)+(COLUMN($A:$C)/1000)),ROW(B6))))*1000)-2)),"")</f>
        <v>L. Devos</v>
      </c>
      <c r="R45" s="159" cm="1">
        <f t="array" ref="R45">IFERROR(INDEX(time,INT(SMALL(IF((--(ISNUMBER(SEARCH($J$2,noms))*ROW(noms)))=0,"",ROW(noms)+(COLUMN($A:$C)/1000)),ROW(B6)))-2,COLUMN(A:A)),"")</f>
        <v>0</v>
      </c>
      <c r="S45" s="159" cm="1">
        <f t="array" ref="S45">IFERROR(INDEX(time,INT(SMALL(IF((--(ISNUMBER(SEARCH($J$2,noms))*ROW(noms)))=0,"",ROW(noms)+(COLUMN($A:$C)/1000)),ROW(C6)))-2,COLUMN(B:B)),"")</f>
        <v>0</v>
      </c>
      <c r="T45" s="160" cm="1">
        <f t="array" ref="T45">IFERROR(INDEX(time,INT(SMALL(IF((--(ISNUMBER(SEARCH($J$2,noms))*ROW(noms)))=0,"",ROW(noms)+(COLUMN($A:$C)/1000)),ROW(D6)))-2,COLUMN(C:C)),"")</f>
        <v>0.4583333333333332</v>
      </c>
    </row>
    <row r="46" spans="4:43" x14ac:dyDescent="0.3">
      <c r="H46" s="320"/>
      <c r="M46" s="127"/>
      <c r="O46" s="162" t="s">
        <v>179</v>
      </c>
      <c r="P46" s="159" t="str" cm="1">
        <f t="array" ref="P46">IFERROR(INDEX(noms,INT(SMALL(IF((--(ISNUMBER(SEARCH($J$2,noms))*ROW(noms)))=0,"",ROW(noms)+(COLUMN($A:$C)/1000)),ROW(A7)))-2,(SMALL(IF((--(ISNUMBER(SEARCH($J$2,noms))*ROW(noms)))=0,"",ROW(noms)+(COLUMN($A:$C)/1000)),ROW($A7))-INT(SMALL(IF((--(ISNUMBER(SEARCH($J$2,noms))*ROW(noms)))=0,"",ROW(noms)+(COLUMN($A:$C)/1000)),ROW(A7))))*1000),"")</f>
        <v xml:space="preserve">TOTO </v>
      </c>
      <c r="Q46" s="159" t="str" cm="1">
        <f t="array" ref="Q46">IFERROR(IFERROR(INDEX(noms,INT(SMALL(IF((--(ISNUMBER(SEARCH($J$2,noms))*ROW(noms)))=0,"",ROW(noms)+(COLUMN($A:$C)/1000)),ROW(B7)))-2,((SMALL(IF((--(ISNUMBER(SEARCH($J$2,noms))*ROW(noms)))=0,"",ROW(noms)+(COLUMN($A:$C)/1000)),ROW($A7))-INT(SMALL(IF((--(ISNUMBER(SEARCH($J$2,noms))*ROW(noms)))=0,"",ROW(noms)+(COLUMN($A:$C)/1000)),ROW(B7))))*1000)+2),INDEX(noms,INT(SMALL(IF((--(ISNUMBER(SEARCH($J$2,noms))*ROW(noms)))=0,"",ROW(noms)+(COLUMN($A:$C)/1000)),ROW(B7)))-2,((SMALL(IF((--(ISNUMBER(SEARCH($J$2,noms))*ROW(noms)))=0,"",ROW(noms)+(COLUMN($A:$C)/1000)),ROW($A7))-INT(SMALL(IF((--(ISNUMBER(SEARCH($J$2,noms))*ROW(noms)))=0,"",ROW(noms)+(COLUMN($A:$C)/1000)),ROW(B7))))*1000)-2)),"")</f>
        <v>I. Pryshchepa</v>
      </c>
      <c r="R46" s="159" cm="1">
        <f t="array" ref="R46">IFERROR(INDEX(time,INT(SMALL(IF((--(ISNUMBER(SEARCH($J$2,noms))*ROW(noms)))=0,"",ROW(noms)+(COLUMN($A:$C)/1000)),ROW(B7)))-2,COLUMN(A:A)),"")</f>
        <v>0</v>
      </c>
      <c r="S46" s="159" cm="1">
        <f t="array" ref="S46">IFERROR(INDEX(time,INT(SMALL(IF((--(ISNUMBER(SEARCH($J$2,noms))*ROW(noms)))=0,"",ROW(noms)+(COLUMN($A:$C)/1000)),ROW(C7)))-2,COLUMN(B:B)),"")</f>
        <v>0</v>
      </c>
      <c r="T46" s="160" cm="1">
        <f t="array" ref="T46">IFERROR(INDEX(time,INT(SMALL(IF((--(ISNUMBER(SEARCH($J$2,noms))*ROW(noms)))=0,"",ROW(noms)+(COLUMN($A:$C)/1000)),ROW(D7)))-2,COLUMN(C:C)),"")</f>
        <v>0.54166666666666652</v>
      </c>
    </row>
    <row r="47" spans="4:43" x14ac:dyDescent="0.3">
      <c r="H47" s="320"/>
      <c r="M47" s="127"/>
      <c r="P47" s="159" t="str" cm="1">
        <f t="array" ref="P47">IFERROR(INDEX(noms,INT(SMALL(IF((--(ISNUMBER(SEARCH($J$2,noms))*ROW(noms)))=0,"",ROW(noms)+(COLUMN($A:$C)/1000)),ROW(A8)))-2,(SMALL(IF((--(ISNUMBER(SEARCH($J$2,noms))*ROW(noms)))=0,"",ROW(noms)+(COLUMN($A:$C)/1000)),ROW($A8))-INT(SMALL(IF((--(ISNUMBER(SEARCH($J$2,noms))*ROW(noms)))=0,"",ROW(noms)+(COLUMN($A:$C)/1000)),ROW(A8))))*1000),"")</f>
        <v/>
      </c>
      <c r="Q47" s="159" t="str" cm="1">
        <f t="array" ref="Q47">IFERROR(IFERROR(INDEX(noms,INT(SMALL(IF((--(ISNUMBER(SEARCH($J$2,noms))*ROW(noms)))=0,"",ROW(noms)+(COLUMN($A:$C)/1000)),ROW(B8)))-2,((SMALL(IF((--(ISNUMBER(SEARCH($J$2,noms))*ROW(noms)))=0,"",ROW(noms)+(COLUMN($A:$C)/1000)),ROW($A8))-INT(SMALL(IF((--(ISNUMBER(SEARCH($J$2,noms))*ROW(noms)))=0,"",ROW(noms)+(COLUMN($A:$C)/1000)),ROW(B8))))*1000)+2),INDEX(noms,INT(SMALL(IF((--(ISNUMBER(SEARCH($J$2,noms))*ROW(noms)))=0,"",ROW(noms)+(COLUMN($A:$C)/1000)),ROW(B8)))-2,((SMALL(IF((--(ISNUMBER(SEARCH($J$2,noms))*ROW(noms)))=0,"",ROW(noms)+(COLUMN($A:$C)/1000)),ROW($A8))-INT(SMALL(IF((--(ISNUMBER(SEARCH($J$2,noms))*ROW(noms)))=0,"",ROW(noms)+(COLUMN($A:$C)/1000)),ROW(B8))))*1000)-2)),"")</f>
        <v/>
      </c>
      <c r="R47" s="159" t="str" cm="1">
        <f t="array" ref="R47">IFERROR(INDEX(time,INT(SMALL(IF((--(ISNUMBER(SEARCH($J$2,noms))*ROW(noms)))=0,"",ROW(noms)+(COLUMN($A:$C)/1000)),ROW(B8)))-2,COLUMN(A:A)),"")</f>
        <v/>
      </c>
      <c r="S47" s="159" t="str" cm="1">
        <f t="array" ref="S47">IFERROR(INDEX(time,INT(SMALL(IF((--(ISNUMBER(SEARCH($J$2,noms))*ROW(noms)))=0,"",ROW(noms)+(COLUMN($A:$C)/1000)),ROW(C8)))-2,COLUMN(B:B)),"")</f>
        <v/>
      </c>
      <c r="T47" s="160" t="str" cm="1">
        <f t="array" ref="T47">IFERROR(INDEX(time,INT(SMALL(IF((--(ISNUMBER(SEARCH($J$2,noms))*ROW(noms)))=0,"",ROW(noms)+(COLUMN($A:$C)/1000)),ROW(D8)))-2,COLUMN(C:C)),"")</f>
        <v/>
      </c>
    </row>
    <row r="48" spans="4:43" x14ac:dyDescent="0.3">
      <c r="M48"/>
      <c r="P48" s="159" t="str" cm="1">
        <f t="array" ref="P48">IFERROR(INDEX(noms,INT(SMALL(IF((--(ISNUMBER(SEARCH($J$2,noms))*ROW(noms)))=0,"",ROW(noms)+(COLUMN($A:$C)/1000)),ROW(A9)))-2,(SMALL(IF((--(ISNUMBER(SEARCH($J$2,noms))*ROW(noms)))=0,"",ROW(noms)+(COLUMN($A:$C)/1000)),ROW($A9))-INT(SMALL(IF((--(ISNUMBER(SEARCH($J$2,noms))*ROW(noms)))=0,"",ROW(noms)+(COLUMN($A:$C)/1000)),ROW(A9))))*1000),"")</f>
        <v/>
      </c>
      <c r="Q48" s="159" t="str" cm="1">
        <f t="array" ref="Q48">IFERROR(IFERROR(INDEX(noms,INT(SMALL(IF((--(ISNUMBER(SEARCH($J$2,noms))*ROW(noms)))=0,"",ROW(noms)+(COLUMN($A:$C)/1000)),ROW(B9)))-2,((SMALL(IF((--(ISNUMBER(SEARCH($J$2,noms))*ROW(noms)))=0,"",ROW(noms)+(COLUMN($A:$C)/1000)),ROW($A9))-INT(SMALL(IF((--(ISNUMBER(SEARCH($J$2,noms))*ROW(noms)))=0,"",ROW(noms)+(COLUMN($A:$C)/1000)),ROW(B9))))*1000)+2),INDEX(noms,INT(SMALL(IF((--(ISNUMBER(SEARCH($J$2,noms))*ROW(noms)))=0,"",ROW(noms)+(COLUMN($A:$C)/1000)),ROW(B9)))-2,((SMALL(IF((--(ISNUMBER(SEARCH($J$2,noms))*ROW(noms)))=0,"",ROW(noms)+(COLUMN($A:$C)/1000)),ROW($A9))-INT(SMALL(IF((--(ISNUMBER(SEARCH($J$2,noms))*ROW(noms)))=0,"",ROW(noms)+(COLUMN($A:$C)/1000)),ROW(B9))))*1000)-2)),"")</f>
        <v/>
      </c>
      <c r="R48" s="159" t="str" cm="1">
        <f t="array" ref="R48">IFERROR(INDEX(time,INT(SMALL(IF((--(ISNUMBER(SEARCH($J$2,noms))*ROW(noms)))=0,"",ROW(noms)+(COLUMN($A:$C)/1000)),ROW(B9)))-2,COLUMN(A:A)),"")</f>
        <v/>
      </c>
      <c r="S48" s="159" t="str" cm="1">
        <f t="array" ref="S48">IFERROR(INDEX(time,INT(SMALL(IF((--(ISNUMBER(SEARCH($J$2,noms))*ROW(noms)))=0,"",ROW(noms)+(COLUMN($A:$C)/1000)),ROW(C9)))-2,COLUMN(B:B)),"")</f>
        <v/>
      </c>
      <c r="T48" s="160" t="str" cm="1">
        <f t="array" ref="T48">IFERROR(INDEX(time,INT(SMALL(IF((--(ISNUMBER(SEARCH($J$2,noms))*ROW(noms)))=0,"",ROW(noms)+(COLUMN($A:$C)/1000)),ROW(D9)))-2,COLUMN(C:C)),"")</f>
        <v/>
      </c>
    </row>
    <row r="49" spans="6:20" x14ac:dyDescent="0.3">
      <c r="M49"/>
      <c r="P49" s="159" t="str" cm="1">
        <f t="array" ref="P49">IFERROR(INDEX(noms,INT(SMALL(IF((--(ISNUMBER(SEARCH($J$2,noms))*ROW(noms)))=0,"",ROW(noms)+(COLUMN($A:$C)/1000)),ROW(A10)))-2,(SMALL(IF((--(ISNUMBER(SEARCH($J$2,noms))*ROW(noms)))=0,"",ROW(noms)+(COLUMN($A:$C)/1000)),ROW($A10))-INT(SMALL(IF((--(ISNUMBER(SEARCH($J$2,noms))*ROW(noms)))=0,"",ROW(noms)+(COLUMN($A:$C)/1000)),ROW(A10))))*1000),"")</f>
        <v/>
      </c>
      <c r="Q49" s="159" t="str" cm="1">
        <f t="array" ref="Q49">IFERROR(IFERROR(INDEX(noms,INT(SMALL(IF((--(ISNUMBER(SEARCH($J$2,noms))*ROW(noms)))=0,"",ROW(noms)+(COLUMN($A:$C)/1000)),ROW(B10)))-2,((SMALL(IF((--(ISNUMBER(SEARCH($J$2,noms))*ROW(noms)))=0,"",ROW(noms)+(COLUMN($A:$C)/1000)),ROW($A10))-INT(SMALL(IF((--(ISNUMBER(SEARCH($J$2,noms))*ROW(noms)))=0,"",ROW(noms)+(COLUMN($A:$C)/1000)),ROW(B10))))*1000)+2),INDEX(noms,INT(SMALL(IF((--(ISNUMBER(SEARCH($J$2,noms))*ROW(noms)))=0,"",ROW(noms)+(COLUMN($A:$C)/1000)),ROW(B10)))-2,((SMALL(IF((--(ISNUMBER(SEARCH($J$2,noms))*ROW(noms)))=0,"",ROW(noms)+(COLUMN($A:$C)/1000)),ROW($A10))-INT(SMALL(IF((--(ISNUMBER(SEARCH($J$2,noms))*ROW(noms)))=0,"",ROW(noms)+(COLUMN($A:$C)/1000)),ROW(B10))))*1000)-2)),"")</f>
        <v/>
      </c>
      <c r="R49" s="159" t="str" cm="1">
        <f t="array" ref="R49">IFERROR(INDEX(time,INT(SMALL(IF((--(ISNUMBER(SEARCH($J$2,noms))*ROW(noms)))=0,"",ROW(noms)+(COLUMN($A:$C)/1000)),ROW(B10)))-2,COLUMN(A:A)),"")</f>
        <v/>
      </c>
      <c r="S49" s="159" t="str" cm="1">
        <f t="array" ref="S49">IFERROR(INDEX(time,INT(SMALL(IF((--(ISNUMBER(SEARCH($J$2,noms))*ROW(noms)))=0,"",ROW(noms)+(COLUMN($A:$C)/1000)),ROW(C10)))-2,COLUMN(B:B)),"")</f>
        <v/>
      </c>
      <c r="T49" s="160" t="str" cm="1">
        <f t="array" ref="T49">IFERROR(INDEX(time,INT(SMALL(IF((--(ISNUMBER(SEARCH($J$2,noms))*ROW(noms)))=0,"",ROW(noms)+(COLUMN($A:$C)/1000)),ROW(D10)))-2,COLUMN(C:C)),"")</f>
        <v/>
      </c>
    </row>
    <row r="51" spans="6:20" ht="15.6" x14ac:dyDescent="0.3">
      <c r="F51" s="305" t="s">
        <v>177</v>
      </c>
      <c r="G51" s="306"/>
      <c r="H51" s="306"/>
      <c r="I51" s="306"/>
      <c r="J51" s="306"/>
      <c r="K51" s="306"/>
      <c r="L51" s="306"/>
      <c r="M51" s="307"/>
    </row>
    <row r="52" spans="6:20" x14ac:dyDescent="0.3">
      <c r="F52" s="37"/>
      <c r="G52" s="38"/>
      <c r="H52" s="38"/>
      <c r="I52" s="38"/>
      <c r="J52" s="38"/>
      <c r="K52" s="38"/>
      <c r="L52" s="38"/>
      <c r="M52" s="143"/>
    </row>
    <row r="53" spans="6:20" x14ac:dyDescent="0.3">
      <c r="F53" s="308" t="s">
        <v>161</v>
      </c>
      <c r="G53" s="42"/>
      <c r="H53" s="137" t="s">
        <v>178</v>
      </c>
      <c r="I53" s="42"/>
      <c r="J53" s="137" t="s">
        <v>169</v>
      </c>
      <c r="K53" s="124">
        <v>3</v>
      </c>
      <c r="L53" s="33">
        <v>0</v>
      </c>
      <c r="M53" s="133">
        <v>0.39583333333333326</v>
      </c>
    </row>
    <row r="54" spans="6:20" x14ac:dyDescent="0.3">
      <c r="F54" s="309"/>
      <c r="H54" s="138" t="s">
        <v>178</v>
      </c>
      <c r="J54" s="138" t="s">
        <v>170</v>
      </c>
      <c r="K54" s="136">
        <v>2</v>
      </c>
      <c r="L54" s="57">
        <v>3</v>
      </c>
      <c r="M54" s="127">
        <v>0.47916666666666652</v>
      </c>
    </row>
    <row r="55" spans="6:20" x14ac:dyDescent="0.3">
      <c r="F55" s="309"/>
      <c r="H55" s="138" t="s">
        <v>178</v>
      </c>
      <c r="J55" s="138" t="s">
        <v>171</v>
      </c>
      <c r="K55" s="136">
        <v>3</v>
      </c>
      <c r="L55" s="57">
        <v>0</v>
      </c>
      <c r="M55" s="127">
        <v>0.54166666666666652</v>
      </c>
    </row>
    <row r="56" spans="6:20" x14ac:dyDescent="0.3">
      <c r="F56" s="310"/>
      <c r="G56" s="38"/>
      <c r="H56" s="155" t="s">
        <v>178</v>
      </c>
      <c r="I56" s="38"/>
      <c r="J56" s="139" t="s">
        <v>167</v>
      </c>
      <c r="K56" s="123">
        <v>3</v>
      </c>
      <c r="L56" s="28">
        <v>0</v>
      </c>
      <c r="M56" s="135">
        <v>0.60416666666666663</v>
      </c>
    </row>
    <row r="57" spans="6:20" x14ac:dyDescent="0.3">
      <c r="F57" s="34"/>
      <c r="M57" s="134"/>
    </row>
    <row r="58" spans="6:20" x14ac:dyDescent="0.3">
      <c r="F58" s="308" t="s">
        <v>162</v>
      </c>
      <c r="G58" s="42"/>
      <c r="H58" s="140" t="s">
        <v>178</v>
      </c>
      <c r="I58" s="42"/>
      <c r="J58" s="140" t="s">
        <v>168</v>
      </c>
      <c r="K58" s="124">
        <v>0</v>
      </c>
      <c r="L58" s="33">
        <v>0</v>
      </c>
      <c r="M58" s="133">
        <v>0.33333333333333331</v>
      </c>
    </row>
    <row r="59" spans="6:20" x14ac:dyDescent="0.3">
      <c r="F59" s="309"/>
      <c r="H59" s="141" t="s">
        <v>178</v>
      </c>
      <c r="J59" s="141" t="s">
        <v>173</v>
      </c>
      <c r="K59" s="136">
        <v>0</v>
      </c>
      <c r="L59" s="57">
        <v>0</v>
      </c>
      <c r="M59" s="127">
        <v>0.4583333333333332</v>
      </c>
    </row>
    <row r="60" spans="6:20" x14ac:dyDescent="0.3">
      <c r="F60" s="310"/>
      <c r="G60" s="38"/>
      <c r="H60" s="142" t="s">
        <v>178</v>
      </c>
      <c r="I60" s="38"/>
      <c r="J60" s="142" t="s">
        <v>172</v>
      </c>
      <c r="K60" s="123">
        <v>0</v>
      </c>
      <c r="L60" s="28">
        <v>0</v>
      </c>
      <c r="M60" s="135">
        <v>0.54166666666666652</v>
      </c>
    </row>
  </sheetData>
  <mergeCells count="219">
    <mergeCell ref="AC1:AD1"/>
    <mergeCell ref="W2:X2"/>
    <mergeCell ref="AG2:AH2"/>
    <mergeCell ref="D3:D6"/>
    <mergeCell ref="N3:N4"/>
    <mergeCell ref="O3:O4"/>
    <mergeCell ref="P3:P4"/>
    <mergeCell ref="Q3:R4"/>
    <mergeCell ref="S3:T4"/>
    <mergeCell ref="U3:V4"/>
    <mergeCell ref="AN3:AN4"/>
    <mergeCell ref="AO3:AO4"/>
    <mergeCell ref="N5:N6"/>
    <mergeCell ref="O5:O6"/>
    <mergeCell ref="P5:P6"/>
    <mergeCell ref="AG5:AG6"/>
    <mergeCell ref="AH5:AH6"/>
    <mergeCell ref="AI5:AI6"/>
    <mergeCell ref="AJ5:AJ6"/>
    <mergeCell ref="AK5:AK6"/>
    <mergeCell ref="AH3:AH4"/>
    <mergeCell ref="AI3:AI4"/>
    <mergeCell ref="AJ3:AJ4"/>
    <mergeCell ref="AK3:AK4"/>
    <mergeCell ref="AL3:AL4"/>
    <mergeCell ref="AM3:AM4"/>
    <mergeCell ref="W3:X4"/>
    <mergeCell ref="Y3:Z4"/>
    <mergeCell ref="AA3:AB4"/>
    <mergeCell ref="AC3:AD4"/>
    <mergeCell ref="AE3:AF4"/>
    <mergeCell ref="AG3:AG4"/>
    <mergeCell ref="AL5:AL6"/>
    <mergeCell ref="AM5:AM6"/>
    <mergeCell ref="AN5:AN6"/>
    <mergeCell ref="AO5:AO6"/>
    <mergeCell ref="AR5:AR6"/>
    <mergeCell ref="Q6:R6"/>
    <mergeCell ref="S6:T6"/>
    <mergeCell ref="U6:V6"/>
    <mergeCell ref="W6:X6"/>
    <mergeCell ref="Y6:Z6"/>
    <mergeCell ref="AA6:AB6"/>
    <mergeCell ref="AC6:AD6"/>
    <mergeCell ref="AE6:AF6"/>
    <mergeCell ref="N7:N8"/>
    <mergeCell ref="O7:O8"/>
    <mergeCell ref="P7:P8"/>
    <mergeCell ref="AA8:AB8"/>
    <mergeCell ref="AC8:AD8"/>
    <mergeCell ref="AE8:AF8"/>
    <mergeCell ref="AG9:AG10"/>
    <mergeCell ref="AH9:AH10"/>
    <mergeCell ref="AI9:AI10"/>
    <mergeCell ref="S10:T10"/>
    <mergeCell ref="U10:V10"/>
    <mergeCell ref="W10:X10"/>
    <mergeCell ref="Y10:Z10"/>
    <mergeCell ref="AA10:AB10"/>
    <mergeCell ref="AC10:AD10"/>
    <mergeCell ref="AE10:AF10"/>
    <mergeCell ref="AM7:AM8"/>
    <mergeCell ref="AN7:AN8"/>
    <mergeCell ref="AO7:AO8"/>
    <mergeCell ref="AR7:AR8"/>
    <mergeCell ref="D8:D11"/>
    <mergeCell ref="Q8:R8"/>
    <mergeCell ref="S8:T8"/>
    <mergeCell ref="U8:V8"/>
    <mergeCell ref="W8:X8"/>
    <mergeCell ref="Y8:Z8"/>
    <mergeCell ref="AG7:AG8"/>
    <mergeCell ref="AH7:AH8"/>
    <mergeCell ref="AI7:AI8"/>
    <mergeCell ref="AJ7:AJ8"/>
    <mergeCell ref="AK7:AK8"/>
    <mergeCell ref="AL7:AL8"/>
    <mergeCell ref="N11:N12"/>
    <mergeCell ref="O11:O12"/>
    <mergeCell ref="P11:P12"/>
    <mergeCell ref="AG11:AG12"/>
    <mergeCell ref="AH11:AH12"/>
    <mergeCell ref="AI11:AI12"/>
    <mergeCell ref="AR9:AR10"/>
    <mergeCell ref="Q10:R10"/>
    <mergeCell ref="AJ9:AJ10"/>
    <mergeCell ref="AK9:AK10"/>
    <mergeCell ref="AL9:AL10"/>
    <mergeCell ref="AM9:AM10"/>
    <mergeCell ref="AN9:AN10"/>
    <mergeCell ref="AO9:AO10"/>
    <mergeCell ref="N9:N10"/>
    <mergeCell ref="O9:O10"/>
    <mergeCell ref="P9:P10"/>
    <mergeCell ref="AR11:AR12"/>
    <mergeCell ref="Q12:R12"/>
    <mergeCell ref="S12:T12"/>
    <mergeCell ref="U12:V12"/>
    <mergeCell ref="W12:X12"/>
    <mergeCell ref="Y12:Z12"/>
    <mergeCell ref="AA12:AB12"/>
    <mergeCell ref="AC12:AD12"/>
    <mergeCell ref="AE12:AF12"/>
    <mergeCell ref="AJ11:AJ12"/>
    <mergeCell ref="AK11:AK12"/>
    <mergeCell ref="AL11:AL12"/>
    <mergeCell ref="AM11:AM12"/>
    <mergeCell ref="AN11:AN12"/>
    <mergeCell ref="AO11:AO12"/>
    <mergeCell ref="D13:D16"/>
    <mergeCell ref="N13:N14"/>
    <mergeCell ref="O13:O14"/>
    <mergeCell ref="P13:P14"/>
    <mergeCell ref="AG13:AG14"/>
    <mergeCell ref="AH13:AH14"/>
    <mergeCell ref="N15:N16"/>
    <mergeCell ref="O15:O16"/>
    <mergeCell ref="P15:P16"/>
    <mergeCell ref="AG15:AG16"/>
    <mergeCell ref="AO13:AO14"/>
    <mergeCell ref="AR13:AR14"/>
    <mergeCell ref="Q14:R14"/>
    <mergeCell ref="S14:T14"/>
    <mergeCell ref="U14:V14"/>
    <mergeCell ref="W14:X14"/>
    <mergeCell ref="Y14:Z14"/>
    <mergeCell ref="AA14:AB14"/>
    <mergeCell ref="AC14:AD14"/>
    <mergeCell ref="AE14:AF14"/>
    <mergeCell ref="AI13:AI14"/>
    <mergeCell ref="AJ13:AJ14"/>
    <mergeCell ref="AK13:AK14"/>
    <mergeCell ref="AL13:AL14"/>
    <mergeCell ref="AM13:AM14"/>
    <mergeCell ref="AN13:AN14"/>
    <mergeCell ref="AR15:AR16"/>
    <mergeCell ref="Q16:R16"/>
    <mergeCell ref="S16:T16"/>
    <mergeCell ref="U16:V16"/>
    <mergeCell ref="W16:X16"/>
    <mergeCell ref="Y16:Z16"/>
    <mergeCell ref="AA16:AB16"/>
    <mergeCell ref="AC16:AD16"/>
    <mergeCell ref="AH15:AH16"/>
    <mergeCell ref="AI15:AI16"/>
    <mergeCell ref="AJ15:AJ16"/>
    <mergeCell ref="AK15:AK16"/>
    <mergeCell ref="AL15:AL16"/>
    <mergeCell ref="AM15:AM16"/>
    <mergeCell ref="AE16:AF16"/>
    <mergeCell ref="N17:N18"/>
    <mergeCell ref="O17:O18"/>
    <mergeCell ref="P17:P18"/>
    <mergeCell ref="AG17:AG18"/>
    <mergeCell ref="AH17:AH18"/>
    <mergeCell ref="AE18:AF18"/>
    <mergeCell ref="AN15:AN16"/>
    <mergeCell ref="AO15:AO16"/>
    <mergeCell ref="N19:N20"/>
    <mergeCell ref="O19:O20"/>
    <mergeCell ref="P19:P20"/>
    <mergeCell ref="AG19:AG20"/>
    <mergeCell ref="AH19:AH20"/>
    <mergeCell ref="AI19:AI20"/>
    <mergeCell ref="AO17:AO18"/>
    <mergeCell ref="AJ19:AJ20"/>
    <mergeCell ref="AK19:AK20"/>
    <mergeCell ref="AL19:AL20"/>
    <mergeCell ref="AM19:AM20"/>
    <mergeCell ref="AN19:AN20"/>
    <mergeCell ref="AO19:AO20"/>
    <mergeCell ref="AR17:AR18"/>
    <mergeCell ref="D18:D21"/>
    <mergeCell ref="Q18:R18"/>
    <mergeCell ref="S18:T18"/>
    <mergeCell ref="U18:V18"/>
    <mergeCell ref="W18:X18"/>
    <mergeCell ref="Y18:Z18"/>
    <mergeCell ref="AA18:AB18"/>
    <mergeCell ref="AC18:AD18"/>
    <mergeCell ref="AI17:AI18"/>
    <mergeCell ref="AJ17:AJ18"/>
    <mergeCell ref="AK17:AK18"/>
    <mergeCell ref="AL17:AL18"/>
    <mergeCell ref="AM17:AM18"/>
    <mergeCell ref="AN17:AN18"/>
    <mergeCell ref="AR19:AR20"/>
    <mergeCell ref="Q20:R20"/>
    <mergeCell ref="S20:T20"/>
    <mergeCell ref="U20:V20"/>
    <mergeCell ref="W20:X20"/>
    <mergeCell ref="Y20:Z20"/>
    <mergeCell ref="AA20:AB20"/>
    <mergeCell ref="AC20:AD20"/>
    <mergeCell ref="AE20:AF20"/>
    <mergeCell ref="D23:D26"/>
    <mergeCell ref="O23:Z23"/>
    <mergeCell ref="AB23:AE24"/>
    <mergeCell ref="AG23:AH24"/>
    <mergeCell ref="AJ23:AL24"/>
    <mergeCell ref="AN23:AQ24"/>
    <mergeCell ref="W24:Z24"/>
    <mergeCell ref="Q26:Q27"/>
    <mergeCell ref="R26:S27"/>
    <mergeCell ref="V27:V29"/>
    <mergeCell ref="F51:M51"/>
    <mergeCell ref="F53:F56"/>
    <mergeCell ref="F58:F60"/>
    <mergeCell ref="D33:D36"/>
    <mergeCell ref="AD33:AE33"/>
    <mergeCell ref="AP33:AQ33"/>
    <mergeCell ref="Q34:Q35"/>
    <mergeCell ref="R34:S35"/>
    <mergeCell ref="X27:Z29"/>
    <mergeCell ref="D28:D31"/>
    <mergeCell ref="R28:S28"/>
    <mergeCell ref="Q29:Q30"/>
    <mergeCell ref="R29:S30"/>
    <mergeCell ref="P32:S32"/>
  </mergeCells>
  <phoneticPr fontId="21" type="noConversion"/>
  <conditionalFormatting sqref="K8:K11">
    <cfRule type="cellIs" dxfId="57" priority="53" operator="equal">
      <formula>A6="&lt;&gt;"</formula>
    </cfRule>
  </conditionalFormatting>
  <conditionalFormatting sqref="K13:K16 K18:K21 K23:K26 K3:K6">
    <cfRule type="cellIs" dxfId="56" priority="58" operator="equal">
      <formula>A1="&lt;&gt;"</formula>
    </cfRule>
  </conditionalFormatting>
  <conditionalFormatting sqref="K28:K31">
    <cfRule type="cellIs" dxfId="55" priority="45" operator="equal">
      <formula>A26="&lt;&gt;"</formula>
    </cfRule>
  </conditionalFormatting>
  <conditionalFormatting sqref="K33:K36">
    <cfRule type="cellIs" dxfId="54" priority="42" operator="equal">
      <formula>A31="&lt;&gt;"</formula>
    </cfRule>
  </conditionalFormatting>
  <conditionalFormatting sqref="K3:L6">
    <cfRule type="cellIs" dxfId="53" priority="59" operator="equal">
      <formula>""""""</formula>
    </cfRule>
  </conditionalFormatting>
  <conditionalFormatting sqref="K8:L11">
    <cfRule type="cellIs" dxfId="52" priority="54" operator="equal">
      <formula>""""""</formula>
    </cfRule>
  </conditionalFormatting>
  <conditionalFormatting sqref="K13:L16">
    <cfRule type="cellIs" dxfId="51" priority="52" operator="equal">
      <formula>""""""</formula>
    </cfRule>
  </conditionalFormatting>
  <conditionalFormatting sqref="K18:L21">
    <cfRule type="cellIs" dxfId="50" priority="50" operator="equal">
      <formula>""""""</formula>
    </cfRule>
  </conditionalFormatting>
  <conditionalFormatting sqref="K23:L26">
    <cfRule type="cellIs" dxfId="49" priority="48" operator="equal">
      <formula>""""""</formula>
    </cfRule>
  </conditionalFormatting>
  <conditionalFormatting sqref="K28:L31">
    <cfRule type="cellIs" dxfId="48" priority="46" operator="equal">
      <formula>""""""</formula>
    </cfRule>
  </conditionalFormatting>
  <conditionalFormatting sqref="K33:L36">
    <cfRule type="cellIs" dxfId="47" priority="43" operator="equal">
      <formula>""""""</formula>
    </cfRule>
  </conditionalFormatting>
  <conditionalFormatting sqref="K53:L56">
    <cfRule type="cellIs" dxfId="46" priority="5" operator="equal">
      <formula>K39="&lt;&gt;"</formula>
    </cfRule>
    <cfRule type="containsBlanks" dxfId="45" priority="6">
      <formula>LEN(TRIM(K53))=0</formula>
    </cfRule>
  </conditionalFormatting>
  <conditionalFormatting sqref="K58:L60">
    <cfRule type="cellIs" dxfId="44" priority="2" operator="equal">
      <formula>K44="&lt;&gt;"</formula>
    </cfRule>
    <cfRule type="containsBlanks" dxfId="43" priority="3">
      <formula>LEN(TRIM(K58))=0</formula>
    </cfRule>
  </conditionalFormatting>
  <conditionalFormatting sqref="L3:L6 L8:L11 L13:L16">
    <cfRule type="cellIs" dxfId="42" priority="62" operator="equal">
      <formula>#REF!="&lt;&gt;"</formula>
    </cfRule>
  </conditionalFormatting>
  <conditionalFormatting sqref="L18:L21">
    <cfRule type="cellIs" dxfId="41" priority="51" operator="equal">
      <formula>#REF!="&lt;&gt;"</formula>
    </cfRule>
  </conditionalFormatting>
  <conditionalFormatting sqref="L23:L26">
    <cfRule type="cellIs" dxfId="40" priority="49" operator="equal">
      <formula>#REF!="&lt;&gt;"</formula>
    </cfRule>
  </conditionalFormatting>
  <conditionalFormatting sqref="L28:L31">
    <cfRule type="cellIs" dxfId="39" priority="47" operator="equal">
      <formula>#REF!="&lt;&gt;"</formula>
    </cfRule>
  </conditionalFormatting>
  <conditionalFormatting sqref="L33:L36">
    <cfRule type="cellIs" dxfId="38" priority="44" operator="equal">
      <formula>#REF!="&lt;&gt;"</formula>
    </cfRule>
  </conditionalFormatting>
  <conditionalFormatting sqref="L55:L56">
    <cfRule type="cellIs" dxfId="37" priority="4" operator="equal">
      <formula>L41="&lt;&gt;"</formula>
    </cfRule>
  </conditionalFormatting>
  <conditionalFormatting sqref="L59:L60">
    <cfRule type="cellIs" dxfId="36" priority="1" operator="equal">
      <formula>L45="&lt;&gt;"</formula>
    </cfRule>
  </conditionalFormatting>
  <conditionalFormatting sqref="Q5:AF20">
    <cfRule type="cellIs" dxfId="35" priority="60" operator="equal">
      <formula>"D"</formula>
    </cfRule>
    <cfRule type="cellIs" dxfId="34" priority="61" operator="equal">
      <formula>"V"</formula>
    </cfRule>
  </conditionalFormatting>
  <conditionalFormatting sqref="W2:X2">
    <cfRule type="cellIs" dxfId="33" priority="56" operator="equal">
      <formula>"D"</formula>
    </cfRule>
    <cfRule type="cellIs" dxfId="32" priority="57" operator="equal">
      <formula>"V"</formula>
    </cfRule>
  </conditionalFormatting>
  <conditionalFormatting sqref="AM5:AO5">
    <cfRule type="cellIs" dxfId="31" priority="37" operator="greaterThan">
      <formula>4</formula>
    </cfRule>
    <cfRule type="cellIs" dxfId="30" priority="38" stopIfTrue="1" operator="lessThanOrEqual">
      <formula>4</formula>
    </cfRule>
  </conditionalFormatting>
  <conditionalFormatting sqref="AM7:AO7">
    <cfRule type="cellIs" dxfId="29" priority="35" operator="greaterThan">
      <formula>4</formula>
    </cfRule>
    <cfRule type="cellIs" dxfId="28" priority="36" stopIfTrue="1" operator="lessThanOrEqual">
      <formula>4</formula>
    </cfRule>
  </conditionalFormatting>
  <conditionalFormatting sqref="AM9:AO9">
    <cfRule type="cellIs" dxfId="27" priority="33" operator="greaterThan">
      <formula>4</formula>
    </cfRule>
    <cfRule type="cellIs" dxfId="26" priority="34" stopIfTrue="1" operator="lessThanOrEqual">
      <formula>4</formula>
    </cfRule>
  </conditionalFormatting>
  <conditionalFormatting sqref="AM11:AO11">
    <cfRule type="cellIs" dxfId="25" priority="31" operator="greaterThan">
      <formula>4</formula>
    </cfRule>
    <cfRule type="cellIs" dxfId="24" priority="32" stopIfTrue="1" operator="lessThanOrEqual">
      <formula>4</formula>
    </cfRule>
  </conditionalFormatting>
  <conditionalFormatting sqref="AM13:AO13">
    <cfRule type="cellIs" dxfId="23" priority="29" operator="greaterThan">
      <formula>4</formula>
    </cfRule>
    <cfRule type="cellIs" dxfId="22" priority="30" stopIfTrue="1" operator="lessThanOrEqual">
      <formula>4</formula>
    </cfRule>
  </conditionalFormatting>
  <conditionalFormatting sqref="AM15:AO15">
    <cfRule type="cellIs" dxfId="21" priority="27" operator="greaterThan">
      <formula>4</formula>
    </cfRule>
    <cfRule type="cellIs" dxfId="20" priority="28" stopIfTrue="1" operator="lessThanOrEqual">
      <formula>4</formula>
    </cfRule>
  </conditionalFormatting>
  <conditionalFormatting sqref="AM17:AO17">
    <cfRule type="cellIs" dxfId="19" priority="25" operator="greaterThan">
      <formula>4</formula>
    </cfRule>
    <cfRule type="cellIs" dxfId="18" priority="26" stopIfTrue="1" operator="lessThanOrEqual">
      <formula>4</formula>
    </cfRule>
  </conditionalFormatting>
  <conditionalFormatting sqref="AM19:AO19">
    <cfRule type="cellIs" dxfId="17" priority="23" operator="greaterThan">
      <formula>4</formula>
    </cfRule>
    <cfRule type="cellIs" dxfId="16" priority="24" stopIfTrue="1" operator="lessThanOrEqual">
      <formula>4</formula>
    </cfRule>
  </conditionalFormatting>
  <conditionalFormatting sqref="AR5">
    <cfRule type="cellIs" dxfId="15" priority="21" operator="greaterThan">
      <formula>4</formula>
    </cfRule>
    <cfRule type="cellIs" dxfId="14" priority="22" stopIfTrue="1" operator="lessThanOrEqual">
      <formula>4</formula>
    </cfRule>
  </conditionalFormatting>
  <conditionalFormatting sqref="AR7">
    <cfRule type="cellIs" dxfId="13" priority="19" operator="greaterThan">
      <formula>4</formula>
    </cfRule>
    <cfRule type="cellIs" dxfId="12" priority="20" stopIfTrue="1" operator="lessThanOrEqual">
      <formula>4</formula>
    </cfRule>
  </conditionalFormatting>
  <conditionalFormatting sqref="AR9">
    <cfRule type="cellIs" dxfId="11" priority="17" operator="greaterThan">
      <formula>4</formula>
    </cfRule>
    <cfRule type="cellIs" dxfId="10" priority="18" stopIfTrue="1" operator="lessThanOrEqual">
      <formula>4</formula>
    </cfRule>
  </conditionalFormatting>
  <conditionalFormatting sqref="AR11">
    <cfRule type="cellIs" dxfId="9" priority="15" operator="greaterThan">
      <formula>4</formula>
    </cfRule>
    <cfRule type="cellIs" dxfId="8" priority="16" stopIfTrue="1" operator="lessThanOrEqual">
      <formula>4</formula>
    </cfRule>
  </conditionalFormatting>
  <conditionalFormatting sqref="AR13">
    <cfRule type="cellIs" dxfId="7" priority="13" operator="greaterThan">
      <formula>4</formula>
    </cfRule>
    <cfRule type="cellIs" dxfId="6" priority="14" stopIfTrue="1" operator="lessThanOrEqual">
      <formula>4</formula>
    </cfRule>
  </conditionalFormatting>
  <conditionalFormatting sqref="AR15">
    <cfRule type="cellIs" dxfId="5" priority="11" operator="greaterThan">
      <formula>4</formula>
    </cfRule>
    <cfRule type="cellIs" dxfId="4" priority="12" stopIfTrue="1" operator="lessThanOrEqual">
      <formula>4</formula>
    </cfRule>
  </conditionalFormatting>
  <conditionalFormatting sqref="AR17">
    <cfRule type="cellIs" dxfId="3" priority="9" operator="greaterThan">
      <formula>4</formula>
    </cfRule>
    <cfRule type="cellIs" dxfId="2" priority="10" stopIfTrue="1" operator="lessThanOrEqual">
      <formula>4</formula>
    </cfRule>
  </conditionalFormatting>
  <conditionalFormatting sqref="AR19">
    <cfRule type="cellIs" dxfId="1" priority="7" operator="greaterThan">
      <formula>4</formula>
    </cfRule>
    <cfRule type="cellIs" dxfId="0" priority="8" stopIfTrue="1" operator="lessThanOrEqual">
      <formula>4</formula>
    </cfRule>
  </conditionalFormatting>
  <hyperlinks>
    <hyperlink ref="B9" r:id="rId1" display="https://ttstar.cz/fr/ttplayer/viktor-yefimov/" xr:uid="{CD151D21-E7C5-47E8-A4B7-E22CFF3B8789}"/>
  </hyperlinks>
  <pageMargins left="0.7" right="0.7" top="0.75" bottom="0.75" header="0.3" footer="0.3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9</vt:i4>
      </vt:variant>
      <vt:variant>
        <vt:lpstr>Plages nommées</vt:lpstr>
      </vt:variant>
      <vt:variant>
        <vt:i4>6</vt:i4>
      </vt:variant>
    </vt:vector>
  </HeadingPairs>
  <TitlesOfParts>
    <vt:vector size="15" baseType="lpstr">
      <vt:lpstr>Feuil1</vt:lpstr>
      <vt:lpstr>23 24 05</vt:lpstr>
      <vt:lpstr>26 27 05</vt:lpstr>
      <vt:lpstr>05 06 09</vt:lpstr>
      <vt:lpstr>03 04 - 08</vt:lpstr>
      <vt:lpstr>07 08 -08</vt:lpstr>
      <vt:lpstr>25 26 -10</vt:lpstr>
      <vt:lpstr>30  31 -10</vt:lpstr>
      <vt:lpstr>test</vt:lpstr>
      <vt:lpstr>joueur</vt:lpstr>
      <vt:lpstr>noms</vt:lpstr>
      <vt:lpstr>tableau</vt:lpstr>
      <vt:lpstr>tableau2</vt:lpstr>
      <vt:lpstr>tableau3010</vt:lpstr>
      <vt:lpstr>time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Bruno Ruiz</dc:creator>
  <cp:lastModifiedBy>koch gilles</cp:lastModifiedBy>
  <cp:lastPrinted>2023-08-08T10:50:44Z</cp:lastPrinted>
  <dcterms:created xsi:type="dcterms:W3CDTF">2022-02-17T16:04:32Z</dcterms:created>
  <dcterms:modified xsi:type="dcterms:W3CDTF">2025-02-04T10:55:22Z</dcterms:modified>
</cp:coreProperties>
</file>