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DC747B9D-DBBB-FA85-71B4-595EBAB9782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A5952851-24EE-48D4-AEE1-C2B4D9DB32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Maquette" sheetId="2" r:id="rId1"/>
    <sheet name="JOURS CALENDAIRES" sheetId="5" r:id="rId2"/>
    <sheet name="Extraction" sheetId="7" r:id="rId3"/>
  </sheets>
  <definedNames>
    <definedName name="_xlnm._FilterDatabase" localSheetId="2" hidden="1">Extraction!$A$1:$I$7</definedName>
    <definedName name="Print_Area" localSheetId="0">Maquette!$A:$F</definedName>
    <definedName name="RRHF">Extraction!$A$2:$H$1151</definedName>
    <definedName name="UID">Extraction!$A$2:$A$2540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0" i="2" l="1" a="1"/>
  <c r="E20" i="2" s="1"/>
  <c r="E15" i="2" a="1"/>
  <c r="E15" i="2" s="1"/>
  <c r="D25" i="2"/>
  <c r="D20" i="2"/>
  <c r="B22" i="2"/>
  <c r="E23" i="2"/>
  <c r="C23" i="2"/>
  <c r="E18" i="2"/>
  <c r="C18" i="2"/>
  <c r="B17" i="2"/>
  <c r="F24" i="2"/>
  <c r="E24" i="2"/>
  <c r="D24" i="2"/>
  <c r="F19" i="2"/>
  <c r="E19" i="2"/>
  <c r="D19" i="2"/>
  <c r="F25" i="2" l="1"/>
  <c r="F20" i="2"/>
  <c r="I2" i="7"/>
  <c r="I4" i="7"/>
  <c r="I3" i="7"/>
  <c r="I6" i="7"/>
  <c r="I7" i="7"/>
  <c r="I5" i="7"/>
  <c r="J10" i="2" l="1"/>
  <c r="J9" i="2"/>
  <c r="J8" i="2"/>
  <c r="I10" i="2"/>
  <c r="I9" i="2"/>
  <c r="I8" i="2"/>
  <c r="H10" i="2"/>
  <c r="K10" i="2" s="1"/>
  <c r="H9" i="2"/>
  <c r="K9" i="2" s="1"/>
  <c r="H8" i="2"/>
  <c r="C13" i="2"/>
  <c r="E13" i="2"/>
  <c r="B12" i="2"/>
  <c r="D14" i="2"/>
  <c r="E14" i="2"/>
  <c r="F14" i="2"/>
  <c r="A2" i="5" l="1"/>
  <c r="B8" i="5" s="1"/>
  <c r="C8" i="5" s="1"/>
  <c r="D8" i="5" s="1"/>
  <c r="B10" i="5" l="1"/>
  <c r="C10" i="5" s="1"/>
  <c r="D10" i="5" s="1"/>
  <c r="B3" i="5"/>
  <c r="C3" i="5" s="1"/>
  <c r="D3" i="5" s="1"/>
  <c r="B11" i="5"/>
  <c r="C11" i="5" s="1"/>
  <c r="D11" i="5" s="1"/>
  <c r="B9" i="5"/>
  <c r="C9" i="5" s="1"/>
  <c r="D9" i="5" s="1"/>
  <c r="B2" i="5"/>
  <c r="C2" i="5" s="1"/>
  <c r="B4" i="5"/>
  <c r="C4" i="5" s="1"/>
  <c r="D4" i="5" s="1"/>
  <c r="B12" i="5"/>
  <c r="C12" i="5" s="1"/>
  <c r="D12" i="5" s="1"/>
  <c r="B5" i="5"/>
  <c r="C5" i="5" s="1"/>
  <c r="D5" i="5" s="1"/>
  <c r="B13" i="5"/>
  <c r="C13" i="5" s="1"/>
  <c r="D13" i="5" s="1"/>
  <c r="B6" i="5"/>
  <c r="C6" i="5" s="1"/>
  <c r="D6" i="5" s="1"/>
  <c r="B7" i="5"/>
  <c r="C7" i="5" s="1"/>
  <c r="D7" i="5" s="1"/>
  <c r="D2" i="5" l="1"/>
  <c r="D14" i="5" s="1"/>
  <c r="D15" i="2" s="1"/>
  <c r="F15" i="2" s="1"/>
  <c r="K8" i="2" s="1"/>
  <c r="I1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<sst xmlns="http://schemas.openxmlformats.org/spreadsheetml/2006/main" count="64" uniqueCount="27">
  <si>
    <t>Motif d'absence</t>
  </si>
  <si>
    <t>MAL</t>
  </si>
  <si>
    <t>ACS</t>
  </si>
  <si>
    <t>du</t>
  </si>
  <si>
    <t>au</t>
  </si>
  <si>
    <t>Nom</t>
  </si>
  <si>
    <t>Date de début</t>
  </si>
  <si>
    <t>Prénom</t>
  </si>
  <si>
    <t>Date de fin</t>
  </si>
  <si>
    <t>Temps de travail</t>
  </si>
  <si>
    <t>Montant du bonus à payer</t>
  </si>
  <si>
    <t>MALADIE</t>
  </si>
  <si>
    <t>ABS. SS SOLDE&gt;3JRS</t>
  </si>
  <si>
    <t>Nom usuel</t>
  </si>
  <si>
    <t>Prénom usuel</t>
  </si>
  <si>
    <t>Libellé type de contrat</t>
  </si>
  <si>
    <t>Libellé Motif d'absence</t>
  </si>
  <si>
    <t>CDI</t>
  </si>
  <si>
    <t>LOUIS</t>
  </si>
  <si>
    <t>Nombre de jours</t>
  </si>
  <si>
    <t>Enjeu
bonus</t>
  </si>
  <si>
    <t>Bonus atteint</t>
  </si>
  <si>
    <t>Identifiant</t>
  </si>
  <si>
    <t>DUPONT</t>
  </si>
  <si>
    <t>CALCUL BONUS D'UN SORTANT</t>
  </si>
  <si>
    <t>Répartition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</si>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</sst>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#,##0\ &quot;€&quot;"/>
    <numFmt numFmtId="166" formatCode="dd/mm/yy"/>
  </numFmts>
  <fonts count="1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24"/>
      <name val="Arial"/>
      <family val="2"/>
    </font>
    <font>
      <sz val="10"/>
      <name val="Arial"/>
      <family val="2"/>
    </font>
    <font>
      <b/>
      <sz val="10"/>
      <color theme="9" tint="-0.499984740745262"/>
      <name val="Arial"/>
      <family val="2"/>
    </font>
    <font>
      <b/>
      <sz val="11"/>
      <color theme="9" tint="-0.249977111117893"/>
      <name val="Calibri"/>
      <family val="2"/>
      <scheme val="minor"/>
    </font>
    <font>
      <b/>
      <sz val="10"/>
      <color theme="9" tint="-0.249977111117893"/>
      <name val="Arial"/>
      <family val="2"/>
    </font>
    <font>
      <sz val="20"/>
      <name val="Arial"/>
      <family val="2"/>
    </font>
    <font>
      <sz val="10"/>
      <color theme="1"/>
      <name val="Andale WT"/>
      <family val="2"/>
    </font>
    <font>
      <b/>
      <sz val="14"/>
      <color theme="0"/>
      <name val="Arial"/>
      <family val="2"/>
    </font>
    <font>
      <b/>
      <sz val="24"/>
      <color theme="0"/>
      <name val="Arial"/>
      <family val="2"/>
    </font>
    <font>
      <b/>
      <sz val="11"/>
      <color rgb="FF00B050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rgb="FF00B050"/>
      <name val="Arial"/>
      <family val="2"/>
    </font>
    <font>
      <sz val="12"/>
      <color rgb="FF00B050"/>
      <name val="Calibri"/>
      <family val="2"/>
      <scheme val="minor"/>
    </font>
    <font>
      <sz val="10"/>
      <color rgb="FF00B05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D2E2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thin">
        <color theme="9" tint="0.59999389629810485"/>
      </left>
      <right/>
      <top style="thin">
        <color theme="9" tint="0.59999389629810485"/>
      </top>
      <bottom/>
      <diagonal/>
    </border>
    <border>
      <left/>
      <right style="thin">
        <color theme="9" tint="0.59999389629810485"/>
      </right>
      <top style="thin">
        <color theme="9" tint="0.59999389629810485"/>
      </top>
      <bottom/>
      <diagonal/>
    </border>
    <border>
      <left style="thin">
        <color theme="9" tint="0.59999389629810485"/>
      </left>
      <right/>
      <top/>
      <bottom style="thin">
        <color theme="9" tint="0.59999389629810485"/>
      </bottom>
      <diagonal/>
    </border>
    <border>
      <left/>
      <right style="thin">
        <color theme="9" tint="0.59999389629810485"/>
      </right>
      <top/>
      <bottom style="thin">
        <color theme="9" tint="0.59999389629810485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9" tint="0.59999389629810485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thin">
        <color theme="9" tint="0.59999389629810485"/>
      </right>
      <top style="medium">
        <color theme="0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14" fontId="3" fillId="0" borderId="0" xfId="0" applyNumberFormat="1" applyFont="1"/>
    <xf numFmtId="0" fontId="5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9" fontId="9" fillId="0" borderId="0" xfId="0" applyNumberFormat="1" applyFont="1" applyAlignment="1">
      <alignment horizontal="right" vertical="center"/>
    </xf>
    <xf numFmtId="9" fontId="8" fillId="0" borderId="1" xfId="1" applyFont="1" applyFill="1" applyBorder="1" applyAlignment="1" applyProtection="1">
      <alignment horizontal="center"/>
    </xf>
    <xf numFmtId="0" fontId="8" fillId="0" borderId="1" xfId="0" applyFont="1" applyBorder="1" applyAlignment="1">
      <alignment horizontal="center"/>
    </xf>
    <xf numFmtId="14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9" fontId="8" fillId="0" borderId="1" xfId="1" applyFont="1" applyFill="1" applyBorder="1" applyAlignment="1" applyProtection="1">
      <alignment horizontal="center"/>
      <protection locked="0"/>
    </xf>
    <xf numFmtId="164" fontId="8" fillId="0" borderId="1" xfId="0" applyNumberFormat="1" applyFont="1" applyBorder="1" applyAlignment="1" applyProtection="1">
      <alignment horizontal="center"/>
      <protection locked="0"/>
    </xf>
    <xf numFmtId="10" fontId="8" fillId="0" borderId="1" xfId="1" applyNumberFormat="1" applyFont="1" applyFill="1" applyBorder="1" applyAlignment="1" applyProtection="1">
      <alignment horizontal="center"/>
      <protection locked="0"/>
    </xf>
    <xf numFmtId="0" fontId="11" fillId="3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4" xfId="0" applyFont="1" applyBorder="1" applyAlignment="1">
      <alignment horizontal="center"/>
    </xf>
    <xf numFmtId="0" fontId="11" fillId="0" borderId="14" xfId="0" applyFont="1" applyBorder="1" applyAlignment="1">
      <alignment horizontal="center" vertical="center"/>
    </xf>
    <xf numFmtId="166" fontId="11" fillId="0" borderId="1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6" fontId="3" fillId="0" borderId="14" xfId="0" applyNumberFormat="1" applyFont="1" applyBorder="1" applyAlignment="1">
      <alignment horizontal="center"/>
    </xf>
    <xf numFmtId="9" fontId="1" fillId="0" borderId="0" xfId="1" quotePrefix="1" applyFont="1" applyFill="1" applyBorder="1" applyAlignment="1" applyProtection="1">
      <alignment horizontal="center" vertical="center"/>
    </xf>
    <xf numFmtId="14" fontId="9" fillId="0" borderId="0" xfId="1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4" borderId="20" xfId="0" applyFill="1" applyBorder="1" applyAlignment="1" applyProtection="1">
      <alignment horizontal="center" vertical="center"/>
      <protection locked="0"/>
    </xf>
    <xf numFmtId="10" fontId="0" fillId="4" borderId="20" xfId="0" applyNumberFormat="1" applyFill="1" applyBorder="1" applyAlignment="1" applyProtection="1">
      <alignment horizontal="center" vertical="center"/>
      <protection locked="0"/>
    </xf>
    <xf numFmtId="164" fontId="0" fillId="4" borderId="19" xfId="0" applyNumberForma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4" fontId="8" fillId="0" borderId="1" xfId="0" applyNumberFormat="1" applyFont="1" applyBorder="1" applyAlignment="1">
      <alignment horizontal="center"/>
    </xf>
    <xf numFmtId="44" fontId="8" fillId="0" borderId="1" xfId="1" applyNumberFormat="1" applyFont="1" applyFill="1" applyBorder="1" applyAlignment="1" applyProtection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/>
      <protection locked="0"/>
    </xf>
    <xf numFmtId="14" fontId="14" fillId="2" borderId="0" xfId="0" applyNumberFormat="1" applyFont="1" applyFill="1" applyAlignment="1" applyProtection="1">
      <alignment horizontal="center"/>
      <protection locked="0"/>
    </xf>
    <xf numFmtId="14" fontId="14" fillId="2" borderId="1" xfId="0" applyNumberFormat="1" applyFont="1" applyFill="1" applyBorder="1" applyAlignment="1" applyProtection="1">
      <alignment horizontal="center"/>
      <protection locked="0"/>
    </xf>
    <xf numFmtId="9" fontId="14" fillId="2" borderId="1" xfId="1" applyFont="1" applyFill="1" applyBorder="1" applyAlignment="1" applyProtection="1">
      <alignment horizontal="center"/>
      <protection locked="0"/>
    </xf>
    <xf numFmtId="9" fontId="14" fillId="2" borderId="1" xfId="1" applyFont="1" applyFill="1" applyBorder="1" applyAlignment="1" applyProtection="1">
      <alignment horizontal="center"/>
    </xf>
    <xf numFmtId="14" fontId="14" fillId="2" borderId="1" xfId="1" applyNumberFormat="1" applyFont="1" applyFill="1" applyBorder="1" applyAlignment="1" applyProtection="1">
      <alignment horizontal="center"/>
    </xf>
    <xf numFmtId="44" fontId="14" fillId="2" borderId="1" xfId="1" applyNumberFormat="1" applyFont="1" applyFill="1" applyBorder="1" applyAlignment="1" applyProtection="1">
      <alignment horizontal="center"/>
    </xf>
    <xf numFmtId="14" fontId="14" fillId="2" borderId="1" xfId="0" applyNumberFormat="1" applyFont="1" applyFill="1" applyBorder="1" applyAlignment="1">
      <alignment horizontal="center"/>
    </xf>
    <xf numFmtId="14" fontId="15" fillId="0" borderId="6" xfId="1" applyNumberFormat="1" applyFont="1" applyFill="1" applyBorder="1" applyAlignment="1" applyProtection="1">
      <alignment horizontal="center" vertical="center"/>
    </xf>
    <xf numFmtId="9" fontId="15" fillId="0" borderId="5" xfId="1" quotePrefix="1" applyFont="1" applyFill="1" applyBorder="1" applyAlignment="1" applyProtection="1">
      <alignment horizontal="center" vertical="center"/>
    </xf>
    <xf numFmtId="0" fontId="18" fillId="0" borderId="7" xfId="0" applyFont="1" applyBorder="1" applyAlignment="1">
      <alignment horizontal="center"/>
    </xf>
    <xf numFmtId="9" fontId="16" fillId="0" borderId="2" xfId="0" applyNumberFormat="1" applyFont="1" applyBorder="1" applyAlignment="1">
      <alignment horizontal="center" vertical="center"/>
    </xf>
    <xf numFmtId="9" fontId="16" fillId="0" borderId="3" xfId="0" applyNumberFormat="1" applyFont="1" applyBorder="1" applyAlignment="1">
      <alignment horizontal="center" vertical="center"/>
    </xf>
    <xf numFmtId="9" fontId="16" fillId="0" borderId="4" xfId="0" applyNumberFormat="1" applyFont="1" applyBorder="1" applyAlignment="1">
      <alignment horizontal="center" vertical="center"/>
    </xf>
    <xf numFmtId="165" fontId="12" fillId="5" borderId="22" xfId="0" applyNumberFormat="1" applyFont="1" applyFill="1" applyBorder="1" applyAlignment="1">
      <alignment horizontal="center" vertical="center"/>
    </xf>
    <xf numFmtId="165" fontId="12" fillId="5" borderId="23" xfId="0" applyNumberFormat="1" applyFont="1" applyFill="1" applyBorder="1" applyAlignment="1">
      <alignment horizontal="center" vertical="center"/>
    </xf>
    <xf numFmtId="165" fontId="12" fillId="5" borderId="2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9" fontId="17" fillId="0" borderId="8" xfId="1" applyFont="1" applyFill="1" applyBorder="1" applyAlignment="1" applyProtection="1">
      <alignment horizontal="center" vertical="top"/>
    </xf>
    <xf numFmtId="9" fontId="17" fillId="0" borderId="9" xfId="1" applyFont="1" applyFill="1" applyBorder="1" applyAlignment="1" applyProtection="1">
      <alignment horizontal="center" vertical="top"/>
    </xf>
    <xf numFmtId="165" fontId="13" fillId="5" borderId="10" xfId="0" applyNumberFormat="1" applyFont="1" applyFill="1" applyBorder="1" applyAlignment="1">
      <alignment horizontal="center" vertical="center"/>
    </xf>
    <xf numFmtId="165" fontId="13" fillId="5" borderId="11" xfId="0" applyNumberFormat="1" applyFont="1" applyFill="1" applyBorder="1" applyAlignment="1">
      <alignment horizontal="center" vertical="center"/>
    </xf>
    <xf numFmtId="165" fontId="13" fillId="5" borderId="12" xfId="0" applyNumberFormat="1" applyFont="1" applyFill="1" applyBorder="1" applyAlignment="1">
      <alignment horizontal="center" vertical="center"/>
    </xf>
    <xf numFmtId="165" fontId="13" fillId="5" borderId="13" xfId="0" applyNumberFormat="1" applyFont="1" applyFill="1" applyBorder="1" applyAlignment="1">
      <alignment horizontal="center" vertical="center"/>
    </xf>
    <xf numFmtId="0" fontId="0" fillId="6" borderId="20" xfId="0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33617</xdr:colOff>
      <xdr:row>0</xdr:row>
      <xdr:rowOff>106268</xdr:rowOff>
    </xdr:from>
    <xdr:to>
      <xdr:col>2</xdr:col>
      <xdr:colOff>239099</xdr:colOff>
      <xdr:row>0</xdr:row>
      <xdr:rowOff>377828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8970FCB-1241-4F1D-8286-DBA9D203D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17" y="106268"/>
          <a:ext cx="1785511" cy="271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  <pageSetUpPr fitToPage="1"/>
  </sheetPr>
  <dimension ref="A1:M26"/>
  <sheetViews>
    <sheetView showGridLines="0" tabSelected="1" topLeftCell="A7" zoomScale="115" zoomScaleNormal="115" workbookViewId="0">
      <selection activeCell="I20" sqref="I20"/>
    </sheetView>
  </sheetViews>
  <sheetFormatPr baseColWidth="10" defaultColWidth="9.109375" defaultRowHeight="13.2"/>
  <cols>
    <col min="1" max="1" width="10.88671875" customWidth="1"/>
    <col min="2" max="9" width="12.6640625" customWidth="1"/>
    <col min="10" max="10" width="13.88671875" customWidth="1"/>
    <col min="11" max="13" width="12.6640625" customWidth="1"/>
  </cols>
  <sheetData>
    <row r="1" spans="1:13" ht="45" customHeight="1">
      <c r="A1" s="64" t="s">
        <v>24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</row>
    <row r="2" spans="1:13" ht="8.25" customHeight="1">
      <c r="A2" s="9"/>
      <c r="B2" s="9"/>
      <c r="C2" s="9"/>
      <c r="D2" s="9"/>
      <c r="E2" s="9"/>
      <c r="F2" s="7"/>
      <c r="G2" s="7"/>
    </row>
    <row r="3" spans="1:13" ht="23.25" customHeight="1" thickBot="1">
      <c r="A3" s="9"/>
      <c r="B3" s="9"/>
      <c r="C3" s="9"/>
    </row>
    <row r="4" spans="1:13" ht="15" customHeight="1" thickBot="1">
      <c r="B4" s="16" t="s">
        <v>5</v>
      </c>
      <c r="C4" s="47"/>
      <c r="D4" s="16" t="s">
        <v>7</v>
      </c>
      <c r="E4" s="47"/>
      <c r="F4" s="16" t="s">
        <v>22</v>
      </c>
      <c r="G4" s="47">
        <v>123456</v>
      </c>
    </row>
    <row r="5" spans="1:13" ht="15" thickBot="1">
      <c r="B5" s="16" t="s">
        <v>6</v>
      </c>
      <c r="C5" s="49">
        <v>45292</v>
      </c>
      <c r="D5" s="16" t="s">
        <v>8</v>
      </c>
      <c r="E5" s="48">
        <v>45657</v>
      </c>
    </row>
    <row r="6" spans="1:13" ht="15" thickBot="1">
      <c r="B6" s="16"/>
      <c r="C6" s="18"/>
      <c r="H6" s="3"/>
    </row>
    <row r="7" spans="1:13" ht="16.2" thickBot="1">
      <c r="B7" s="16"/>
      <c r="C7" s="19"/>
      <c r="H7" s="65" t="s">
        <v>25</v>
      </c>
      <c r="I7" s="66"/>
      <c r="J7" s="66"/>
      <c r="K7" s="66"/>
    </row>
    <row r="8" spans="1:13" ht="15" thickBot="1">
      <c r="B8" s="16" t="s">
        <v>9</v>
      </c>
      <c r="C8" s="50">
        <v>0.8</v>
      </c>
      <c r="D8" s="50">
        <v>1</v>
      </c>
      <c r="E8" s="50">
        <v>0</v>
      </c>
      <c r="F8" s="17"/>
      <c r="G8" s="12"/>
      <c r="H8" s="51">
        <f>$C$8</f>
        <v>0.8</v>
      </c>
      <c r="I8" s="52">
        <f>$C$9</f>
        <v>45292</v>
      </c>
      <c r="J8" s="52">
        <f>$C$10</f>
        <v>45473</v>
      </c>
      <c r="K8" s="53">
        <f>B12*B15*C15*(F15/D15)</f>
        <v>1361.3114754098362</v>
      </c>
    </row>
    <row r="9" spans="1:13" ht="15" thickBot="1">
      <c r="B9" s="16" t="s">
        <v>6</v>
      </c>
      <c r="C9" s="49">
        <v>45292</v>
      </c>
      <c r="D9" s="49">
        <v>45474</v>
      </c>
      <c r="E9" s="49" t="s">
        <v>26</v>
      </c>
      <c r="F9" s="46"/>
      <c r="G9" s="13"/>
      <c r="H9" s="51">
        <f>D8</f>
        <v>1</v>
      </c>
      <c r="I9" s="54">
        <f>$D$9</f>
        <v>45474</v>
      </c>
      <c r="J9" s="54">
        <f>$D$10</f>
        <v>45657</v>
      </c>
      <c r="K9" s="53">
        <f>H9*B20*C20*(F20/D20)</f>
        <v>1711.4754098360654</v>
      </c>
    </row>
    <row r="10" spans="1:13" ht="15" thickBot="1">
      <c r="B10" s="16" t="s">
        <v>8</v>
      </c>
      <c r="C10" s="49">
        <v>45473</v>
      </c>
      <c r="D10" s="49">
        <v>45657</v>
      </c>
      <c r="E10" s="49" t="s">
        <v>26</v>
      </c>
      <c r="F10" s="46"/>
      <c r="G10" s="13"/>
      <c r="H10" s="51">
        <f>E8</f>
        <v>0</v>
      </c>
      <c r="I10" s="52" t="str">
        <f>$E$9</f>
        <v>-</v>
      </c>
      <c r="J10" s="52" t="str">
        <f>$E$10</f>
        <v>-</v>
      </c>
      <c r="K10" s="53">
        <f>H10*B25*C25*(F25/D25)</f>
        <v>0</v>
      </c>
    </row>
    <row r="11" spans="1:13" ht="15" thickBot="1">
      <c r="A11" s="8"/>
      <c r="B11" s="14"/>
      <c r="C11" s="14"/>
      <c r="D11" s="14"/>
      <c r="E11" s="15"/>
      <c r="F11" s="15"/>
      <c r="G11" s="15"/>
      <c r="H11" s="12"/>
      <c r="I11" s="42"/>
      <c r="J11" s="42"/>
      <c r="K11" s="43"/>
    </row>
    <row r="12" spans="1:13" s="2" customFormat="1" ht="19.5" customHeight="1">
      <c r="B12" s="58">
        <f>$C$8</f>
        <v>0.8</v>
      </c>
      <c r="C12" s="59"/>
      <c r="D12" s="59"/>
      <c r="E12" s="59"/>
      <c r="F12" s="60"/>
      <c r="H12" s="61" t="s">
        <v>10</v>
      </c>
      <c r="I12" s="62"/>
      <c r="J12" s="62"/>
      <c r="K12" s="63"/>
      <c r="L12" s="45"/>
      <c r="M12" s="44"/>
    </row>
    <row r="13" spans="1:13" s="3" customFormat="1" ht="13.8" thickBot="1">
      <c r="A13" s="11"/>
      <c r="B13" s="56" t="s">
        <v>3</v>
      </c>
      <c r="C13" s="55">
        <f>$C$9</f>
        <v>45292</v>
      </c>
      <c r="D13" s="55" t="s">
        <v>4</v>
      </c>
      <c r="E13" s="55">
        <f>$C$10</f>
        <v>45473</v>
      </c>
      <c r="F13" s="57"/>
      <c r="K13" s="27"/>
      <c r="L13" s="28"/>
      <c r="M13" s="28"/>
    </row>
    <row r="14" spans="1:13" s="3" customFormat="1" ht="39.6">
      <c r="A14"/>
      <c r="B14" s="32" t="s">
        <v>20</v>
      </c>
      <c r="C14" s="33" t="s">
        <v>21</v>
      </c>
      <c r="D14" s="33" t="str">
        <f>"Jours calendaires
en "&amp;YEAR($E$5)</f>
        <v>Jours calendaires
en 2024</v>
      </c>
      <c r="E14" s="33" t="str">
        <f>"Absences à déduire en "&amp;(YEAR($E$5))</f>
        <v>Absences à déduire en 2024</v>
      </c>
      <c r="F14" s="34" t="str">
        <f>"Nbre de jours de présence en " &amp;(YEAR($E$5))</f>
        <v>Nbre de jours de présence en 2024</v>
      </c>
      <c r="I14" s="67">
        <f>ROUND(SUM(K8:K10),0)</f>
        <v>3073</v>
      </c>
      <c r="J14" s="68"/>
      <c r="K14" s="38"/>
      <c r="L14" s="38"/>
      <c r="M14" s="39"/>
    </row>
    <row r="15" spans="1:13" s="3" customFormat="1" ht="21.9" customHeight="1" thickBot="1">
      <c r="A15" s="1"/>
      <c r="B15" s="37">
        <v>1800</v>
      </c>
      <c r="C15" s="36">
        <v>1</v>
      </c>
      <c r="D15" s="30">
        <f>'JOURS CALENDAIRES'!D14</f>
        <v>366</v>
      </c>
      <c r="E15" s="71" cm="1">
        <f t="array" ref="E15">SUMPRODUCT((MONTH(Extraction!E2:F7)&gt;=MONTH(Maquette!C9))*(MONTH(Extraction!E2:F7)&lt;=MONTH(Maquette!C10)),(Extraction!I2:J7))</f>
        <v>20</v>
      </c>
      <c r="F15" s="31">
        <f>D15-E15</f>
        <v>346</v>
      </c>
      <c r="I15" s="69"/>
      <c r="J15" s="70"/>
      <c r="K15" s="40"/>
      <c r="L15" s="41"/>
      <c r="M15" s="41"/>
    </row>
    <row r="16" spans="1:13" s="3" customFormat="1" ht="13.8" thickBot="1">
      <c r="D16" s="4"/>
      <c r="E16" s="10"/>
      <c r="F16" s="10"/>
      <c r="G16" s="10"/>
    </row>
    <row r="17" spans="2:7" s="3" customFormat="1" ht="13.8">
      <c r="B17" s="58">
        <f>$D$8</f>
        <v>1</v>
      </c>
      <c r="C17" s="59"/>
      <c r="D17" s="59"/>
      <c r="E17" s="59"/>
      <c r="F17" s="60"/>
      <c r="G17" s="10"/>
    </row>
    <row r="18" spans="2:7" s="3" customFormat="1" ht="13.8" thickBot="1">
      <c r="B18" s="56" t="s">
        <v>3</v>
      </c>
      <c r="C18" s="55">
        <f>$D$9</f>
        <v>45474</v>
      </c>
      <c r="D18" s="55" t="s">
        <v>4</v>
      </c>
      <c r="E18" s="55">
        <f>$D$10</f>
        <v>45657</v>
      </c>
      <c r="F18" s="57"/>
      <c r="G18" s="10"/>
    </row>
    <row r="19" spans="2:7" s="3" customFormat="1" ht="39.6">
      <c r="B19" s="32" t="s">
        <v>20</v>
      </c>
      <c r="C19" s="33" t="s">
        <v>21</v>
      </c>
      <c r="D19" s="33" t="str">
        <f>"Jours calendaires
en "&amp;YEAR($E$5)</f>
        <v>Jours calendaires
en 2024</v>
      </c>
      <c r="E19" s="33" t="str">
        <f>"Absences à déduire en "&amp;(YEAR($E$5))</f>
        <v>Absences à déduire en 2024</v>
      </c>
      <c r="F19" s="34" t="str">
        <f>"Nbre de jours de présence en " &amp;(YEAR($E$5))</f>
        <v>Nbre de jours de présence en 2024</v>
      </c>
      <c r="G19" s="10"/>
    </row>
    <row r="20" spans="2:7" s="3" customFormat="1" ht="21.9" customHeight="1" thickBot="1">
      <c r="B20" s="37">
        <v>1800</v>
      </c>
      <c r="C20" s="36">
        <v>1</v>
      </c>
      <c r="D20" s="30">
        <f>'JOURS CALENDAIRES'!D14</f>
        <v>366</v>
      </c>
      <c r="E20" s="71" cm="1">
        <f t="array" ref="E20">SUMPRODUCT((MONTH(Extraction!E2:F7)&gt;=MONTH(Maquette!D9))*(MONTH(Extraction!E2:F7)&lt;=MONTH(Maquette!D10))*(Extraction!I2:J7))</f>
        <v>18</v>
      </c>
      <c r="F20" s="31">
        <f>D20-E20</f>
        <v>348</v>
      </c>
      <c r="G20" s="10"/>
    </row>
    <row r="21" spans="2:7" s="3" customFormat="1" ht="13.8" thickBot="1">
      <c r="D21" s="4"/>
      <c r="E21" s="10"/>
      <c r="F21" s="10"/>
    </row>
    <row r="22" spans="2:7" s="3" customFormat="1" ht="13.8">
      <c r="B22" s="58">
        <f>$E$8</f>
        <v>0</v>
      </c>
      <c r="C22" s="59"/>
      <c r="D22" s="59"/>
      <c r="E22" s="59"/>
      <c r="F22" s="60"/>
    </row>
    <row r="23" spans="2:7" s="3" customFormat="1" ht="13.8" thickBot="1">
      <c r="B23" s="56" t="s">
        <v>3</v>
      </c>
      <c r="C23" s="55" t="str">
        <f>$E$9</f>
        <v>-</v>
      </c>
      <c r="D23" s="55" t="s">
        <v>4</v>
      </c>
      <c r="E23" s="55" t="str">
        <f>$E$10</f>
        <v>-</v>
      </c>
      <c r="F23" s="29"/>
      <c r="G23" s="10"/>
    </row>
    <row r="24" spans="2:7" s="3" customFormat="1" ht="39.6">
      <c r="B24" s="32" t="s">
        <v>20</v>
      </c>
      <c r="C24" s="33" t="s">
        <v>21</v>
      </c>
      <c r="D24" s="33" t="str">
        <f>"Jours calendaires
en "&amp;YEAR($E$5)</f>
        <v>Jours calendaires
en 2024</v>
      </c>
      <c r="E24" s="33" t="str">
        <f>"Absences à déduire en "&amp;(YEAR($E$5))</f>
        <v>Absences à déduire en 2024</v>
      </c>
      <c r="F24" s="34" t="str">
        <f>"Nbre de jours de présence en " &amp;(YEAR($E$5))</f>
        <v>Nbre de jours de présence en 2024</v>
      </c>
      <c r="G24" s="10"/>
    </row>
    <row r="25" spans="2:7" s="3" customFormat="1" ht="21.9" customHeight="1" thickBot="1">
      <c r="B25" s="37">
        <v>1800</v>
      </c>
      <c r="C25" s="36">
        <v>1</v>
      </c>
      <c r="D25" s="30">
        <f>'JOURS CALENDAIRES'!D14</f>
        <v>366</v>
      </c>
      <c r="E25" s="35"/>
      <c r="F25" s="31">
        <f>D25-E25</f>
        <v>366</v>
      </c>
      <c r="G25" s="10"/>
    </row>
    <row r="26" spans="2:7" s="3" customFormat="1">
      <c r="D26" s="4"/>
      <c r="E26" s="10"/>
      <c r="F26" s="10"/>
      <c r="G26" s="10"/>
    </row>
  </sheetData>
  <sheetProtection selectLockedCells="1"/>
  <protectedRanges>
    <protectedRange sqref="E4 C4 G4" name="NOM PRENOM UID SOCIETE_1"/>
  </protectedRanges>
  <mergeCells count="7">
    <mergeCell ref="B22:F22"/>
    <mergeCell ref="H12:K12"/>
    <mergeCell ref="A1:L1"/>
    <mergeCell ref="H7:K7"/>
    <mergeCell ref="I14:J15"/>
    <mergeCell ref="B12:F12"/>
    <mergeCell ref="B17:F17"/>
  </mergeCells>
  <phoneticPr fontId="2" type="noConversion"/>
  <dataValidations disablePrompts="1" count="1">
    <dataValidation type="list" allowBlank="1" showInputMessage="1" showErrorMessage="1" sqref="M15" xr:uid="{2C8D3336-838E-487E-81CB-F28879E8CD23}">
      <formula1>#REF!</formula1>
    </dataValidation>
  </dataValidations>
  <printOptions horizontalCentered="1" verticalCentered="1"/>
  <pageMargins left="0.14000000000000001" right="0.17" top="0.21" bottom="0.17" header="0" footer="0.11811023622047245"/>
  <pageSetup paperSize="9" scale="91" orientation="portrait" verticalDpi="597" r:id="rId1"/>
  <headerFooter alignWithMargins="0">
    <oddFooter>&amp;C&amp;Z&amp;F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9723F-346D-4AEF-9F68-06B2C0782FD4}">
  <sheetPr codeName="Feuil3"/>
  <dimension ref="A2:D14"/>
  <sheetViews>
    <sheetView workbookViewId="0">
      <selection activeCell="A2" sqref="A2"/>
    </sheetView>
  </sheetViews>
  <sheetFormatPr baseColWidth="10" defaultColWidth="11.44140625" defaultRowHeight="13.2"/>
  <cols>
    <col min="1" max="6" width="11.44140625" style="5"/>
    <col min="7" max="7" width="15.6640625" style="5" customWidth="1"/>
    <col min="8" max="16384" width="11.44140625" style="5"/>
  </cols>
  <sheetData>
    <row r="2" spans="1:4">
      <c r="A2" s="5">
        <f>YEAR(Maquette!E5)</f>
        <v>2024</v>
      </c>
      <c r="B2" s="6">
        <f>DATE($A$2,1,1)</f>
        <v>45292</v>
      </c>
      <c r="C2" s="6">
        <f>EOMONTH(B2,0)</f>
        <v>45322</v>
      </c>
      <c r="D2" s="5">
        <f>C2-B2+1</f>
        <v>31</v>
      </c>
    </row>
    <row r="3" spans="1:4">
      <c r="B3" s="6">
        <f>DATE($A$2,2,1)</f>
        <v>45323</v>
      </c>
      <c r="C3" s="6">
        <f t="shared" ref="C3:C13" si="0">EOMONTH(B3,0)</f>
        <v>45351</v>
      </c>
      <c r="D3" s="5">
        <f t="shared" ref="D3:D13" si="1">C3-B3+1</f>
        <v>29</v>
      </c>
    </row>
    <row r="4" spans="1:4">
      <c r="B4" s="6">
        <f>DATE($A$2,3,1)</f>
        <v>45352</v>
      </c>
      <c r="C4" s="6">
        <f t="shared" si="0"/>
        <v>45382</v>
      </c>
      <c r="D4" s="5">
        <f t="shared" si="1"/>
        <v>31</v>
      </c>
    </row>
    <row r="5" spans="1:4">
      <c r="B5" s="6">
        <f>DATE($A$2,4,1)</f>
        <v>45383</v>
      </c>
      <c r="C5" s="6">
        <f t="shared" si="0"/>
        <v>45412</v>
      </c>
      <c r="D5" s="5">
        <f t="shared" si="1"/>
        <v>30</v>
      </c>
    </row>
    <row r="6" spans="1:4">
      <c r="B6" s="6">
        <f>DATE($A$2,5,1)</f>
        <v>45413</v>
      </c>
      <c r="C6" s="6">
        <f t="shared" si="0"/>
        <v>45443</v>
      </c>
      <c r="D6" s="5">
        <f t="shared" si="1"/>
        <v>31</v>
      </c>
    </row>
    <row r="7" spans="1:4">
      <c r="B7" s="6">
        <f>DATE($A$2,6,1)</f>
        <v>45444</v>
      </c>
      <c r="C7" s="6">
        <f t="shared" si="0"/>
        <v>45473</v>
      </c>
      <c r="D7" s="5">
        <f t="shared" si="1"/>
        <v>30</v>
      </c>
    </row>
    <row r="8" spans="1:4">
      <c r="B8" s="6">
        <f>DATE($A$2,7,1)</f>
        <v>45474</v>
      </c>
      <c r="C8" s="6">
        <f t="shared" si="0"/>
        <v>45504</v>
      </c>
      <c r="D8" s="5">
        <f t="shared" si="1"/>
        <v>31</v>
      </c>
    </row>
    <row r="9" spans="1:4">
      <c r="B9" s="6">
        <f>DATE($A$2,8,1)</f>
        <v>45505</v>
      </c>
      <c r="C9" s="6">
        <f t="shared" si="0"/>
        <v>45535</v>
      </c>
      <c r="D9" s="5">
        <f t="shared" si="1"/>
        <v>31</v>
      </c>
    </row>
    <row r="10" spans="1:4">
      <c r="B10" s="6">
        <f>DATE($A$2,9,1)</f>
        <v>45536</v>
      </c>
      <c r="C10" s="6">
        <f t="shared" si="0"/>
        <v>45565</v>
      </c>
      <c r="D10" s="5">
        <f t="shared" si="1"/>
        <v>30</v>
      </c>
    </row>
    <row r="11" spans="1:4">
      <c r="B11" s="6">
        <f>DATE($A$2,10,1)</f>
        <v>45566</v>
      </c>
      <c r="C11" s="6">
        <f t="shared" si="0"/>
        <v>45596</v>
      </c>
      <c r="D11" s="5">
        <f t="shared" si="1"/>
        <v>31</v>
      </c>
    </row>
    <row r="12" spans="1:4">
      <c r="B12" s="6">
        <f>DATE($A$2,11,1)</f>
        <v>45597</v>
      </c>
      <c r="C12" s="6">
        <f t="shared" si="0"/>
        <v>45626</v>
      </c>
      <c r="D12" s="5">
        <f t="shared" si="1"/>
        <v>30</v>
      </c>
    </row>
    <row r="13" spans="1:4">
      <c r="B13" s="6">
        <f>DATE($A$2,12,1)</f>
        <v>45627</v>
      </c>
      <c r="C13" s="6">
        <f t="shared" si="0"/>
        <v>45657</v>
      </c>
      <c r="D13" s="5">
        <f t="shared" si="1"/>
        <v>31</v>
      </c>
    </row>
    <row r="14" spans="1:4">
      <c r="D14" s="5">
        <f>SUM(D2:D13)</f>
        <v>366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EFDF9-BF44-473D-BFDB-5DAE1D92C46D}">
  <sheetPr codeName="Feuil5">
    <tabColor theme="6" tint="0.39997558519241921"/>
  </sheetPr>
  <dimension ref="A1:I7"/>
  <sheetViews>
    <sheetView zoomScale="85" zoomScaleNormal="85" workbookViewId="0">
      <selection activeCell="H15" sqref="H15"/>
    </sheetView>
  </sheetViews>
  <sheetFormatPr baseColWidth="10" defaultColWidth="11.44140625" defaultRowHeight="13.2"/>
  <cols>
    <col min="1" max="1" width="12.5546875" style="25" bestFit="1" customWidth="1"/>
    <col min="2" max="2" width="13.6640625" style="25" customWidth="1"/>
    <col min="3" max="3" width="18.88671875" style="25" bestFit="1" customWidth="1"/>
    <col min="4" max="4" width="11.33203125" style="25" bestFit="1" customWidth="1"/>
    <col min="5" max="6" width="12" style="25" bestFit="1" customWidth="1"/>
    <col min="7" max="7" width="13.88671875" style="25" bestFit="1" customWidth="1"/>
    <col min="8" max="8" width="24.44140625" style="25" bestFit="1" customWidth="1"/>
    <col min="9" max="9" width="15.5546875" style="25" bestFit="1" customWidth="1"/>
    <col min="10" max="16384" width="11.44140625" style="5"/>
  </cols>
  <sheetData>
    <row r="1" spans="1:9" s="21" customFormat="1" ht="27" thickBot="1">
      <c r="A1" s="20" t="s">
        <v>22</v>
      </c>
      <c r="B1" s="20" t="s">
        <v>13</v>
      </c>
      <c r="C1" s="20" t="s">
        <v>14</v>
      </c>
      <c r="D1" s="20" t="s">
        <v>15</v>
      </c>
      <c r="E1" s="20" t="s">
        <v>6</v>
      </c>
      <c r="F1" s="20" t="s">
        <v>8</v>
      </c>
      <c r="G1" s="20" t="s">
        <v>0</v>
      </c>
      <c r="H1" s="20" t="s">
        <v>16</v>
      </c>
      <c r="I1" s="20" t="s">
        <v>19</v>
      </c>
    </row>
    <row r="2" spans="1:9" ht="13.8" thickBot="1">
      <c r="A2" s="23">
        <v>123456</v>
      </c>
      <c r="B2" s="23" t="s">
        <v>23</v>
      </c>
      <c r="C2" s="23" t="s">
        <v>18</v>
      </c>
      <c r="D2" s="23" t="s">
        <v>17</v>
      </c>
      <c r="E2" s="24">
        <v>45453</v>
      </c>
      <c r="F2" s="24">
        <v>45456</v>
      </c>
      <c r="G2" s="23" t="s">
        <v>2</v>
      </c>
      <c r="H2" s="23" t="s">
        <v>12</v>
      </c>
      <c r="I2" s="22">
        <f t="shared" ref="I2:I7" si="0">F2-E2+1</f>
        <v>4</v>
      </c>
    </row>
    <row r="3" spans="1:9" ht="13.8" thickBot="1">
      <c r="A3" s="23">
        <v>123456</v>
      </c>
      <c r="B3" s="23" t="s">
        <v>23</v>
      </c>
      <c r="C3" s="23" t="s">
        <v>18</v>
      </c>
      <c r="D3" s="23" t="s">
        <v>17</v>
      </c>
      <c r="E3" s="24">
        <v>45462</v>
      </c>
      <c r="F3" s="24">
        <v>45477</v>
      </c>
      <c r="G3" s="23" t="s">
        <v>1</v>
      </c>
      <c r="H3" s="23" t="s">
        <v>11</v>
      </c>
      <c r="I3" s="22">
        <f t="shared" si="0"/>
        <v>16</v>
      </c>
    </row>
    <row r="4" spans="1:9" ht="13.8" thickBot="1">
      <c r="A4" s="23">
        <v>123456</v>
      </c>
      <c r="B4" s="23" t="s">
        <v>23</v>
      </c>
      <c r="C4" s="23" t="s">
        <v>18</v>
      </c>
      <c r="D4" s="23" t="s">
        <v>17</v>
      </c>
      <c r="E4" s="24">
        <v>45481</v>
      </c>
      <c r="F4" s="24">
        <v>45481</v>
      </c>
      <c r="G4" s="23" t="s">
        <v>2</v>
      </c>
      <c r="H4" s="23" t="s">
        <v>12</v>
      </c>
      <c r="I4" s="22">
        <f t="shared" si="0"/>
        <v>1</v>
      </c>
    </row>
    <row r="5" spans="1:9" ht="13.8" thickBot="1">
      <c r="A5" s="23">
        <v>123456</v>
      </c>
      <c r="B5" s="23" t="s">
        <v>23</v>
      </c>
      <c r="C5" s="23" t="s">
        <v>18</v>
      </c>
      <c r="D5" s="22" t="s">
        <v>17</v>
      </c>
      <c r="E5" s="26">
        <v>45482</v>
      </c>
      <c r="F5" s="26">
        <v>45484</v>
      </c>
      <c r="G5" s="22" t="s">
        <v>2</v>
      </c>
      <c r="H5" s="22" t="s">
        <v>12</v>
      </c>
      <c r="I5" s="22">
        <f t="shared" si="0"/>
        <v>3</v>
      </c>
    </row>
    <row r="6" spans="1:9" ht="13.8" thickBot="1">
      <c r="A6" s="23">
        <v>123456</v>
      </c>
      <c r="B6" s="23" t="s">
        <v>23</v>
      </c>
      <c r="C6" s="23" t="s">
        <v>18</v>
      </c>
      <c r="D6" s="22" t="s">
        <v>17</v>
      </c>
      <c r="E6" s="26">
        <v>45537</v>
      </c>
      <c r="F6" s="26">
        <v>45544</v>
      </c>
      <c r="G6" s="22" t="s">
        <v>1</v>
      </c>
      <c r="H6" s="22" t="s">
        <v>11</v>
      </c>
      <c r="I6" s="22">
        <f t="shared" si="0"/>
        <v>8</v>
      </c>
    </row>
    <row r="7" spans="1:9" ht="13.8" thickBot="1">
      <c r="A7" s="23">
        <v>123456</v>
      </c>
      <c r="B7" s="23" t="s">
        <v>23</v>
      </c>
      <c r="C7" s="23" t="s">
        <v>18</v>
      </c>
      <c r="D7" s="22" t="s">
        <v>17</v>
      </c>
      <c r="E7" s="26">
        <v>45545</v>
      </c>
      <c r="F7" s="26">
        <v>45550</v>
      </c>
      <c r="G7" s="22" t="s">
        <v>1</v>
      </c>
      <c r="H7" s="22" t="s">
        <v>11</v>
      </c>
      <c r="I7" s="22">
        <f t="shared" si="0"/>
        <v>6</v>
      </c>
    </row>
  </sheetData>
  <autoFilter ref="A1:I7" xr:uid="{FCAEFDF9-BF44-473D-BFDB-5DAE1D92C46D}">
    <sortState xmlns:xlrd2="http://schemas.microsoft.com/office/spreadsheetml/2017/richdata2" ref="A2:I7">
      <sortCondition ref="A2:A7"/>
      <sortCondition ref="E2:E7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Maquette</vt:lpstr>
      <vt:lpstr>JOURS CALENDAIRES</vt:lpstr>
      <vt:lpstr>Extraction</vt:lpstr>
      <vt:lpstr>Maquette!Print_Area</vt:lpstr>
      <vt:lpstr>RRHF</vt:lpstr>
      <vt:lpstr>UID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Axelle ANGOUANDE</dc:creator>
  <cp:lastModifiedBy>koch gilles</cp:lastModifiedBy>
  <cp:lastPrinted>2019-03-18T08:10:54Z</cp:lastPrinted>
  <dcterms:created xsi:type="dcterms:W3CDTF">1996-10-14T23:33:28Z</dcterms:created>
  <dcterms:modified xsi:type="dcterms:W3CDTF">2024-12-24T17:37:24Z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2021-08-17T10:44:30Z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b6dce907-9edf-4e58-9f30-5cd5ffed067a</vt:lpwstr>
  </property>
  <property fmtid="{D5CDD505-2E9C-101B-9397-08002B2CF9AE}" pid="8" name="MSIP_Label_812e1ed0-4700-41e0-aec3-61ed249f3333_ContentBits">
    <vt:lpwstr>2</vt:lpwstr>
  </property>
</Properties>
</file>