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90" windowWidth="19420" windowHeight="11020" tabRatio="849" firstSheet="1" activeTab="1"/>
  </bookViews>
  <sheets>
    <sheet name="31 dec 2016 BIOLAM" sheetId="45" state="hidden" r:id="rId1"/>
    <sheet name="BIOLAM LCD" sheetId="43" r:id="rId2"/>
    <sheet name="extraction" sheetId="66" r:id="rId3"/>
    <sheet name="CAB SANS -3FRONTIERES-LABB" sheetId="47" state="hidden" r:id="rId4"/>
    <sheet name="3 FRONTIERES" sheetId="55" state="hidden" r:id="rId5"/>
    <sheet name="LABB" sheetId="56" state="hidden" r:id="rId6"/>
    <sheet name="BIOPOLE 21 SANS BRUANT" sheetId="58" state="hidden" r:id="rId7"/>
    <sheet name="BRUANT" sheetId="53" state="hidden" r:id="rId8"/>
  </sheets>
  <externalReferences>
    <externalReference r:id="rId9"/>
    <externalReference r:id="rId10"/>
    <externalReference r:id="rId11"/>
    <externalReference r:id="rId12"/>
  </externalReferences>
  <definedNames>
    <definedName name="_xlnm.Print_Titles" localSheetId="0">'31 dec 2016 BIOLAM'!$B:$B</definedName>
    <definedName name="intit">OFFSET(numeros,,1,)</definedName>
    <definedName name="montant">OFFSET(numeros,,6,)</definedName>
    <definedName name="numeros">OFFSET(extraction!$A$3,,,COUNT(extraction!$A:$A))</definedName>
    <definedName name="_xlnm.Print_Area" localSheetId="4">'3 FRONTIERES'!$B$1:$BB$57</definedName>
    <definedName name="_xlnm.Print_Area" localSheetId="0">'31 dec 2016 BIOLAM'!$A$1:$BD$57</definedName>
    <definedName name="_xlnm.Print_Area" localSheetId="6">'BIOPOLE 21 SANS BRUANT'!$B$1:$BB$57</definedName>
    <definedName name="_xlnm.Print_Area" localSheetId="7">BRUANT!$B$1:$BB$57</definedName>
    <definedName name="_xlnm.Print_Area" localSheetId="3">'CAB SANS -3FRONTIERES-LABB'!$B$1:$BB$58</definedName>
    <definedName name="_xlnm.Print_Area" localSheetId="5">LABB!$B$1:$BB$57</definedName>
  </definedNames>
  <calcPr calcId="124519"/>
  <fileRecoveryPr repairLoad="1"/>
</workbook>
</file>

<file path=xl/calcChain.xml><?xml version="1.0" encoding="utf-8"?>
<calcChain xmlns="http://schemas.openxmlformats.org/spreadsheetml/2006/main">
  <c r="E6" i="43" a="1"/>
  <c r="E6" s="1"/>
  <c r="D6" a="1"/>
  <c r="D6" s="1"/>
  <c r="D7" s="1" a="1"/>
  <c r="D7" s="1"/>
  <c r="F7" s="1"/>
  <c r="F6" l="1"/>
  <c r="E7" a="1"/>
  <c r="E7" s="1"/>
  <c r="D8" a="1"/>
  <c r="D8" s="1"/>
  <c r="F8" s="1"/>
  <c r="AO52" i="58"/>
  <c r="AO52" i="53"/>
  <c r="AP52" i="58"/>
  <c r="AP52" i="53"/>
  <c r="AQ52" i="58"/>
  <c r="AQ52" i="53"/>
  <c r="AR52" i="58"/>
  <c r="AR52" i="53"/>
  <c r="AS52" i="58"/>
  <c r="AS52" i="53"/>
  <c r="AT52" i="58"/>
  <c r="AT52" i="53"/>
  <c r="AU52" i="58"/>
  <c r="AU52" i="53"/>
  <c r="AV52" i="58"/>
  <c r="AV52" i="53"/>
  <c r="AW52" i="58"/>
  <c r="AW52" i="53"/>
  <c r="AX52" i="58"/>
  <c r="AX52" i="53"/>
  <c r="AY52" i="58"/>
  <c r="AY52" i="53"/>
  <c r="AZ52" i="58"/>
  <c r="AZ52" i="53"/>
  <c r="AZ50" i="58"/>
  <c r="AZ54" s="1"/>
  <c r="AZ50" i="53"/>
  <c r="AY50" i="58"/>
  <c r="AY50" i="53"/>
  <c r="AX50" i="58"/>
  <c r="AX50" i="53"/>
  <c r="AW50" i="58"/>
  <c r="AW50" i="53"/>
  <c r="AV50" i="58"/>
  <c r="AV50" i="53"/>
  <c r="AU50" i="58"/>
  <c r="AU50" i="53"/>
  <c r="AU54" s="1"/>
  <c r="AT50" i="58"/>
  <c r="AT50" i="53"/>
  <c r="AS50" i="58"/>
  <c r="AS54" s="1"/>
  <c r="AS50" i="53"/>
  <c r="AR50" i="58"/>
  <c r="AR50" i="53"/>
  <c r="AQ50" i="58"/>
  <c r="AQ50" i="53"/>
  <c r="AP50" i="58"/>
  <c r="AP50" i="53"/>
  <c r="AO50" i="58"/>
  <c r="AO50" i="53"/>
  <c r="AO8" i="58"/>
  <c r="AO8" i="53"/>
  <c r="AP8" i="58"/>
  <c r="AP8" i="53"/>
  <c r="AQ8" i="58"/>
  <c r="AQ8" i="53"/>
  <c r="AR8" i="58"/>
  <c r="AR8" i="53"/>
  <c r="AS8" i="58"/>
  <c r="AS8" i="53"/>
  <c r="AT8" i="58"/>
  <c r="AT8" i="53"/>
  <c r="AU8" i="58"/>
  <c r="AU8" i="53"/>
  <c r="AV8" i="58"/>
  <c r="AV8" i="53"/>
  <c r="AW8" i="58"/>
  <c r="AW8" i="53"/>
  <c r="AX8" i="58"/>
  <c r="AX8" i="53"/>
  <c r="AY8" i="58"/>
  <c r="AY8" i="53"/>
  <c r="AZ8" i="58"/>
  <c r="AZ8" i="53"/>
  <c r="AO9" i="58"/>
  <c r="AO9" i="53"/>
  <c r="AP9" i="58"/>
  <c r="AP9" i="53"/>
  <c r="AQ9" i="58"/>
  <c r="AQ9" i="53"/>
  <c r="AR9" i="58"/>
  <c r="AR9" i="53"/>
  <c r="AS9" i="58"/>
  <c r="AS9" i="53"/>
  <c r="AT9" i="58"/>
  <c r="AT9" i="53"/>
  <c r="AU9" i="58"/>
  <c r="AU9" i="53"/>
  <c r="AV9" i="58"/>
  <c r="AV9" i="53"/>
  <c r="AW9" i="58"/>
  <c r="AW9" i="53"/>
  <c r="AX9" i="58"/>
  <c r="AX9" i="53"/>
  <c r="AY9" i="58"/>
  <c r="AY9" i="53"/>
  <c r="AZ9" i="58"/>
  <c r="AZ9" i="53"/>
  <c r="AO10" i="58"/>
  <c r="AO10" i="53"/>
  <c r="AP10" i="58"/>
  <c r="AP10" i="53"/>
  <c r="AQ10" i="58"/>
  <c r="AQ10" i="53"/>
  <c r="AR10" i="58"/>
  <c r="AR10" i="53"/>
  <c r="AS10" i="58"/>
  <c r="AS10" i="53"/>
  <c r="AT10" i="58"/>
  <c r="AT10" i="53"/>
  <c r="AU10" i="58"/>
  <c r="AU10" i="53"/>
  <c r="AV10" i="58"/>
  <c r="AV10" i="53"/>
  <c r="AW10" i="58"/>
  <c r="AW10" i="53"/>
  <c r="AX10" i="58"/>
  <c r="AX10" i="53"/>
  <c r="AY10" i="58"/>
  <c r="AY10" i="53"/>
  <c r="AZ10" i="58"/>
  <c r="AZ10" i="53"/>
  <c r="AO12" i="58"/>
  <c r="AO12" i="53"/>
  <c r="AP12" i="58"/>
  <c r="AP12" i="53"/>
  <c r="AQ12" i="58"/>
  <c r="AQ12" i="53"/>
  <c r="AR12" i="58"/>
  <c r="AR11" s="1"/>
  <c r="AR12" i="53"/>
  <c r="AS12" i="58"/>
  <c r="AS12" i="53"/>
  <c r="AT12" i="58"/>
  <c r="AT11" s="1"/>
  <c r="AT12" i="53"/>
  <c r="AU12" i="58"/>
  <c r="AU12" i="53"/>
  <c r="AV12" i="58"/>
  <c r="AV12" i="53"/>
  <c r="AW12" i="58"/>
  <c r="AW12" i="53"/>
  <c r="AX12" i="58"/>
  <c r="AX12" i="53"/>
  <c r="AY12" i="58"/>
  <c r="AY12" i="53"/>
  <c r="AZ12" i="58"/>
  <c r="AZ11" s="1"/>
  <c r="AZ12" i="53"/>
  <c r="AO13" i="58"/>
  <c r="AO13" i="53"/>
  <c r="AP13" i="58"/>
  <c r="AP13" i="53"/>
  <c r="AQ13" i="58"/>
  <c r="AQ13" i="53"/>
  <c r="AQ11"/>
  <c r="AR13" i="58"/>
  <c r="AR13" i="53"/>
  <c r="AS13" i="58"/>
  <c r="AS13" i="53"/>
  <c r="AT13" i="58"/>
  <c r="AT13" i="53"/>
  <c r="AU13" i="58"/>
  <c r="AU13" i="53"/>
  <c r="AV13" i="58"/>
  <c r="AV13" i="53"/>
  <c r="AW13" i="58"/>
  <c r="AW13" i="53"/>
  <c r="AX13" i="58"/>
  <c r="AX13" i="53"/>
  <c r="AY13" i="58"/>
  <c r="AY13" i="53"/>
  <c r="AZ13" i="58"/>
  <c r="AZ13" i="53"/>
  <c r="AO16" i="58"/>
  <c r="AO16" i="53"/>
  <c r="AP16" i="58"/>
  <c r="AP16" i="53"/>
  <c r="AQ16" i="58"/>
  <c r="AQ16" i="53"/>
  <c r="AQ15" s="1"/>
  <c r="AR16" i="58"/>
  <c r="AR16" i="53"/>
  <c r="AS16" i="58"/>
  <c r="AS16" i="53"/>
  <c r="AT16" i="58"/>
  <c r="AT16" i="53"/>
  <c r="AU16" i="58"/>
  <c r="AU16" i="53"/>
  <c r="AV16" i="58"/>
  <c r="AV16" i="53"/>
  <c r="AW16" i="58"/>
  <c r="AW16" i="53"/>
  <c r="AX16" i="58"/>
  <c r="AX16" i="53"/>
  <c r="AX15" s="1"/>
  <c r="AY16" i="58"/>
  <c r="AY16" i="53"/>
  <c r="AZ16" i="58"/>
  <c r="AZ16" i="53"/>
  <c r="AO19" i="58"/>
  <c r="AO19" i="53"/>
  <c r="AP19" i="58"/>
  <c r="AP19" i="53"/>
  <c r="AQ19" i="58"/>
  <c r="AQ19" i="53"/>
  <c r="AR19" i="58"/>
  <c r="AR19" i="53"/>
  <c r="AS19" i="58"/>
  <c r="AS19" i="53"/>
  <c r="AT19" i="58"/>
  <c r="AT19" i="53"/>
  <c r="AU19" i="58"/>
  <c r="AU19" i="53"/>
  <c r="AV19" i="58"/>
  <c r="AV19" i="53"/>
  <c r="AW19" i="58"/>
  <c r="AW19" i="53"/>
  <c r="AX19" i="58"/>
  <c r="AX15" s="1"/>
  <c r="AX19" i="53"/>
  <c r="AY19" i="58"/>
  <c r="AY19" i="53"/>
  <c r="AZ19" i="58"/>
  <c r="AZ15" s="1"/>
  <c r="AZ19" i="53"/>
  <c r="AO22" i="58"/>
  <c r="AO21" s="1"/>
  <c r="AO22" i="53"/>
  <c r="AP22" i="58"/>
  <c r="AP22" i="53"/>
  <c r="AP21"/>
  <c r="AQ22" i="58"/>
  <c r="AQ22" i="53"/>
  <c r="AQ21" s="1"/>
  <c r="AR22" i="58"/>
  <c r="AR21" s="1"/>
  <c r="AR22" i="53"/>
  <c r="AR21" s="1"/>
  <c r="AS22" i="58"/>
  <c r="AS22" i="53"/>
  <c r="AS21" s="1"/>
  <c r="AT22" i="58"/>
  <c r="AT22" i="53"/>
  <c r="AU22" i="58"/>
  <c r="AU21" s="1"/>
  <c r="AU22" i="53"/>
  <c r="AU21"/>
  <c r="AV22" i="58"/>
  <c r="AV21" s="1"/>
  <c r="AV22" i="53"/>
  <c r="AW22" i="58"/>
  <c r="AW22" i="53"/>
  <c r="AW21" s="1"/>
  <c r="AX22" i="58"/>
  <c r="AX22" i="53"/>
  <c r="AX21" s="1"/>
  <c r="AY22" i="58"/>
  <c r="AY21" s="1"/>
  <c r="AY22" i="53"/>
  <c r="AY21" s="1"/>
  <c r="AZ22" i="58"/>
  <c r="AZ21" s="1"/>
  <c r="AZ22" i="53"/>
  <c r="AZ21" s="1"/>
  <c r="AO24" i="58"/>
  <c r="AO24" i="53"/>
  <c r="AP24" i="58"/>
  <c r="AP24" i="53"/>
  <c r="AQ24" i="58"/>
  <c r="AQ24" i="53"/>
  <c r="AR24" i="58"/>
  <c r="AR24" i="53"/>
  <c r="AS24" i="58"/>
  <c r="AS24" i="53"/>
  <c r="AT24" i="58"/>
  <c r="AT24" i="53"/>
  <c r="AU24" i="58"/>
  <c r="AU24" i="53"/>
  <c r="AV24" i="58"/>
  <c r="AV24" i="53"/>
  <c r="AW24" i="58"/>
  <c r="AW24" i="53"/>
  <c r="AX24" i="58"/>
  <c r="AX24" i="53"/>
  <c r="AY24" i="58"/>
  <c r="AY24" i="53"/>
  <c r="AZ24" i="58"/>
  <c r="AZ24" i="53"/>
  <c r="AO25" i="58"/>
  <c r="AO25" i="53"/>
  <c r="AP25" i="58"/>
  <c r="AP25" i="53"/>
  <c r="AP23" s="1"/>
  <c r="AQ25" i="58"/>
  <c r="AQ25" i="53"/>
  <c r="AR25" i="58"/>
  <c r="AR25" i="53"/>
  <c r="AS25" i="58"/>
  <c r="AS25" i="53"/>
  <c r="AT25" i="58"/>
  <c r="AT25" i="53"/>
  <c r="AU25" i="58"/>
  <c r="AU25" i="53"/>
  <c r="AV25" i="58"/>
  <c r="AV25" i="53"/>
  <c r="AW25" i="58"/>
  <c r="AW25" i="53"/>
  <c r="AX25" i="58"/>
  <c r="AX25" i="53"/>
  <c r="AY25" i="58"/>
  <c r="AY25" i="53"/>
  <c r="AZ25" i="58"/>
  <c r="AZ25" i="53"/>
  <c r="AO26" i="58"/>
  <c r="AO26" i="53"/>
  <c r="AP26" i="58"/>
  <c r="AP26" i="53"/>
  <c r="AQ26" i="58"/>
  <c r="AQ26" i="53"/>
  <c r="AR26" i="58"/>
  <c r="AR26" i="53"/>
  <c r="AS26" i="58"/>
  <c r="AS26" i="53"/>
  <c r="AT26" i="58"/>
  <c r="AT26" i="53"/>
  <c r="AU26" i="58"/>
  <c r="AU26" i="53"/>
  <c r="AV26" i="58"/>
  <c r="AV26" i="53"/>
  <c r="AW26" i="58"/>
  <c r="AW26" i="53"/>
  <c r="AX26" i="58"/>
  <c r="AX26" i="53"/>
  <c r="AY26" i="58"/>
  <c r="AY26" i="53"/>
  <c r="AZ26" i="58"/>
  <c r="AZ26" i="53"/>
  <c r="AO27" i="58"/>
  <c r="AO27" i="53"/>
  <c r="AP27" i="58"/>
  <c r="AP27" i="53"/>
  <c r="AQ27" i="58"/>
  <c r="AQ27" i="53"/>
  <c r="AR27" i="58"/>
  <c r="AR27" i="53"/>
  <c r="AS27" i="58"/>
  <c r="AS27" i="53"/>
  <c r="AT27" i="58"/>
  <c r="AT27" i="53"/>
  <c r="AU27" i="58"/>
  <c r="AU27" i="53"/>
  <c r="AV27" i="58"/>
  <c r="AV27" i="53"/>
  <c r="AW27" i="58"/>
  <c r="AW27" i="53"/>
  <c r="AX27" i="58"/>
  <c r="AX27" i="53"/>
  <c r="AY27" i="58"/>
  <c r="AY27" i="53"/>
  <c r="AZ27" i="58"/>
  <c r="AZ27" i="53"/>
  <c r="AO30" i="58"/>
  <c r="AO30" i="53"/>
  <c r="AP30" i="58"/>
  <c r="AP30" i="53"/>
  <c r="AQ30" i="58"/>
  <c r="AQ30" i="53"/>
  <c r="AR30" i="58"/>
  <c r="AR30" i="53"/>
  <c r="AS30" i="58"/>
  <c r="AS30" i="53"/>
  <c r="AT30" i="58"/>
  <c r="AT30" i="53"/>
  <c r="AU30" i="58"/>
  <c r="AU30" i="53"/>
  <c r="AV30" i="58"/>
  <c r="AV30" i="53"/>
  <c r="AW30" i="58"/>
  <c r="AW30" i="53"/>
  <c r="AX30" i="58"/>
  <c r="AX30" i="53"/>
  <c r="AY30" i="58"/>
  <c r="AY30" i="53"/>
  <c r="AZ30" i="58"/>
  <c r="AZ30" i="53"/>
  <c r="AO34" i="58"/>
  <c r="AO34" i="53"/>
  <c r="AP34" i="58"/>
  <c r="AP34" i="53"/>
  <c r="AQ34" i="58"/>
  <c r="AQ34" i="53"/>
  <c r="AR34" i="58"/>
  <c r="AR34" i="53"/>
  <c r="AS34" i="58"/>
  <c r="AS34" i="53"/>
  <c r="AT34" i="58"/>
  <c r="AT34" i="53"/>
  <c r="AT33" s="1"/>
  <c r="AU34" i="58"/>
  <c r="AU34" i="53"/>
  <c r="AV34" i="58"/>
  <c r="AV34" i="53"/>
  <c r="AW34" i="58"/>
  <c r="AW34" i="53"/>
  <c r="AX34" i="58"/>
  <c r="AX34" i="53"/>
  <c r="AY34" i="58"/>
  <c r="AY34" i="53"/>
  <c r="AZ34" i="58"/>
  <c r="AZ34" i="53"/>
  <c r="AO35" i="58"/>
  <c r="AO35" i="53"/>
  <c r="AP35" i="58"/>
  <c r="AP35" i="53"/>
  <c r="AQ35" i="58"/>
  <c r="AQ35" i="53"/>
  <c r="AQ33"/>
  <c r="AR35" i="58"/>
  <c r="AR35" i="53"/>
  <c r="AS35" i="58"/>
  <c r="AS35" i="53"/>
  <c r="AT35" i="58"/>
  <c r="AT35" i="53"/>
  <c r="AU35" i="58"/>
  <c r="AU35" i="53"/>
  <c r="AU33" s="1"/>
  <c r="AV35" i="58"/>
  <c r="AV35" i="53"/>
  <c r="AV33" s="1"/>
  <c r="AW35" i="58"/>
  <c r="AW35" i="53"/>
  <c r="AX35" i="58"/>
  <c r="AX35" i="53"/>
  <c r="AY35" i="58"/>
  <c r="AY35" i="53"/>
  <c r="AY33" s="1"/>
  <c r="AZ35" i="58"/>
  <c r="AZ35" i="53"/>
  <c r="AO39" i="58"/>
  <c r="AO39" i="53"/>
  <c r="AP39" i="58"/>
  <c r="AP39" i="53"/>
  <c r="AQ39" i="58"/>
  <c r="AQ39" i="53"/>
  <c r="AR39" i="58"/>
  <c r="AR39" i="53"/>
  <c r="AS39" i="58"/>
  <c r="AS39" i="53"/>
  <c r="AT39" i="58"/>
  <c r="AT39" i="53"/>
  <c r="AU39" i="58"/>
  <c r="AU39" i="53"/>
  <c r="AV39" i="58"/>
  <c r="AV39" i="53"/>
  <c r="AW39" i="58"/>
  <c r="AW39" i="53"/>
  <c r="AX39" i="58"/>
  <c r="AX39" i="53"/>
  <c r="AY39" i="58"/>
  <c r="AY39" i="53"/>
  <c r="AZ39" i="58"/>
  <c r="AZ39" i="53"/>
  <c r="AO40" i="58"/>
  <c r="AO40" i="53"/>
  <c r="AP40" i="58"/>
  <c r="AP40" i="53"/>
  <c r="AQ40" i="58"/>
  <c r="AQ40" i="53"/>
  <c r="AR40" i="58"/>
  <c r="AR40" i="53"/>
  <c r="AS40" i="58"/>
  <c r="AS40" i="53"/>
  <c r="AT40" i="58"/>
  <c r="AT40" i="53"/>
  <c r="AU40" i="58"/>
  <c r="AU40" i="53"/>
  <c r="AV40" i="58"/>
  <c r="AV40" i="53"/>
  <c r="AW40" i="58"/>
  <c r="AW40" i="53"/>
  <c r="AX40" i="58"/>
  <c r="AX40" i="53"/>
  <c r="AY40" i="58"/>
  <c r="AY40" i="53"/>
  <c r="AZ40" i="58"/>
  <c r="AZ40" i="53"/>
  <c r="AO43" i="58"/>
  <c r="AO43" i="53"/>
  <c r="AP43" i="58"/>
  <c r="AP43" i="53"/>
  <c r="AQ43" i="58"/>
  <c r="AQ43" i="53"/>
  <c r="AR43" i="58"/>
  <c r="AR43" i="53"/>
  <c r="AS43" i="58"/>
  <c r="AS43" i="53"/>
  <c r="AT43" i="58"/>
  <c r="AT43" i="53"/>
  <c r="AU43" i="58"/>
  <c r="AU43" i="53"/>
  <c r="AV43" i="58"/>
  <c r="AV43" i="53"/>
  <c r="AW43" i="58"/>
  <c r="AW43" i="53"/>
  <c r="AX43" i="58"/>
  <c r="AX43" i="53"/>
  <c r="AY43" i="58"/>
  <c r="AY43" i="53"/>
  <c r="AZ43" i="58"/>
  <c r="AZ43" i="53"/>
  <c r="AO44" i="58"/>
  <c r="AO44" i="53"/>
  <c r="AP44" i="58"/>
  <c r="AP44" i="53"/>
  <c r="AQ44" i="58"/>
  <c r="AQ44" i="53"/>
  <c r="AR44" i="58"/>
  <c r="AR44" i="53"/>
  <c r="AS44" i="58"/>
  <c r="AS44" i="53"/>
  <c r="AT44" i="58"/>
  <c r="AT44" i="53"/>
  <c r="AU44" i="58"/>
  <c r="AU44" i="53"/>
  <c r="AV44" i="58"/>
  <c r="AV44" i="53"/>
  <c r="AW44" i="58"/>
  <c r="AW44" i="53"/>
  <c r="AX44" i="58"/>
  <c r="AX44" i="53"/>
  <c r="AY44" i="58"/>
  <c r="AY44" i="53"/>
  <c r="AZ44" i="58"/>
  <c r="AZ44" i="53"/>
  <c r="AO45" i="58"/>
  <c r="AO45" i="53"/>
  <c r="AP45" i="58"/>
  <c r="AP45" i="53"/>
  <c r="AQ45" i="58"/>
  <c r="AQ45" i="53"/>
  <c r="AR45" i="58"/>
  <c r="AR45" i="53"/>
  <c r="AS45" i="58"/>
  <c r="AS45" i="53"/>
  <c r="AT45" i="58"/>
  <c r="AT45" i="53"/>
  <c r="AU45" i="58"/>
  <c r="AU45" i="53"/>
  <c r="AV45" i="58"/>
  <c r="AV45" i="53"/>
  <c r="AW45" i="58"/>
  <c r="AW45" i="53"/>
  <c r="AX45" i="58"/>
  <c r="AX45" i="53"/>
  <c r="AY45" i="58"/>
  <c r="AY45" i="53"/>
  <c r="AZ45" i="58"/>
  <c r="AZ45" i="53"/>
  <c r="AO47" i="58"/>
  <c r="AO47" i="53"/>
  <c r="AP47" i="58"/>
  <c r="AP47" i="53"/>
  <c r="AQ47" i="58"/>
  <c r="AQ47" i="53"/>
  <c r="AR47" i="58"/>
  <c r="AR47" i="53"/>
  <c r="AS47" i="58"/>
  <c r="AS47" i="53"/>
  <c r="AT47" i="58"/>
  <c r="AT47" i="53"/>
  <c r="AU47" i="58"/>
  <c r="AU47" i="53"/>
  <c r="AV47" i="58"/>
  <c r="AV47" i="53"/>
  <c r="AW47" i="58"/>
  <c r="AW47" i="53"/>
  <c r="AX47" i="58"/>
  <c r="AX47" i="53"/>
  <c r="AY47" i="58"/>
  <c r="AY47" i="53"/>
  <c r="AZ47" i="58"/>
  <c r="AZ47" i="53"/>
  <c r="AO48" i="58"/>
  <c r="AO48" i="53"/>
  <c r="AP48" i="58"/>
  <c r="AP46" s="1"/>
  <c r="AP48" i="53"/>
  <c r="AQ48" i="58"/>
  <c r="AQ48" i="53"/>
  <c r="AR48" i="58"/>
  <c r="AR46" s="1"/>
  <c r="AR48" i="53"/>
  <c r="AR46" s="1"/>
  <c r="AS48" i="58"/>
  <c r="AS48" i="53"/>
  <c r="AT48" i="58"/>
  <c r="AT48" i="53"/>
  <c r="AU48" i="58"/>
  <c r="AU48" i="53"/>
  <c r="AV48" i="58"/>
  <c r="AV48" i="53"/>
  <c r="AW48" i="58"/>
  <c r="AW48" i="53"/>
  <c r="AX48" i="58"/>
  <c r="AX48" i="53"/>
  <c r="AX46" s="1"/>
  <c r="AY48" i="58"/>
  <c r="AY48" i="53"/>
  <c r="AZ48" i="58"/>
  <c r="AZ48" i="53"/>
  <c r="AP51" i="47"/>
  <c r="AQ51"/>
  <c r="AR51"/>
  <c r="AS51"/>
  <c r="AT51"/>
  <c r="AU51"/>
  <c r="AV51"/>
  <c r="AW51"/>
  <c r="AX51"/>
  <c r="AY51"/>
  <c r="AZ51"/>
  <c r="AO51"/>
  <c r="AZ12"/>
  <c r="AY12"/>
  <c r="AX12"/>
  <c r="AW12"/>
  <c r="AV12"/>
  <c r="AU12"/>
  <c r="AT12"/>
  <c r="AS12"/>
  <c r="AR12"/>
  <c r="AQ12"/>
  <c r="AP12"/>
  <c r="AO12"/>
  <c r="AD56" i="53"/>
  <c r="AD56" i="58"/>
  <c r="G6" i="53"/>
  <c r="J39" s="1"/>
  <c r="G6" i="58"/>
  <c r="J30"/>
  <c r="K30" s="1"/>
  <c r="G6" i="56"/>
  <c r="G6" i="47"/>
  <c r="J12"/>
  <c r="G6" i="55"/>
  <c r="J40"/>
  <c r="AV40"/>
  <c r="AH6" i="53"/>
  <c r="Q8"/>
  <c r="Q7" s="1"/>
  <c r="U8"/>
  <c r="AC7"/>
  <c r="S8"/>
  <c r="S7"/>
  <c r="W8"/>
  <c r="AB8"/>
  <c r="AB7" s="1"/>
  <c r="AG8"/>
  <c r="AG7" s="1"/>
  <c r="Q9"/>
  <c r="S9"/>
  <c r="U9"/>
  <c r="W9"/>
  <c r="AB9"/>
  <c r="AG9"/>
  <c r="M9" s="1"/>
  <c r="N9" s="1"/>
  <c r="AH9"/>
  <c r="G10"/>
  <c r="G8" s="1"/>
  <c r="Q10"/>
  <c r="S10"/>
  <c r="U10"/>
  <c r="W10"/>
  <c r="AB10"/>
  <c r="AG10"/>
  <c r="M10" s="1"/>
  <c r="N10" s="1"/>
  <c r="AH10"/>
  <c r="Q12"/>
  <c r="Q11"/>
  <c r="U12"/>
  <c r="G12"/>
  <c r="G11" s="1"/>
  <c r="M12"/>
  <c r="S12"/>
  <c r="S11" s="1"/>
  <c r="W12"/>
  <c r="AB12"/>
  <c r="AG12"/>
  <c r="AH12"/>
  <c r="Q13"/>
  <c r="S13"/>
  <c r="U13"/>
  <c r="W13"/>
  <c r="AB13"/>
  <c r="AB11" s="1"/>
  <c r="AG13"/>
  <c r="AG11" s="1"/>
  <c r="Q16"/>
  <c r="U16"/>
  <c r="G16"/>
  <c r="G15" s="1"/>
  <c r="S16"/>
  <c r="S15" s="1"/>
  <c r="W16"/>
  <c r="K17"/>
  <c r="N17"/>
  <c r="AE17"/>
  <c r="AH17"/>
  <c r="AO17"/>
  <c r="AP17"/>
  <c r="AQ17"/>
  <c r="AR17"/>
  <c r="AS17"/>
  <c r="AT17"/>
  <c r="AU17"/>
  <c r="AV17"/>
  <c r="AW17"/>
  <c r="AX17"/>
  <c r="AY17"/>
  <c r="AZ17"/>
  <c r="BB17"/>
  <c r="K18"/>
  <c r="M18"/>
  <c r="N18" s="1"/>
  <c r="AB18"/>
  <c r="AE18"/>
  <c r="AG18"/>
  <c r="AG16" s="1"/>
  <c r="AH18"/>
  <c r="K19"/>
  <c r="N19"/>
  <c r="Q19"/>
  <c r="S19"/>
  <c r="U19"/>
  <c r="W19"/>
  <c r="AE19"/>
  <c r="AH19"/>
  <c r="BB19"/>
  <c r="K20"/>
  <c r="N20"/>
  <c r="Q20"/>
  <c r="S20"/>
  <c r="U20"/>
  <c r="W20"/>
  <c r="AE20"/>
  <c r="AH20"/>
  <c r="BB20"/>
  <c r="G21"/>
  <c r="AB21"/>
  <c r="AC21" s="1"/>
  <c r="AG21"/>
  <c r="Q22"/>
  <c r="Q21" s="1"/>
  <c r="Q31" s="1"/>
  <c r="S22"/>
  <c r="S21"/>
  <c r="U22"/>
  <c r="W22"/>
  <c r="W21" s="1"/>
  <c r="AG22"/>
  <c r="M22" s="1"/>
  <c r="AH22"/>
  <c r="AV21"/>
  <c r="U24"/>
  <c r="U23" s="1"/>
  <c r="G24"/>
  <c r="G23" s="1"/>
  <c r="Q24"/>
  <c r="Q23" s="1"/>
  <c r="S24"/>
  <c r="W24"/>
  <c r="AB24"/>
  <c r="Q25"/>
  <c r="S25"/>
  <c r="U25"/>
  <c r="W25"/>
  <c r="AG25"/>
  <c r="AG24" s="1"/>
  <c r="G26"/>
  <c r="Q26"/>
  <c r="S26"/>
  <c r="U26"/>
  <c r="W26"/>
  <c r="Q27"/>
  <c r="S27"/>
  <c r="U27"/>
  <c r="W27"/>
  <c r="AB27"/>
  <c r="AG27"/>
  <c r="M27" s="1"/>
  <c r="N27" s="1"/>
  <c r="AH27"/>
  <c r="K28"/>
  <c r="M28"/>
  <c r="N28"/>
  <c r="AE28"/>
  <c r="AH28"/>
  <c r="BB28"/>
  <c r="Q29"/>
  <c r="S29"/>
  <c r="W29"/>
  <c r="U29"/>
  <c r="Q30"/>
  <c r="S30"/>
  <c r="U30"/>
  <c r="W30"/>
  <c r="AB30"/>
  <c r="AB26" s="1"/>
  <c r="AG30"/>
  <c r="AG26" s="1"/>
  <c r="M26" s="1"/>
  <c r="E32"/>
  <c r="N32"/>
  <c r="AM32"/>
  <c r="G33"/>
  <c r="J33"/>
  <c r="K33"/>
  <c r="AB33"/>
  <c r="K34"/>
  <c r="AG34"/>
  <c r="AG33" s="1"/>
  <c r="AH33" s="1"/>
  <c r="K35"/>
  <c r="M35"/>
  <c r="N35" s="1"/>
  <c r="AG35"/>
  <c r="AH35"/>
  <c r="E36"/>
  <c r="K37"/>
  <c r="M37"/>
  <c r="N37" s="1"/>
  <c r="Q37"/>
  <c r="S37"/>
  <c r="U37"/>
  <c r="W37"/>
  <c r="AE37"/>
  <c r="AH37"/>
  <c r="BB37"/>
  <c r="E38"/>
  <c r="G40"/>
  <c r="G39" s="1"/>
  <c r="Q40"/>
  <c r="S40"/>
  <c r="U40"/>
  <c r="W40"/>
  <c r="AB40"/>
  <c r="AB39" s="1"/>
  <c r="AG40"/>
  <c r="AG39" s="1"/>
  <c r="M39" s="1"/>
  <c r="AH40"/>
  <c r="E41"/>
  <c r="P42"/>
  <c r="M43"/>
  <c r="Q43"/>
  <c r="S43"/>
  <c r="U43"/>
  <c r="W43"/>
  <c r="AG43"/>
  <c r="AH43"/>
  <c r="Q44"/>
  <c r="S44"/>
  <c r="U44"/>
  <c r="W44"/>
  <c r="G45"/>
  <c r="G44" s="1"/>
  <c r="Q45"/>
  <c r="S45"/>
  <c r="U45"/>
  <c r="W45"/>
  <c r="AB45"/>
  <c r="AB44" s="1"/>
  <c r="AC45"/>
  <c r="AG45"/>
  <c r="AG44" s="1"/>
  <c r="M44" s="1"/>
  <c r="AH45"/>
  <c r="G46"/>
  <c r="P46"/>
  <c r="S72"/>
  <c r="S73"/>
  <c r="AB46"/>
  <c r="AC46" s="1"/>
  <c r="AG47"/>
  <c r="AG46" s="1"/>
  <c r="AG48"/>
  <c r="M48" s="1"/>
  <c r="N48" s="1"/>
  <c r="Q50"/>
  <c r="S50"/>
  <c r="U50"/>
  <c r="W50"/>
  <c r="M52"/>
  <c r="N52"/>
  <c r="Q52"/>
  <c r="S52"/>
  <c r="U52"/>
  <c r="W52"/>
  <c r="AH52"/>
  <c r="BB54"/>
  <c r="M56"/>
  <c r="AG56"/>
  <c r="Q57"/>
  <c r="S57"/>
  <c r="U57"/>
  <c r="W57"/>
  <c r="Q58"/>
  <c r="Q59"/>
  <c r="Q60"/>
  <c r="Q61"/>
  <c r="Q62"/>
  <c r="Q69"/>
  <c r="S69"/>
  <c r="U69"/>
  <c r="W69"/>
  <c r="Q70"/>
  <c r="S70"/>
  <c r="U70"/>
  <c r="W70"/>
  <c r="Q72"/>
  <c r="Q73"/>
  <c r="U72"/>
  <c r="U73"/>
  <c r="W72"/>
  <c r="W73"/>
  <c r="AA74"/>
  <c r="AH6" i="58"/>
  <c r="S8"/>
  <c r="W8"/>
  <c r="W7" s="1"/>
  <c r="AC7"/>
  <c r="AG7"/>
  <c r="AH7"/>
  <c r="H8"/>
  <c r="M8"/>
  <c r="M7" s="1"/>
  <c r="Q8"/>
  <c r="Q7" s="1"/>
  <c r="U8"/>
  <c r="AC8"/>
  <c r="AH8"/>
  <c r="H9"/>
  <c r="M9"/>
  <c r="N9" s="1"/>
  <c r="Q9"/>
  <c r="S9"/>
  <c r="U9"/>
  <c r="W9"/>
  <c r="AC9"/>
  <c r="AH9"/>
  <c r="H10"/>
  <c r="M10"/>
  <c r="N10"/>
  <c r="Q10"/>
  <c r="S10"/>
  <c r="U10"/>
  <c r="W10"/>
  <c r="AC10"/>
  <c r="AH10"/>
  <c r="H11"/>
  <c r="U12"/>
  <c r="U11" s="1"/>
  <c r="AC11"/>
  <c r="AG11"/>
  <c r="AH11"/>
  <c r="H12"/>
  <c r="M12"/>
  <c r="M11" s="1"/>
  <c r="Q12"/>
  <c r="S12"/>
  <c r="S11"/>
  <c r="W12"/>
  <c r="W11"/>
  <c r="AC12"/>
  <c r="AH12"/>
  <c r="AQ11"/>
  <c r="H13"/>
  <c r="M13"/>
  <c r="N13"/>
  <c r="Q13"/>
  <c r="S13"/>
  <c r="U13"/>
  <c r="W13"/>
  <c r="AC13"/>
  <c r="AH13"/>
  <c r="H14"/>
  <c r="AC14"/>
  <c r="AG14"/>
  <c r="AH14"/>
  <c r="H15"/>
  <c r="AC15"/>
  <c r="AG15"/>
  <c r="AH15"/>
  <c r="H16"/>
  <c r="M16"/>
  <c r="M15" s="1"/>
  <c r="N15" s="1"/>
  <c r="Q16"/>
  <c r="Q15" s="1"/>
  <c r="S16"/>
  <c r="U16"/>
  <c r="U15" s="1"/>
  <c r="U31" s="1"/>
  <c r="W16"/>
  <c r="AC16"/>
  <c r="AH16"/>
  <c r="K17"/>
  <c r="N17"/>
  <c r="AH17"/>
  <c r="AO17"/>
  <c r="AP17"/>
  <c r="AQ17"/>
  <c r="AR17"/>
  <c r="AS17"/>
  <c r="AT17"/>
  <c r="AU17"/>
  <c r="AV17"/>
  <c r="AW17"/>
  <c r="AX17"/>
  <c r="AY17"/>
  <c r="AZ17"/>
  <c r="H18"/>
  <c r="K18"/>
  <c r="M18"/>
  <c r="N18"/>
  <c r="AC18"/>
  <c r="AH18"/>
  <c r="H19"/>
  <c r="K19"/>
  <c r="N19"/>
  <c r="Q19"/>
  <c r="R19" s="1"/>
  <c r="S19"/>
  <c r="U19"/>
  <c r="W19"/>
  <c r="AC19"/>
  <c r="AH19"/>
  <c r="H20"/>
  <c r="K20"/>
  <c r="N20"/>
  <c r="Q20"/>
  <c r="S20"/>
  <c r="U20"/>
  <c r="W20"/>
  <c r="AC20"/>
  <c r="AH20"/>
  <c r="H21"/>
  <c r="AC21"/>
  <c r="AG21"/>
  <c r="AH21" s="1"/>
  <c r="H22"/>
  <c r="M22"/>
  <c r="M21" s="1"/>
  <c r="N21" s="1"/>
  <c r="N22"/>
  <c r="Q22"/>
  <c r="S22"/>
  <c r="S21" s="1"/>
  <c r="U22"/>
  <c r="W22"/>
  <c r="AC22"/>
  <c r="AH22"/>
  <c r="H23"/>
  <c r="AC23"/>
  <c r="AG23"/>
  <c r="AH23" s="1"/>
  <c r="H24"/>
  <c r="M24"/>
  <c r="N24"/>
  <c r="Q24"/>
  <c r="S24"/>
  <c r="S23" s="1"/>
  <c r="U24"/>
  <c r="U23" s="1"/>
  <c r="W24"/>
  <c r="AC24"/>
  <c r="AH24"/>
  <c r="H25"/>
  <c r="M25"/>
  <c r="N25" s="1"/>
  <c r="Q25"/>
  <c r="S25"/>
  <c r="U25"/>
  <c r="W25"/>
  <c r="AC25"/>
  <c r="AH25"/>
  <c r="H26"/>
  <c r="M26"/>
  <c r="N26"/>
  <c r="Q26"/>
  <c r="S26"/>
  <c r="U26"/>
  <c r="W26"/>
  <c r="AC26"/>
  <c r="AH26"/>
  <c r="H27"/>
  <c r="M27"/>
  <c r="N27" s="1"/>
  <c r="Q27"/>
  <c r="S27"/>
  <c r="U27"/>
  <c r="W27"/>
  <c r="AC27"/>
  <c r="AH27"/>
  <c r="H28"/>
  <c r="K28"/>
  <c r="M28"/>
  <c r="N28" s="1"/>
  <c r="AC28"/>
  <c r="AE28"/>
  <c r="AH28"/>
  <c r="BB28"/>
  <c r="H29"/>
  <c r="Q29"/>
  <c r="S29"/>
  <c r="U29"/>
  <c r="W29"/>
  <c r="AC29"/>
  <c r="H30"/>
  <c r="M30"/>
  <c r="N30"/>
  <c r="Q30"/>
  <c r="S30"/>
  <c r="U30"/>
  <c r="W30"/>
  <c r="AC30"/>
  <c r="AH30"/>
  <c r="H31"/>
  <c r="AC31"/>
  <c r="E32"/>
  <c r="N32"/>
  <c r="AH32"/>
  <c r="AM32"/>
  <c r="H33"/>
  <c r="J33"/>
  <c r="K33" s="1"/>
  <c r="M33"/>
  <c r="N33" s="1"/>
  <c r="AC33"/>
  <c r="AG33"/>
  <c r="AH33"/>
  <c r="H34"/>
  <c r="K34"/>
  <c r="M34"/>
  <c r="N34"/>
  <c r="AC34"/>
  <c r="AH34"/>
  <c r="H35"/>
  <c r="K35"/>
  <c r="M35"/>
  <c r="N35"/>
  <c r="AC35"/>
  <c r="AH35"/>
  <c r="E36"/>
  <c r="H36"/>
  <c r="AC36"/>
  <c r="H37"/>
  <c r="K37"/>
  <c r="M37"/>
  <c r="N37" s="1"/>
  <c r="Q37"/>
  <c r="S37"/>
  <c r="U37"/>
  <c r="W37"/>
  <c r="AC37"/>
  <c r="AE37"/>
  <c r="AH37"/>
  <c r="BB37"/>
  <c r="E38"/>
  <c r="H38"/>
  <c r="AC38"/>
  <c r="H39"/>
  <c r="M39"/>
  <c r="N39" s="1"/>
  <c r="AC39"/>
  <c r="AH39"/>
  <c r="H40"/>
  <c r="M40"/>
  <c r="N40"/>
  <c r="Q40"/>
  <c r="S40"/>
  <c r="U40"/>
  <c r="W40"/>
  <c r="AC40"/>
  <c r="AH40"/>
  <c r="E41"/>
  <c r="H41"/>
  <c r="AC41"/>
  <c r="H42"/>
  <c r="P42"/>
  <c r="AC42"/>
  <c r="AG42"/>
  <c r="AH42"/>
  <c r="H43"/>
  <c r="M43"/>
  <c r="Q43"/>
  <c r="S43"/>
  <c r="U43"/>
  <c r="W43"/>
  <c r="AC43"/>
  <c r="AH43"/>
  <c r="AW42"/>
  <c r="H44"/>
  <c r="M44"/>
  <c r="N44" s="1"/>
  <c r="Q44"/>
  <c r="S44"/>
  <c r="U44"/>
  <c r="W44"/>
  <c r="AC44"/>
  <c r="AH44"/>
  <c r="H45"/>
  <c r="M45"/>
  <c r="N45"/>
  <c r="Q45"/>
  <c r="S45"/>
  <c r="U45"/>
  <c r="W45"/>
  <c r="AC45"/>
  <c r="AH45"/>
  <c r="H46"/>
  <c r="P46"/>
  <c r="AC46"/>
  <c r="AG46"/>
  <c r="AH46" s="1"/>
  <c r="H47"/>
  <c r="M47"/>
  <c r="N47"/>
  <c r="AC47"/>
  <c r="AH47"/>
  <c r="H48"/>
  <c r="M48"/>
  <c r="N48" s="1"/>
  <c r="AC48"/>
  <c r="AH48"/>
  <c r="H49"/>
  <c r="AC49"/>
  <c r="H50"/>
  <c r="Q50"/>
  <c r="S50"/>
  <c r="U50"/>
  <c r="W50"/>
  <c r="X50" s="1"/>
  <c r="AC50"/>
  <c r="H51"/>
  <c r="AC51"/>
  <c r="H52"/>
  <c r="M52"/>
  <c r="N52" s="1"/>
  <c r="Q52"/>
  <c r="S52"/>
  <c r="U52"/>
  <c r="W52"/>
  <c r="AC52"/>
  <c r="AH52"/>
  <c r="H53"/>
  <c r="AC53"/>
  <c r="BB54"/>
  <c r="M56"/>
  <c r="G57"/>
  <c r="Q57"/>
  <c r="S57"/>
  <c r="U57"/>
  <c r="W57"/>
  <c r="AB57"/>
  <c r="Q58"/>
  <c r="Q59"/>
  <c r="Q60"/>
  <c r="Q61"/>
  <c r="Q62"/>
  <c r="Q69"/>
  <c r="S69"/>
  <c r="U69"/>
  <c r="W69"/>
  <c r="Q70"/>
  <c r="S70"/>
  <c r="U70"/>
  <c r="W70"/>
  <c r="Q72"/>
  <c r="S72"/>
  <c r="U72"/>
  <c r="U73"/>
  <c r="W72"/>
  <c r="Q73"/>
  <c r="S73"/>
  <c r="W73"/>
  <c r="AA74"/>
  <c r="AC6" i="56"/>
  <c r="AD9" s="1"/>
  <c r="AH6"/>
  <c r="Q8"/>
  <c r="Q7" s="1"/>
  <c r="Q52"/>
  <c r="U8"/>
  <c r="U7" s="1"/>
  <c r="U13"/>
  <c r="AC7"/>
  <c r="S8"/>
  <c r="S7" s="1"/>
  <c r="W8"/>
  <c r="AO8"/>
  <c r="AP8"/>
  <c r="AQ8"/>
  <c r="AR8"/>
  <c r="AS8"/>
  <c r="AT8"/>
  <c r="AU8"/>
  <c r="AV8"/>
  <c r="AW8"/>
  <c r="AX8"/>
  <c r="AY8"/>
  <c r="AZ8"/>
  <c r="Q9"/>
  <c r="S9"/>
  <c r="U9"/>
  <c r="W9"/>
  <c r="AB9"/>
  <c r="AG9"/>
  <c r="AO9"/>
  <c r="AP9"/>
  <c r="AQ9"/>
  <c r="AR9"/>
  <c r="AS9"/>
  <c r="AT9"/>
  <c r="AU9"/>
  <c r="AV9"/>
  <c r="AW9"/>
  <c r="AX9"/>
  <c r="AY9"/>
  <c r="AZ9"/>
  <c r="G10"/>
  <c r="Q10"/>
  <c r="S10"/>
  <c r="U10"/>
  <c r="W10"/>
  <c r="AB10"/>
  <c r="AG10"/>
  <c r="M10" s="1"/>
  <c r="AO10"/>
  <c r="AP10"/>
  <c r="AQ10"/>
  <c r="AR10"/>
  <c r="AS10"/>
  <c r="AT10"/>
  <c r="AU10"/>
  <c r="AV10"/>
  <c r="AW10"/>
  <c r="AX10"/>
  <c r="AY10"/>
  <c r="AZ10"/>
  <c r="AB11"/>
  <c r="AG11"/>
  <c r="G12"/>
  <c r="M12"/>
  <c r="M11" s="1"/>
  <c r="Q12"/>
  <c r="Q11" s="1"/>
  <c r="S12"/>
  <c r="S11" s="1"/>
  <c r="U12"/>
  <c r="U11" s="1"/>
  <c r="W12"/>
  <c r="AB12"/>
  <c r="AG12"/>
  <c r="AH12"/>
  <c r="AO12"/>
  <c r="AP12"/>
  <c r="AQ12"/>
  <c r="AR12"/>
  <c r="AS12"/>
  <c r="AT12"/>
  <c r="AU12"/>
  <c r="AV12"/>
  <c r="AW12"/>
  <c r="AX12"/>
  <c r="AY12"/>
  <c r="AZ12"/>
  <c r="M13"/>
  <c r="N13" s="1"/>
  <c r="Q13"/>
  <c r="S13"/>
  <c r="W13"/>
  <c r="AB13"/>
  <c r="AG13"/>
  <c r="AH13"/>
  <c r="AO13"/>
  <c r="AP13"/>
  <c r="AQ13"/>
  <c r="AQ11" s="1"/>
  <c r="AR13"/>
  <c r="AR11" s="1"/>
  <c r="AS13"/>
  <c r="AT13"/>
  <c r="AU13"/>
  <c r="AV13"/>
  <c r="AV11" s="1"/>
  <c r="AW13"/>
  <c r="AX13"/>
  <c r="AY13"/>
  <c r="AZ13"/>
  <c r="AZ11" s="1"/>
  <c r="Q16"/>
  <c r="Q15" s="1"/>
  <c r="S16"/>
  <c r="U16"/>
  <c r="U15" s="1"/>
  <c r="W16"/>
  <c r="G16"/>
  <c r="G15" s="1"/>
  <c r="AO16"/>
  <c r="AP16"/>
  <c r="AQ16"/>
  <c r="AR16"/>
  <c r="AS16"/>
  <c r="AT16"/>
  <c r="AU16"/>
  <c r="AV16"/>
  <c r="J16"/>
  <c r="K16" s="1"/>
  <c r="AW16"/>
  <c r="AX16"/>
  <c r="AY16"/>
  <c r="AZ16"/>
  <c r="AZ19"/>
  <c r="K17"/>
  <c r="N17"/>
  <c r="AE17"/>
  <c r="AH17"/>
  <c r="AO17"/>
  <c r="AP17"/>
  <c r="AQ17"/>
  <c r="AR17"/>
  <c r="AS17"/>
  <c r="AT17"/>
  <c r="AU17"/>
  <c r="AV17"/>
  <c r="AW17"/>
  <c r="AX17"/>
  <c r="AY17"/>
  <c r="AZ17"/>
  <c r="BB17"/>
  <c r="K18"/>
  <c r="M18"/>
  <c r="N18" s="1"/>
  <c r="AB18"/>
  <c r="AB16" s="1"/>
  <c r="AE18"/>
  <c r="AG18"/>
  <c r="AG16" s="1"/>
  <c r="AH18"/>
  <c r="K19"/>
  <c r="N19"/>
  <c r="Q19"/>
  <c r="S19"/>
  <c r="U19"/>
  <c r="W19"/>
  <c r="AE19"/>
  <c r="AH19"/>
  <c r="AO19"/>
  <c r="AP19"/>
  <c r="AQ19"/>
  <c r="AR19"/>
  <c r="AR15"/>
  <c r="AS19"/>
  <c r="AT19"/>
  <c r="AU19"/>
  <c r="AV19"/>
  <c r="AV15" s="1"/>
  <c r="AW19"/>
  <c r="AX19"/>
  <c r="AY19"/>
  <c r="BB19"/>
  <c r="K20"/>
  <c r="N20"/>
  <c r="Q20"/>
  <c r="S20"/>
  <c r="U20"/>
  <c r="W20"/>
  <c r="AE20"/>
  <c r="AH20"/>
  <c r="BB20"/>
  <c r="G21"/>
  <c r="S22"/>
  <c r="S21" s="1"/>
  <c r="W22"/>
  <c r="W21" s="1"/>
  <c r="AB21"/>
  <c r="Q22"/>
  <c r="Q21" s="1"/>
  <c r="U22"/>
  <c r="U21" s="1"/>
  <c r="AG22"/>
  <c r="M22" s="1"/>
  <c r="AO22"/>
  <c r="AO21" s="1"/>
  <c r="AP22"/>
  <c r="AQ22"/>
  <c r="AR22"/>
  <c r="AR21" s="1"/>
  <c r="AS22"/>
  <c r="AS21" s="1"/>
  <c r="AT22"/>
  <c r="AT21" s="1"/>
  <c r="AU22"/>
  <c r="AU21" s="1"/>
  <c r="AV22"/>
  <c r="AV21" s="1"/>
  <c r="AW22"/>
  <c r="AW21" s="1"/>
  <c r="AX22"/>
  <c r="AX21"/>
  <c r="AY22"/>
  <c r="AZ22"/>
  <c r="AZ21" s="1"/>
  <c r="G24"/>
  <c r="G23" s="1"/>
  <c r="Q24"/>
  <c r="Q23" s="1"/>
  <c r="S24"/>
  <c r="U24"/>
  <c r="U23" s="1"/>
  <c r="W24"/>
  <c r="AB24"/>
  <c r="AO24"/>
  <c r="AP24"/>
  <c r="AQ24"/>
  <c r="AR24"/>
  <c r="AS24"/>
  <c r="AT24"/>
  <c r="AT23" s="1"/>
  <c r="AU24"/>
  <c r="AV24"/>
  <c r="AW24"/>
  <c r="AX24"/>
  <c r="AY24"/>
  <c r="AZ24"/>
  <c r="Q25"/>
  <c r="S25"/>
  <c r="U25"/>
  <c r="W25"/>
  <c r="AG25"/>
  <c r="AG24" s="1"/>
  <c r="AO25"/>
  <c r="AP25"/>
  <c r="AQ25"/>
  <c r="AR25"/>
  <c r="AS25"/>
  <c r="AT25"/>
  <c r="AU25"/>
  <c r="AV25"/>
  <c r="AW25"/>
  <c r="AX25"/>
  <c r="AY25"/>
  <c r="AZ25"/>
  <c r="G26"/>
  <c r="Q26"/>
  <c r="S26"/>
  <c r="U26"/>
  <c r="W26"/>
  <c r="AO26"/>
  <c r="AP26"/>
  <c r="AQ26"/>
  <c r="AR26"/>
  <c r="AS26"/>
  <c r="AT26"/>
  <c r="AU26"/>
  <c r="AV26"/>
  <c r="AW26"/>
  <c r="AX26"/>
  <c r="AY26"/>
  <c r="AZ26"/>
  <c r="Q27"/>
  <c r="S27"/>
  <c r="U27"/>
  <c r="W27"/>
  <c r="AB27"/>
  <c r="AG27"/>
  <c r="M27" s="1"/>
  <c r="N27" s="1"/>
  <c r="AH27"/>
  <c r="AO27"/>
  <c r="AP27"/>
  <c r="AQ27"/>
  <c r="AR27"/>
  <c r="AS27"/>
  <c r="AT27"/>
  <c r="AU27"/>
  <c r="AV27"/>
  <c r="AW27"/>
  <c r="AX27"/>
  <c r="AY27"/>
  <c r="AZ27"/>
  <c r="K28"/>
  <c r="M28"/>
  <c r="N28"/>
  <c r="AE28"/>
  <c r="AH28"/>
  <c r="BB28"/>
  <c r="Q29"/>
  <c r="S29"/>
  <c r="U29"/>
  <c r="W29"/>
  <c r="Q30"/>
  <c r="S30"/>
  <c r="U30"/>
  <c r="W30"/>
  <c r="AB30"/>
  <c r="AG30"/>
  <c r="AG26" s="1"/>
  <c r="M26" s="1"/>
  <c r="AO30"/>
  <c r="AP30"/>
  <c r="AQ30"/>
  <c r="AR30"/>
  <c r="AS30"/>
  <c r="AT30"/>
  <c r="AU30"/>
  <c r="AV30"/>
  <c r="AW30"/>
  <c r="AX30"/>
  <c r="AY30"/>
  <c r="AZ30"/>
  <c r="E32"/>
  <c r="N32"/>
  <c r="AM32"/>
  <c r="G33"/>
  <c r="J33"/>
  <c r="K33"/>
  <c r="AB33"/>
  <c r="K34"/>
  <c r="AG34"/>
  <c r="AG33" s="1"/>
  <c r="AH33" s="1"/>
  <c r="AO34"/>
  <c r="AO35"/>
  <c r="AO33"/>
  <c r="AP34"/>
  <c r="AQ34"/>
  <c r="AR34"/>
  <c r="AS34"/>
  <c r="AT34"/>
  <c r="AU34"/>
  <c r="AU33" s="1"/>
  <c r="AV34"/>
  <c r="AW34"/>
  <c r="AX34"/>
  <c r="AY34"/>
  <c r="AZ34"/>
  <c r="K35"/>
  <c r="AG35"/>
  <c r="M35" s="1"/>
  <c r="N35" s="1"/>
  <c r="AP35"/>
  <c r="AP33" s="1"/>
  <c r="AQ35"/>
  <c r="AR35"/>
  <c r="AS35"/>
  <c r="AT35"/>
  <c r="AU35"/>
  <c r="AV35"/>
  <c r="AW35"/>
  <c r="AX35"/>
  <c r="AY35"/>
  <c r="AZ35"/>
  <c r="AZ33" s="1"/>
  <c r="E36"/>
  <c r="K37"/>
  <c r="M37"/>
  <c r="N37" s="1"/>
  <c r="Q37"/>
  <c r="S37"/>
  <c r="U37"/>
  <c r="W37"/>
  <c r="AE37"/>
  <c r="AH37"/>
  <c r="BB37"/>
  <c r="E38"/>
  <c r="AO39"/>
  <c r="AP39"/>
  <c r="AQ39"/>
  <c r="AR39"/>
  <c r="AS39"/>
  <c r="AT39"/>
  <c r="AU39"/>
  <c r="AV39"/>
  <c r="AW39"/>
  <c r="AX39"/>
  <c r="AY39"/>
  <c r="AZ39"/>
  <c r="G40"/>
  <c r="G39" s="1"/>
  <c r="Q40"/>
  <c r="S40"/>
  <c r="U40"/>
  <c r="W40"/>
  <c r="AB40"/>
  <c r="AB39" s="1"/>
  <c r="AG40"/>
  <c r="AG39" s="1"/>
  <c r="M39" s="1"/>
  <c r="AH40"/>
  <c r="AO40"/>
  <c r="AP40"/>
  <c r="AQ40"/>
  <c r="AR40"/>
  <c r="AS40"/>
  <c r="AT40"/>
  <c r="AU40"/>
  <c r="AV40"/>
  <c r="AW40"/>
  <c r="AX40"/>
  <c r="AY40"/>
  <c r="AZ40"/>
  <c r="E41"/>
  <c r="P42"/>
  <c r="M43"/>
  <c r="N43" s="1"/>
  <c r="Q43"/>
  <c r="S43"/>
  <c r="U43"/>
  <c r="W43"/>
  <c r="AG43"/>
  <c r="AH43"/>
  <c r="AO43"/>
  <c r="AP43"/>
  <c r="AQ43"/>
  <c r="AR43"/>
  <c r="AS43"/>
  <c r="AT43"/>
  <c r="AU43"/>
  <c r="AV43"/>
  <c r="AW43"/>
  <c r="AX43"/>
  <c r="AY43"/>
  <c r="AZ43"/>
  <c r="AZ42" s="1"/>
  <c r="Q44"/>
  <c r="S44"/>
  <c r="U44"/>
  <c r="W44"/>
  <c r="AO44"/>
  <c r="AP44"/>
  <c r="AQ44"/>
  <c r="AR44"/>
  <c r="AS44"/>
  <c r="AT44"/>
  <c r="AU44"/>
  <c r="AV44"/>
  <c r="AW44"/>
  <c r="AX44"/>
  <c r="AY44"/>
  <c r="AZ44"/>
  <c r="G45"/>
  <c r="Q45"/>
  <c r="S45"/>
  <c r="U45"/>
  <c r="W45"/>
  <c r="AB45"/>
  <c r="AG45"/>
  <c r="AG44" s="1"/>
  <c r="M44" s="1"/>
  <c r="AO45"/>
  <c r="AP45"/>
  <c r="AQ45"/>
  <c r="AR45"/>
  <c r="AS45"/>
  <c r="AT45"/>
  <c r="AU45"/>
  <c r="AV45"/>
  <c r="AW45"/>
  <c r="AX45"/>
  <c r="AX42" s="1"/>
  <c r="AY45"/>
  <c r="AZ45"/>
  <c r="G46"/>
  <c r="P46"/>
  <c r="AB46"/>
  <c r="M47"/>
  <c r="N47" s="1"/>
  <c r="AG47"/>
  <c r="AG46" s="1"/>
  <c r="AH46" s="1"/>
  <c r="AH47"/>
  <c r="AO47"/>
  <c r="AO48"/>
  <c r="AP47"/>
  <c r="AQ47"/>
  <c r="AR47"/>
  <c r="AS47"/>
  <c r="AT47"/>
  <c r="AU47"/>
  <c r="AV47"/>
  <c r="AV48"/>
  <c r="AV46" s="1"/>
  <c r="AW47"/>
  <c r="AX47"/>
  <c r="AX46" s="1"/>
  <c r="AY47"/>
  <c r="AZ47"/>
  <c r="M48"/>
  <c r="N48" s="1"/>
  <c r="AG48"/>
  <c r="AH48"/>
  <c r="AP48"/>
  <c r="AQ48"/>
  <c r="AQ46" s="1"/>
  <c r="AR48"/>
  <c r="AS48"/>
  <c r="AT48"/>
  <c r="AT46" s="1"/>
  <c r="AU48"/>
  <c r="AW48"/>
  <c r="AX48"/>
  <c r="AY48"/>
  <c r="AZ48"/>
  <c r="Q50"/>
  <c r="S50"/>
  <c r="U50"/>
  <c r="W50"/>
  <c r="K52"/>
  <c r="M52"/>
  <c r="N52" s="1"/>
  <c r="S52"/>
  <c r="U52"/>
  <c r="W52"/>
  <c r="AE52"/>
  <c r="AH52"/>
  <c r="AO52"/>
  <c r="AP52"/>
  <c r="AQ52"/>
  <c r="AR52"/>
  <c r="AS52"/>
  <c r="AT52"/>
  <c r="AU52"/>
  <c r="AV52"/>
  <c r="AW52"/>
  <c r="AX52"/>
  <c r="AY52"/>
  <c r="AZ52"/>
  <c r="BB52"/>
  <c r="BB54"/>
  <c r="AD56"/>
  <c r="AG56"/>
  <c r="M56" s="1"/>
  <c r="Q57"/>
  <c r="S57"/>
  <c r="U57"/>
  <c r="W57"/>
  <c r="Q58"/>
  <c r="Q59"/>
  <c r="Q60"/>
  <c r="Q61"/>
  <c r="Q62"/>
  <c r="Q69"/>
  <c r="S69"/>
  <c r="U69"/>
  <c r="W69"/>
  <c r="Q70"/>
  <c r="S70"/>
  <c r="U70"/>
  <c r="W70"/>
  <c r="Q72"/>
  <c r="S72"/>
  <c r="U72"/>
  <c r="W72"/>
  <c r="Q73"/>
  <c r="S73"/>
  <c r="U73"/>
  <c r="W73"/>
  <c r="AA74"/>
  <c r="AH6" i="55"/>
  <c r="Q8"/>
  <c r="U8"/>
  <c r="W8"/>
  <c r="W7"/>
  <c r="W12"/>
  <c r="W11"/>
  <c r="AC7"/>
  <c r="S8"/>
  <c r="S7" s="1"/>
  <c r="AO8"/>
  <c r="AP8"/>
  <c r="AQ8"/>
  <c r="AR8"/>
  <c r="AS8"/>
  <c r="AT8"/>
  <c r="AU8"/>
  <c r="AV8"/>
  <c r="AW8"/>
  <c r="AX8"/>
  <c r="AY8"/>
  <c r="AZ8"/>
  <c r="Q9"/>
  <c r="S9"/>
  <c r="U9"/>
  <c r="W9"/>
  <c r="AB9"/>
  <c r="AB8" s="1"/>
  <c r="AG9"/>
  <c r="AG8" s="1"/>
  <c r="AO9"/>
  <c r="AP9"/>
  <c r="AQ9"/>
  <c r="AR9"/>
  <c r="AS9"/>
  <c r="AT9"/>
  <c r="AU9"/>
  <c r="AV9"/>
  <c r="AW9"/>
  <c r="AX9"/>
  <c r="AY9"/>
  <c r="AZ9"/>
  <c r="G10"/>
  <c r="G8" s="1"/>
  <c r="Q10"/>
  <c r="S10"/>
  <c r="U10"/>
  <c r="W10"/>
  <c r="AB10"/>
  <c r="AG10"/>
  <c r="M10" s="1"/>
  <c r="AO10"/>
  <c r="AP10"/>
  <c r="AQ10"/>
  <c r="AR10"/>
  <c r="AS10"/>
  <c r="AT10"/>
  <c r="AU10"/>
  <c r="AV10"/>
  <c r="AW10"/>
  <c r="AX10"/>
  <c r="AY10"/>
  <c r="AZ10"/>
  <c r="AT12"/>
  <c r="AT11" s="1"/>
  <c r="AT13"/>
  <c r="Q12"/>
  <c r="Q11" s="1"/>
  <c r="S12"/>
  <c r="S11" s="1"/>
  <c r="U12"/>
  <c r="G12"/>
  <c r="G11" s="1"/>
  <c r="AB12"/>
  <c r="AB11" s="1"/>
  <c r="AG12"/>
  <c r="AG11" s="1"/>
  <c r="AH12"/>
  <c r="AO12"/>
  <c r="AP12"/>
  <c r="AQ12"/>
  <c r="AR12"/>
  <c r="AS12"/>
  <c r="AU12"/>
  <c r="AV12"/>
  <c r="AW12"/>
  <c r="AX12"/>
  <c r="AX13"/>
  <c r="AY12"/>
  <c r="AY13"/>
  <c r="AY11" s="1"/>
  <c r="AY14" s="1"/>
  <c r="AZ12"/>
  <c r="Q13"/>
  <c r="S13"/>
  <c r="U13"/>
  <c r="W13"/>
  <c r="AB13"/>
  <c r="AG13"/>
  <c r="M13" s="1"/>
  <c r="N13" s="1"/>
  <c r="AH13"/>
  <c r="AO13"/>
  <c r="AP13"/>
  <c r="AQ13"/>
  <c r="AR13"/>
  <c r="AS13"/>
  <c r="AS16"/>
  <c r="AS15" s="1"/>
  <c r="AS19"/>
  <c r="AS22"/>
  <c r="AS21" s="1"/>
  <c r="AS24"/>
  <c r="AS25"/>
  <c r="AS26"/>
  <c r="AS27"/>
  <c r="AS30"/>
  <c r="AS34"/>
  <c r="AS35"/>
  <c r="AU13"/>
  <c r="AV13"/>
  <c r="AW13"/>
  <c r="AW13" i="47"/>
  <c r="AZ13" i="55"/>
  <c r="G16"/>
  <c r="G15" s="1"/>
  <c r="Q16"/>
  <c r="Q15" s="1"/>
  <c r="S16"/>
  <c r="U16"/>
  <c r="U15" s="1"/>
  <c r="U31" s="1"/>
  <c r="W16"/>
  <c r="AO16"/>
  <c r="AP16"/>
  <c r="AP15" s="1"/>
  <c r="AP19"/>
  <c r="AQ16"/>
  <c r="AR16"/>
  <c r="AT16"/>
  <c r="AT17" i="47"/>
  <c r="AT20"/>
  <c r="AT19" i="55"/>
  <c r="AT15" s="1"/>
  <c r="AU16"/>
  <c r="AV16"/>
  <c r="AW16"/>
  <c r="AX16"/>
  <c r="AY16"/>
  <c r="AZ16"/>
  <c r="AZ19"/>
  <c r="K17"/>
  <c r="N17"/>
  <c r="AE17"/>
  <c r="AH17"/>
  <c r="AO17"/>
  <c r="AP17"/>
  <c r="AQ17"/>
  <c r="AR17"/>
  <c r="AS17"/>
  <c r="AT17"/>
  <c r="AU17"/>
  <c r="AV17"/>
  <c r="AW17"/>
  <c r="AX17"/>
  <c r="AY17"/>
  <c r="AZ17"/>
  <c r="BB17"/>
  <c r="K18"/>
  <c r="AB18"/>
  <c r="AB16" s="1"/>
  <c r="AE18"/>
  <c r="AG18"/>
  <c r="AG16" s="1"/>
  <c r="AH18"/>
  <c r="BB18"/>
  <c r="K19"/>
  <c r="N19"/>
  <c r="Q19"/>
  <c r="S19"/>
  <c r="U19"/>
  <c r="W19"/>
  <c r="AE19"/>
  <c r="AH19"/>
  <c r="AO19"/>
  <c r="AO15" s="1"/>
  <c r="AP20" i="47"/>
  <c r="AQ19" i="55"/>
  <c r="AR19"/>
  <c r="AU19"/>
  <c r="AU15" s="1"/>
  <c r="AV19"/>
  <c r="AW19"/>
  <c r="AX19"/>
  <c r="AX20" i="47"/>
  <c r="AX17"/>
  <c r="AY19" i="55"/>
  <c r="BB19"/>
  <c r="K20"/>
  <c r="N20"/>
  <c r="Q20"/>
  <c r="S20"/>
  <c r="U20"/>
  <c r="W20"/>
  <c r="AE20"/>
  <c r="AH20"/>
  <c r="BB20"/>
  <c r="G21"/>
  <c r="S22"/>
  <c r="W22"/>
  <c r="AB21"/>
  <c r="Q22"/>
  <c r="Q21" s="1"/>
  <c r="U22"/>
  <c r="AG22"/>
  <c r="M22" s="1"/>
  <c r="AO22"/>
  <c r="AP22"/>
  <c r="AP21" s="1"/>
  <c r="AQ22"/>
  <c r="AQ21" s="1"/>
  <c r="AR22"/>
  <c r="AT22"/>
  <c r="AT21" s="1"/>
  <c r="AU22"/>
  <c r="AU21" s="1"/>
  <c r="AV22"/>
  <c r="AW22"/>
  <c r="AW21" s="1"/>
  <c r="AX22"/>
  <c r="AY22"/>
  <c r="AY21"/>
  <c r="AZ22"/>
  <c r="AZ21" s="1"/>
  <c r="S24"/>
  <c r="W24"/>
  <c r="W23"/>
  <c r="G24"/>
  <c r="G23" s="1"/>
  <c r="Q24"/>
  <c r="Q23" s="1"/>
  <c r="U24"/>
  <c r="U23" s="1"/>
  <c r="AB24"/>
  <c r="AO24"/>
  <c r="AP24"/>
  <c r="AQ24"/>
  <c r="AR24"/>
  <c r="AT24"/>
  <c r="AU24"/>
  <c r="AV24"/>
  <c r="AW24"/>
  <c r="AX24"/>
  <c r="AY24"/>
  <c r="AZ24"/>
  <c r="M25"/>
  <c r="N25" s="1"/>
  <c r="Q25"/>
  <c r="S25"/>
  <c r="U25"/>
  <c r="W25"/>
  <c r="AG25"/>
  <c r="AG24" s="1"/>
  <c r="AH25"/>
  <c r="AO25"/>
  <c r="AP25"/>
  <c r="AQ25"/>
  <c r="AR25"/>
  <c r="AT25"/>
  <c r="AU25"/>
  <c r="AV25"/>
  <c r="AW25"/>
  <c r="AX25"/>
  <c r="AY25"/>
  <c r="AZ25"/>
  <c r="G26"/>
  <c r="Q26"/>
  <c r="S26"/>
  <c r="U26"/>
  <c r="W26"/>
  <c r="AO26"/>
  <c r="AP26"/>
  <c r="AQ26"/>
  <c r="AR26"/>
  <c r="AT26"/>
  <c r="AU26"/>
  <c r="AV26"/>
  <c r="AW26"/>
  <c r="AX26"/>
  <c r="AY26"/>
  <c r="AZ26"/>
  <c r="Q27"/>
  <c r="S27"/>
  <c r="U27"/>
  <c r="W27"/>
  <c r="AB27"/>
  <c r="AB26" s="1"/>
  <c r="AG27"/>
  <c r="AG26" s="1"/>
  <c r="M26" s="1"/>
  <c r="AO27"/>
  <c r="AP27"/>
  <c r="AQ27"/>
  <c r="AR27"/>
  <c r="AT27"/>
  <c r="AT23" s="1"/>
  <c r="AU27"/>
  <c r="AV27"/>
  <c r="AW27"/>
  <c r="AX27"/>
  <c r="AX23" s="1"/>
  <c r="AY27"/>
  <c r="AZ27"/>
  <c r="K28"/>
  <c r="M28"/>
  <c r="N28" s="1"/>
  <c r="AE28"/>
  <c r="AH28"/>
  <c r="BB28"/>
  <c r="Q29"/>
  <c r="S29"/>
  <c r="U29"/>
  <c r="W29"/>
  <c r="Q30"/>
  <c r="S30"/>
  <c r="U30"/>
  <c r="W30"/>
  <c r="AB30"/>
  <c r="AG30"/>
  <c r="M30" s="1"/>
  <c r="N30" s="1"/>
  <c r="AH30"/>
  <c r="AO30"/>
  <c r="AP30"/>
  <c r="AQ30"/>
  <c r="AR30"/>
  <c r="AT30"/>
  <c r="AU30"/>
  <c r="AV30"/>
  <c r="AW30"/>
  <c r="AW31" i="47"/>
  <c r="AX30" i="55"/>
  <c r="AY30"/>
  <c r="AZ30"/>
  <c r="E32"/>
  <c r="N32"/>
  <c r="AM32"/>
  <c r="G33"/>
  <c r="J33"/>
  <c r="AB33"/>
  <c r="K34"/>
  <c r="M34"/>
  <c r="AG34"/>
  <c r="AH34"/>
  <c r="AO34"/>
  <c r="AP34"/>
  <c r="AQ34"/>
  <c r="AQ35"/>
  <c r="AR34"/>
  <c r="AT34"/>
  <c r="AU34"/>
  <c r="AU33"/>
  <c r="AU35"/>
  <c r="AV34"/>
  <c r="AW34"/>
  <c r="AX34"/>
  <c r="AY34"/>
  <c r="AY35"/>
  <c r="AZ34"/>
  <c r="K35"/>
  <c r="AG35"/>
  <c r="AG33" s="1"/>
  <c r="AO35"/>
  <c r="AP35"/>
  <c r="AR35"/>
  <c r="AT35"/>
  <c r="AV35"/>
  <c r="AV36" i="47"/>
  <c r="AW35" i="55"/>
  <c r="AX35"/>
  <c r="AZ35"/>
  <c r="E36"/>
  <c r="K37"/>
  <c r="M37"/>
  <c r="N37" s="1"/>
  <c r="Q37"/>
  <c r="S37"/>
  <c r="U37"/>
  <c r="W37"/>
  <c r="AE37"/>
  <c r="AH37"/>
  <c r="BB37"/>
  <c r="E38"/>
  <c r="AO39"/>
  <c r="AP39"/>
  <c r="AQ39"/>
  <c r="AR39"/>
  <c r="AS39"/>
  <c r="AT39"/>
  <c r="AU39"/>
  <c r="AV39"/>
  <c r="AW39"/>
  <c r="AX39"/>
  <c r="AY39"/>
  <c r="AZ39"/>
  <c r="G40"/>
  <c r="G39" s="1"/>
  <c r="Q40"/>
  <c r="S40"/>
  <c r="U40"/>
  <c r="W40"/>
  <c r="AB40"/>
  <c r="AB39" s="1"/>
  <c r="AG40"/>
  <c r="AG39" s="1"/>
  <c r="M39" s="1"/>
  <c r="AH40"/>
  <c r="AO40"/>
  <c r="AP40"/>
  <c r="AQ40"/>
  <c r="AR40"/>
  <c r="AS40"/>
  <c r="AT40"/>
  <c r="AU40"/>
  <c r="AW40"/>
  <c r="AX40"/>
  <c r="AY40"/>
  <c r="AZ40"/>
  <c r="E41"/>
  <c r="P42"/>
  <c r="Q43"/>
  <c r="S43"/>
  <c r="U43"/>
  <c r="W43"/>
  <c r="AG43"/>
  <c r="M43" s="1"/>
  <c r="AO43"/>
  <c r="AP43"/>
  <c r="AQ43"/>
  <c r="AR43"/>
  <c r="AS43"/>
  <c r="AT43"/>
  <c r="AU43"/>
  <c r="AV43"/>
  <c r="AW43"/>
  <c r="AW44"/>
  <c r="AW45"/>
  <c r="AX43"/>
  <c r="AY43"/>
  <c r="AZ43"/>
  <c r="Q44"/>
  <c r="S44"/>
  <c r="U44"/>
  <c r="W44"/>
  <c r="AO44"/>
  <c r="AP44"/>
  <c r="AQ44"/>
  <c r="AQ45"/>
  <c r="AR44"/>
  <c r="AS44"/>
  <c r="AT44"/>
  <c r="AU44"/>
  <c r="AU45" i="47"/>
  <c r="AV45"/>
  <c r="AV44" i="55"/>
  <c r="AX44"/>
  <c r="AY44"/>
  <c r="AY45" i="47"/>
  <c r="AZ44" i="55"/>
  <c r="G45"/>
  <c r="G44" s="1"/>
  <c r="Q45"/>
  <c r="S45"/>
  <c r="U45"/>
  <c r="W45"/>
  <c r="AB45"/>
  <c r="AB44" s="1"/>
  <c r="AC45"/>
  <c r="AG45"/>
  <c r="M45" s="1"/>
  <c r="N45" s="1"/>
  <c r="AH45"/>
  <c r="AO45"/>
  <c r="AP45"/>
  <c r="AR45"/>
  <c r="AR42" s="1"/>
  <c r="AS45"/>
  <c r="AT45"/>
  <c r="AT42" s="1"/>
  <c r="AU45"/>
  <c r="AV45"/>
  <c r="AX45"/>
  <c r="AY45"/>
  <c r="AZ45"/>
  <c r="G46"/>
  <c r="P46"/>
  <c r="Q72"/>
  <c r="Q73"/>
  <c r="U72"/>
  <c r="U73"/>
  <c r="AB46"/>
  <c r="AG47"/>
  <c r="M47" s="1"/>
  <c r="AH47"/>
  <c r="AO47"/>
  <c r="AP47"/>
  <c r="AQ47"/>
  <c r="AR47"/>
  <c r="AS47"/>
  <c r="AT47"/>
  <c r="AU47"/>
  <c r="AV47"/>
  <c r="AW47"/>
  <c r="AX47"/>
  <c r="AY47"/>
  <c r="AZ47"/>
  <c r="M48"/>
  <c r="N48" s="1"/>
  <c r="AG48"/>
  <c r="AH48"/>
  <c r="AO48"/>
  <c r="AP48"/>
  <c r="AP46" s="1"/>
  <c r="AQ48"/>
  <c r="AQ46" s="1"/>
  <c r="AR48"/>
  <c r="AS48"/>
  <c r="AS46" s="1"/>
  <c r="AT48"/>
  <c r="AT46" s="1"/>
  <c r="AU48"/>
  <c r="AU46"/>
  <c r="AV48"/>
  <c r="AW48"/>
  <c r="AX48"/>
  <c r="AY48"/>
  <c r="AY46" s="1"/>
  <c r="AZ48"/>
  <c r="Q50"/>
  <c r="S50"/>
  <c r="U50"/>
  <c r="W50"/>
  <c r="K52"/>
  <c r="M52"/>
  <c r="N52" s="1"/>
  <c r="Q52"/>
  <c r="S52"/>
  <c r="U52"/>
  <c r="W52"/>
  <c r="AE52"/>
  <c r="AH52"/>
  <c r="AO52"/>
  <c r="AP52"/>
  <c r="AQ52"/>
  <c r="AR52"/>
  <c r="AS52"/>
  <c r="AT52"/>
  <c r="AU52"/>
  <c r="AV52"/>
  <c r="AW52"/>
  <c r="AX52"/>
  <c r="AY52"/>
  <c r="AZ52"/>
  <c r="BB52"/>
  <c r="BB54"/>
  <c r="AD56"/>
  <c r="AG56"/>
  <c r="M56" s="1"/>
  <c r="Q57"/>
  <c r="S57"/>
  <c r="U57"/>
  <c r="W57"/>
  <c r="Q58"/>
  <c r="Q59"/>
  <c r="Q60"/>
  <c r="Q61"/>
  <c r="Q62"/>
  <c r="Q69"/>
  <c r="S69"/>
  <c r="U69"/>
  <c r="W69"/>
  <c r="Q70"/>
  <c r="S70"/>
  <c r="U70"/>
  <c r="W70"/>
  <c r="S72"/>
  <c r="W72"/>
  <c r="S73"/>
  <c r="W73"/>
  <c r="AA74"/>
  <c r="AH6" i="47"/>
  <c r="Q8"/>
  <c r="AC7"/>
  <c r="S8"/>
  <c r="S7" s="1"/>
  <c r="S25"/>
  <c r="U8"/>
  <c r="U7" s="1"/>
  <c r="W8"/>
  <c r="W7" s="1"/>
  <c r="AO8"/>
  <c r="AP8"/>
  <c r="AP9"/>
  <c r="AP10"/>
  <c r="AP13"/>
  <c r="AQ8"/>
  <c r="AR8"/>
  <c r="AS8"/>
  <c r="AT8"/>
  <c r="AU8"/>
  <c r="AV8"/>
  <c r="AW8"/>
  <c r="AX8"/>
  <c r="AY8"/>
  <c r="AZ8"/>
  <c r="N9"/>
  <c r="Q9"/>
  <c r="S9"/>
  <c r="U9"/>
  <c r="W9"/>
  <c r="AB9"/>
  <c r="AB8" s="1"/>
  <c r="AH9"/>
  <c r="AO9"/>
  <c r="AQ9"/>
  <c r="AR9"/>
  <c r="AS9"/>
  <c r="AT9"/>
  <c r="AU9"/>
  <c r="AV9"/>
  <c r="AW9"/>
  <c r="AX9"/>
  <c r="AY9"/>
  <c r="AZ9"/>
  <c r="AZ10"/>
  <c r="AZ13"/>
  <c r="G10"/>
  <c r="G8" s="1"/>
  <c r="N10"/>
  <c r="Q10"/>
  <c r="S10"/>
  <c r="U10"/>
  <c r="W10"/>
  <c r="AB10"/>
  <c r="AH10"/>
  <c r="AO10"/>
  <c r="AQ10"/>
  <c r="AR10"/>
  <c r="AS10"/>
  <c r="AT10"/>
  <c r="AU10"/>
  <c r="AV10"/>
  <c r="AW10"/>
  <c r="AX10"/>
  <c r="AY10"/>
  <c r="G12"/>
  <c r="G11" s="1"/>
  <c r="N12"/>
  <c r="Q12"/>
  <c r="Q11" s="1"/>
  <c r="S12"/>
  <c r="S17"/>
  <c r="S16" s="1"/>
  <c r="S32" s="1"/>
  <c r="S23"/>
  <c r="S22" s="1"/>
  <c r="U12"/>
  <c r="U11" s="1"/>
  <c r="W12"/>
  <c r="AB12"/>
  <c r="AB11" s="1"/>
  <c r="AH12"/>
  <c r="N13"/>
  <c r="Q13"/>
  <c r="S13"/>
  <c r="U13"/>
  <c r="W13"/>
  <c r="AB13"/>
  <c r="AH13"/>
  <c r="AO13"/>
  <c r="AQ13"/>
  <c r="AR13"/>
  <c r="AS13"/>
  <c r="AS11" s="1"/>
  <c r="AT13"/>
  <c r="AT11" s="1"/>
  <c r="AT15" s="1"/>
  <c r="AU13"/>
  <c r="AV13"/>
  <c r="AX13"/>
  <c r="AX11" s="1"/>
  <c r="AY13"/>
  <c r="AY11" s="1"/>
  <c r="N14"/>
  <c r="AH14"/>
  <c r="AO14"/>
  <c r="AP14"/>
  <c r="AQ14"/>
  <c r="AR14"/>
  <c r="AS14"/>
  <c r="AT14"/>
  <c r="AU14"/>
  <c r="AV14"/>
  <c r="AW14"/>
  <c r="AX14"/>
  <c r="AY14"/>
  <c r="AZ14"/>
  <c r="Q17"/>
  <c r="Q16" s="1"/>
  <c r="U17"/>
  <c r="G17"/>
  <c r="G16" s="1"/>
  <c r="N17"/>
  <c r="W17"/>
  <c r="AO17"/>
  <c r="AO20"/>
  <c r="AP17"/>
  <c r="AP16"/>
  <c r="AQ17"/>
  <c r="AR17"/>
  <c r="AS17"/>
  <c r="AS20"/>
  <c r="AS16" s="1"/>
  <c r="AU17"/>
  <c r="AV17"/>
  <c r="AW17"/>
  <c r="AW20"/>
  <c r="AY17"/>
  <c r="AZ17"/>
  <c r="AZ20"/>
  <c r="N18"/>
  <c r="AH18"/>
  <c r="AO18"/>
  <c r="AP18"/>
  <c r="AQ18"/>
  <c r="AR18"/>
  <c r="AS18"/>
  <c r="AT18"/>
  <c r="AU18"/>
  <c r="AV18"/>
  <c r="AW18"/>
  <c r="AX18"/>
  <c r="AY18"/>
  <c r="AZ18"/>
  <c r="N19"/>
  <c r="AB19"/>
  <c r="AB17" s="1"/>
  <c r="AH19"/>
  <c r="N20"/>
  <c r="Q20"/>
  <c r="S20"/>
  <c r="U20"/>
  <c r="W20"/>
  <c r="AH20"/>
  <c r="AQ20"/>
  <c r="AQ16" s="1"/>
  <c r="AR20"/>
  <c r="AU20"/>
  <c r="AU16" s="1"/>
  <c r="AV20"/>
  <c r="AY20"/>
  <c r="N21"/>
  <c r="Q21"/>
  <c r="S21"/>
  <c r="U21"/>
  <c r="W21"/>
  <c r="AH21"/>
  <c r="G22"/>
  <c r="N22"/>
  <c r="W23"/>
  <c r="W22" s="1"/>
  <c r="AB22"/>
  <c r="AH22"/>
  <c r="N23"/>
  <c r="Q23"/>
  <c r="Q22" s="1"/>
  <c r="Q32" s="1"/>
  <c r="U23"/>
  <c r="AH23"/>
  <c r="AO23"/>
  <c r="AP23"/>
  <c r="AP22" s="1"/>
  <c r="AQ23"/>
  <c r="AQ22" s="1"/>
  <c r="AR23"/>
  <c r="AR22" s="1"/>
  <c r="AS23"/>
  <c r="AT23"/>
  <c r="AT22" s="1"/>
  <c r="AU23"/>
  <c r="AU22" s="1"/>
  <c r="AV23"/>
  <c r="AW23"/>
  <c r="AX23"/>
  <c r="AX22" s="1"/>
  <c r="AY23"/>
  <c r="AZ23"/>
  <c r="Q25"/>
  <c r="Q24" s="1"/>
  <c r="W25"/>
  <c r="U25"/>
  <c r="U24" s="1"/>
  <c r="G25"/>
  <c r="G24" s="1"/>
  <c r="N25"/>
  <c r="AB25"/>
  <c r="AH25"/>
  <c r="AO25"/>
  <c r="AP25"/>
  <c r="AP26"/>
  <c r="AP27"/>
  <c r="AP28"/>
  <c r="AQ25"/>
  <c r="AR25"/>
  <c r="AS25"/>
  <c r="AT25"/>
  <c r="AU25"/>
  <c r="AV25"/>
  <c r="AW25"/>
  <c r="AX25"/>
  <c r="AY25"/>
  <c r="AZ25"/>
  <c r="N26"/>
  <c r="Q26"/>
  <c r="S26"/>
  <c r="U26"/>
  <c r="W26"/>
  <c r="AH26"/>
  <c r="AO26"/>
  <c r="AQ26"/>
  <c r="AR26"/>
  <c r="AS26"/>
  <c r="AS24" s="1"/>
  <c r="AT26"/>
  <c r="AU26"/>
  <c r="AV26"/>
  <c r="AW26"/>
  <c r="AX26"/>
  <c r="AY26"/>
  <c r="AZ26"/>
  <c r="G27"/>
  <c r="N27"/>
  <c r="Q27"/>
  <c r="S27"/>
  <c r="U27"/>
  <c r="W27"/>
  <c r="AO27"/>
  <c r="AQ27"/>
  <c r="AR27"/>
  <c r="AS27"/>
  <c r="AT27"/>
  <c r="AU27"/>
  <c r="AV27"/>
  <c r="J27"/>
  <c r="K27" s="1"/>
  <c r="AW27"/>
  <c r="AX27"/>
  <c r="AY27"/>
  <c r="AY24" s="1"/>
  <c r="AZ27"/>
  <c r="N28"/>
  <c r="Q28"/>
  <c r="S28"/>
  <c r="U28"/>
  <c r="W28"/>
  <c r="AB28"/>
  <c r="AB27" s="1"/>
  <c r="AH28"/>
  <c r="AO28"/>
  <c r="AO24" s="1"/>
  <c r="AQ28"/>
  <c r="AR28"/>
  <c r="AS28"/>
  <c r="AT28"/>
  <c r="AU28"/>
  <c r="AV28"/>
  <c r="AW28"/>
  <c r="AX28"/>
  <c r="AY28"/>
  <c r="AZ28"/>
  <c r="K29"/>
  <c r="N29"/>
  <c r="AE29"/>
  <c r="AH29"/>
  <c r="BB29"/>
  <c r="Q30"/>
  <c r="S30"/>
  <c r="U30"/>
  <c r="W30"/>
  <c r="N31"/>
  <c r="Q31"/>
  <c r="S31"/>
  <c r="U31"/>
  <c r="W31"/>
  <c r="AB31"/>
  <c r="AH31"/>
  <c r="AO31"/>
  <c r="AP31"/>
  <c r="AQ31"/>
  <c r="AR31"/>
  <c r="AS31"/>
  <c r="AT31"/>
  <c r="AU31"/>
  <c r="AV31"/>
  <c r="AX31"/>
  <c r="AY31"/>
  <c r="AZ31"/>
  <c r="E33"/>
  <c r="N33"/>
  <c r="AM33"/>
  <c r="G34"/>
  <c r="J34"/>
  <c r="N34"/>
  <c r="AB34"/>
  <c r="AH34"/>
  <c r="K35"/>
  <c r="N35"/>
  <c r="AH35"/>
  <c r="AO35"/>
  <c r="AO34"/>
  <c r="AO36"/>
  <c r="AP35"/>
  <c r="AQ35"/>
  <c r="AR35"/>
  <c r="AS35"/>
  <c r="AS36"/>
  <c r="AT35"/>
  <c r="AU35"/>
  <c r="AU34" s="1"/>
  <c r="AV35"/>
  <c r="AV34" s="1"/>
  <c r="AW35"/>
  <c r="AX35"/>
  <c r="AX34" s="1"/>
  <c r="AY35"/>
  <c r="AY34" s="1"/>
  <c r="AZ35"/>
  <c r="AZ36"/>
  <c r="K36"/>
  <c r="N36"/>
  <c r="AH36"/>
  <c r="AP36"/>
  <c r="AQ36"/>
  <c r="AR36"/>
  <c r="AT36"/>
  <c r="AU36"/>
  <c r="AW36"/>
  <c r="AX36"/>
  <c r="AY36"/>
  <c r="E37"/>
  <c r="K38"/>
  <c r="N38"/>
  <c r="Q38"/>
  <c r="S38"/>
  <c r="U38"/>
  <c r="W38"/>
  <c r="AE38"/>
  <c r="AH38"/>
  <c r="BB38"/>
  <c r="E39"/>
  <c r="AO40"/>
  <c r="AP40"/>
  <c r="AQ40"/>
  <c r="AR40"/>
  <c r="AS40"/>
  <c r="AT40"/>
  <c r="AU40"/>
  <c r="AV40"/>
  <c r="AW40"/>
  <c r="AX40"/>
  <c r="AY40"/>
  <c r="AZ40"/>
  <c r="G41"/>
  <c r="G40" s="1"/>
  <c r="N41"/>
  <c r="Q41"/>
  <c r="S41"/>
  <c r="U41"/>
  <c r="W41"/>
  <c r="AB41"/>
  <c r="AB40" s="1"/>
  <c r="AH41"/>
  <c r="AO41"/>
  <c r="AP41"/>
  <c r="AQ41"/>
  <c r="AR41"/>
  <c r="AS41"/>
  <c r="AT41"/>
  <c r="AU41"/>
  <c r="AV41"/>
  <c r="AW41"/>
  <c r="AX41"/>
  <c r="AY41"/>
  <c r="AZ41"/>
  <c r="E42"/>
  <c r="P43"/>
  <c r="N44"/>
  <c r="Q44"/>
  <c r="S44"/>
  <c r="U44"/>
  <c r="W44"/>
  <c r="AH44"/>
  <c r="AO44"/>
  <c r="AP44"/>
  <c r="AQ44"/>
  <c r="AR44"/>
  <c r="AS44"/>
  <c r="AT44"/>
  <c r="AU44"/>
  <c r="AV44"/>
  <c r="AW44"/>
  <c r="AX44"/>
  <c r="AY44"/>
  <c r="AZ44"/>
  <c r="Q45"/>
  <c r="S45"/>
  <c r="U45"/>
  <c r="W45"/>
  <c r="AO45"/>
  <c r="AO46"/>
  <c r="AP45"/>
  <c r="AQ45"/>
  <c r="AR45"/>
  <c r="AR43" s="1"/>
  <c r="AS45"/>
  <c r="AT45"/>
  <c r="AT46"/>
  <c r="AT43" s="1"/>
  <c r="AW45"/>
  <c r="AX45"/>
  <c r="AX43" s="1"/>
  <c r="AZ45"/>
  <c r="G46"/>
  <c r="G45" s="1"/>
  <c r="N46"/>
  <c r="Q46"/>
  <c r="S46"/>
  <c r="U46"/>
  <c r="W46"/>
  <c r="AB46"/>
  <c r="AB45" s="1"/>
  <c r="AH46"/>
  <c r="AP46"/>
  <c r="AQ46"/>
  <c r="AR46"/>
  <c r="AS46"/>
  <c r="AS43" s="1"/>
  <c r="AU46"/>
  <c r="AV46"/>
  <c r="AW46"/>
  <c r="AX46"/>
  <c r="AY46"/>
  <c r="AZ46"/>
  <c r="G47"/>
  <c r="N47"/>
  <c r="P47"/>
  <c r="AB47"/>
  <c r="AH47"/>
  <c r="N48"/>
  <c r="AH48"/>
  <c r="AO48"/>
  <c r="AP48"/>
  <c r="AQ48"/>
  <c r="AR48"/>
  <c r="AS48"/>
  <c r="AS47" s="1"/>
  <c r="AS49"/>
  <c r="AT48"/>
  <c r="AU48"/>
  <c r="AV48"/>
  <c r="AW48"/>
  <c r="AW49"/>
  <c r="AX48"/>
  <c r="AY48"/>
  <c r="AZ48"/>
  <c r="N49"/>
  <c r="AH49"/>
  <c r="AO49"/>
  <c r="AP49"/>
  <c r="AQ49"/>
  <c r="AR49"/>
  <c r="AT49"/>
  <c r="AT47" s="1"/>
  <c r="AU49"/>
  <c r="AV49"/>
  <c r="AX49"/>
  <c r="AY49"/>
  <c r="AZ49"/>
  <c r="Q51"/>
  <c r="S51"/>
  <c r="U51"/>
  <c r="W51"/>
  <c r="K53"/>
  <c r="N53"/>
  <c r="Q53"/>
  <c r="S53"/>
  <c r="U53"/>
  <c r="W53"/>
  <c r="AE53"/>
  <c r="AH53"/>
  <c r="AO53"/>
  <c r="AO55" s="1"/>
  <c r="AP53"/>
  <c r="AQ53"/>
  <c r="AQ55" s="1"/>
  <c r="AR53"/>
  <c r="AR55" s="1"/>
  <c r="AS53"/>
  <c r="AT53"/>
  <c r="AT55" s="1"/>
  <c r="AU53"/>
  <c r="AU55" s="1"/>
  <c r="AV53"/>
  <c r="AV55" s="1"/>
  <c r="AW53"/>
  <c r="AW55" s="1"/>
  <c r="AX53"/>
  <c r="AX55" s="1"/>
  <c r="AY53"/>
  <c r="AZ53"/>
  <c r="AZ55"/>
  <c r="BB53"/>
  <c r="BB55"/>
  <c r="AD57"/>
  <c r="M58"/>
  <c r="Q58"/>
  <c r="S58"/>
  <c r="U58"/>
  <c r="W58"/>
  <c r="AG58"/>
  <c r="Q59"/>
  <c r="Q60"/>
  <c r="Q61"/>
  <c r="Q62"/>
  <c r="Q63"/>
  <c r="Q70"/>
  <c r="S70"/>
  <c r="U70"/>
  <c r="W70"/>
  <c r="Q71"/>
  <c r="S71"/>
  <c r="U71"/>
  <c r="W71"/>
  <c r="Q73"/>
  <c r="Q74"/>
  <c r="S73"/>
  <c r="U73"/>
  <c r="U74"/>
  <c r="W73"/>
  <c r="S74"/>
  <c r="W74"/>
  <c r="AA75"/>
  <c r="N2" i="45"/>
  <c r="W2" s="1"/>
  <c r="Y2"/>
  <c r="D3"/>
  <c r="F3"/>
  <c r="I3"/>
  <c r="W3"/>
  <c r="G4"/>
  <c r="N4"/>
  <c r="N3" s="1"/>
  <c r="T4"/>
  <c r="T3" s="1"/>
  <c r="X4"/>
  <c r="X3" s="1"/>
  <c r="AA4"/>
  <c r="AG4"/>
  <c r="AI4"/>
  <c r="AI3" s="1"/>
  <c r="AK4"/>
  <c r="AK3" s="1"/>
  <c r="AM4"/>
  <c r="AM3" s="1"/>
  <c r="AO4"/>
  <c r="AO3" s="1"/>
  <c r="AQ4"/>
  <c r="G5"/>
  <c r="K5"/>
  <c r="N5"/>
  <c r="Y5" s="1"/>
  <c r="Q5"/>
  <c r="X5"/>
  <c r="AA5"/>
  <c r="AA3" s="1"/>
  <c r="AQ5"/>
  <c r="G6"/>
  <c r="K6"/>
  <c r="N6"/>
  <c r="Q6"/>
  <c r="AG6" s="1"/>
  <c r="X6"/>
  <c r="AA6"/>
  <c r="AB6" s="1"/>
  <c r="AQ6"/>
  <c r="D7"/>
  <c r="I7"/>
  <c r="K7"/>
  <c r="W7"/>
  <c r="G8"/>
  <c r="N8"/>
  <c r="X8"/>
  <c r="X7" s="1"/>
  <c r="AA8"/>
  <c r="G9"/>
  <c r="N9"/>
  <c r="Q9"/>
  <c r="X9"/>
  <c r="AA9"/>
  <c r="F10"/>
  <c r="G10" s="1"/>
  <c r="X10"/>
  <c r="X11"/>
  <c r="Y11"/>
  <c r="AC11" s="1"/>
  <c r="D12"/>
  <c r="F12"/>
  <c r="G12"/>
  <c r="I12"/>
  <c r="Q12"/>
  <c r="W12"/>
  <c r="G13"/>
  <c r="K13"/>
  <c r="N13"/>
  <c r="X13"/>
  <c r="X12" s="1"/>
  <c r="AA13"/>
  <c r="G14"/>
  <c r="K14"/>
  <c r="N14"/>
  <c r="T14"/>
  <c r="T13" s="1"/>
  <c r="X14"/>
  <c r="AA14"/>
  <c r="AG14"/>
  <c r="AI14" s="1"/>
  <c r="AJ14" s="1"/>
  <c r="AM14"/>
  <c r="AO14"/>
  <c r="G15"/>
  <c r="K15"/>
  <c r="N15"/>
  <c r="T15"/>
  <c r="X15"/>
  <c r="AA15"/>
  <c r="AB15" s="1"/>
  <c r="AG15"/>
  <c r="AI15" s="1"/>
  <c r="AK15"/>
  <c r="AM15"/>
  <c r="AO15"/>
  <c r="X16"/>
  <c r="Y16"/>
  <c r="AC16" s="1"/>
  <c r="AD16" s="1"/>
  <c r="D17"/>
  <c r="F17"/>
  <c r="G17" s="1"/>
  <c r="I17"/>
  <c r="Q17"/>
  <c r="W17"/>
  <c r="G18"/>
  <c r="K18"/>
  <c r="N18"/>
  <c r="X18"/>
  <c r="X17" s="1"/>
  <c r="AA18"/>
  <c r="G19"/>
  <c r="K19"/>
  <c r="Y19" s="1"/>
  <c r="N19"/>
  <c r="T19"/>
  <c r="T18" s="1"/>
  <c r="X19"/>
  <c r="AA19"/>
  <c r="AG19"/>
  <c r="AI19" s="1"/>
  <c r="AJ19" s="1"/>
  <c r="G20"/>
  <c r="K20"/>
  <c r="N20"/>
  <c r="Y20" s="1"/>
  <c r="T20"/>
  <c r="U20" s="1"/>
  <c r="X20"/>
  <c r="AA20"/>
  <c r="X21"/>
  <c r="Y21"/>
  <c r="AC21" s="1"/>
  <c r="AD21" s="1"/>
  <c r="D22"/>
  <c r="F22"/>
  <c r="G22" s="1"/>
  <c r="I22"/>
  <c r="W22"/>
  <c r="G23"/>
  <c r="K23"/>
  <c r="N23"/>
  <c r="T23"/>
  <c r="U23" s="1"/>
  <c r="X23"/>
  <c r="X22" s="1"/>
  <c r="AA23"/>
  <c r="AG23"/>
  <c r="AI23" s="1"/>
  <c r="G24"/>
  <c r="K24"/>
  <c r="N24"/>
  <c r="Y24" s="1"/>
  <c r="T24"/>
  <c r="X24"/>
  <c r="AA24"/>
  <c r="AG24"/>
  <c r="AI24"/>
  <c r="AJ24" s="1"/>
  <c r="AK24"/>
  <c r="AL24" s="1"/>
  <c r="AM24"/>
  <c r="AN24" s="1"/>
  <c r="AO24"/>
  <c r="AP24" s="1"/>
  <c r="AQ24"/>
  <c r="G25"/>
  <c r="K25"/>
  <c r="N25"/>
  <c r="X25"/>
  <c r="AA25"/>
  <c r="AG25"/>
  <c r="AI25"/>
  <c r="AJ25" s="1"/>
  <c r="AK25"/>
  <c r="AL25" s="1"/>
  <c r="AM25"/>
  <c r="AN25" s="1"/>
  <c r="AO25"/>
  <c r="AP25" s="1"/>
  <c r="AQ25"/>
  <c r="X26"/>
  <c r="Y26"/>
  <c r="AC26" s="1"/>
  <c r="AD26" s="1"/>
  <c r="AG26"/>
  <c r="AI26"/>
  <c r="AJ26" s="1"/>
  <c r="AK26"/>
  <c r="AL26" s="1"/>
  <c r="AM26"/>
  <c r="AN26" s="1"/>
  <c r="AO26"/>
  <c r="AP26" s="1"/>
  <c r="AQ26"/>
  <c r="G27"/>
  <c r="K27"/>
  <c r="N27"/>
  <c r="Y27" s="1"/>
  <c r="Q27"/>
  <c r="Q22" s="1"/>
  <c r="T27"/>
  <c r="X27"/>
  <c r="AA27"/>
  <c r="N28"/>
  <c r="Y28"/>
  <c r="AC28" s="1"/>
  <c r="AD28" s="1"/>
  <c r="X28"/>
  <c r="AA28"/>
  <c r="AG28"/>
  <c r="AI28"/>
  <c r="AJ28" s="1"/>
  <c r="AK28"/>
  <c r="AL28" s="1"/>
  <c r="AM28"/>
  <c r="AN28" s="1"/>
  <c r="AO28"/>
  <c r="AP28" s="1"/>
  <c r="AQ28"/>
  <c r="G29"/>
  <c r="K29"/>
  <c r="Y29" s="1"/>
  <c r="N29"/>
  <c r="T29"/>
  <c r="X29"/>
  <c r="AA29"/>
  <c r="AA22" s="1"/>
  <c r="AB22" s="1"/>
  <c r="AG29"/>
  <c r="AI29"/>
  <c r="AJ29" s="1"/>
  <c r="AK29"/>
  <c r="AL29" s="1"/>
  <c r="AM29"/>
  <c r="AN29" s="1"/>
  <c r="AO29"/>
  <c r="AP29" s="1"/>
  <c r="AQ29"/>
  <c r="G30"/>
  <c r="K30"/>
  <c r="N30"/>
  <c r="T30"/>
  <c r="X30"/>
  <c r="AA30"/>
  <c r="AG30"/>
  <c r="AI30" s="1"/>
  <c r="AJ30" s="1"/>
  <c r="G31"/>
  <c r="K31"/>
  <c r="N31"/>
  <c r="X31"/>
  <c r="AA31"/>
  <c r="AG31"/>
  <c r="AI31"/>
  <c r="AJ31" s="1"/>
  <c r="AK31"/>
  <c r="AL31" s="1"/>
  <c r="AM31"/>
  <c r="AN31" s="1"/>
  <c r="AO31"/>
  <c r="AP31" s="1"/>
  <c r="AQ31"/>
  <c r="X32"/>
  <c r="Y32"/>
  <c r="AC32" s="1"/>
  <c r="AD32" s="1"/>
  <c r="AG32"/>
  <c r="AI32"/>
  <c r="AJ32" s="1"/>
  <c r="AK32"/>
  <c r="AL32" s="1"/>
  <c r="AM32"/>
  <c r="AN32" s="1"/>
  <c r="AO32"/>
  <c r="AP32" s="1"/>
  <c r="AQ32"/>
  <c r="G33"/>
  <c r="K33"/>
  <c r="N33"/>
  <c r="X33"/>
  <c r="AA33"/>
  <c r="AG33"/>
  <c r="AI33" s="1"/>
  <c r="AJ33" s="1"/>
  <c r="G34"/>
  <c r="N34"/>
  <c r="Y34"/>
  <c r="BD34" s="1"/>
  <c r="X34"/>
  <c r="AA34"/>
  <c r="AB34" s="1"/>
  <c r="AG34"/>
  <c r="AI34" s="1"/>
  <c r="AJ34" s="1"/>
  <c r="AG35"/>
  <c r="AI35" s="1"/>
  <c r="AK35"/>
  <c r="AO35"/>
  <c r="BD35"/>
  <c r="G36"/>
  <c r="I36"/>
  <c r="I38" s="1"/>
  <c r="I41" s="1"/>
  <c r="I52" s="1"/>
  <c r="K36"/>
  <c r="Y36"/>
  <c r="N36"/>
  <c r="X36"/>
  <c r="AA36"/>
  <c r="AG36"/>
  <c r="AI36"/>
  <c r="AJ36" s="1"/>
  <c r="AK36"/>
  <c r="AL36" s="1"/>
  <c r="AM36"/>
  <c r="AN36" s="1"/>
  <c r="AO36"/>
  <c r="AP36" s="1"/>
  <c r="AQ36"/>
  <c r="D38"/>
  <c r="W38"/>
  <c r="X38" s="1"/>
  <c r="G39"/>
  <c r="X39"/>
  <c r="Y39"/>
  <c r="AA39"/>
  <c r="AC39" s="1"/>
  <c r="AD39" s="1"/>
  <c r="AG39"/>
  <c r="AI39" s="1"/>
  <c r="AJ39" s="1"/>
  <c r="BD39"/>
  <c r="G40"/>
  <c r="K40"/>
  <c r="Y40" s="1"/>
  <c r="N40"/>
  <c r="AA40"/>
  <c r="AB40" s="1"/>
  <c r="AG40"/>
  <c r="AI40" s="1"/>
  <c r="AJ40" s="1"/>
  <c r="B41"/>
  <c r="D41"/>
  <c r="W41"/>
  <c r="X41" s="1"/>
  <c r="G42"/>
  <c r="X42"/>
  <c r="Y42"/>
  <c r="AA42"/>
  <c r="AC42" s="1"/>
  <c r="AD42" s="1"/>
  <c r="AG42"/>
  <c r="AI42"/>
  <c r="AJ42" s="1"/>
  <c r="AK42"/>
  <c r="AL42" s="1"/>
  <c r="AM42"/>
  <c r="AN42" s="1"/>
  <c r="AO42"/>
  <c r="AP42" s="1"/>
  <c r="AQ42"/>
  <c r="BD42"/>
  <c r="G43"/>
  <c r="X43"/>
  <c r="Y43"/>
  <c r="AA43"/>
  <c r="AC43" s="1"/>
  <c r="AD43" s="1"/>
  <c r="AG43"/>
  <c r="AI43"/>
  <c r="AJ43" s="1"/>
  <c r="AK43"/>
  <c r="AL43" s="1"/>
  <c r="AM43"/>
  <c r="AN43" s="1"/>
  <c r="AO43"/>
  <c r="AP43" s="1"/>
  <c r="AQ43"/>
  <c r="BD43"/>
  <c r="B44"/>
  <c r="D44"/>
  <c r="F44"/>
  <c r="G44" s="1"/>
  <c r="I44"/>
  <c r="Q44"/>
  <c r="T44"/>
  <c r="U44" s="1"/>
  <c r="W44"/>
  <c r="X44" s="1"/>
  <c r="G45"/>
  <c r="X45"/>
  <c r="Y45"/>
  <c r="AA45"/>
  <c r="AC45"/>
  <c r="AD45" s="1"/>
  <c r="AG45"/>
  <c r="AI45" s="1"/>
  <c r="BD45"/>
  <c r="G46"/>
  <c r="N46"/>
  <c r="Y46" s="1"/>
  <c r="X46"/>
  <c r="AA46"/>
  <c r="AG46"/>
  <c r="AI46"/>
  <c r="AJ46" s="1"/>
  <c r="AK46"/>
  <c r="AL46" s="1"/>
  <c r="AM46"/>
  <c r="AN46" s="1"/>
  <c r="AO46"/>
  <c r="AP46" s="1"/>
  <c r="AQ46"/>
  <c r="G47"/>
  <c r="K47"/>
  <c r="K44"/>
  <c r="N47"/>
  <c r="N44"/>
  <c r="AA47"/>
  <c r="AF47"/>
  <c r="AG47"/>
  <c r="AI47"/>
  <c r="AJ47" s="1"/>
  <c r="AK47"/>
  <c r="AL47" s="1"/>
  <c r="AM47"/>
  <c r="AN47" s="1"/>
  <c r="AO47"/>
  <c r="AP47" s="1"/>
  <c r="AQ47"/>
  <c r="B48"/>
  <c r="D48"/>
  <c r="F48"/>
  <c r="G48"/>
  <c r="I48"/>
  <c r="K48"/>
  <c r="N48"/>
  <c r="Q48"/>
  <c r="T48"/>
  <c r="W48"/>
  <c r="X48"/>
  <c r="AG48"/>
  <c r="G49"/>
  <c r="X49"/>
  <c r="Y49"/>
  <c r="Y48" s="1"/>
  <c r="BD48" s="1"/>
  <c r="AA49"/>
  <c r="AG49"/>
  <c r="AI49"/>
  <c r="AI48" s="1"/>
  <c r="AJ48" s="1"/>
  <c r="AK49"/>
  <c r="AK48" s="1"/>
  <c r="AL48" s="1"/>
  <c r="AM49"/>
  <c r="AM48" s="1"/>
  <c r="AN48" s="1"/>
  <c r="AO49"/>
  <c r="AO48" s="1"/>
  <c r="AP48" s="1"/>
  <c r="AQ49"/>
  <c r="BD49"/>
  <c r="G50"/>
  <c r="X50"/>
  <c r="Y50"/>
  <c r="AA50"/>
  <c r="AC50" s="1"/>
  <c r="AD50" s="1"/>
  <c r="AG50"/>
  <c r="AI50"/>
  <c r="AJ50" s="1"/>
  <c r="AK50"/>
  <c r="AL50" s="1"/>
  <c r="AM50"/>
  <c r="AN50" s="1"/>
  <c r="AO50"/>
  <c r="AP50" s="1"/>
  <c r="AQ50"/>
  <c r="BD50"/>
  <c r="D52"/>
  <c r="D53" s="1"/>
  <c r="W52"/>
  <c r="X52"/>
  <c r="E53"/>
  <c r="H53"/>
  <c r="W53"/>
  <c r="X53" s="1"/>
  <c r="AA53"/>
  <c r="W54"/>
  <c r="X54" s="1"/>
  <c r="AT55"/>
  <c r="AV55"/>
  <c r="AX55"/>
  <c r="AZ55"/>
  <c r="BB55"/>
  <c r="AP21" i="58"/>
  <c r="S23" i="56"/>
  <c r="Y8"/>
  <c r="R8" i="58"/>
  <c r="R7" s="1"/>
  <c r="W11" i="53"/>
  <c r="Q23" i="58"/>
  <c r="AX33" i="55"/>
  <c r="AO21"/>
  <c r="AG5" i="45"/>
  <c r="AR54" i="58"/>
  <c r="Y33" i="45"/>
  <c r="AC33" s="1"/>
  <c r="AD33" s="1"/>
  <c r="AQ46" i="53"/>
  <c r="Y14" i="45"/>
  <c r="AQ46" i="58"/>
  <c r="AA48" i="45"/>
  <c r="AT21" i="58"/>
  <c r="AQ23" i="53"/>
  <c r="Y47" i="45"/>
  <c r="K12"/>
  <c r="N17"/>
  <c r="N22"/>
  <c r="J43" i="56"/>
  <c r="K43" s="1"/>
  <c r="J47"/>
  <c r="AQ21"/>
  <c r="AY46" i="53"/>
  <c r="AX21" i="58"/>
  <c r="AO23" i="53"/>
  <c r="AU54" i="58"/>
  <c r="AY46" i="56"/>
  <c r="AY33"/>
  <c r="AX11"/>
  <c r="AP23"/>
  <c r="AO23"/>
  <c r="AQ15"/>
  <c r="AO15"/>
  <c r="AP11"/>
  <c r="AS42" i="58"/>
  <c r="AT21" i="53"/>
  <c r="AV15"/>
  <c r="AT11"/>
  <c r="AP54" i="58"/>
  <c r="AO22" i="47"/>
  <c r="AO16"/>
  <c r="AU11" i="55"/>
  <c r="AO11"/>
  <c r="AZ23" i="56"/>
  <c r="AP21"/>
  <c r="AW15"/>
  <c r="AW23"/>
  <c r="AP33" i="55"/>
  <c r="AT33" i="56"/>
  <c r="AO11" i="58"/>
  <c r="AO14" s="1"/>
  <c r="AP11" i="53"/>
  <c r="AZ11"/>
  <c r="AZ14" s="1"/>
  <c r="AV54" i="58"/>
  <c r="AS11" i="53"/>
  <c r="AZ22" i="47"/>
  <c r="AO42" i="58"/>
  <c r="AW15" i="53"/>
  <c r="AX16" i="47"/>
  <c r="AS21" i="58"/>
  <c r="AT11" i="56"/>
  <c r="AT14"/>
  <c r="AC14" i="45"/>
  <c r="AD14"/>
  <c r="BD14"/>
  <c r="AR21" i="55"/>
  <c r="AZ46" i="56"/>
  <c r="AP42"/>
  <c r="AU11"/>
  <c r="BA10"/>
  <c r="AV46" i="58"/>
  <c r="AU42"/>
  <c r="AU23"/>
  <c r="AQ21"/>
  <c r="AS15"/>
  <c r="AY15"/>
  <c r="AX11"/>
  <c r="BA8"/>
  <c r="AT46" i="53"/>
  <c r="AP46"/>
  <c r="AR42"/>
  <c r="AT42"/>
  <c r="AP42"/>
  <c r="AZ23"/>
  <c r="BA9"/>
  <c r="AQ54" i="58"/>
  <c r="AQ42"/>
  <c r="Y10" i="45"/>
  <c r="BD10"/>
  <c r="F7"/>
  <c r="G7"/>
  <c r="AA12"/>
  <c r="AZ14" i="56"/>
  <c r="AY42" i="58"/>
  <c r="AW11" i="53"/>
  <c r="AQ15" i="58"/>
  <c r="AY15" i="53"/>
  <c r="BD33" i="45"/>
  <c r="AO23" i="55"/>
  <c r="AW23" i="58"/>
  <c r="AT15" i="53"/>
  <c r="AZ54"/>
  <c r="Y30" i="45"/>
  <c r="BD28"/>
  <c r="Y25"/>
  <c r="AO21" i="53"/>
  <c r="AC34" i="45"/>
  <c r="AD34"/>
  <c r="Y23"/>
  <c r="BD47"/>
  <c r="AY21" i="56"/>
  <c r="AS55" i="47"/>
  <c r="AQ47"/>
  <c r="AR15" i="55"/>
  <c r="AW11" i="58"/>
  <c r="AX54" i="53"/>
  <c r="AQ42"/>
  <c r="AC10" i="45"/>
  <c r="F38"/>
  <c r="G38"/>
  <c r="BD30"/>
  <c r="F41"/>
  <c r="AZ46" i="58"/>
  <c r="AZ11" i="55"/>
  <c r="AW42" i="53"/>
  <c r="AT54" i="58"/>
  <c r="AX21" i="55"/>
  <c r="AY47" i="47"/>
  <c r="AY55"/>
  <c r="AP54" i="53"/>
  <c r="J40" i="56"/>
  <c r="K40" s="1"/>
  <c r="AV16" i="47"/>
  <c r="AV11" i="55"/>
  <c r="AW46" i="58"/>
  <c r="AW33" i="55"/>
  <c r="J45" i="58"/>
  <c r="K45" s="1"/>
  <c r="J13" i="53"/>
  <c r="J30"/>
  <c r="K30" s="1"/>
  <c r="J45"/>
  <c r="K45" s="1"/>
  <c r="J22" i="56"/>
  <c r="K22" s="1"/>
  <c r="J39"/>
  <c r="K39" s="1"/>
  <c r="J30"/>
  <c r="K30" s="1"/>
  <c r="J44"/>
  <c r="J27"/>
  <c r="K27" s="1"/>
  <c r="J25"/>
  <c r="K25" s="1"/>
  <c r="J9"/>
  <c r="K9" s="1"/>
  <c r="J45"/>
  <c r="K45" s="1"/>
  <c r="J48"/>
  <c r="K48" s="1"/>
  <c r="J10"/>
  <c r="J13"/>
  <c r="J8"/>
  <c r="J12"/>
  <c r="J26"/>
  <c r="K26" s="1"/>
  <c r="J24"/>
  <c r="K24" s="1"/>
  <c r="AZ14" i="55"/>
  <c r="AO11" i="47"/>
  <c r="AW11"/>
  <c r="AU43"/>
  <c r="AT34"/>
  <c r="AQ54" i="53"/>
  <c r="J25" i="55"/>
  <c r="K25" s="1"/>
  <c r="G41" i="45"/>
  <c r="F52"/>
  <c r="BD23"/>
  <c r="AC23"/>
  <c r="AB47"/>
  <c r="AA44"/>
  <c r="AB44" s="1"/>
  <c r="AC47"/>
  <c r="AD47" s="1"/>
  <c r="K22"/>
  <c r="AZ14" i="58"/>
  <c r="AC30" i="45"/>
  <c r="AD30"/>
  <c r="K4"/>
  <c r="K17"/>
  <c r="Q8"/>
  <c r="BD25"/>
  <c r="AC25"/>
  <c r="AD25" s="1"/>
  <c r="AC49"/>
  <c r="BD36"/>
  <c r="AC36"/>
  <c r="AD36" s="1"/>
  <c r="AA17"/>
  <c r="Y6"/>
  <c r="Y15"/>
  <c r="AA7"/>
  <c r="AB7" s="1"/>
  <c r="N7"/>
  <c r="AQ14" i="53"/>
  <c r="AY16" i="47"/>
  <c r="J48"/>
  <c r="K48" s="1"/>
  <c r="J24" i="53"/>
  <c r="K24" s="1"/>
  <c r="AZ24" i="47"/>
  <c r="AZ47"/>
  <c r="AY42" i="55"/>
  <c r="AY46" i="58"/>
  <c r="N12" i="45"/>
  <c r="BA8" i="53"/>
  <c r="AV23"/>
  <c r="AV42"/>
  <c r="BA9" i="58"/>
  <c r="AP42"/>
  <c r="Y31" i="45"/>
  <c r="AU14" i="55"/>
  <c r="AW14" i="58"/>
  <c r="AS23"/>
  <c r="AO23"/>
  <c r="AO46"/>
  <c r="BA10"/>
  <c r="BA9" i="55"/>
  <c r="AV15"/>
  <c r="AS46" i="56"/>
  <c r="AT15"/>
  <c r="AS46" i="58"/>
  <c r="AY42" i="53"/>
  <c r="AY54"/>
  <c r="AP46" i="56"/>
  <c r="AZ42" i="53"/>
  <c r="AR54"/>
  <c r="J12"/>
  <c r="K13"/>
  <c r="J47" i="58"/>
  <c r="K47" s="1"/>
  <c r="J43" i="53"/>
  <c r="K43"/>
  <c r="AT14" i="58"/>
  <c r="AX33" i="56"/>
  <c r="AZ46" i="53"/>
  <c r="Q7" i="45"/>
  <c r="Y4"/>
  <c r="K3"/>
  <c r="L4" s="1"/>
  <c r="AA38"/>
  <c r="F53"/>
  <c r="F54" s="1"/>
  <c r="G54" s="1"/>
  <c r="G52"/>
  <c r="G53"/>
  <c r="AC31"/>
  <c r="AD31"/>
  <c r="BD31"/>
  <c r="Y22"/>
  <c r="L17"/>
  <c r="AC6"/>
  <c r="AD6" s="1"/>
  <c r="BD6"/>
  <c r="L22"/>
  <c r="AC15"/>
  <c r="AD15"/>
  <c r="BD15"/>
  <c r="AD49"/>
  <c r="AC48"/>
  <c r="AD48"/>
  <c r="AD23"/>
  <c r="AA41"/>
  <c r="AB38"/>
  <c r="Z47"/>
  <c r="Y3"/>
  <c r="Z4" s="1"/>
  <c r="BD4"/>
  <c r="AC4"/>
  <c r="Z22"/>
  <c r="BD22"/>
  <c r="L8"/>
  <c r="L48"/>
  <c r="L40"/>
  <c r="L27"/>
  <c r="L14"/>
  <c r="L33"/>
  <c r="L49"/>
  <c r="L24"/>
  <c r="L25"/>
  <c r="L34"/>
  <c r="L9"/>
  <c r="L42"/>
  <c r="L45"/>
  <c r="L29"/>
  <c r="L7"/>
  <c r="L30"/>
  <c r="L15"/>
  <c r="L44"/>
  <c r="L5"/>
  <c r="K38"/>
  <c r="L47"/>
  <c r="L43"/>
  <c r="L46"/>
  <c r="L10"/>
  <c r="L50"/>
  <c r="L18"/>
  <c r="L39"/>
  <c r="L31"/>
  <c r="L13"/>
  <c r="L6"/>
  <c r="L36"/>
  <c r="L12"/>
  <c r="L23"/>
  <c r="L19"/>
  <c r="L20"/>
  <c r="K41"/>
  <c r="L38"/>
  <c r="Z45"/>
  <c r="Z46"/>
  <c r="Z49"/>
  <c r="Z21"/>
  <c r="Z43"/>
  <c r="Z50"/>
  <c r="Z10"/>
  <c r="Z14"/>
  <c r="Z16"/>
  <c r="Z48"/>
  <c r="Z26"/>
  <c r="Z39"/>
  <c r="Z28"/>
  <c r="Z20"/>
  <c r="Z33"/>
  <c r="Z32"/>
  <c r="Z24"/>
  <c r="Z42"/>
  <c r="Z40"/>
  <c r="Z30"/>
  <c r="Z36"/>
  <c r="Z29"/>
  <c r="Z25"/>
  <c r="Z19"/>
  <c r="Z5"/>
  <c r="Z34"/>
  <c r="Z27"/>
  <c r="Z23"/>
  <c r="Z31"/>
  <c r="Z6"/>
  <c r="Z15"/>
  <c r="AD4"/>
  <c r="AB41"/>
  <c r="AA52"/>
  <c r="AB52" s="1"/>
  <c r="K52"/>
  <c r="L41"/>
  <c r="AA54"/>
  <c r="AB54" s="1"/>
  <c r="L52"/>
  <c r="K53"/>
  <c r="K54" s="1"/>
  <c r="L54" s="1"/>
  <c r="L53"/>
  <c r="AV22" i="47"/>
  <c r="AX24"/>
  <c r="BA10" i="55"/>
  <c r="AX23" i="56"/>
  <c r="AX47" i="47"/>
  <c r="AS22"/>
  <c r="AR16"/>
  <c r="AT29" i="55"/>
  <c r="AT31" s="1"/>
  <c r="AV23" i="56"/>
  <c r="AY23"/>
  <c r="AZ15"/>
  <c r="AZ29" s="1"/>
  <c r="AZ31" s="1"/>
  <c r="AZ36" s="1"/>
  <c r="AZ38" s="1"/>
  <c r="AZ41" s="1"/>
  <c r="AZ49" s="1"/>
  <c r="AZ50" s="1"/>
  <c r="AZ54" s="1"/>
  <c r="AS15"/>
  <c r="AS23" i="53"/>
  <c r="AU11"/>
  <c r="AW33"/>
  <c r="AR33" i="58"/>
  <c r="AO11" i="53"/>
  <c r="AO14"/>
  <c r="AU23" i="55"/>
  <c r="AU29" s="1"/>
  <c r="AU31" s="1"/>
  <c r="BA9" i="56"/>
  <c r="AZ33" i="53"/>
  <c r="AR11"/>
  <c r="AR14" s="1"/>
  <c r="AO54"/>
  <c r="AR15" i="58"/>
  <c r="AS54" i="53"/>
  <c r="AS42"/>
  <c r="AS33" i="55"/>
  <c r="AX11"/>
  <c r="AU23" i="53"/>
  <c r="AY33" i="58"/>
  <c r="AV33"/>
  <c r="AQ23"/>
  <c r="AQ29" s="1"/>
  <c r="AQ31"/>
  <c r="AU15" i="53"/>
  <c r="AY11" i="58"/>
  <c r="AW54" i="53"/>
  <c r="AV11"/>
  <c r="AX54" i="58"/>
  <c r="AS33" i="53"/>
  <c r="AT33" i="58"/>
  <c r="K13" i="56"/>
  <c r="AY22" i="47"/>
  <c r="AQ11"/>
  <c r="AO33" i="58"/>
  <c r="AU11"/>
  <c r="AR46" i="55"/>
  <c r="AS23" i="56"/>
  <c r="AW42" i="55"/>
  <c r="AS15" i="53"/>
  <c r="AO15"/>
  <c r="AO29" s="1"/>
  <c r="AO31" s="1"/>
  <c r="AY23"/>
  <c r="BA10"/>
  <c r="AT54"/>
  <c r="AY54" i="58"/>
  <c r="AU14"/>
  <c r="AQ15" i="47"/>
  <c r="AU14" i="56"/>
  <c r="AV42" i="55"/>
  <c r="AQ33"/>
  <c r="AV21"/>
  <c r="AT16" i="47"/>
  <c r="AQ11" i="55"/>
  <c r="AW15" i="47"/>
  <c r="AY14" i="58"/>
  <c r="AO43" i="47"/>
  <c r="J21" i="56"/>
  <c r="K21" s="1"/>
  <c r="AW22" i="47"/>
  <c r="AP24"/>
  <c r="BA10"/>
  <c r="AS15"/>
  <c r="AV47"/>
  <c r="AZ11"/>
  <c r="AS34"/>
  <c r="AV24"/>
  <c r="AP11"/>
  <c r="AP15" s="1"/>
  <c r="AT14" i="55"/>
  <c r="AW21" i="58"/>
  <c r="AU46"/>
  <c r="AU33"/>
  <c r="AO33" i="53"/>
  <c r="AO36" s="1"/>
  <c r="AO38" s="1"/>
  <c r="AO41" s="1"/>
  <c r="AP15" i="58"/>
  <c r="AX11" i="53"/>
  <c r="AO54" i="58"/>
  <c r="AX33"/>
  <c r="AS33"/>
  <c r="AX14" i="53"/>
  <c r="AQ14" i="55"/>
  <c r="AR14" i="56"/>
  <c r="AO14" i="55"/>
  <c r="AX14" i="56"/>
  <c r="AV54" i="53"/>
  <c r="AY33" i="55"/>
  <c r="AP42"/>
  <c r="AZ42"/>
  <c r="AV15" i="58"/>
  <c r="T73" i="56"/>
  <c r="AP30" i="47"/>
  <c r="AT14" i="53"/>
  <c r="AR24" i="47"/>
  <c r="AU29" i="53"/>
  <c r="AU31" s="1"/>
  <c r="AU36" s="1"/>
  <c r="AU38" s="1"/>
  <c r="AU41" s="1"/>
  <c r="AU14"/>
  <c r="AO29" i="55"/>
  <c r="AO31" s="1"/>
  <c r="AX14" i="58"/>
  <c r="AZ43" i="47"/>
  <c r="AX42" i="55"/>
  <c r="AU24" i="47"/>
  <c r="AQ24"/>
  <c r="AQ30"/>
  <c r="AQ32" s="1"/>
  <c r="AZ15"/>
  <c r="AP32"/>
  <c r="AX30"/>
  <c r="AX32" s="1"/>
  <c r="AX37" s="1"/>
  <c r="AX39" s="1"/>
  <c r="AX42" s="1"/>
  <c r="AX50" s="1"/>
  <c r="AO42" i="56"/>
  <c r="AU11" i="47"/>
  <c r="AX42" i="53"/>
  <c r="AW33" i="58"/>
  <c r="AU42" i="55"/>
  <c r="AR33"/>
  <c r="AS23"/>
  <c r="AW11"/>
  <c r="AY42" i="56"/>
  <c r="AV42" i="58"/>
  <c r="AX33" i="53"/>
  <c r="AX23"/>
  <c r="AT23"/>
  <c r="AT29"/>
  <c r="AT31" s="1"/>
  <c r="AT36" s="1"/>
  <c r="AT38" s="1"/>
  <c r="AT41" s="1"/>
  <c r="AT49" s="1"/>
  <c r="AR23"/>
  <c r="AV11" i="58"/>
  <c r="AX15" i="56"/>
  <c r="AX29" s="1"/>
  <c r="AX31" s="1"/>
  <c r="AX36" s="1"/>
  <c r="AX38" s="1"/>
  <c r="AX41" s="1"/>
  <c r="AX49" s="1"/>
  <c r="AX50" s="1"/>
  <c r="AX54" s="1"/>
  <c r="AQ14"/>
  <c r="AP14"/>
  <c r="AZ33" i="58"/>
  <c r="AW23" i="53"/>
  <c r="AW29"/>
  <c r="AW31" s="1"/>
  <c r="AW36" s="1"/>
  <c r="AW38" s="1"/>
  <c r="AW41" s="1"/>
  <c r="AT23" i="58"/>
  <c r="AY11" i="53"/>
  <c r="BA8" i="56"/>
  <c r="AX46" i="55"/>
  <c r="AR23"/>
  <c r="AO46" i="56"/>
  <c r="AU23"/>
  <c r="AU15" i="58"/>
  <c r="AU29" s="1"/>
  <c r="AU31" s="1"/>
  <c r="AU36" s="1"/>
  <c r="AU38" s="1"/>
  <c r="AU41" s="1"/>
  <c r="AU49" s="1"/>
  <c r="AO15"/>
  <c r="AO29" s="1"/>
  <c r="AO31" s="1"/>
  <c r="AO36" s="1"/>
  <c r="AO38" s="1"/>
  <c r="AO41" s="1"/>
  <c r="AO49" s="1"/>
  <c r="AS11"/>
  <c r="AW14" i="53"/>
  <c r="J10" i="58"/>
  <c r="K10" s="1"/>
  <c r="J10" i="47"/>
  <c r="K10"/>
  <c r="J17"/>
  <c r="R8" i="56"/>
  <c r="R7" s="1"/>
  <c r="X13" i="58"/>
  <c r="T73" i="53"/>
  <c r="X24" i="58"/>
  <c r="X23" s="1"/>
  <c r="J28" i="47"/>
  <c r="K28" s="1"/>
  <c r="J20"/>
  <c r="K20"/>
  <c r="J8"/>
  <c r="J46"/>
  <c r="K46" s="1"/>
  <c r="J26" i="58"/>
  <c r="K26" s="1"/>
  <c r="J16"/>
  <c r="J15"/>
  <c r="K15" s="1"/>
  <c r="T26" i="53"/>
  <c r="J44"/>
  <c r="K44"/>
  <c r="J26"/>
  <c r="K26" s="1"/>
  <c r="J25"/>
  <c r="K25" s="1"/>
  <c r="J13" i="55"/>
  <c r="K13" s="1"/>
  <c r="J52" i="53"/>
  <c r="K52"/>
  <c r="AD8" i="56"/>
  <c r="J10" i="53"/>
  <c r="K10" s="1"/>
  <c r="J8"/>
  <c r="K8" s="1"/>
  <c r="J40"/>
  <c r="K40"/>
  <c r="J22"/>
  <c r="J27"/>
  <c r="K27" s="1"/>
  <c r="J50"/>
  <c r="J27" i="55"/>
  <c r="K27" s="1"/>
  <c r="J47" i="53"/>
  <c r="K47" s="1"/>
  <c r="AC6"/>
  <c r="AD27" s="1"/>
  <c r="J9"/>
  <c r="J16"/>
  <c r="K16" s="1"/>
  <c r="J48"/>
  <c r="K48" s="1"/>
  <c r="AD22" i="56"/>
  <c r="AE22"/>
  <c r="J45" i="55"/>
  <c r="K45" s="1"/>
  <c r="R10" i="58"/>
  <c r="J23" i="47"/>
  <c r="AD52" i="53"/>
  <c r="BB52" s="1"/>
  <c r="J41" i="47"/>
  <c r="K41"/>
  <c r="J45"/>
  <c r="K45" s="1"/>
  <c r="R16" i="56"/>
  <c r="R15" s="1"/>
  <c r="U46" i="55"/>
  <c r="R70" i="58"/>
  <c r="R69"/>
  <c r="R37"/>
  <c r="R25"/>
  <c r="X9"/>
  <c r="AC6" i="47"/>
  <c r="AD44" s="1"/>
  <c r="AD34" i="53"/>
  <c r="BB34" s="1"/>
  <c r="J9" i="47"/>
  <c r="K9" s="1"/>
  <c r="J15" i="56"/>
  <c r="K15" s="1"/>
  <c r="J31" i="47"/>
  <c r="K31" s="1"/>
  <c r="J25"/>
  <c r="K25" s="1"/>
  <c r="Y73" i="55"/>
  <c r="AA73"/>
  <c r="S46" i="53"/>
  <c r="J40" i="47"/>
  <c r="K40"/>
  <c r="AD44" i="53"/>
  <c r="AE44" s="1"/>
  <c r="AD13"/>
  <c r="Y13" i="55"/>
  <c r="R45" i="58"/>
  <c r="AE9" i="56"/>
  <c r="BB9"/>
  <c r="AD45" i="47"/>
  <c r="J39" i="58"/>
  <c r="K39"/>
  <c r="J43"/>
  <c r="K43"/>
  <c r="J44"/>
  <c r="K44" s="1"/>
  <c r="J48"/>
  <c r="K48" s="1"/>
  <c r="J24"/>
  <c r="AD48" i="56"/>
  <c r="AD45"/>
  <c r="BB45" s="1"/>
  <c r="AD30"/>
  <c r="X12" i="58"/>
  <c r="X11" s="1"/>
  <c r="Y74" i="47"/>
  <c r="AA74" s="1"/>
  <c r="Y70"/>
  <c r="AA70" s="1"/>
  <c r="W61"/>
  <c r="Y44"/>
  <c r="AA44" s="1"/>
  <c r="X73" i="58"/>
  <c r="X10"/>
  <c r="J27"/>
  <c r="K27" s="1"/>
  <c r="J52"/>
  <c r="K52" s="1"/>
  <c r="J40"/>
  <c r="K40" s="1"/>
  <c r="AD43" i="56"/>
  <c r="BB43"/>
  <c r="AD35"/>
  <c r="AD24"/>
  <c r="J8" i="58"/>
  <c r="J22"/>
  <c r="J21" s="1"/>
  <c r="K21" s="1"/>
  <c r="X8"/>
  <c r="X7"/>
  <c r="Y12" i="56"/>
  <c r="AA12"/>
  <c r="Y43" i="58"/>
  <c r="AA43"/>
  <c r="X16"/>
  <c r="X15"/>
  <c r="J50"/>
  <c r="K50"/>
  <c r="AD27" i="47"/>
  <c r="J23" i="56"/>
  <c r="K23" s="1"/>
  <c r="J9" i="58"/>
  <c r="K9" s="1"/>
  <c r="J25"/>
  <c r="K25" s="1"/>
  <c r="AC6"/>
  <c r="AD17"/>
  <c r="J13"/>
  <c r="K13" s="1"/>
  <c r="J12"/>
  <c r="T69" i="56"/>
  <c r="W23" i="58"/>
  <c r="U46" i="56"/>
  <c r="X26" i="55"/>
  <c r="X72"/>
  <c r="J42" i="56"/>
  <c r="K16" i="58"/>
  <c r="J16" i="55"/>
  <c r="J44"/>
  <c r="K44" s="1"/>
  <c r="Y69" i="56"/>
  <c r="Y29" i="58"/>
  <c r="AA29"/>
  <c r="J39" i="55"/>
  <c r="K39" s="1"/>
  <c r="J26"/>
  <c r="K26" s="1"/>
  <c r="J48"/>
  <c r="K48" s="1"/>
  <c r="AC6"/>
  <c r="AD24"/>
  <c r="J47"/>
  <c r="J8"/>
  <c r="K8" s="1"/>
  <c r="T40" i="56"/>
  <c r="W11"/>
  <c r="R37"/>
  <c r="S46" i="58"/>
  <c r="K8" i="47"/>
  <c r="J22" i="55"/>
  <c r="J43"/>
  <c r="J9"/>
  <c r="K9" s="1"/>
  <c r="J10"/>
  <c r="J24"/>
  <c r="T22" i="56"/>
  <c r="T21" s="1"/>
  <c r="T31" i="47"/>
  <c r="J30" i="55"/>
  <c r="K30" s="1"/>
  <c r="Y27"/>
  <c r="AA27" s="1"/>
  <c r="J12"/>
  <c r="Y10"/>
  <c r="R70" i="56"/>
  <c r="T26"/>
  <c r="T13"/>
  <c r="Y73" i="53"/>
  <c r="AA73" s="1"/>
  <c r="Y70"/>
  <c r="AA70" s="1"/>
  <c r="Y43"/>
  <c r="AA43" s="1"/>
  <c r="W21" i="58"/>
  <c r="X22"/>
  <c r="X21" s="1"/>
  <c r="AD21" i="56"/>
  <c r="BB21" s="1"/>
  <c r="BB22"/>
  <c r="J11" i="53"/>
  <c r="K12"/>
  <c r="AD48" i="58"/>
  <c r="AE48" s="1"/>
  <c r="AD39"/>
  <c r="AD52"/>
  <c r="AD8"/>
  <c r="AD34"/>
  <c r="AD20"/>
  <c r="J46" i="56"/>
  <c r="K46" s="1"/>
  <c r="K47"/>
  <c r="K10"/>
  <c r="J7"/>
  <c r="W23" i="53"/>
  <c r="J7"/>
  <c r="K9"/>
  <c r="AD9" i="55"/>
  <c r="AD10"/>
  <c r="AD48"/>
  <c r="AD44"/>
  <c r="AD27"/>
  <c r="AD16"/>
  <c r="AD35"/>
  <c r="AD26"/>
  <c r="AD30"/>
  <c r="K12" i="47"/>
  <c r="J42" i="53"/>
  <c r="AD40"/>
  <c r="AD26"/>
  <c r="AD12"/>
  <c r="AD50"/>
  <c r="AD35"/>
  <c r="AE35" s="1"/>
  <c r="AD39"/>
  <c r="AE39" s="1"/>
  <c r="AD24"/>
  <c r="AD43"/>
  <c r="AD8"/>
  <c r="BB8" s="1"/>
  <c r="AD30"/>
  <c r="AE30" s="1"/>
  <c r="AD16"/>
  <c r="R22" i="58"/>
  <c r="R21" s="1"/>
  <c r="Q21"/>
  <c r="Y19" i="53"/>
  <c r="AA19"/>
  <c r="T50"/>
  <c r="T27"/>
  <c r="AD47"/>
  <c r="J11" i="56"/>
  <c r="J14" s="1"/>
  <c r="K12"/>
  <c r="Y8" i="55"/>
  <c r="Y7" s="1"/>
  <c r="Q7"/>
  <c r="S46" i="56"/>
  <c r="T46"/>
  <c r="T72"/>
  <c r="AD47"/>
  <c r="AD26"/>
  <c r="AD27"/>
  <c r="AD10"/>
  <c r="AD40"/>
  <c r="BB40" s="1"/>
  <c r="AD39"/>
  <c r="AE39" s="1"/>
  <c r="AD13"/>
  <c r="AD44"/>
  <c r="AD25"/>
  <c r="BB25" s="1"/>
  <c r="AD16"/>
  <c r="AD12"/>
  <c r="AD34"/>
  <c r="Y70" i="58"/>
  <c r="Y37" i="56"/>
  <c r="W23"/>
  <c r="S15"/>
  <c r="S31"/>
  <c r="T16"/>
  <c r="T15"/>
  <c r="T30"/>
  <c r="T20"/>
  <c r="T8"/>
  <c r="T7"/>
  <c r="Y28" i="47"/>
  <c r="AA28"/>
  <c r="Q46" i="55"/>
  <c r="Y45"/>
  <c r="AA45" s="1"/>
  <c r="Y37"/>
  <c r="AA37" s="1"/>
  <c r="Y22" i="56"/>
  <c r="AA22" s="1"/>
  <c r="W7"/>
  <c r="X37" s="1"/>
  <c r="S15" i="58"/>
  <c r="Q11"/>
  <c r="Q31" s="1"/>
  <c r="R12"/>
  <c r="R11" s="1"/>
  <c r="S7"/>
  <c r="T37" s="1"/>
  <c r="Y8"/>
  <c r="Y7" s="1"/>
  <c r="U46" i="53"/>
  <c r="W60"/>
  <c r="T44" i="56"/>
  <c r="U47" i="47"/>
  <c r="S21" i="55"/>
  <c r="Y43" i="56"/>
  <c r="R44" i="58"/>
  <c r="R26"/>
  <c r="R20"/>
  <c r="Y13"/>
  <c r="AA13" s="1"/>
  <c r="W7" i="53"/>
  <c r="X30" s="1"/>
  <c r="J18" i="47"/>
  <c r="K18" s="1"/>
  <c r="J44"/>
  <c r="J13"/>
  <c r="K13"/>
  <c r="J14"/>
  <c r="K14" s="1"/>
  <c r="J19"/>
  <c r="J21"/>
  <c r="K21"/>
  <c r="J26"/>
  <c r="J49"/>
  <c r="Q47"/>
  <c r="Y9"/>
  <c r="AA9"/>
  <c r="X25" i="55"/>
  <c r="T52" i="56"/>
  <c r="Y44"/>
  <c r="T43"/>
  <c r="Y29"/>
  <c r="R27" i="58"/>
  <c r="R13"/>
  <c r="Y26" i="53"/>
  <c r="AA26" s="1"/>
  <c r="Y10"/>
  <c r="AA10" s="1"/>
  <c r="S47" i="47"/>
  <c r="T20"/>
  <c r="T50" i="56"/>
  <c r="T45"/>
  <c r="T37"/>
  <c r="R40"/>
  <c r="R50" i="58"/>
  <c r="R40"/>
  <c r="R16"/>
  <c r="R15" s="1"/>
  <c r="W24" i="47"/>
  <c r="Y9" i="55"/>
  <c r="Y22" i="58"/>
  <c r="T16" i="53"/>
  <c r="T15" s="1"/>
  <c r="Y7" i="56"/>
  <c r="W11" i="47"/>
  <c r="T44"/>
  <c r="AA8" i="55"/>
  <c r="Y72" i="53"/>
  <c r="W46"/>
  <c r="X46" s="1"/>
  <c r="T69"/>
  <c r="Y12"/>
  <c r="U11"/>
  <c r="T9"/>
  <c r="T19"/>
  <c r="T22"/>
  <c r="T21" s="1"/>
  <c r="T24"/>
  <c r="T23" s="1"/>
  <c r="Y52"/>
  <c r="AA52"/>
  <c r="U21" i="58"/>
  <c r="AA13" i="55"/>
  <c r="AA43" i="56"/>
  <c r="W47" i="47"/>
  <c r="Y73"/>
  <c r="Y45"/>
  <c r="AA45"/>
  <c r="X52" i="55"/>
  <c r="X45"/>
  <c r="Y40"/>
  <c r="U11"/>
  <c r="Y12"/>
  <c r="U7"/>
  <c r="V44"/>
  <c r="Y73" i="56"/>
  <c r="Q46"/>
  <c r="R46" s="1"/>
  <c r="AA70" i="58"/>
  <c r="S23" i="53"/>
  <c r="Y24"/>
  <c r="Y16"/>
  <c r="W15"/>
  <c r="W31" s="1"/>
  <c r="T25"/>
  <c r="T52"/>
  <c r="T40"/>
  <c r="T44"/>
  <c r="S31"/>
  <c r="T8"/>
  <c r="T7"/>
  <c r="T72"/>
  <c r="T9" i="47"/>
  <c r="T26"/>
  <c r="T45"/>
  <c r="S46" i="55"/>
  <c r="X30"/>
  <c r="Y30"/>
  <c r="X20"/>
  <c r="Y20"/>
  <c r="X44"/>
  <c r="X12"/>
  <c r="X11" s="1"/>
  <c r="X50"/>
  <c r="X40"/>
  <c r="Y19" i="56"/>
  <c r="T19"/>
  <c r="Y19" i="58"/>
  <c r="X19"/>
  <c r="Y16"/>
  <c r="W15"/>
  <c r="Y10"/>
  <c r="R9"/>
  <c r="Y9"/>
  <c r="Y50" i="53"/>
  <c r="T46"/>
  <c r="Y45"/>
  <c r="T37"/>
  <c r="Y9"/>
  <c r="U7"/>
  <c r="V9" s="1"/>
  <c r="Y8"/>
  <c r="T12"/>
  <c r="T11" s="1"/>
  <c r="Y24" i="58"/>
  <c r="Y24" i="56"/>
  <c r="T47" i="47"/>
  <c r="T41"/>
  <c r="Y26"/>
  <c r="AA26" s="1"/>
  <c r="X37" i="55"/>
  <c r="Y26"/>
  <c r="X9"/>
  <c r="Y25" i="56"/>
  <c r="Y45" i="58"/>
  <c r="X45"/>
  <c r="T70" i="53"/>
  <c r="T13"/>
  <c r="T10"/>
  <c r="R22"/>
  <c r="R21" s="1"/>
  <c r="R8"/>
  <c r="R7" s="1"/>
  <c r="R50"/>
  <c r="R69"/>
  <c r="T30"/>
  <c r="Y69"/>
  <c r="Y37"/>
  <c r="AA37" s="1"/>
  <c r="Y24" i="55"/>
  <c r="T71" i="47"/>
  <c r="Y53"/>
  <c r="AA53"/>
  <c r="Y10"/>
  <c r="AA10"/>
  <c r="Y44" i="55"/>
  <c r="Y25"/>
  <c r="AA25"/>
  <c r="R24"/>
  <c r="R23"/>
  <c r="S23"/>
  <c r="S15"/>
  <c r="R30"/>
  <c r="R19"/>
  <c r="R69"/>
  <c r="R9"/>
  <c r="R72"/>
  <c r="AA69" i="56"/>
  <c r="AA37"/>
  <c r="Y16"/>
  <c r="W15"/>
  <c r="Y72" i="58"/>
  <c r="W46"/>
  <c r="X46"/>
  <c r="X72"/>
  <c r="Q46"/>
  <c r="R46" s="1"/>
  <c r="R72"/>
  <c r="Y27" i="53"/>
  <c r="Y25"/>
  <c r="U21"/>
  <c r="Y22"/>
  <c r="T20"/>
  <c r="T9" i="56"/>
  <c r="T24"/>
  <c r="T23" s="1"/>
  <c r="T25"/>
  <c r="Y46" i="47"/>
  <c r="AA46" s="1"/>
  <c r="Y41"/>
  <c r="AA41" s="1"/>
  <c r="T28"/>
  <c r="T21"/>
  <c r="T13"/>
  <c r="S11"/>
  <c r="T12"/>
  <c r="T11"/>
  <c r="X73" i="55"/>
  <c r="V45"/>
  <c r="V37"/>
  <c r="X27"/>
  <c r="V25"/>
  <c r="U21"/>
  <c r="Y22"/>
  <c r="X19"/>
  <c r="W15"/>
  <c r="Y16"/>
  <c r="X16"/>
  <c r="X15"/>
  <c r="V13"/>
  <c r="X8"/>
  <c r="X7"/>
  <c r="Y13" i="56"/>
  <c r="T12"/>
  <c r="T11" s="1"/>
  <c r="T10"/>
  <c r="Y27" i="58"/>
  <c r="U7"/>
  <c r="V37" s="1"/>
  <c r="X37"/>
  <c r="X43"/>
  <c r="Q46" i="53"/>
  <c r="R46" s="1"/>
  <c r="Y40"/>
  <c r="V27"/>
  <c r="U15"/>
  <c r="X20"/>
  <c r="Y71" i="47"/>
  <c r="AA71" s="1"/>
  <c r="T53"/>
  <c r="T51"/>
  <c r="X69" i="55"/>
  <c r="Y69"/>
  <c r="T70" i="56"/>
  <c r="Y52"/>
  <c r="T27"/>
  <c r="R20"/>
  <c r="X69" i="58"/>
  <c r="Y69"/>
  <c r="Y50"/>
  <c r="W60"/>
  <c r="X25"/>
  <c r="Y25"/>
  <c r="Y12"/>
  <c r="Y30" i="47"/>
  <c r="Y20"/>
  <c r="AA20" s="1"/>
  <c r="V73" i="55"/>
  <c r="W21"/>
  <c r="X22"/>
  <c r="X21" s="1"/>
  <c r="V10"/>
  <c r="Y9" i="56"/>
  <c r="Y20" i="58"/>
  <c r="R9" i="53"/>
  <c r="T70" i="47"/>
  <c r="Y51"/>
  <c r="Y21"/>
  <c r="AA21"/>
  <c r="X24" i="55"/>
  <c r="X23" s="1"/>
  <c r="Y19"/>
  <c r="X13"/>
  <c r="X10"/>
  <c r="Y45" i="56"/>
  <c r="Y30"/>
  <c r="U46" i="58"/>
  <c r="R43"/>
  <c r="Y37"/>
  <c r="X27"/>
  <c r="R24"/>
  <c r="R23" s="1"/>
  <c r="Y29" i="53"/>
  <c r="Y20"/>
  <c r="Y31" i="47"/>
  <c r="W16"/>
  <c r="Y17"/>
  <c r="U16"/>
  <c r="T25"/>
  <c r="T24" s="1"/>
  <c r="S24"/>
  <c r="Q7"/>
  <c r="R9"/>
  <c r="Y8"/>
  <c r="Y50" i="56"/>
  <c r="W60"/>
  <c r="Y73" i="58"/>
  <c r="Y26"/>
  <c r="R13" i="53"/>
  <c r="Y13"/>
  <c r="T73" i="47"/>
  <c r="T46"/>
  <c r="T27"/>
  <c r="T17"/>
  <c r="T16" s="1"/>
  <c r="T8"/>
  <c r="T7" s="1"/>
  <c r="T74"/>
  <c r="T23"/>
  <c r="T22"/>
  <c r="X70" i="55"/>
  <c r="Y70"/>
  <c r="Y52"/>
  <c r="R52"/>
  <c r="W60"/>
  <c r="Y50"/>
  <c r="R52" i="56"/>
  <c r="R43"/>
  <c r="R44"/>
  <c r="R26"/>
  <c r="R72"/>
  <c r="R24"/>
  <c r="R23"/>
  <c r="R22"/>
  <c r="R21"/>
  <c r="R19"/>
  <c r="R45"/>
  <c r="R69"/>
  <c r="R10"/>
  <c r="R25"/>
  <c r="R50"/>
  <c r="R27"/>
  <c r="R9"/>
  <c r="R30"/>
  <c r="Y40" i="58"/>
  <c r="Y30"/>
  <c r="X30"/>
  <c r="R30" i="53"/>
  <c r="Y30"/>
  <c r="T43"/>
  <c r="T45"/>
  <c r="T38" i="47"/>
  <c r="Y38"/>
  <c r="Y27"/>
  <c r="Y13"/>
  <c r="T10"/>
  <c r="W46" i="55"/>
  <c r="X46" s="1"/>
  <c r="Y72"/>
  <c r="AA10"/>
  <c r="R13"/>
  <c r="R22"/>
  <c r="R21" s="1"/>
  <c r="R27"/>
  <c r="R37"/>
  <c r="R73"/>
  <c r="R8"/>
  <c r="R7" s="1"/>
  <c r="R20"/>
  <c r="R43"/>
  <c r="R44"/>
  <c r="Q31"/>
  <c r="R50"/>
  <c r="R70"/>
  <c r="R10"/>
  <c r="R12"/>
  <c r="R11"/>
  <c r="R25"/>
  <c r="R16"/>
  <c r="R15" s="1"/>
  <c r="Y72" i="56"/>
  <c r="W46"/>
  <c r="Y44" i="53"/>
  <c r="Y25" i="47"/>
  <c r="U22"/>
  <c r="Y23"/>
  <c r="Y12"/>
  <c r="R72" i="53"/>
  <c r="R37"/>
  <c r="R40"/>
  <c r="R24"/>
  <c r="R23" s="1"/>
  <c r="R12"/>
  <c r="R11" s="1"/>
  <c r="R25"/>
  <c r="R45"/>
  <c r="R10"/>
  <c r="R70"/>
  <c r="R26" i="55"/>
  <c r="Y70" i="56"/>
  <c r="Y27"/>
  <c r="R13"/>
  <c r="R12"/>
  <c r="R11" s="1"/>
  <c r="X26" i="58"/>
  <c r="X44"/>
  <c r="X20"/>
  <c r="X40"/>
  <c r="X70"/>
  <c r="R45" i="55"/>
  <c r="X43"/>
  <c r="Y43"/>
  <c r="R40"/>
  <c r="Y11"/>
  <c r="AA12"/>
  <c r="Y20" i="56"/>
  <c r="Y10"/>
  <c r="R30" i="58"/>
  <c r="R52"/>
  <c r="R73"/>
  <c r="R73" i="53"/>
  <c r="R52"/>
  <c r="R44"/>
  <c r="R43"/>
  <c r="Q15"/>
  <c r="R16"/>
  <c r="R15"/>
  <c r="Y29" i="55"/>
  <c r="R73" i="56"/>
  <c r="Y40"/>
  <c r="Y26"/>
  <c r="Y52" i="58"/>
  <c r="X52"/>
  <c r="Y44"/>
  <c r="R27" i="53"/>
  <c r="R26"/>
  <c r="R20"/>
  <c r="R19"/>
  <c r="V12" i="55"/>
  <c r="V11" s="1"/>
  <c r="R26" i="47"/>
  <c r="R47"/>
  <c r="Y21" i="56"/>
  <c r="AA21" s="1"/>
  <c r="AD13" i="55"/>
  <c r="BB13"/>
  <c r="AD43"/>
  <c r="AD12"/>
  <c r="AD40"/>
  <c r="AD23" i="47"/>
  <c r="AD46"/>
  <c r="AE46"/>
  <c r="BB44" i="53"/>
  <c r="AU15" i="47"/>
  <c r="AU30"/>
  <c r="AU32"/>
  <c r="AU37" s="1"/>
  <c r="AU39" s="1"/>
  <c r="AU42" s="1"/>
  <c r="AE43" i="56"/>
  <c r="AS29" i="58"/>
  <c r="AS31" s="1"/>
  <c r="AS36" s="1"/>
  <c r="AS38" s="1"/>
  <c r="AS41" s="1"/>
  <c r="AS49" s="1"/>
  <c r="AS14"/>
  <c r="AV14"/>
  <c r="AW14" i="55"/>
  <c r="AY14" i="53"/>
  <c r="AY29"/>
  <c r="AY31"/>
  <c r="AY36" s="1"/>
  <c r="AY38" s="1"/>
  <c r="AY41" s="1"/>
  <c r="AY49" s="1"/>
  <c r="Z69" i="56"/>
  <c r="AD25" i="53"/>
  <c r="V40" i="58"/>
  <c r="J23" i="53"/>
  <c r="V30" i="58"/>
  <c r="V73"/>
  <c r="AA8"/>
  <c r="AD7" i="56"/>
  <c r="J46" i="53"/>
  <c r="K46" s="1"/>
  <c r="AE34"/>
  <c r="AD9"/>
  <c r="J15"/>
  <c r="K15" s="1"/>
  <c r="AD10"/>
  <c r="AD22"/>
  <c r="AD48"/>
  <c r="BB48" s="1"/>
  <c r="AD45"/>
  <c r="R12" i="47"/>
  <c r="R11" s="1"/>
  <c r="K22" i="53"/>
  <c r="J21"/>
  <c r="K21" s="1"/>
  <c r="X44"/>
  <c r="R38" i="47"/>
  <c r="X70" i="53"/>
  <c r="X16"/>
  <c r="X15" s="1"/>
  <c r="X27"/>
  <c r="X40" i="56"/>
  <c r="X8" i="53"/>
  <c r="X7" s="1"/>
  <c r="BB35" i="56"/>
  <c r="AD34" i="55"/>
  <c r="BB34" s="1"/>
  <c r="AD45"/>
  <c r="AD42"/>
  <c r="AD47"/>
  <c r="AD24" i="58"/>
  <c r="AD10"/>
  <c r="BB10" s="1"/>
  <c r="AE10"/>
  <c r="AD43"/>
  <c r="AE43" s="1"/>
  <c r="AD40"/>
  <c r="BB40" s="1"/>
  <c r="AD30"/>
  <c r="AE30" s="1"/>
  <c r="AD47"/>
  <c r="BB47" s="1"/>
  <c r="J11"/>
  <c r="AD9" i="47"/>
  <c r="AE9" s="1"/>
  <c r="AD51"/>
  <c r="AD14"/>
  <c r="AE14" s="1"/>
  <c r="AD35"/>
  <c r="BB35"/>
  <c r="X9" i="53"/>
  <c r="X72"/>
  <c r="X52"/>
  <c r="Y11" i="56"/>
  <c r="AD9" i="58"/>
  <c r="AD45"/>
  <c r="AD19"/>
  <c r="BB19" s="1"/>
  <c r="AD44"/>
  <c r="AE44" s="1"/>
  <c r="AD16"/>
  <c r="AD13"/>
  <c r="BB13" s="1"/>
  <c r="AD18"/>
  <c r="AE18"/>
  <c r="AE52" i="53"/>
  <c r="AD48" i="47"/>
  <c r="AD26"/>
  <c r="AD28"/>
  <c r="BB28" s="1"/>
  <c r="AD25"/>
  <c r="AD13"/>
  <c r="BB13" i="53"/>
  <c r="AE13"/>
  <c r="K23" i="47"/>
  <c r="J22"/>
  <c r="K22" s="1"/>
  <c r="AD21"/>
  <c r="AD49"/>
  <c r="AD20"/>
  <c r="AD17"/>
  <c r="AD31"/>
  <c r="AE31" s="1"/>
  <c r="AD10"/>
  <c r="BB10" s="1"/>
  <c r="AD19"/>
  <c r="AD18"/>
  <c r="AD40"/>
  <c r="X50" i="53"/>
  <c r="R25" i="47"/>
  <c r="R24" s="1"/>
  <c r="X43" i="56"/>
  <c r="X43" i="53"/>
  <c r="X10"/>
  <c r="X40"/>
  <c r="X69" i="56"/>
  <c r="X45" i="53"/>
  <c r="X72" i="56"/>
  <c r="AD50" i="58"/>
  <c r="AE50"/>
  <c r="AD26"/>
  <c r="AE26" s="1"/>
  <c r="AD22"/>
  <c r="AD12"/>
  <c r="BB12"/>
  <c r="AD25"/>
  <c r="BB46" i="47"/>
  <c r="AD41"/>
  <c r="BB41" s="1"/>
  <c r="AD36"/>
  <c r="AD12"/>
  <c r="BB12"/>
  <c r="AD8"/>
  <c r="J7"/>
  <c r="X10" i="56"/>
  <c r="W31"/>
  <c r="W42" s="1"/>
  <c r="K12" i="58"/>
  <c r="BB13" i="47"/>
  <c r="AE13"/>
  <c r="K22" i="58"/>
  <c r="AD11" i="47"/>
  <c r="J42" i="58"/>
  <c r="K42" s="1"/>
  <c r="BB9" i="47"/>
  <c r="J7" i="58"/>
  <c r="K8"/>
  <c r="T44"/>
  <c r="T25"/>
  <c r="T45"/>
  <c r="X30" i="56"/>
  <c r="X25"/>
  <c r="X44"/>
  <c r="X73"/>
  <c r="AD35" i="58"/>
  <c r="AD27"/>
  <c r="AE27" s="1"/>
  <c r="AE27" i="47"/>
  <c r="BB27"/>
  <c r="BB24" i="56"/>
  <c r="AE24"/>
  <c r="AE23" i="47"/>
  <c r="AE48" i="56"/>
  <c r="BB48"/>
  <c r="K24" i="58"/>
  <c r="J23"/>
  <c r="K23" s="1"/>
  <c r="BB45" i="47"/>
  <c r="AE45"/>
  <c r="J46" i="58"/>
  <c r="K46" s="1"/>
  <c r="R27" i="47"/>
  <c r="V8" i="58"/>
  <c r="V7" s="1"/>
  <c r="X20" i="56"/>
  <c r="X13" i="53"/>
  <c r="AD25" i="55"/>
  <c r="AD22"/>
  <c r="AD39"/>
  <c r="AD8"/>
  <c r="BB8" s="1"/>
  <c r="J15"/>
  <c r="K15" s="1"/>
  <c r="K16"/>
  <c r="K12"/>
  <c r="J11"/>
  <c r="K11" s="1"/>
  <c r="K24"/>
  <c r="J23"/>
  <c r="K23"/>
  <c r="V43" i="58"/>
  <c r="V69" i="55"/>
  <c r="R46"/>
  <c r="J42"/>
  <c r="K43"/>
  <c r="R45" i="47"/>
  <c r="V26" i="58"/>
  <c r="V24"/>
  <c r="V23"/>
  <c r="J46" i="55"/>
  <c r="K46" s="1"/>
  <c r="K47"/>
  <c r="K26" i="47"/>
  <c r="J24"/>
  <c r="K24" s="1"/>
  <c r="AE40" i="56"/>
  <c r="BB39" i="53"/>
  <c r="AE34" i="55"/>
  <c r="T70" i="58"/>
  <c r="T8"/>
  <c r="T7" s="1"/>
  <c r="T73"/>
  <c r="T27"/>
  <c r="T10"/>
  <c r="T30"/>
  <c r="K49" i="47"/>
  <c r="J47"/>
  <c r="K47" s="1"/>
  <c r="X9" i="56"/>
  <c r="X12"/>
  <c r="X11" s="1"/>
  <c r="X13"/>
  <c r="X70"/>
  <c r="X16"/>
  <c r="X15" s="1"/>
  <c r="X26"/>
  <c r="X19"/>
  <c r="X22"/>
  <c r="X21" s="1"/>
  <c r="X27"/>
  <c r="X45"/>
  <c r="X52"/>
  <c r="S42"/>
  <c r="T31"/>
  <c r="AE16"/>
  <c r="BB39"/>
  <c r="AD46" i="53"/>
  <c r="BB46" s="1"/>
  <c r="AE47"/>
  <c r="BB47"/>
  <c r="X12"/>
  <c r="X11" s="1"/>
  <c r="AD15"/>
  <c r="BB24"/>
  <c r="AE24"/>
  <c r="AD11"/>
  <c r="AE12"/>
  <c r="BB12"/>
  <c r="AE13" i="55"/>
  <c r="BB27"/>
  <c r="AE27"/>
  <c r="AE40"/>
  <c r="BB40"/>
  <c r="BB45" i="58"/>
  <c r="AE45"/>
  <c r="AE19"/>
  <c r="BB16"/>
  <c r="BB18"/>
  <c r="T43"/>
  <c r="T72"/>
  <c r="T46"/>
  <c r="BB47" i="56"/>
  <c r="AE47"/>
  <c r="AD46"/>
  <c r="BB30" i="53"/>
  <c r="BB45" i="55"/>
  <c r="BB22" i="58"/>
  <c r="AD21"/>
  <c r="AE22"/>
  <c r="AD11"/>
  <c r="BB11" s="1"/>
  <c r="T12"/>
  <c r="T11" s="1"/>
  <c r="T52"/>
  <c r="S31"/>
  <c r="S42" s="1"/>
  <c r="Z44" i="56"/>
  <c r="T24" i="58"/>
  <c r="T23" s="1"/>
  <c r="V10"/>
  <c r="Z43" i="56"/>
  <c r="Z8"/>
  <c r="Z7" s="1"/>
  <c r="V22" i="58"/>
  <c r="V21" s="1"/>
  <c r="T13"/>
  <c r="T20"/>
  <c r="K44" i="47"/>
  <c r="J43"/>
  <c r="X37" i="53"/>
  <c r="X19"/>
  <c r="X26"/>
  <c r="X25"/>
  <c r="X22"/>
  <c r="X21" s="1"/>
  <c r="T9" i="58"/>
  <c r="T16"/>
  <c r="T15" s="1"/>
  <c r="X24" i="56"/>
  <c r="X23" s="1"/>
  <c r="AE34"/>
  <c r="BB34"/>
  <c r="AD42"/>
  <c r="BB10"/>
  <c r="AE10"/>
  <c r="AE8" i="53"/>
  <c r="AD33"/>
  <c r="AE33" s="1"/>
  <c r="BB40"/>
  <c r="AE40"/>
  <c r="J11" i="47"/>
  <c r="AE30" i="55"/>
  <c r="BB30"/>
  <c r="BB43"/>
  <c r="AE43"/>
  <c r="AE44"/>
  <c r="BB44"/>
  <c r="BB10"/>
  <c r="AE10"/>
  <c r="X24" i="53"/>
  <c r="X23" s="1"/>
  <c r="BB24" i="58"/>
  <c r="AE24"/>
  <c r="BB43"/>
  <c r="AE40"/>
  <c r="AE47"/>
  <c r="AE21" i="56"/>
  <c r="W31" i="55"/>
  <c r="W42" s="1"/>
  <c r="Z22" i="56"/>
  <c r="Z21" s="1"/>
  <c r="AE25"/>
  <c r="AE47" i="55"/>
  <c r="BB47"/>
  <c r="AD46"/>
  <c r="T40" i="58"/>
  <c r="T26"/>
  <c r="R10" i="47"/>
  <c r="R44"/>
  <c r="R13"/>
  <c r="R31"/>
  <c r="R8"/>
  <c r="R7" s="1"/>
  <c r="T19" i="58"/>
  <c r="T69"/>
  <c r="Z37" i="56"/>
  <c r="W31" i="58"/>
  <c r="T22"/>
  <c r="T21" s="1"/>
  <c r="K19" i="47"/>
  <c r="X73" i="53"/>
  <c r="X8" i="56"/>
  <c r="X7" s="1"/>
  <c r="X50"/>
  <c r="BB12"/>
  <c r="AE12"/>
  <c r="AD11"/>
  <c r="AE11" s="1"/>
  <c r="BB13"/>
  <c r="AE13"/>
  <c r="AE27"/>
  <c r="BB27"/>
  <c r="J29"/>
  <c r="AE43" i="53"/>
  <c r="BB43"/>
  <c r="AE26" i="55"/>
  <c r="BB26"/>
  <c r="AD15"/>
  <c r="BB16"/>
  <c r="AE16"/>
  <c r="BB12"/>
  <c r="AE12"/>
  <c r="BB9"/>
  <c r="AE9"/>
  <c r="AE9" i="58"/>
  <c r="BB9"/>
  <c r="AE20"/>
  <c r="BB20"/>
  <c r="AE34"/>
  <c r="AE8"/>
  <c r="BB8"/>
  <c r="BB52"/>
  <c r="AE52"/>
  <c r="BB39"/>
  <c r="AE39"/>
  <c r="BB48"/>
  <c r="K11" i="53"/>
  <c r="T50" i="58"/>
  <c r="X69" i="53"/>
  <c r="AA45" i="56"/>
  <c r="Z45"/>
  <c r="AA20" i="58"/>
  <c r="AA69"/>
  <c r="AA52" i="56"/>
  <c r="Z52"/>
  <c r="AA25" i="53"/>
  <c r="AA44" i="55"/>
  <c r="AA45" i="58"/>
  <c r="AA19"/>
  <c r="T31" i="53"/>
  <c r="S42"/>
  <c r="Y46"/>
  <c r="AA72"/>
  <c r="AA69" i="55"/>
  <c r="V46" i="53"/>
  <c r="V16" i="58"/>
  <c r="V15" s="1"/>
  <c r="V12"/>
  <c r="V11" s="1"/>
  <c r="V13"/>
  <c r="V45"/>
  <c r="V19"/>
  <c r="V27"/>
  <c r="V69"/>
  <c r="AA25" i="56"/>
  <c r="Z25"/>
  <c r="AA9" i="53"/>
  <c r="AA45"/>
  <c r="AA9" i="58"/>
  <c r="V20"/>
  <c r="AA20" i="55"/>
  <c r="V72"/>
  <c r="V24"/>
  <c r="V23" s="1"/>
  <c r="V52"/>
  <c r="V70"/>
  <c r="V9"/>
  <c r="V26"/>
  <c r="V22"/>
  <c r="V21" s="1"/>
  <c r="V46"/>
  <c r="V43"/>
  <c r="V50"/>
  <c r="V16"/>
  <c r="V15" s="1"/>
  <c r="AA40"/>
  <c r="V72" i="58"/>
  <c r="V44" i="53"/>
  <c r="V70"/>
  <c r="V46" i="58"/>
  <c r="V27" i="55"/>
  <c r="V19" i="53"/>
  <c r="V70" i="58"/>
  <c r="AA12"/>
  <c r="Y11"/>
  <c r="V16" i="53"/>
  <c r="V15" s="1"/>
  <c r="AA40"/>
  <c r="V9" i="58"/>
  <c r="AA13" i="56"/>
  <c r="Z13"/>
  <c r="V20" i="55"/>
  <c r="AA22" i="53"/>
  <c r="Y21"/>
  <c r="AA21" s="1"/>
  <c r="AA69"/>
  <c r="Y7"/>
  <c r="Z52" s="1"/>
  <c r="AA8"/>
  <c r="Y15" i="58"/>
  <c r="AA15"/>
  <c r="AA16"/>
  <c r="V25"/>
  <c r="AA16" i="53"/>
  <c r="Y15"/>
  <c r="AA15" s="1"/>
  <c r="V8" i="55"/>
  <c r="V7" s="1"/>
  <c r="Z12" i="56"/>
  <c r="Z11" s="1"/>
  <c r="AA9" i="55"/>
  <c r="AA20" i="53"/>
  <c r="AA37" i="58"/>
  <c r="Z9" i="56"/>
  <c r="AA9"/>
  <c r="Y23" i="58"/>
  <c r="AA23"/>
  <c r="AA24"/>
  <c r="V40" i="53"/>
  <c r="V24"/>
  <c r="V23" s="1"/>
  <c r="V72"/>
  <c r="V69"/>
  <c r="V13"/>
  <c r="V30"/>
  <c r="V52"/>
  <c r="V26"/>
  <c r="U31"/>
  <c r="V43"/>
  <c r="V50"/>
  <c r="V37"/>
  <c r="Z50"/>
  <c r="AA19" i="56"/>
  <c r="Z19"/>
  <c r="Z24" i="53"/>
  <c r="Z23"/>
  <c r="Y23"/>
  <c r="AA23"/>
  <c r="AA24"/>
  <c r="AA73" i="56"/>
  <c r="Z73"/>
  <c r="V12" i="53"/>
  <c r="V11" s="1"/>
  <c r="V25"/>
  <c r="AA72" i="58"/>
  <c r="Y23" i="55"/>
  <c r="AA23" s="1"/>
  <c r="AA24"/>
  <c r="V44" i="58"/>
  <c r="V52"/>
  <c r="V10" i="53"/>
  <c r="V50" i="58"/>
  <c r="AA30" i="56"/>
  <c r="Z30"/>
  <c r="AA19" i="55"/>
  <c r="V73" i="53"/>
  <c r="AA25" i="58"/>
  <c r="AA50"/>
  <c r="V19" i="55"/>
  <c r="V45" i="53"/>
  <c r="AA27" i="58"/>
  <c r="Y15" i="55"/>
  <c r="AA15"/>
  <c r="AA16"/>
  <c r="AA22"/>
  <c r="Y21"/>
  <c r="AA21"/>
  <c r="AA27" i="53"/>
  <c r="Z27"/>
  <c r="Y15" i="56"/>
  <c r="AA15"/>
  <c r="Z16"/>
  <c r="Z15"/>
  <c r="AA16"/>
  <c r="AA26" i="55"/>
  <c r="Y23" i="56"/>
  <c r="AA23" s="1"/>
  <c r="AA24"/>
  <c r="Z24"/>
  <c r="Z23"/>
  <c r="V8" i="53"/>
  <c r="V7"/>
  <c r="AA10" i="58"/>
  <c r="AA30" i="55"/>
  <c r="V20" i="53"/>
  <c r="Y47" i="47"/>
  <c r="AA47" s="1"/>
  <c r="AA73"/>
  <c r="AA12" i="53"/>
  <c r="Y11"/>
  <c r="AA11" s="1"/>
  <c r="V30" i="55"/>
  <c r="AA22" i="58"/>
  <c r="Y21"/>
  <c r="AA21" s="1"/>
  <c r="V40" i="55"/>
  <c r="V22" i="53"/>
  <c r="V21" s="1"/>
  <c r="AA30"/>
  <c r="AA31" i="47"/>
  <c r="AA43" i="55"/>
  <c r="Y24" i="47"/>
  <c r="AA24"/>
  <c r="AA25"/>
  <c r="AA73" i="58"/>
  <c r="Y46"/>
  <c r="AA10" i="56"/>
  <c r="Z10"/>
  <c r="AA27"/>
  <c r="Z27"/>
  <c r="X46"/>
  <c r="R31" i="55"/>
  <c r="Q42"/>
  <c r="AA72"/>
  <c r="Y46"/>
  <c r="AA38" i="47"/>
  <c r="R74"/>
  <c r="R23"/>
  <c r="R22" s="1"/>
  <c r="R73"/>
  <c r="R71"/>
  <c r="R28"/>
  <c r="R41"/>
  <c r="R51"/>
  <c r="R17"/>
  <c r="R16" s="1"/>
  <c r="R70"/>
  <c r="R46"/>
  <c r="R53"/>
  <c r="R20"/>
  <c r="AA44" i="58"/>
  <c r="AA70" i="56"/>
  <c r="Z70"/>
  <c r="Y11" i="47"/>
  <c r="AA11" s="1"/>
  <c r="AA12"/>
  <c r="AA44" i="53"/>
  <c r="Z44"/>
  <c r="AA13" i="47"/>
  <c r="AA40" i="58"/>
  <c r="AA70" i="55"/>
  <c r="Y7" i="47"/>
  <c r="Z27"/>
  <c r="AA8"/>
  <c r="AA17"/>
  <c r="Y16"/>
  <c r="AA16"/>
  <c r="AA13" i="53"/>
  <c r="Z50" i="56"/>
  <c r="AA26"/>
  <c r="Z26"/>
  <c r="AA52" i="58"/>
  <c r="AA40" i="56"/>
  <c r="Z40"/>
  <c r="AA20"/>
  <c r="Z20"/>
  <c r="AA11" i="55"/>
  <c r="Y22" i="47"/>
  <c r="AA22" s="1"/>
  <c r="AA23"/>
  <c r="Y46" i="56"/>
  <c r="AA72"/>
  <c r="Z72"/>
  <c r="AA27" i="47"/>
  <c r="AA30" i="58"/>
  <c r="AA52" i="55"/>
  <c r="AA26" i="58"/>
  <c r="R21" i="47"/>
  <c r="AD42" i="58"/>
  <c r="AE42" s="1"/>
  <c r="BB50"/>
  <c r="AE45" i="55"/>
  <c r="J14" i="58"/>
  <c r="K14" s="1"/>
  <c r="AE12" i="47"/>
  <c r="AE35"/>
  <c r="X31" i="55"/>
  <c r="X31" i="56"/>
  <c r="AD11" i="55"/>
  <c r="AE11" s="1"/>
  <c r="BB44" i="58"/>
  <c r="AD46"/>
  <c r="BB46" s="1"/>
  <c r="AE28" i="47"/>
  <c r="AE12" i="58"/>
  <c r="Z20" i="53"/>
  <c r="AD7" i="58"/>
  <c r="AE8" i="47"/>
  <c r="AE9" i="53"/>
  <c r="BB9"/>
  <c r="AE22"/>
  <c r="BB22"/>
  <c r="AD21"/>
  <c r="BB21" s="1"/>
  <c r="BB10"/>
  <c r="AE10"/>
  <c r="AE19" i="47"/>
  <c r="BB19"/>
  <c r="AE20"/>
  <c r="BB20"/>
  <c r="BB25"/>
  <c r="AE10"/>
  <c r="AE40"/>
  <c r="BB40"/>
  <c r="AE21"/>
  <c r="BB21"/>
  <c r="BB26"/>
  <c r="AE26"/>
  <c r="BB18"/>
  <c r="AE18"/>
  <c r="BB17"/>
  <c r="AD16"/>
  <c r="AE17"/>
  <c r="AE48"/>
  <c r="AD47"/>
  <c r="BB48"/>
  <c r="T31" i="58"/>
  <c r="BB35"/>
  <c r="AE35"/>
  <c r="BB27"/>
  <c r="Z40" i="53"/>
  <c r="AE8" i="55"/>
  <c r="BB39"/>
  <c r="AE39"/>
  <c r="AD21"/>
  <c r="AE22"/>
  <c r="BB22"/>
  <c r="W42" i="58"/>
  <c r="X31"/>
  <c r="Z30" i="53"/>
  <c r="Y31" i="56"/>
  <c r="Z25" i="53"/>
  <c r="AE46" i="58"/>
  <c r="J15" i="47"/>
  <c r="K11"/>
  <c r="J31" i="56"/>
  <c r="BB46"/>
  <c r="AE46"/>
  <c r="BB11" i="55"/>
  <c r="BB33" i="53"/>
  <c r="T42" i="56"/>
  <c r="S75"/>
  <c r="Z23" i="47"/>
  <c r="Z22" s="1"/>
  <c r="Z22" i="53"/>
  <c r="Z21" s="1"/>
  <c r="Z9"/>
  <c r="Z13"/>
  <c r="Z12"/>
  <c r="Z11" s="1"/>
  <c r="Z8"/>
  <c r="Z7" s="1"/>
  <c r="BB46" i="55"/>
  <c r="AE46"/>
  <c r="BB21" i="58"/>
  <c r="AE21"/>
  <c r="BB11" i="53"/>
  <c r="AE11"/>
  <c r="U42"/>
  <c r="V31"/>
  <c r="T42"/>
  <c r="S75"/>
  <c r="Z16"/>
  <c r="Z15" s="1"/>
  <c r="Y31"/>
  <c r="Z26"/>
  <c r="Z19"/>
  <c r="Z37"/>
  <c r="Z73"/>
  <c r="Z43"/>
  <c r="Z70"/>
  <c r="Z10"/>
  <c r="Z69"/>
  <c r="Z45"/>
  <c r="Z72"/>
  <c r="AA11" i="58"/>
  <c r="AA46" i="53"/>
  <c r="Z46"/>
  <c r="Z17" i="47"/>
  <c r="Z16"/>
  <c r="AA46" i="56"/>
  <c r="Z46"/>
  <c r="Z13" i="47"/>
  <c r="Z12"/>
  <c r="Z11" s="1"/>
  <c r="AA46" i="58"/>
  <c r="Z38" i="47"/>
  <c r="Q75" i="55"/>
  <c r="R42"/>
  <c r="Z44" i="47"/>
  <c r="Z26"/>
  <c r="Z20"/>
  <c r="Z41"/>
  <c r="Y32"/>
  <c r="Z46"/>
  <c r="Z9"/>
  <c r="Z45"/>
  <c r="Z10"/>
  <c r="Z71"/>
  <c r="Z21"/>
  <c r="Z73"/>
  <c r="Z53"/>
  <c r="Z47"/>
  <c r="Z74"/>
  <c r="Z28"/>
  <c r="Z51"/>
  <c r="Z70"/>
  <c r="Z31"/>
  <c r="Z8"/>
  <c r="Z7" s="1"/>
  <c r="AA46" i="55"/>
  <c r="Z25" i="47"/>
  <c r="Z24"/>
  <c r="AE21" i="53"/>
  <c r="BB47" i="47"/>
  <c r="AE47"/>
  <c r="Z31" i="56"/>
  <c r="Y42"/>
  <c r="BB21" i="55"/>
  <c r="AE21"/>
  <c r="S51" i="56"/>
  <c r="T51" s="1"/>
  <c r="T75"/>
  <c r="J32"/>
  <c r="K32" s="1"/>
  <c r="J36"/>
  <c r="W75" i="58"/>
  <c r="X42"/>
  <c r="Z31" i="53"/>
  <c r="Y42"/>
  <c r="T75"/>
  <c r="S51"/>
  <c r="T51" s="1"/>
  <c r="U75"/>
  <c r="V42"/>
  <c r="R75" i="55"/>
  <c r="Q51"/>
  <c r="R51" s="1"/>
  <c r="Z32" i="47"/>
  <c r="Y43"/>
  <c r="Y75" i="56"/>
  <c r="Z42"/>
  <c r="W51" i="58"/>
  <c r="X51" s="1"/>
  <c r="X75"/>
  <c r="Z42" i="53"/>
  <c r="Y75"/>
  <c r="U51"/>
  <c r="V51"/>
  <c r="V75"/>
  <c r="Y76" i="47"/>
  <c r="Z43"/>
  <c r="Z75" i="56"/>
  <c r="Y51"/>
  <c r="AA75"/>
  <c r="Z75" i="53"/>
  <c r="AA75"/>
  <c r="Y51"/>
  <c r="AA76" i="47"/>
  <c r="Y52"/>
  <c r="Z76"/>
  <c r="Z51" i="56"/>
  <c r="Z51" i="53"/>
  <c r="Z52" i="47"/>
  <c r="W75" i="55" l="1"/>
  <c r="X42"/>
  <c r="S75" i="58"/>
  <c r="T42"/>
  <c r="Z43"/>
  <c r="Z8"/>
  <c r="Z7" s="1"/>
  <c r="Z69"/>
  <c r="Z9"/>
  <c r="Z12"/>
  <c r="Z11" s="1"/>
  <c r="Z37"/>
  <c r="Z24"/>
  <c r="Z23" s="1"/>
  <c r="Z72"/>
  <c r="Z25"/>
  <c r="Z50"/>
  <c r="Z27"/>
  <c r="Z22"/>
  <c r="Z21" s="1"/>
  <c r="Z52"/>
  <c r="Z30"/>
  <c r="Y31"/>
  <c r="Z70"/>
  <c r="Z13"/>
  <c r="Z20"/>
  <c r="Z45"/>
  <c r="Z19"/>
  <c r="Z16"/>
  <c r="Z15" s="1"/>
  <c r="Z10"/>
  <c r="Z73"/>
  <c r="Z44"/>
  <c r="Z40"/>
  <c r="Z26"/>
  <c r="Z46"/>
  <c r="V74" i="47"/>
  <c r="V10"/>
  <c r="V13"/>
  <c r="V47"/>
  <c r="V20"/>
  <c r="V51"/>
  <c r="V21"/>
  <c r="V28"/>
  <c r="V45"/>
  <c r="V8"/>
  <c r="V7" s="1"/>
  <c r="V31"/>
  <c r="V38"/>
  <c r="V12"/>
  <c r="V11" s="1"/>
  <c r="V71"/>
  <c r="V23"/>
  <c r="V22" s="1"/>
  <c r="U32"/>
  <c r="V9"/>
  <c r="V27"/>
  <c r="V41"/>
  <c r="V70"/>
  <c r="V26"/>
  <c r="V73"/>
  <c r="V53"/>
  <c r="V44"/>
  <c r="V17"/>
  <c r="V16" s="1"/>
  <c r="V25"/>
  <c r="V24" s="1"/>
  <c r="V46"/>
  <c r="U42" i="58"/>
  <c r="V31"/>
  <c r="X42" i="56"/>
  <c r="W75"/>
  <c r="Q42" i="58"/>
  <c r="R31"/>
  <c r="R32" i="47"/>
  <c r="Q43"/>
  <c r="S43"/>
  <c r="T32"/>
  <c r="X25"/>
  <c r="X24" s="1"/>
  <c r="X20"/>
  <c r="X38"/>
  <c r="X44"/>
  <c r="X13"/>
  <c r="X70"/>
  <c r="X9"/>
  <c r="X31"/>
  <c r="X8"/>
  <c r="X7" s="1"/>
  <c r="X51"/>
  <c r="X74"/>
  <c r="X53"/>
  <c r="X12"/>
  <c r="X11" s="1"/>
  <c r="X73"/>
  <c r="X27"/>
  <c r="X17"/>
  <c r="X16" s="1"/>
  <c r="X46"/>
  <c r="X21"/>
  <c r="X28"/>
  <c r="X71"/>
  <c r="X45"/>
  <c r="X26"/>
  <c r="X10"/>
  <c r="X41"/>
  <c r="X23"/>
  <c r="X22" s="1"/>
  <c r="W32"/>
  <c r="V31" i="55"/>
  <c r="U42"/>
  <c r="T69"/>
  <c r="T13"/>
  <c r="T22"/>
  <c r="T21" s="1"/>
  <c r="T9"/>
  <c r="T44"/>
  <c r="T52"/>
  <c r="T10"/>
  <c r="T73"/>
  <c r="T8"/>
  <c r="T7" s="1"/>
  <c r="T45"/>
  <c r="T40"/>
  <c r="T19"/>
  <c r="T37"/>
  <c r="T70"/>
  <c r="T26"/>
  <c r="T24"/>
  <c r="T23" s="1"/>
  <c r="T12"/>
  <c r="T11" s="1"/>
  <c r="T43"/>
  <c r="T72"/>
  <c r="T27"/>
  <c r="T16"/>
  <c r="T15" s="1"/>
  <c r="T30"/>
  <c r="T20"/>
  <c r="T25"/>
  <c r="T50"/>
  <c r="S31"/>
  <c r="V46" i="56"/>
  <c r="V10"/>
  <c r="V24"/>
  <c r="V23" s="1"/>
  <c r="V43"/>
  <c r="U31"/>
  <c r="V37"/>
  <c r="V30"/>
  <c r="V13"/>
  <c r="V70"/>
  <c r="V27"/>
  <c r="V69"/>
  <c r="V26"/>
  <c r="V8"/>
  <c r="V7" s="1"/>
  <c r="V40"/>
  <c r="V44"/>
  <c r="V16"/>
  <c r="V15" s="1"/>
  <c r="V22"/>
  <c r="V21" s="1"/>
  <c r="V52"/>
  <c r="V25"/>
  <c r="V12"/>
  <c r="V11" s="1"/>
  <c r="V45"/>
  <c r="V19"/>
  <c r="V50"/>
  <c r="V73"/>
  <c r="V72"/>
  <c r="V20"/>
  <c r="V9"/>
  <c r="R31" i="53"/>
  <c r="Q42"/>
  <c r="Q31" i="56"/>
  <c r="X47" i="47"/>
  <c r="T46" i="55"/>
  <c r="D9" i="43" a="1"/>
  <c r="D9" s="1"/>
  <c r="F9" s="1"/>
  <c r="E8" a="1"/>
  <c r="E8" s="1"/>
  <c r="X31" i="53"/>
  <c r="W42"/>
  <c r="Z8" i="55"/>
  <c r="Z7" s="1"/>
  <c r="Z27"/>
  <c r="Z37"/>
  <c r="Z12"/>
  <c r="Z11" s="1"/>
  <c r="Z73"/>
  <c r="Z45"/>
  <c r="Z69"/>
  <c r="Z9"/>
  <c r="Z19"/>
  <c r="Z16"/>
  <c r="Z15" s="1"/>
  <c r="Z22"/>
  <c r="Z21" s="1"/>
  <c r="Z26"/>
  <c r="Z43"/>
  <c r="Z72"/>
  <c r="Y31"/>
  <c r="Z10"/>
  <c r="Z25"/>
  <c r="Z13"/>
  <c r="Z44"/>
  <c r="Z20"/>
  <c r="Z40"/>
  <c r="Z24"/>
  <c r="Z23" s="1"/>
  <c r="Z30"/>
  <c r="Z70"/>
  <c r="Z50"/>
  <c r="Z52"/>
  <c r="Z46"/>
  <c r="AE44" i="47"/>
  <c r="BB44"/>
  <c r="AD43"/>
  <c r="BB27" i="53"/>
  <c r="AE27"/>
  <c r="BD46" i="45"/>
  <c r="Y44"/>
  <c r="AC46"/>
  <c r="BD40"/>
  <c r="AC40"/>
  <c r="AC24"/>
  <c r="BD24"/>
  <c r="AJ15"/>
  <c r="AQ15"/>
  <c r="U13"/>
  <c r="T12"/>
  <c r="AG13"/>
  <c r="Y13"/>
  <c r="AB19"/>
  <c r="AB21"/>
  <c r="AB29"/>
  <c r="AB45"/>
  <c r="AB36"/>
  <c r="AB46"/>
  <c r="AB49"/>
  <c r="AB13"/>
  <c r="AB32"/>
  <c r="AB23"/>
  <c r="AB16"/>
  <c r="AB27"/>
  <c r="AB26"/>
  <c r="AB30"/>
  <c r="AB20"/>
  <c r="AB25"/>
  <c r="AB31"/>
  <c r="AB12"/>
  <c r="AB4"/>
  <c r="AB50"/>
  <c r="AB42"/>
  <c r="AB48"/>
  <c r="AB9"/>
  <c r="AB43"/>
  <c r="AB18"/>
  <c r="AB17"/>
  <c r="AB33"/>
  <c r="AB53"/>
  <c r="AB5"/>
  <c r="AB28"/>
  <c r="AB10"/>
  <c r="AB24"/>
  <c r="AB14"/>
  <c r="AB8"/>
  <c r="AB39"/>
  <c r="AN10"/>
  <c r="AN11"/>
  <c r="AN14"/>
  <c r="AN15"/>
  <c r="AN16"/>
  <c r="AN21"/>
  <c r="AN4"/>
  <c r="AN5"/>
  <c r="AN6"/>
  <c r="AJ10"/>
  <c r="AJ11"/>
  <c r="AJ16"/>
  <c r="AJ21"/>
  <c r="AJ4"/>
  <c r="AJ5"/>
  <c r="AJ6"/>
  <c r="U5"/>
  <c r="T9"/>
  <c r="U10"/>
  <c r="U11"/>
  <c r="U15"/>
  <c r="U25"/>
  <c r="U31"/>
  <c r="U33"/>
  <c r="U39"/>
  <c r="U42"/>
  <c r="U43"/>
  <c r="U46"/>
  <c r="U49"/>
  <c r="U50"/>
  <c r="U6"/>
  <c r="U24"/>
  <c r="U27"/>
  <c r="U29"/>
  <c r="U30"/>
  <c r="U36"/>
  <c r="U45"/>
  <c r="U48"/>
  <c r="AH40" i="47"/>
  <c r="N40"/>
  <c r="N24"/>
  <c r="N16"/>
  <c r="AH11"/>
  <c r="AC11"/>
  <c r="AB7"/>
  <c r="AC8"/>
  <c r="AH8"/>
  <c r="AB42" i="55"/>
  <c r="N39"/>
  <c r="J29" i="58"/>
  <c r="K29" s="1"/>
  <c r="AY30" i="47"/>
  <c r="U22" i="45"/>
  <c r="O19"/>
  <c r="AB24" i="47"/>
  <c r="AS30"/>
  <c r="AS32" s="1"/>
  <c r="AI44" i="45"/>
  <c r="AJ44" s="1"/>
  <c r="AJ45"/>
  <c r="I53"/>
  <c r="I54"/>
  <c r="AC29"/>
  <c r="AD29" s="1"/>
  <c r="BD29"/>
  <c r="AC27"/>
  <c r="AD27" s="1"/>
  <c r="BD27"/>
  <c r="AJ23"/>
  <c r="AC20"/>
  <c r="AD20" s="1"/>
  <c r="BD20"/>
  <c r="AG18"/>
  <c r="T17"/>
  <c r="Y18"/>
  <c r="U18"/>
  <c r="AC19"/>
  <c r="AD19" s="1"/>
  <c r="BD19"/>
  <c r="AG3"/>
  <c r="AH6"/>
  <c r="BD5"/>
  <c r="AC5"/>
  <c r="AP5"/>
  <c r="AP6"/>
  <c r="AP14"/>
  <c r="AP15"/>
  <c r="AP4"/>
  <c r="AP10"/>
  <c r="AP11"/>
  <c r="AP16"/>
  <c r="AP21"/>
  <c r="AL5"/>
  <c r="AL6"/>
  <c r="AL15"/>
  <c r="AL4"/>
  <c r="AL10"/>
  <c r="AL11"/>
  <c r="AL16"/>
  <c r="AL21"/>
  <c r="O42"/>
  <c r="O29"/>
  <c r="O13"/>
  <c r="O9"/>
  <c r="O6"/>
  <c r="O43"/>
  <c r="O48"/>
  <c r="O46"/>
  <c r="O47"/>
  <c r="O27"/>
  <c r="O15"/>
  <c r="O14"/>
  <c r="O8"/>
  <c r="O7" s="1"/>
  <c r="O24"/>
  <c r="O25"/>
  <c r="O30"/>
  <c r="O49"/>
  <c r="O10"/>
  <c r="O36"/>
  <c r="O39"/>
  <c r="O23"/>
  <c r="O45"/>
  <c r="O50"/>
  <c r="O5"/>
  <c r="O31"/>
  <c r="O33"/>
  <c r="O18"/>
  <c r="O4"/>
  <c r="O3" s="1"/>
  <c r="O20"/>
  <c r="O44"/>
  <c r="N38"/>
  <c r="AH45" i="47"/>
  <c r="AB43"/>
  <c r="AC45"/>
  <c r="G43"/>
  <c r="N45"/>
  <c r="AH27"/>
  <c r="AC27"/>
  <c r="AB16"/>
  <c r="AC17"/>
  <c r="AH17"/>
  <c r="N11"/>
  <c r="G30"/>
  <c r="G7"/>
  <c r="H40" s="1"/>
  <c r="N8"/>
  <c r="M46" i="55"/>
  <c r="N46" s="1"/>
  <c r="N47"/>
  <c r="G42"/>
  <c r="N43"/>
  <c r="AH39"/>
  <c r="K43" i="47"/>
  <c r="AD15" i="58"/>
  <c r="K11"/>
  <c r="AC22" i="47"/>
  <c r="AC10"/>
  <c r="AH26" i="55"/>
  <c r="AH11"/>
  <c r="AG7"/>
  <c r="M8"/>
  <c r="AH39" i="56"/>
  <c r="M21"/>
  <c r="N22"/>
  <c r="AG15"/>
  <c r="M16"/>
  <c r="AB15"/>
  <c r="AH16"/>
  <c r="AG44" i="45"/>
  <c r="AH44" s="1"/>
  <c r="T22"/>
  <c r="AK14"/>
  <c r="U14"/>
  <c r="Q3"/>
  <c r="AO47" i="47"/>
  <c r="AP43"/>
  <c r="H41"/>
  <c r="AZ34"/>
  <c r="AW34"/>
  <c r="AQ34"/>
  <c r="AQ37" s="1"/>
  <c r="AQ39" s="1"/>
  <c r="AQ42" s="1"/>
  <c r="AQ50" s="1"/>
  <c r="K34"/>
  <c r="AW16"/>
  <c r="AC12"/>
  <c r="AW46" i="55"/>
  <c r="AO46"/>
  <c r="AG46"/>
  <c r="AH46" s="1"/>
  <c r="AQ42"/>
  <c r="AG44"/>
  <c r="M44" s="1"/>
  <c r="N44" s="1"/>
  <c r="AO42"/>
  <c r="AG42"/>
  <c r="AB23"/>
  <c r="AG42" i="56"/>
  <c r="AV29"/>
  <c r="AV31" s="1"/>
  <c r="AG23" i="55"/>
  <c r="M24"/>
  <c r="M21"/>
  <c r="N21" s="1"/>
  <c r="N22"/>
  <c r="AG15"/>
  <c r="M16"/>
  <c r="AB15"/>
  <c r="AH16"/>
  <c r="H15"/>
  <c r="H11"/>
  <c r="G29"/>
  <c r="G7"/>
  <c r="H8"/>
  <c r="N8"/>
  <c r="AB7"/>
  <c r="AC39" s="1"/>
  <c r="AH8"/>
  <c r="N39" i="56"/>
  <c r="AG23"/>
  <c r="M24"/>
  <c r="AH24"/>
  <c r="D54" i="45"/>
  <c r="AP49"/>
  <c r="AN49"/>
  <c r="AL49"/>
  <c r="AJ49"/>
  <c r="AO45"/>
  <c r="AM45"/>
  <c r="AK45"/>
  <c r="AO40"/>
  <c r="AM40"/>
  <c r="AN40" s="1"/>
  <c r="AK40"/>
  <c r="AL40" s="1"/>
  <c r="AO39"/>
  <c r="AM39"/>
  <c r="AN39" s="1"/>
  <c r="AK39"/>
  <c r="AL39" s="1"/>
  <c r="AM35"/>
  <c r="AQ35" s="1"/>
  <c r="AO34"/>
  <c r="AM34"/>
  <c r="AN34" s="1"/>
  <c r="AK34"/>
  <c r="AL34" s="1"/>
  <c r="AO33"/>
  <c r="AM33"/>
  <c r="AN33" s="1"/>
  <c r="AK33"/>
  <c r="AL33" s="1"/>
  <c r="BD32"/>
  <c r="AO30"/>
  <c r="AM30"/>
  <c r="AN30" s="1"/>
  <c r="AK30"/>
  <c r="AL30" s="1"/>
  <c r="AG27"/>
  <c r="BD26"/>
  <c r="AO23"/>
  <c r="AM23"/>
  <c r="AK23"/>
  <c r="AG20"/>
  <c r="AO19"/>
  <c r="AM19"/>
  <c r="AN19" s="1"/>
  <c r="AK19"/>
  <c r="AL19" s="1"/>
  <c r="U19"/>
  <c r="U4"/>
  <c r="U3" s="1"/>
  <c r="AW47" i="47"/>
  <c r="AU47"/>
  <c r="AU50" s="1"/>
  <c r="AR47"/>
  <c r="AC46"/>
  <c r="AQ43"/>
  <c r="AR34"/>
  <c r="AP34"/>
  <c r="AP37" s="1"/>
  <c r="AP39" s="1"/>
  <c r="AP42" s="1"/>
  <c r="AZ16"/>
  <c r="AZ30" s="1"/>
  <c r="AZ32" s="1"/>
  <c r="AZ37" s="1"/>
  <c r="AZ39" s="1"/>
  <c r="AZ42" s="1"/>
  <c r="AZ50" s="1"/>
  <c r="H17"/>
  <c r="BA9"/>
  <c r="BA8"/>
  <c r="AZ46" i="55"/>
  <c r="AV46"/>
  <c r="AS42"/>
  <c r="AH43"/>
  <c r="M40"/>
  <c r="N40" s="1"/>
  <c r="AH35"/>
  <c r="M35"/>
  <c r="N35" s="1"/>
  <c r="N12" i="56"/>
  <c r="AH11"/>
  <c r="AH10"/>
  <c r="N10"/>
  <c r="AB8"/>
  <c r="BB8" s="1"/>
  <c r="AH9"/>
  <c r="N11" i="58"/>
  <c r="N7"/>
  <c r="M14"/>
  <c r="N14" s="1"/>
  <c r="AC44" i="53"/>
  <c r="AH44"/>
  <c r="AB42"/>
  <c r="K39"/>
  <c r="N39"/>
  <c r="AC26"/>
  <c r="AH26"/>
  <c r="M21"/>
  <c r="N22"/>
  <c r="G29"/>
  <c r="AH7"/>
  <c r="AC9"/>
  <c r="AC10"/>
  <c r="AC12"/>
  <c r="AB14"/>
  <c r="AC20"/>
  <c r="AC22"/>
  <c r="AC27"/>
  <c r="AC33"/>
  <c r="AC35"/>
  <c r="AC37"/>
  <c r="AC40"/>
  <c r="AC43"/>
  <c r="AC19"/>
  <c r="AC25"/>
  <c r="AC28"/>
  <c r="AC34"/>
  <c r="AC47"/>
  <c r="AC48"/>
  <c r="AC52"/>
  <c r="AZ33" i="55"/>
  <c r="AO33"/>
  <c r="AO36" s="1"/>
  <c r="AO38" s="1"/>
  <c r="AO41" s="1"/>
  <c r="AO49" s="1"/>
  <c r="AO50" s="1"/>
  <c r="AO54" s="1"/>
  <c r="N34"/>
  <c r="AH33"/>
  <c r="K33"/>
  <c r="AH27"/>
  <c r="AC27"/>
  <c r="N26"/>
  <c r="AH24"/>
  <c r="AC24"/>
  <c r="AH22"/>
  <c r="AG21"/>
  <c r="AH21" s="1"/>
  <c r="AX15"/>
  <c r="AR11"/>
  <c r="AP11"/>
  <c r="AP14" s="1"/>
  <c r="M9"/>
  <c r="N9" s="1"/>
  <c r="AU46" i="56"/>
  <c r="M46"/>
  <c r="M45"/>
  <c r="AU42"/>
  <c r="AS42"/>
  <c r="AB44"/>
  <c r="G44"/>
  <c r="AT42"/>
  <c r="M42"/>
  <c r="M30"/>
  <c r="N30" s="1"/>
  <c r="AB26"/>
  <c r="AG21"/>
  <c r="AP15"/>
  <c r="G11"/>
  <c r="M23" i="58"/>
  <c r="N23" s="1"/>
  <c r="H26" i="53"/>
  <c r="AB23"/>
  <c r="M42" i="58"/>
  <c r="N42" s="1"/>
  <c r="N43"/>
  <c r="G42" i="53"/>
  <c r="H44"/>
  <c r="N44"/>
  <c r="AC39"/>
  <c r="AH39"/>
  <c r="AG23"/>
  <c r="M24"/>
  <c r="AG15"/>
  <c r="AG29" s="1"/>
  <c r="AG31" s="1"/>
  <c r="AG36" s="1"/>
  <c r="AG38" s="1"/>
  <c r="AG41" s="1"/>
  <c r="AG49" s="1"/>
  <c r="M16"/>
  <c r="M15" s="1"/>
  <c r="H15"/>
  <c r="N15"/>
  <c r="AC11"/>
  <c r="AH11"/>
  <c r="G7"/>
  <c r="AG14"/>
  <c r="AV33" i="55"/>
  <c r="M27"/>
  <c r="N27" s="1"/>
  <c r="AY23"/>
  <c r="AP23"/>
  <c r="AZ23"/>
  <c r="AV23"/>
  <c r="AQ23"/>
  <c r="M18"/>
  <c r="N18" s="1"/>
  <c r="AZ15"/>
  <c r="AS11"/>
  <c r="M12"/>
  <c r="AH10"/>
  <c r="N10"/>
  <c r="H10"/>
  <c r="AH9"/>
  <c r="AC9"/>
  <c r="BA8"/>
  <c r="AR46" i="56"/>
  <c r="N46"/>
  <c r="AH45"/>
  <c r="N45"/>
  <c r="AV42"/>
  <c r="AR42"/>
  <c r="AW42"/>
  <c r="AQ42"/>
  <c r="M40"/>
  <c r="N40" s="1"/>
  <c r="AW33"/>
  <c r="AQ33"/>
  <c r="AH35"/>
  <c r="AV33"/>
  <c r="AR33"/>
  <c r="AH34"/>
  <c r="M34"/>
  <c r="AH30"/>
  <c r="N26"/>
  <c r="AH25"/>
  <c r="M25"/>
  <c r="N25" s="1"/>
  <c r="AH22"/>
  <c r="AH21"/>
  <c r="N21"/>
  <c r="BB18"/>
  <c r="AU15"/>
  <c r="AU29" s="1"/>
  <c r="AU31" s="1"/>
  <c r="AU36" s="1"/>
  <c r="AU38" s="1"/>
  <c r="AU41" s="1"/>
  <c r="AU49" s="1"/>
  <c r="AU50" s="1"/>
  <c r="AU54" s="1"/>
  <c r="AG8"/>
  <c r="M9"/>
  <c r="N9" s="1"/>
  <c r="G8"/>
  <c r="M46" i="58"/>
  <c r="N46" s="1"/>
  <c r="AG29"/>
  <c r="AG42" i="53"/>
  <c r="H21"/>
  <c r="AC18"/>
  <c r="AY11" i="56"/>
  <c r="AW11"/>
  <c r="AS11"/>
  <c r="AS14" s="1"/>
  <c r="N16" i="58"/>
  <c r="N12"/>
  <c r="N8"/>
  <c r="AH48" i="53"/>
  <c r="AH47"/>
  <c r="M47"/>
  <c r="AH46"/>
  <c r="M45"/>
  <c r="N45" s="1"/>
  <c r="N43"/>
  <c r="M40"/>
  <c r="N40" s="1"/>
  <c r="AH34"/>
  <c r="M34"/>
  <c r="AH30"/>
  <c r="AC30"/>
  <c r="N26"/>
  <c r="AH25"/>
  <c r="M25"/>
  <c r="N25" s="1"/>
  <c r="AH24"/>
  <c r="AC24"/>
  <c r="N24"/>
  <c r="H24"/>
  <c r="AH21"/>
  <c r="N21"/>
  <c r="BB18"/>
  <c r="AB16"/>
  <c r="N16"/>
  <c r="H16"/>
  <c r="AH13"/>
  <c r="AC13"/>
  <c r="N12"/>
  <c r="H12"/>
  <c r="AH8"/>
  <c r="AC8"/>
  <c r="M8"/>
  <c r="M7" s="1"/>
  <c r="AV46"/>
  <c r="AO46"/>
  <c r="AP33"/>
  <c r="AQ33" i="58"/>
  <c r="AQ36" s="1"/>
  <c r="AQ38" s="1"/>
  <c r="AQ41" s="1"/>
  <c r="AQ49" s="1"/>
  <c r="AP33"/>
  <c r="AY23"/>
  <c r="AY29" s="1"/>
  <c r="AY31" s="1"/>
  <c r="AY36" s="1"/>
  <c r="AY38" s="1"/>
  <c r="AY41" s="1"/>
  <c r="AY49" s="1"/>
  <c r="AR15" i="53"/>
  <c r="AR29" s="1"/>
  <c r="AR31" s="1"/>
  <c r="AP15"/>
  <c r="AP29" s="1"/>
  <c r="AZ15"/>
  <c r="AW15" i="58"/>
  <c r="M30" i="53"/>
  <c r="N30" s="1"/>
  <c r="M13"/>
  <c r="N13" s="1"/>
  <c r="K40" i="55"/>
  <c r="AR11" i="47"/>
  <c r="AP55"/>
  <c r="AX46" i="58"/>
  <c r="AT46"/>
  <c r="AZ42"/>
  <c r="AX42"/>
  <c r="AT42"/>
  <c r="AR42"/>
  <c r="AR33" i="53"/>
  <c r="AQ14" i="58"/>
  <c r="AW54"/>
  <c r="BB25" i="53"/>
  <c r="AE25"/>
  <c r="AD23"/>
  <c r="BB25" i="58"/>
  <c r="AE25"/>
  <c r="AD23"/>
  <c r="AE49" i="47"/>
  <c r="BB49"/>
  <c r="AE15" i="58"/>
  <c r="BB15"/>
  <c r="AD42" i="53"/>
  <c r="AE45"/>
  <c r="BB45"/>
  <c r="AD22" i="47"/>
  <c r="BB23"/>
  <c r="AE35" i="55"/>
  <c r="BB35"/>
  <c r="AD33"/>
  <c r="AE48"/>
  <c r="BB48"/>
  <c r="K7" i="53"/>
  <c r="J14"/>
  <c r="BB34" i="58"/>
  <c r="AD33"/>
  <c r="AE17"/>
  <c r="BB17"/>
  <c r="AE7"/>
  <c r="BB7"/>
  <c r="AD14"/>
  <c r="AE36" i="47"/>
  <c r="BB36"/>
  <c r="AD34"/>
  <c r="K23" i="53"/>
  <c r="J29"/>
  <c r="K29" s="1"/>
  <c r="J38" i="56"/>
  <c r="AD31" i="58"/>
  <c r="BB42"/>
  <c r="BB30"/>
  <c r="AE13"/>
  <c r="AE11" i="47"/>
  <c r="BB11"/>
  <c r="BB8"/>
  <c r="AD7"/>
  <c r="AE26" i="53"/>
  <c r="BB26"/>
  <c r="K10" i="55"/>
  <c r="J7"/>
  <c r="K22"/>
  <c r="J21"/>
  <c r="AE24"/>
  <c r="BB24"/>
  <c r="AD23"/>
  <c r="BB30" i="56"/>
  <c r="AE30"/>
  <c r="AD29" i="58"/>
  <c r="AE11"/>
  <c r="BB26"/>
  <c r="BB25" i="55"/>
  <c r="AE25"/>
  <c r="K7" i="58"/>
  <c r="J31"/>
  <c r="AD24" i="47"/>
  <c r="AE25"/>
  <c r="BB42" i="55"/>
  <c r="AE42"/>
  <c r="BB16" i="56"/>
  <c r="AD15"/>
  <c r="BB26"/>
  <c r="AE26"/>
  <c r="AD23"/>
  <c r="AE35"/>
  <c r="AD33"/>
  <c r="K17" i="47"/>
  <c r="J16"/>
  <c r="AW15" i="55"/>
  <c r="AQ15"/>
  <c r="AQ29" s="1"/>
  <c r="AQ31" s="1"/>
  <c r="AQ36" s="1"/>
  <c r="AQ38" s="1"/>
  <c r="AQ41" s="1"/>
  <c r="AQ49" s="1"/>
  <c r="AQ50" s="1"/>
  <c r="AQ54" s="1"/>
  <c r="AS14"/>
  <c r="AS29"/>
  <c r="AS31" s="1"/>
  <c r="AS36" s="1"/>
  <c r="AS38" s="1"/>
  <c r="AS41" s="1"/>
  <c r="AS49" s="1"/>
  <c r="AS50" s="1"/>
  <c r="AS54" s="1"/>
  <c r="AV36" i="56"/>
  <c r="AV38" s="1"/>
  <c r="AV41" s="1"/>
  <c r="AV49" s="1"/>
  <c r="AV50" s="1"/>
  <c r="AV54" s="1"/>
  <c r="AY14"/>
  <c r="AX23" i="58"/>
  <c r="AX29" s="1"/>
  <c r="AX31" s="1"/>
  <c r="AX36" s="1"/>
  <c r="AX38" s="1"/>
  <c r="AX41" s="1"/>
  <c r="AX49" s="1"/>
  <c r="AV23"/>
  <c r="AV29" s="1"/>
  <c r="AV31" s="1"/>
  <c r="AV36" s="1"/>
  <c r="AV38" s="1"/>
  <c r="AV41" s="1"/>
  <c r="AV49" s="1"/>
  <c r="AR23"/>
  <c r="AP23"/>
  <c r="AZ23"/>
  <c r="AZ29" s="1"/>
  <c r="AZ31" s="1"/>
  <c r="AZ36" s="1"/>
  <c r="AZ38" s="1"/>
  <c r="AZ41" s="1"/>
  <c r="AZ49" s="1"/>
  <c r="AZ29" i="53"/>
  <c r="AZ31" s="1"/>
  <c r="AZ36" s="1"/>
  <c r="AZ38" s="1"/>
  <c r="AZ41" s="1"/>
  <c r="AZ49" s="1"/>
  <c r="AX29"/>
  <c r="AX31" s="1"/>
  <c r="AX36" s="1"/>
  <c r="AX38" s="1"/>
  <c r="AX41" s="1"/>
  <c r="AX49" s="1"/>
  <c r="AD14" i="56"/>
  <c r="BB11"/>
  <c r="AE46" i="53"/>
  <c r="AD7" i="55"/>
  <c r="BB31" i="47"/>
  <c r="AE41"/>
  <c r="AE48" i="53"/>
  <c r="BB35"/>
  <c r="AD7"/>
  <c r="AE16" i="58"/>
  <c r="AE45" i="56"/>
  <c r="AX14" i="55"/>
  <c r="AX29"/>
  <c r="AX31" s="1"/>
  <c r="AX36" s="1"/>
  <c r="AX38" s="1"/>
  <c r="AX41" s="1"/>
  <c r="AX49" s="1"/>
  <c r="AX50" s="1"/>
  <c r="AX54" s="1"/>
  <c r="AS37" i="47"/>
  <c r="AS39" s="1"/>
  <c r="AS42" s="1"/>
  <c r="AS50" s="1"/>
  <c r="AO30"/>
  <c r="AO32" s="1"/>
  <c r="AO37" s="1"/>
  <c r="AO39" s="1"/>
  <c r="AO42" s="1"/>
  <c r="AO50" s="1"/>
  <c r="AO15"/>
  <c r="AV14" i="53"/>
  <c r="AV29"/>
  <c r="AV31" s="1"/>
  <c r="AV36" s="1"/>
  <c r="AV38" s="1"/>
  <c r="AV41" s="1"/>
  <c r="AV49" s="1"/>
  <c r="AR29" i="58"/>
  <c r="AR31" s="1"/>
  <c r="AR36" s="1"/>
  <c r="AR38" s="1"/>
  <c r="AR41" s="1"/>
  <c r="AR49" s="1"/>
  <c r="AS14" i="53"/>
  <c r="AS29"/>
  <c r="AS31" s="1"/>
  <c r="AS36" s="1"/>
  <c r="AS38" s="1"/>
  <c r="AS41" s="1"/>
  <c r="AU36" i="55"/>
  <c r="AU38" s="1"/>
  <c r="AU41" s="1"/>
  <c r="AU49" s="1"/>
  <c r="AU50" s="1"/>
  <c r="AU54" s="1"/>
  <c r="AT29" i="56"/>
  <c r="AT31" s="1"/>
  <c r="AT36" s="1"/>
  <c r="AT38" s="1"/>
  <c r="AT41" s="1"/>
  <c r="AT49" s="1"/>
  <c r="AT50" s="1"/>
  <c r="AT54" s="1"/>
  <c r="AV14" i="55"/>
  <c r="AV29"/>
  <c r="AV31" s="1"/>
  <c r="AV36" s="1"/>
  <c r="AV38" s="1"/>
  <c r="AV41" s="1"/>
  <c r="AV49" s="1"/>
  <c r="AV50" s="1"/>
  <c r="AV54" s="1"/>
  <c r="AT24" i="47"/>
  <c r="AT30" s="1"/>
  <c r="AT32" s="1"/>
  <c r="AT37" s="1"/>
  <c r="AT39" s="1"/>
  <c r="AT42" s="1"/>
  <c r="AT50" s="1"/>
  <c r="AW29" i="58"/>
  <c r="AW31" s="1"/>
  <c r="AW36" s="1"/>
  <c r="AW38" s="1"/>
  <c r="AW41" s="1"/>
  <c r="AW49" s="1"/>
  <c r="AP29" i="55"/>
  <c r="AS33" i="56"/>
  <c r="AY15"/>
  <c r="AY29" s="1"/>
  <c r="AY31" s="1"/>
  <c r="AY36" s="1"/>
  <c r="AY38" s="1"/>
  <c r="AY41" s="1"/>
  <c r="AY49" s="1"/>
  <c r="AY50" s="1"/>
  <c r="AY54" s="1"/>
  <c r="AV11" i="47"/>
  <c r="AQ29" i="53"/>
  <c r="AQ31" s="1"/>
  <c r="AQ36" s="1"/>
  <c r="AQ38" s="1"/>
  <c r="AQ41" s="1"/>
  <c r="AQ49" s="1"/>
  <c r="AP11" i="58"/>
  <c r="AP29" s="1"/>
  <c r="AP31" s="1"/>
  <c r="AP36" s="1"/>
  <c r="AP38" s="1"/>
  <c r="AP41" s="1"/>
  <c r="AP49" s="1"/>
  <c r="AR14"/>
  <c r="AP47" i="47"/>
  <c r="AP50" s="1"/>
  <c r="AW43"/>
  <c r="AV43"/>
  <c r="AY32"/>
  <c r="AY37" s="1"/>
  <c r="AY39" s="1"/>
  <c r="AY42" s="1"/>
  <c r="AY15"/>
  <c r="AX15"/>
  <c r="AP29" i="56"/>
  <c r="AP31" s="1"/>
  <c r="AP36" s="1"/>
  <c r="AP38" s="1"/>
  <c r="AP41" s="1"/>
  <c r="AP49" s="1"/>
  <c r="AP50" s="1"/>
  <c r="AV14"/>
  <c r="AW30" i="47"/>
  <c r="AW32" s="1"/>
  <c r="AW37" s="1"/>
  <c r="AW39" s="1"/>
  <c r="AW42" s="1"/>
  <c r="AW50" s="1"/>
  <c r="AZ29" i="55"/>
  <c r="AZ31" s="1"/>
  <c r="AZ36" s="1"/>
  <c r="AZ38" s="1"/>
  <c r="AZ41" s="1"/>
  <c r="AZ49" s="1"/>
  <c r="AZ50" s="1"/>
  <c r="AZ54" s="1"/>
  <c r="AY43" i="47"/>
  <c r="AW24"/>
  <c r="AT33" i="55"/>
  <c r="AT36" s="1"/>
  <c r="AT38" s="1"/>
  <c r="AT41" s="1"/>
  <c r="AT49" s="1"/>
  <c r="AT50" s="1"/>
  <c r="AT54" s="1"/>
  <c r="AW23"/>
  <c r="AY15"/>
  <c r="AY29" s="1"/>
  <c r="AY31" s="1"/>
  <c r="AY36" s="1"/>
  <c r="AY38" s="1"/>
  <c r="AY41" s="1"/>
  <c r="AY49" s="1"/>
  <c r="AY50" s="1"/>
  <c r="AY54" s="1"/>
  <c r="AP31"/>
  <c r="AP36" s="1"/>
  <c r="AP38" s="1"/>
  <c r="AP41" s="1"/>
  <c r="AP49" s="1"/>
  <c r="AP50" s="1"/>
  <c r="AP54" s="1"/>
  <c r="AP54" i="56"/>
  <c r="AW46"/>
  <c r="AR23"/>
  <c r="AR29" s="1"/>
  <c r="AR31" s="1"/>
  <c r="AR36" s="1"/>
  <c r="AR38" s="1"/>
  <c r="AR41" s="1"/>
  <c r="AR49" s="1"/>
  <c r="AR50" s="1"/>
  <c r="AR54" s="1"/>
  <c r="AQ23"/>
  <c r="AQ29" s="1"/>
  <c r="AQ31" s="1"/>
  <c r="AQ36" s="1"/>
  <c r="AQ38" s="1"/>
  <c r="AQ41" s="1"/>
  <c r="AQ49" s="1"/>
  <c r="AQ50" s="1"/>
  <c r="AQ54" s="1"/>
  <c r="AW29"/>
  <c r="AW31" s="1"/>
  <c r="AW36" s="1"/>
  <c r="AW38" s="1"/>
  <c r="AW41" s="1"/>
  <c r="AW49" s="1"/>
  <c r="AW50" s="1"/>
  <c r="AW54" s="1"/>
  <c r="AW14"/>
  <c r="AO11"/>
  <c r="AW46" i="53"/>
  <c r="AW49" s="1"/>
  <c r="AU46"/>
  <c r="AS46"/>
  <c r="AU42"/>
  <c r="AU49" s="1"/>
  <c r="AO42"/>
  <c r="AO49" s="1"/>
  <c r="AT15" i="58"/>
  <c r="AT29" s="1"/>
  <c r="AT31" s="1"/>
  <c r="AT36" s="1"/>
  <c r="AT38" s="1"/>
  <c r="AT41" s="1"/>
  <c r="AT49" s="1"/>
  <c r="AP14" i="53"/>
  <c r="AP31"/>
  <c r="AP36" s="1"/>
  <c r="AP38" s="1"/>
  <c r="AP41" s="1"/>
  <c r="AP49" s="1"/>
  <c r="Q75" l="1"/>
  <c r="R42"/>
  <c r="U42" i="56"/>
  <c r="V31"/>
  <c r="S76" i="47"/>
  <c r="T43"/>
  <c r="R42" i="58"/>
  <c r="Q75"/>
  <c r="U75"/>
  <c r="V42"/>
  <c r="U43" i="47"/>
  <c r="V32"/>
  <c r="AA31" i="58"/>
  <c r="Y42"/>
  <c r="Z31"/>
  <c r="T75"/>
  <c r="S51"/>
  <c r="T51" s="1"/>
  <c r="W51" i="55"/>
  <c r="X75"/>
  <c r="Q42" i="56"/>
  <c r="R31"/>
  <c r="S42" i="55"/>
  <c r="T31"/>
  <c r="V42"/>
  <c r="U75"/>
  <c r="W43" i="47"/>
  <c r="X32"/>
  <c r="Q76"/>
  <c r="R43"/>
  <c r="X75" i="56"/>
  <c r="W51"/>
  <c r="E9" i="43" a="1"/>
  <c r="E9" s="1"/>
  <c r="AG50" i="53"/>
  <c r="AG51" s="1"/>
  <c r="AG53" s="1"/>
  <c r="AG57"/>
  <c r="AB15"/>
  <c r="AC16"/>
  <c r="AH16"/>
  <c r="AE16"/>
  <c r="BB16"/>
  <c r="AH29" i="58"/>
  <c r="AG31"/>
  <c r="G7" i="56"/>
  <c r="K8"/>
  <c r="AA8"/>
  <c r="AG7"/>
  <c r="M8"/>
  <c r="M7" s="1"/>
  <c r="H9" i="53"/>
  <c r="H10"/>
  <c r="G14"/>
  <c r="H18"/>
  <c r="H19"/>
  <c r="H22"/>
  <c r="H25"/>
  <c r="H27"/>
  <c r="G31"/>
  <c r="H33"/>
  <c r="H35"/>
  <c r="H37"/>
  <c r="H40"/>
  <c r="H45"/>
  <c r="H46"/>
  <c r="H47"/>
  <c r="H48"/>
  <c r="H52"/>
  <c r="N7"/>
  <c r="H13"/>
  <c r="H20"/>
  <c r="H28"/>
  <c r="H30"/>
  <c r="H34"/>
  <c r="H43"/>
  <c r="H42"/>
  <c r="AA42"/>
  <c r="AC23"/>
  <c r="AH23"/>
  <c r="H11" i="56"/>
  <c r="N11"/>
  <c r="G29"/>
  <c r="AA11"/>
  <c r="K11"/>
  <c r="AB42"/>
  <c r="AH44"/>
  <c r="AE44"/>
  <c r="BB44"/>
  <c r="AR14" i="55"/>
  <c r="AR29"/>
  <c r="AR31" s="1"/>
  <c r="AR36" s="1"/>
  <c r="AR38" s="1"/>
  <c r="AR41" s="1"/>
  <c r="AR49" s="1"/>
  <c r="AR50" s="1"/>
  <c r="AR54" s="1"/>
  <c r="H29" i="53"/>
  <c r="AA29"/>
  <c r="AC42"/>
  <c r="AH42"/>
  <c r="AQ19" i="45"/>
  <c r="AP19"/>
  <c r="AK22"/>
  <c r="AL23"/>
  <c r="AO22"/>
  <c r="AQ23"/>
  <c r="AP23"/>
  <c r="AH27"/>
  <c r="AI27"/>
  <c r="AK27"/>
  <c r="AL27" s="1"/>
  <c r="AM27"/>
  <c r="AN27" s="1"/>
  <c r="AO27"/>
  <c r="AQ34"/>
  <c r="AP34"/>
  <c r="AQ39"/>
  <c r="AP39"/>
  <c r="AK44"/>
  <c r="AL44" s="1"/>
  <c r="AL45"/>
  <c r="AO44"/>
  <c r="AP44" s="1"/>
  <c r="AQ45"/>
  <c r="AP45"/>
  <c r="H9" i="55"/>
  <c r="H13"/>
  <c r="G14"/>
  <c r="H18"/>
  <c r="H19"/>
  <c r="H20"/>
  <c r="H21"/>
  <c r="H28"/>
  <c r="H30"/>
  <c r="H34"/>
  <c r="H35"/>
  <c r="H12"/>
  <c r="H16"/>
  <c r="H22"/>
  <c r="H24"/>
  <c r="H25"/>
  <c r="H27"/>
  <c r="G31"/>
  <c r="H52"/>
  <c r="H37"/>
  <c r="H40"/>
  <c r="H43"/>
  <c r="H45"/>
  <c r="H46"/>
  <c r="H47"/>
  <c r="H48"/>
  <c r="AC15"/>
  <c r="AH15"/>
  <c r="BB15"/>
  <c r="AE15"/>
  <c r="AC23"/>
  <c r="AH23"/>
  <c r="AH15" i="56"/>
  <c r="AG14" i="55"/>
  <c r="AH16" i="47"/>
  <c r="AC16"/>
  <c r="AE16"/>
  <c r="BB16"/>
  <c r="H43"/>
  <c r="N43"/>
  <c r="AA43"/>
  <c r="AH16" i="45"/>
  <c r="AH30"/>
  <c r="AH43"/>
  <c r="AH26"/>
  <c r="AH11"/>
  <c r="AH33"/>
  <c r="AH34"/>
  <c r="AH10"/>
  <c r="AH31"/>
  <c r="AH45"/>
  <c r="AH50"/>
  <c r="AH42"/>
  <c r="AH5"/>
  <c r="AH39"/>
  <c r="AH19"/>
  <c r="AH28"/>
  <c r="AH49"/>
  <c r="AH23"/>
  <c r="AH21"/>
  <c r="AH40"/>
  <c r="AH36"/>
  <c r="AH32"/>
  <c r="AH25"/>
  <c r="AH4"/>
  <c r="AH14"/>
  <c r="AH15"/>
  <c r="AH46"/>
  <c r="AH48"/>
  <c r="AH29"/>
  <c r="AH47"/>
  <c r="AH24"/>
  <c r="Y17"/>
  <c r="AC18"/>
  <c r="BD18"/>
  <c r="Z18"/>
  <c r="AH18"/>
  <c r="AG17"/>
  <c r="AI18"/>
  <c r="AK18"/>
  <c r="AM18"/>
  <c r="AO18"/>
  <c r="AC24" i="47"/>
  <c r="AH24"/>
  <c r="AH7"/>
  <c r="AC9"/>
  <c r="AC13"/>
  <c r="AC14"/>
  <c r="AC23"/>
  <c r="AC25"/>
  <c r="AC28"/>
  <c r="AC31"/>
  <c r="AC34"/>
  <c r="AC41"/>
  <c r="AC44"/>
  <c r="AC53"/>
  <c r="AB15"/>
  <c r="AC19"/>
  <c r="AC20"/>
  <c r="AC21"/>
  <c r="AC26"/>
  <c r="AC29"/>
  <c r="AC35"/>
  <c r="AC36"/>
  <c r="AC38"/>
  <c r="AC47"/>
  <c r="AC48"/>
  <c r="AC49"/>
  <c r="BD13" i="45"/>
  <c r="Y12"/>
  <c r="AC13"/>
  <c r="Z13"/>
  <c r="AD46"/>
  <c r="AC44"/>
  <c r="AD44" s="1"/>
  <c r="X42" i="53"/>
  <c r="W75"/>
  <c r="AW29" i="55"/>
  <c r="AW31" s="1"/>
  <c r="AW36" s="1"/>
  <c r="AW38" s="1"/>
  <c r="AW41" s="1"/>
  <c r="AW49" s="1"/>
  <c r="AW50" s="1"/>
  <c r="AW54" s="1"/>
  <c r="AR36" i="53"/>
  <c r="AR38" s="1"/>
  <c r="AR41" s="1"/>
  <c r="AR49" s="1"/>
  <c r="M11"/>
  <c r="H8"/>
  <c r="M23"/>
  <c r="N23" s="1"/>
  <c r="M42"/>
  <c r="N42" s="1"/>
  <c r="H11"/>
  <c r="H23"/>
  <c r="H39"/>
  <c r="AC8" i="55"/>
  <c r="H23"/>
  <c r="AC10"/>
  <c r="H33"/>
  <c r="M33"/>
  <c r="N33" s="1"/>
  <c r="AG29" i="56"/>
  <c r="AC11" i="55"/>
  <c r="AS29" i="56"/>
  <c r="AS31" s="1"/>
  <c r="AS36" s="1"/>
  <c r="AS38" s="1"/>
  <c r="AS41" s="1"/>
  <c r="AS49" s="1"/>
  <c r="AS50" s="1"/>
  <c r="AS54" s="1"/>
  <c r="M42" i="55"/>
  <c r="H44"/>
  <c r="H8" i="47"/>
  <c r="AL3" i="45"/>
  <c r="AP3"/>
  <c r="K42" i="53"/>
  <c r="H39" i="55"/>
  <c r="AH44"/>
  <c r="AB30" i="47"/>
  <c r="AB32" s="1"/>
  <c r="H16"/>
  <c r="AN3" i="45"/>
  <c r="AR30" i="47"/>
  <c r="AR32" s="1"/>
  <c r="AR37" s="1"/>
  <c r="AR39" s="1"/>
  <c r="AR42" s="1"/>
  <c r="AR50" s="1"/>
  <c r="AR15"/>
  <c r="M14" i="53"/>
  <c r="N34"/>
  <c r="M33"/>
  <c r="N33" s="1"/>
  <c r="N47"/>
  <c r="M46"/>
  <c r="N46" s="1"/>
  <c r="M33" i="56"/>
  <c r="N33" s="1"/>
  <c r="N34"/>
  <c r="M11" i="55"/>
  <c r="N12"/>
  <c r="AH26" i="56"/>
  <c r="H44"/>
  <c r="N44"/>
  <c r="G42"/>
  <c r="AA44"/>
  <c r="AC14" i="53"/>
  <c r="AH14"/>
  <c r="AB7" i="56"/>
  <c r="AC15" s="1"/>
  <c r="AH8"/>
  <c r="AE8"/>
  <c r="AI20" i="45"/>
  <c r="AJ20" s="1"/>
  <c r="AK20"/>
  <c r="AL20" s="1"/>
  <c r="AM20"/>
  <c r="AN20" s="1"/>
  <c r="AO20"/>
  <c r="AH20"/>
  <c r="AM22"/>
  <c r="AN23"/>
  <c r="AN22" s="1"/>
  <c r="AQ30"/>
  <c r="AP30"/>
  <c r="AQ33"/>
  <c r="AP33"/>
  <c r="AQ40"/>
  <c r="AP40"/>
  <c r="AM44"/>
  <c r="AN44" s="1"/>
  <c r="AN45"/>
  <c r="M23" i="56"/>
  <c r="N23" s="1"/>
  <c r="N24"/>
  <c r="AB14" i="55"/>
  <c r="AC21"/>
  <c r="AC25"/>
  <c r="AC28"/>
  <c r="AC30"/>
  <c r="AC34"/>
  <c r="AH7"/>
  <c r="AC12"/>
  <c r="AC18"/>
  <c r="AC19"/>
  <c r="AC20"/>
  <c r="AC22"/>
  <c r="AC35"/>
  <c r="AC43"/>
  <c r="AC46"/>
  <c r="AC47"/>
  <c r="AC48"/>
  <c r="AC52"/>
  <c r="AC37"/>
  <c r="AC40"/>
  <c r="H29"/>
  <c r="AA29"/>
  <c r="M15"/>
  <c r="N15" s="1"/>
  <c r="N16"/>
  <c r="M23"/>
  <c r="N23" s="1"/>
  <c r="N24"/>
  <c r="R5" i="45"/>
  <c r="R11"/>
  <c r="R28"/>
  <c r="R4"/>
  <c r="R25"/>
  <c r="R14"/>
  <c r="R46"/>
  <c r="R9"/>
  <c r="R44"/>
  <c r="R13"/>
  <c r="R18"/>
  <c r="R15"/>
  <c r="R29"/>
  <c r="R49"/>
  <c r="R27"/>
  <c r="R6"/>
  <c r="R8"/>
  <c r="R39"/>
  <c r="R33"/>
  <c r="R45"/>
  <c r="R43"/>
  <c r="R50"/>
  <c r="R30"/>
  <c r="R19"/>
  <c r="R31"/>
  <c r="R24"/>
  <c r="R42"/>
  <c r="R34"/>
  <c r="R10"/>
  <c r="R36"/>
  <c r="R48"/>
  <c r="R23"/>
  <c r="R20"/>
  <c r="Q38"/>
  <c r="AL14"/>
  <c r="AQ14"/>
  <c r="M15" i="56"/>
  <c r="N16"/>
  <c r="H42" i="55"/>
  <c r="N42"/>
  <c r="K42"/>
  <c r="N7" i="47"/>
  <c r="H10"/>
  <c r="H12"/>
  <c r="H14"/>
  <c r="G15"/>
  <c r="H19"/>
  <c r="H22"/>
  <c r="H27"/>
  <c r="H29"/>
  <c r="H35"/>
  <c r="H36"/>
  <c r="H38"/>
  <c r="H44"/>
  <c r="H9"/>
  <c r="H13"/>
  <c r="H20"/>
  <c r="H21"/>
  <c r="H23"/>
  <c r="H25"/>
  <c r="H26"/>
  <c r="H28"/>
  <c r="H31"/>
  <c r="G32"/>
  <c r="H46"/>
  <c r="H47"/>
  <c r="H48"/>
  <c r="H49"/>
  <c r="H53"/>
  <c r="K7"/>
  <c r="H30"/>
  <c r="N30"/>
  <c r="AA30"/>
  <c r="AC43"/>
  <c r="AH43"/>
  <c r="AE43"/>
  <c r="BB43"/>
  <c r="O38" i="45"/>
  <c r="N41"/>
  <c r="AD5"/>
  <c r="AC3"/>
  <c r="AC42" i="55"/>
  <c r="AH42"/>
  <c r="Y9" i="45"/>
  <c r="T8"/>
  <c r="U9"/>
  <c r="AG9"/>
  <c r="AI13"/>
  <c r="AK13"/>
  <c r="AM13"/>
  <c r="AO13"/>
  <c r="AG12"/>
  <c r="AH13"/>
  <c r="AH12" s="1"/>
  <c r="AD24"/>
  <c r="AC22"/>
  <c r="AD22" s="1"/>
  <c r="BD44"/>
  <c r="Z44"/>
  <c r="Y42" i="55"/>
  <c r="AA42" s="1"/>
  <c r="Z31"/>
  <c r="K14" i="53"/>
  <c r="N8"/>
  <c r="M29" i="58"/>
  <c r="AC45" i="56"/>
  <c r="AG29" i="55"/>
  <c r="AG31" s="1"/>
  <c r="AG36" s="1"/>
  <c r="AG38" s="1"/>
  <c r="AG41" s="1"/>
  <c r="AG49" s="1"/>
  <c r="AC16"/>
  <c r="AB23" i="56"/>
  <c r="AC13" i="55"/>
  <c r="H26"/>
  <c r="AC33"/>
  <c r="AG22" i="45"/>
  <c r="K44" i="56"/>
  <c r="M7" i="55"/>
  <c r="N7" s="1"/>
  <c r="AB29"/>
  <c r="AC26"/>
  <c r="H11" i="47"/>
  <c r="H45"/>
  <c r="O17" i="45"/>
  <c r="O22"/>
  <c r="O12"/>
  <c r="U17"/>
  <c r="H34" i="47"/>
  <c r="AC44" i="55"/>
  <c r="H24" i="47"/>
  <c r="AC40"/>
  <c r="AJ3" i="45"/>
  <c r="U12"/>
  <c r="K31" i="58"/>
  <c r="J36"/>
  <c r="J32"/>
  <c r="K32" s="1"/>
  <c r="AY50" i="47"/>
  <c r="AD14" i="53"/>
  <c r="BB7"/>
  <c r="AE7"/>
  <c r="BB33" i="56"/>
  <c r="AE33"/>
  <c r="J41"/>
  <c r="BB14" i="58"/>
  <c r="AE14"/>
  <c r="AE42" i="53"/>
  <c r="BB42"/>
  <c r="AE23"/>
  <c r="AD29"/>
  <c r="AD31" s="1"/>
  <c r="BB23"/>
  <c r="AD15" i="47"/>
  <c r="AE7"/>
  <c r="BB7"/>
  <c r="AE31" i="58"/>
  <c r="AD32"/>
  <c r="BB31"/>
  <c r="AD36"/>
  <c r="AO29" i="56"/>
  <c r="AO31" s="1"/>
  <c r="AO36" s="1"/>
  <c r="AO38" s="1"/>
  <c r="AO41" s="1"/>
  <c r="AO49" s="1"/>
  <c r="AO50" s="1"/>
  <c r="AO54" s="1"/>
  <c r="AO14"/>
  <c r="AS49" i="53"/>
  <c r="BB7" i="55"/>
  <c r="AE7"/>
  <c r="AD14"/>
  <c r="AE15" i="56"/>
  <c r="AD29"/>
  <c r="BB15"/>
  <c r="AE29" i="58"/>
  <c r="BB29"/>
  <c r="J29" i="55"/>
  <c r="K29" s="1"/>
  <c r="K21"/>
  <c r="AE34" i="47"/>
  <c r="BB34"/>
  <c r="J31" i="53"/>
  <c r="AE33" i="55"/>
  <c r="BB33"/>
  <c r="AE22" i="47"/>
  <c r="BB22"/>
  <c r="AE23" i="58"/>
  <c r="BB23"/>
  <c r="K7" i="55"/>
  <c r="J14"/>
  <c r="K14" s="1"/>
  <c r="AP14" i="58"/>
  <c r="AV30" i="47"/>
  <c r="AV32" s="1"/>
  <c r="AV37" s="1"/>
  <c r="AV39" s="1"/>
  <c r="AV42" s="1"/>
  <c r="AV50" s="1"/>
  <c r="AV15"/>
  <c r="J30"/>
  <c r="K16"/>
  <c r="AE23" i="56"/>
  <c r="BB23"/>
  <c r="AE24" i="47"/>
  <c r="BB24"/>
  <c r="AD29" i="55"/>
  <c r="AD31" s="1"/>
  <c r="BB23"/>
  <c r="AE23"/>
  <c r="AD30" i="47"/>
  <c r="AD32" s="1"/>
  <c r="BB33" i="58"/>
  <c r="AE33"/>
  <c r="X51" i="56" l="1"/>
  <c r="U51" i="55"/>
  <c r="V51" s="1"/>
  <c r="V75"/>
  <c r="U76" i="47"/>
  <c r="V43"/>
  <c r="V75" i="58"/>
  <c r="U51"/>
  <c r="S52" i="47"/>
  <c r="T52" s="1"/>
  <c r="T76"/>
  <c r="V42" i="56"/>
  <c r="U75"/>
  <c r="Q51" i="53"/>
  <c r="R51" s="1"/>
  <c r="R75"/>
  <c r="Q52" i="47"/>
  <c r="R52" s="1"/>
  <c r="R76"/>
  <c r="W76"/>
  <c r="X43"/>
  <c r="S75" i="55"/>
  <c r="T42"/>
  <c r="R42" i="56"/>
  <c r="Q75"/>
  <c r="X51" i="55"/>
  <c r="AA42" i="58"/>
  <c r="Y75"/>
  <c r="Z42"/>
  <c r="R75"/>
  <c r="Q51"/>
  <c r="R51" s="1"/>
  <c r="E10" i="43" a="1"/>
  <c r="E10" s="1"/>
  <c r="D10" a="1"/>
  <c r="D10" s="1"/>
  <c r="F10" s="1"/>
  <c r="AG50" i="55"/>
  <c r="AG51"/>
  <c r="AG53" s="1"/>
  <c r="AG57"/>
  <c r="AH32" i="47"/>
  <c r="AC32"/>
  <c r="AB33"/>
  <c r="AH33" s="1"/>
  <c r="AB37"/>
  <c r="AC29" i="55"/>
  <c r="AH29"/>
  <c r="AO12" i="45"/>
  <c r="AQ13"/>
  <c r="AP13"/>
  <c r="AP12" s="1"/>
  <c r="AK12"/>
  <c r="AL13"/>
  <c r="AL12" s="1"/>
  <c r="AK9"/>
  <c r="AL9" s="1"/>
  <c r="AI9"/>
  <c r="AJ9" s="1"/>
  <c r="AH9"/>
  <c r="AO9"/>
  <c r="AM9"/>
  <c r="AN9" s="1"/>
  <c r="U8"/>
  <c r="U7" s="1"/>
  <c r="AG8"/>
  <c r="T7"/>
  <c r="T38" s="1"/>
  <c r="Y8"/>
  <c r="AD3"/>
  <c r="O41"/>
  <c r="N52"/>
  <c r="Q41"/>
  <c r="R38"/>
  <c r="H42" i="56"/>
  <c r="N42"/>
  <c r="K42"/>
  <c r="AA42"/>
  <c r="M29" i="55"/>
  <c r="N29" s="1"/>
  <c r="N11"/>
  <c r="W51" i="53"/>
  <c r="X75"/>
  <c r="BD12" i="45"/>
  <c r="Z12"/>
  <c r="AM17"/>
  <c r="AN18"/>
  <c r="AN17" s="1"/>
  <c r="AI17"/>
  <c r="AJ18"/>
  <c r="AJ17" s="1"/>
  <c r="Z17"/>
  <c r="BD17"/>
  <c r="AJ27"/>
  <c r="AJ22" s="1"/>
  <c r="AI22"/>
  <c r="AC42" i="56"/>
  <c r="AH42"/>
  <c r="AE42"/>
  <c r="BB42"/>
  <c r="M14"/>
  <c r="N7"/>
  <c r="H9"/>
  <c r="H13"/>
  <c r="G14"/>
  <c r="H20"/>
  <c r="H28"/>
  <c r="H30"/>
  <c r="H34"/>
  <c r="H35"/>
  <c r="H43"/>
  <c r="H47"/>
  <c r="H48"/>
  <c r="H15"/>
  <c r="H16"/>
  <c r="H18"/>
  <c r="H19"/>
  <c r="H22"/>
  <c r="H24"/>
  <c r="H25"/>
  <c r="H27"/>
  <c r="G31"/>
  <c r="H33"/>
  <c r="H37"/>
  <c r="H40"/>
  <c r="H52"/>
  <c r="K7"/>
  <c r="H45"/>
  <c r="H21"/>
  <c r="H12"/>
  <c r="H10"/>
  <c r="H23"/>
  <c r="H26"/>
  <c r="H39"/>
  <c r="H46"/>
  <c r="J31" i="55"/>
  <c r="R22" i="45"/>
  <c r="R12"/>
  <c r="R3"/>
  <c r="AC8" i="56"/>
  <c r="AC26"/>
  <c r="AH17" i="45"/>
  <c r="N8" i="56"/>
  <c r="M14" i="55"/>
  <c r="M31"/>
  <c r="M36" s="1"/>
  <c r="M38" s="1"/>
  <c r="M41" s="1"/>
  <c r="M49" s="1"/>
  <c r="AC23" i="56"/>
  <c r="AH23"/>
  <c r="N29" i="58"/>
  <c r="M31"/>
  <c r="Y75" i="55"/>
  <c r="Z42"/>
  <c r="AM12" i="45"/>
  <c r="AN13"/>
  <c r="AN12" s="1"/>
  <c r="AI12"/>
  <c r="AJ13"/>
  <c r="AJ12" s="1"/>
  <c r="AC9"/>
  <c r="AD9" s="1"/>
  <c r="BD9"/>
  <c r="Z9"/>
  <c r="H32" i="47"/>
  <c r="G37"/>
  <c r="N32"/>
  <c r="AA32"/>
  <c r="N15"/>
  <c r="H15"/>
  <c r="K15"/>
  <c r="M29" i="56"/>
  <c r="M31" s="1"/>
  <c r="M36" s="1"/>
  <c r="M38" s="1"/>
  <c r="M41" s="1"/>
  <c r="M49" s="1"/>
  <c r="N15"/>
  <c r="AC14" i="55"/>
  <c r="AH14"/>
  <c r="AP20" i="45"/>
  <c r="AQ20"/>
  <c r="AH7" i="56"/>
  <c r="AB14"/>
  <c r="AC12"/>
  <c r="AC13"/>
  <c r="AC19"/>
  <c r="AC22"/>
  <c r="AC25"/>
  <c r="AC28"/>
  <c r="AC34"/>
  <c r="AC35"/>
  <c r="AC52"/>
  <c r="AC20"/>
  <c r="AC24"/>
  <c r="AC27"/>
  <c r="AC33"/>
  <c r="AC37"/>
  <c r="AC40"/>
  <c r="AC43"/>
  <c r="AC46"/>
  <c r="AC47"/>
  <c r="AC48"/>
  <c r="BB7"/>
  <c r="AE7"/>
  <c r="AC16"/>
  <c r="AC30"/>
  <c r="AC11"/>
  <c r="AC10"/>
  <c r="AC39"/>
  <c r="AC21"/>
  <c r="AC9"/>
  <c r="AC18"/>
  <c r="AH30" i="47"/>
  <c r="AC30"/>
  <c r="M29" i="53"/>
  <c r="N11"/>
  <c r="AC12" i="45"/>
  <c r="AD12" s="1"/>
  <c r="AD13"/>
  <c r="AC15" i="47"/>
  <c r="AH15"/>
  <c r="AO17" i="45"/>
  <c r="AP18"/>
  <c r="AP17" s="1"/>
  <c r="AQ18"/>
  <c r="AK17"/>
  <c r="AL18"/>
  <c r="AL17" s="1"/>
  <c r="AD18"/>
  <c r="AC17"/>
  <c r="AD17" s="1"/>
  <c r="H31" i="55"/>
  <c r="N31"/>
  <c r="G36"/>
  <c r="AA31"/>
  <c r="H14"/>
  <c r="N14"/>
  <c r="AP27" i="45"/>
  <c r="AP22" s="1"/>
  <c r="AQ27"/>
  <c r="H29" i="56"/>
  <c r="N29"/>
  <c r="AA29"/>
  <c r="K29"/>
  <c r="G36" i="53"/>
  <c r="H31"/>
  <c r="AA31"/>
  <c r="H14"/>
  <c r="N14"/>
  <c r="AG14" i="56"/>
  <c r="AG31"/>
  <c r="AG36" s="1"/>
  <c r="AG38" s="1"/>
  <c r="AG41" s="1"/>
  <c r="AG49" s="1"/>
  <c r="AG36" i="58"/>
  <c r="AH31"/>
  <c r="AC15" i="53"/>
  <c r="AH15"/>
  <c r="BB15"/>
  <c r="AE15"/>
  <c r="AB29"/>
  <c r="R7" i="45"/>
  <c r="R17"/>
  <c r="AB31" i="55"/>
  <c r="AH3" i="45"/>
  <c r="AH22"/>
  <c r="AB29" i="56"/>
  <c r="AB31" s="1"/>
  <c r="AL22" i="45"/>
  <c r="AC44" i="56"/>
  <c r="H8"/>
  <c r="AD37" i="47"/>
  <c r="AE32"/>
  <c r="AD33"/>
  <c r="BB32"/>
  <c r="AE31" i="55"/>
  <c r="BB31"/>
  <c r="AD32"/>
  <c r="AD36"/>
  <c r="AD32" i="53"/>
  <c r="AD36"/>
  <c r="AE14" i="55"/>
  <c r="BB14"/>
  <c r="K31"/>
  <c r="J32"/>
  <c r="K32" s="1"/>
  <c r="J36"/>
  <c r="BB32" i="58"/>
  <c r="AE32"/>
  <c r="AE29" i="53"/>
  <c r="BB29"/>
  <c r="K30" i="47"/>
  <c r="J32"/>
  <c r="J32" i="53"/>
  <c r="K32" s="1"/>
  <c r="J36"/>
  <c r="K31"/>
  <c r="AE29" i="56"/>
  <c r="BB29"/>
  <c r="AD31"/>
  <c r="AE15" i="47"/>
  <c r="BB15"/>
  <c r="J49" i="56"/>
  <c r="J38" i="58"/>
  <c r="K36"/>
  <c r="BB30" i="47"/>
  <c r="AE30"/>
  <c r="BB29" i="55"/>
  <c r="AE29"/>
  <c r="BB36" i="58"/>
  <c r="AD38"/>
  <c r="AE36"/>
  <c r="BB14" i="53"/>
  <c r="AE14"/>
  <c r="S51" i="55" l="1"/>
  <c r="T75"/>
  <c r="X76" i="47"/>
  <c r="W52"/>
  <c r="U52"/>
  <c r="V52" s="1"/>
  <c r="V76"/>
  <c r="AA75" i="58"/>
  <c r="Z75"/>
  <c r="Y51"/>
  <c r="Q51" i="56"/>
  <c r="R51" s="1"/>
  <c r="R75"/>
  <c r="U51"/>
  <c r="V75"/>
  <c r="Y57" i="58"/>
  <c r="V51"/>
  <c r="E11" i="43" a="1"/>
  <c r="E11" s="1"/>
  <c r="D11" a="1"/>
  <c r="D11" s="1"/>
  <c r="F11" s="1"/>
  <c r="AC31" i="56"/>
  <c r="AH31"/>
  <c r="AB32"/>
  <c r="AH32" s="1"/>
  <c r="AB36"/>
  <c r="M50"/>
  <c r="M51" s="1"/>
  <c r="M53" s="1"/>
  <c r="M57"/>
  <c r="AC31" i="55"/>
  <c r="AH31"/>
  <c r="AB32"/>
  <c r="AH32" s="1"/>
  <c r="AB36"/>
  <c r="AG50" i="56"/>
  <c r="AG51" s="1"/>
  <c r="AG53" s="1"/>
  <c r="AG57"/>
  <c r="M31" i="53"/>
  <c r="N29"/>
  <c r="N37" i="47"/>
  <c r="G39"/>
  <c r="H37"/>
  <c r="Z75" i="55"/>
  <c r="Y51"/>
  <c r="Z51" s="1"/>
  <c r="AA75"/>
  <c r="N14" i="56"/>
  <c r="H14"/>
  <c r="K14"/>
  <c r="N53" i="45"/>
  <c r="O52"/>
  <c r="N54"/>
  <c r="O54" s="1"/>
  <c r="BD8"/>
  <c r="Y7"/>
  <c r="Z8"/>
  <c r="AC8"/>
  <c r="AO8"/>
  <c r="AK8"/>
  <c r="AG7"/>
  <c r="AG38" s="1"/>
  <c r="AI8"/>
  <c r="AM8"/>
  <c r="AH8"/>
  <c r="AH7" s="1"/>
  <c r="AC37" i="47"/>
  <c r="AH37"/>
  <c r="AB39"/>
  <c r="AC29" i="56"/>
  <c r="AH29"/>
  <c r="AC29" i="53"/>
  <c r="AH29"/>
  <c r="AB31"/>
  <c r="AH36" i="58"/>
  <c r="AG38"/>
  <c r="H36" i="53"/>
  <c r="G38"/>
  <c r="H36" i="55"/>
  <c r="N36"/>
  <c r="G38"/>
  <c r="AH14" i="56"/>
  <c r="AC14"/>
  <c r="BB14"/>
  <c r="AE14"/>
  <c r="N31" i="58"/>
  <c r="M36"/>
  <c r="M50" i="55"/>
  <c r="M51" s="1"/>
  <c r="M53" s="1"/>
  <c r="M57"/>
  <c r="H31" i="56"/>
  <c r="N31"/>
  <c r="G36"/>
  <c r="AA31"/>
  <c r="K31"/>
  <c r="X51" i="53"/>
  <c r="Y57"/>
  <c r="R41" i="45"/>
  <c r="Q52"/>
  <c r="U38"/>
  <c r="T41"/>
  <c r="AP9"/>
  <c r="AQ9"/>
  <c r="BB33" i="47"/>
  <c r="AE33"/>
  <c r="J50" i="56"/>
  <c r="AD38" i="53"/>
  <c r="AE36" i="55"/>
  <c r="BB36"/>
  <c r="AD38"/>
  <c r="K32" i="47"/>
  <c r="J37"/>
  <c r="J33"/>
  <c r="K33" s="1"/>
  <c r="J41" i="58"/>
  <c r="K38"/>
  <c r="AE32" i="55"/>
  <c r="BB32"/>
  <c r="AE38" i="58"/>
  <c r="AD41"/>
  <c r="BB38"/>
  <c r="AE31" i="56"/>
  <c r="AD32"/>
  <c r="BB31"/>
  <c r="AD36"/>
  <c r="J38" i="53"/>
  <c r="K36"/>
  <c r="K36" i="55"/>
  <c r="J38"/>
  <c r="BB37" i="47"/>
  <c r="AE37"/>
  <c r="AD39"/>
  <c r="Z51" i="58" l="1"/>
  <c r="AA51"/>
  <c r="T51" i="55"/>
  <c r="Y57"/>
  <c r="V51" i="56"/>
  <c r="Y57"/>
  <c r="Y58" i="47"/>
  <c r="X52"/>
  <c r="D12" i="43" a="1"/>
  <c r="D12" s="1"/>
  <c r="F12" s="1"/>
  <c r="E12" a="1"/>
  <c r="E12" s="1"/>
  <c r="E13" s="1" a="1"/>
  <c r="E13" s="1"/>
  <c r="E14" s="1" a="1"/>
  <c r="E14" s="1"/>
  <c r="E15" s="1" a="1"/>
  <c r="E15" s="1"/>
  <c r="U41" i="45"/>
  <c r="T52"/>
  <c r="R52"/>
  <c r="Q54"/>
  <c r="R54" s="1"/>
  <c r="Q53"/>
  <c r="R53" s="1"/>
  <c r="H36" i="56"/>
  <c r="N36"/>
  <c r="G38"/>
  <c r="K36"/>
  <c r="N36" i="58"/>
  <c r="M38"/>
  <c r="G41" i="55"/>
  <c r="H38"/>
  <c r="N38"/>
  <c r="AH38" i="58"/>
  <c r="AG41"/>
  <c r="AB32" i="53"/>
  <c r="AB36"/>
  <c r="AC31"/>
  <c r="AH31"/>
  <c r="BB31"/>
  <c r="AE31"/>
  <c r="AM7" i="45"/>
  <c r="AM38" s="1"/>
  <c r="AN8"/>
  <c r="AN7" s="1"/>
  <c r="AG41"/>
  <c r="AH38"/>
  <c r="AP8"/>
  <c r="AP7" s="1"/>
  <c r="AO7"/>
  <c r="AO38" s="1"/>
  <c r="AQ8"/>
  <c r="M36" i="53"/>
  <c r="N31"/>
  <c r="AC36" i="55"/>
  <c r="AH36"/>
  <c r="AB38"/>
  <c r="AB41" s="1"/>
  <c r="H38" i="53"/>
  <c r="G41"/>
  <c r="AC39" i="47"/>
  <c r="AH39"/>
  <c r="AJ8" i="45"/>
  <c r="AJ7" s="1"/>
  <c r="AI7"/>
  <c r="AI38" s="1"/>
  <c r="AK7"/>
  <c r="AK38" s="1"/>
  <c r="AL8"/>
  <c r="AL7" s="1"/>
  <c r="AC7"/>
  <c r="AD8"/>
  <c r="Z7"/>
  <c r="Y38"/>
  <c r="BD7"/>
  <c r="O53"/>
  <c r="N39" i="47"/>
  <c r="H39"/>
  <c r="G42"/>
  <c r="AC36" i="56"/>
  <c r="AH36"/>
  <c r="AB38"/>
  <c r="AB41"/>
  <c r="AB42" i="47"/>
  <c r="AE39"/>
  <c r="AD42"/>
  <c r="BB39"/>
  <c r="K37"/>
  <c r="J39"/>
  <c r="J41" i="53"/>
  <c r="K38"/>
  <c r="AD49" i="58"/>
  <c r="BB41"/>
  <c r="AE41"/>
  <c r="AE32" i="56"/>
  <c r="BB32"/>
  <c r="J41" i="55"/>
  <c r="K38"/>
  <c r="AE36" i="56"/>
  <c r="BB36"/>
  <c r="AD38"/>
  <c r="AD41" i="55"/>
  <c r="BB38"/>
  <c r="AE38"/>
  <c r="AD41" i="53"/>
  <c r="J51" i="56"/>
  <c r="K41" i="58"/>
  <c r="J49"/>
  <c r="D13" i="43" l="1" a="1"/>
  <c r="D13" s="1"/>
  <c r="F13" s="1"/>
  <c r="E16" a="1"/>
  <c r="E16" s="1"/>
  <c r="E17" s="1" a="1"/>
  <c r="E17" s="1"/>
  <c r="E18" s="1" a="1"/>
  <c r="E18" s="1"/>
  <c r="E19" s="1" a="1"/>
  <c r="E19" s="1"/>
  <c r="E20" s="1" a="1"/>
  <c r="E20" s="1"/>
  <c r="E21" s="1" a="1"/>
  <c r="E21" s="1"/>
  <c r="E22" s="1" a="1"/>
  <c r="E22" s="1"/>
  <c r="E23" s="1" a="1"/>
  <c r="E23" s="1"/>
  <c r="E24" s="1" a="1"/>
  <c r="E24" s="1"/>
  <c r="E25" s="1" a="1"/>
  <c r="E25" s="1"/>
  <c r="E26" s="1" a="1"/>
  <c r="E26" s="1"/>
  <c r="E27" s="1" a="1"/>
  <c r="E27" s="1"/>
  <c r="E28" s="1" a="1"/>
  <c r="E28" s="1"/>
  <c r="E29" s="1" a="1"/>
  <c r="E29" s="1"/>
  <c r="E30" s="1" a="1"/>
  <c r="E30" s="1"/>
  <c r="E31" s="1" a="1"/>
  <c r="E31" s="1"/>
  <c r="E32" s="1" a="1"/>
  <c r="E32" s="1"/>
  <c r="E33" s="1" a="1"/>
  <c r="E33" s="1"/>
  <c r="E34" s="1" a="1"/>
  <c r="E34" s="1"/>
  <c r="E35" s="1" a="1"/>
  <c r="E35" s="1"/>
  <c r="E36" s="1" a="1"/>
  <c r="E36" s="1"/>
  <c r="E37" s="1" a="1"/>
  <c r="E37" s="1"/>
  <c r="E38" s="1" a="1"/>
  <c r="E38" s="1"/>
  <c r="E39" s="1" a="1"/>
  <c r="E39" s="1"/>
  <c r="E40" s="1" a="1"/>
  <c r="E40" s="1"/>
  <c r="E41" s="1" a="1"/>
  <c r="E41" s="1"/>
  <c r="E42" s="1" a="1"/>
  <c r="E42" s="1"/>
  <c r="E43" s="1" a="1"/>
  <c r="E43" s="1"/>
  <c r="E44" s="1" a="1"/>
  <c r="E44" s="1"/>
  <c r="E45" s="1" a="1"/>
  <c r="E45" s="1"/>
  <c r="E46" s="1" a="1"/>
  <c r="E46" s="1"/>
  <c r="E47" s="1" a="1"/>
  <c r="E47" s="1"/>
  <c r="E48" s="1" a="1"/>
  <c r="E48" s="1"/>
  <c r="E49" s="1" a="1"/>
  <c r="E49" s="1"/>
  <c r="E50" s="1" a="1"/>
  <c r="E50" s="1"/>
  <c r="E51" s="1" a="1"/>
  <c r="E51" s="1"/>
  <c r="E52" s="1" a="1"/>
  <c r="E52" s="1"/>
  <c r="E53" s="1" a="1"/>
  <c r="E53" s="1"/>
  <c r="E54" s="1" a="1"/>
  <c r="E54" s="1"/>
  <c r="E55" s="1" a="1"/>
  <c r="E55" s="1"/>
  <c r="E56" s="1" a="1"/>
  <c r="E56" s="1"/>
  <c r="E57" s="1" a="1"/>
  <c r="E57" s="1"/>
  <c r="E58" s="1" a="1"/>
  <c r="E58" s="1"/>
  <c r="E59" s="1" a="1"/>
  <c r="E59" s="1"/>
  <c r="E60" s="1" a="1"/>
  <c r="E60" s="1"/>
  <c r="E61" s="1" a="1"/>
  <c r="E61" s="1"/>
  <c r="E62" s="1" a="1"/>
  <c r="E62" s="1"/>
  <c r="E63" s="1" a="1"/>
  <c r="E63" s="1"/>
  <c r="E64" s="1" a="1"/>
  <c r="E64" s="1"/>
  <c r="E65" s="1" a="1"/>
  <c r="E65" s="1"/>
  <c r="E66" s="1" a="1"/>
  <c r="E66" s="1"/>
  <c r="E67" s="1" a="1"/>
  <c r="E67" s="1"/>
  <c r="E68" s="1" a="1"/>
  <c r="E68" s="1"/>
  <c r="E69" s="1" a="1"/>
  <c r="E69" s="1"/>
  <c r="E70" s="1" a="1"/>
  <c r="E70" s="1"/>
  <c r="E71" s="1" a="1"/>
  <c r="E71" s="1"/>
  <c r="E72" s="1" a="1"/>
  <c r="E72" s="1"/>
  <c r="E73" s="1" a="1"/>
  <c r="E73" s="1"/>
  <c r="E74" s="1" a="1"/>
  <c r="E74" s="1"/>
  <c r="E75" s="1" a="1"/>
  <c r="E75" s="1"/>
  <c r="E76" s="1" a="1"/>
  <c r="E76" s="1"/>
  <c r="E77" s="1" a="1"/>
  <c r="E77" s="1"/>
  <c r="E78" s="1" a="1"/>
  <c r="E78" s="1"/>
  <c r="E79" s="1" a="1"/>
  <c r="E79" s="1"/>
  <c r="E80" s="1" a="1"/>
  <c r="E80" s="1"/>
  <c r="E81" s="1" a="1"/>
  <c r="E81" s="1"/>
  <c r="E82" s="1" a="1"/>
  <c r="E82" s="1"/>
  <c r="E83" s="1" a="1"/>
  <c r="E83" s="1"/>
  <c r="E84" s="1" a="1"/>
  <c r="E84" s="1"/>
  <c r="E85" s="1" a="1"/>
  <c r="E85" s="1"/>
  <c r="E86" s="1" a="1"/>
  <c r="E86" s="1"/>
  <c r="E87" s="1" a="1"/>
  <c r="E87" s="1"/>
  <c r="E88" s="1" a="1"/>
  <c r="E88" s="1"/>
  <c r="E89" s="1" a="1"/>
  <c r="E89" s="1"/>
  <c r="E90" s="1" a="1"/>
  <c r="E90" s="1"/>
  <c r="E91" s="1" a="1"/>
  <c r="E91" s="1"/>
  <c r="E92" s="1" a="1"/>
  <c r="E92" s="1"/>
  <c r="E93" s="1" a="1"/>
  <c r="E93" s="1"/>
  <c r="E94" s="1" a="1"/>
  <c r="E94" s="1"/>
  <c r="E95" s="1" a="1"/>
  <c r="E95" s="1"/>
  <c r="E96" s="1" a="1"/>
  <c r="E96" s="1"/>
  <c r="E97" s="1" a="1"/>
  <c r="E97" s="1"/>
  <c r="E98" s="1" a="1"/>
  <c r="E98" s="1"/>
  <c r="E99" s="1" a="1"/>
  <c r="E99" s="1"/>
  <c r="E100" s="1" a="1"/>
  <c r="E100" s="1"/>
  <c r="E101" s="1" a="1"/>
  <c r="E101" s="1"/>
  <c r="E102" s="1" a="1"/>
  <c r="E102" s="1"/>
  <c r="E103" s="1" a="1"/>
  <c r="E103" s="1"/>
  <c r="E104" s="1" a="1"/>
  <c r="E104" s="1"/>
  <c r="E105" s="1" a="1"/>
  <c r="E105" s="1"/>
  <c r="E106" s="1" a="1"/>
  <c r="E106" s="1"/>
  <c r="E107" s="1" a="1"/>
  <c r="E107" s="1"/>
  <c r="E108" s="1" a="1"/>
  <c r="E108" s="1"/>
  <c r="E109" s="1" a="1"/>
  <c r="E109" s="1"/>
  <c r="E110" s="1" a="1"/>
  <c r="E110" s="1"/>
  <c r="E111" s="1" a="1"/>
  <c r="E111" s="1"/>
  <c r="E112" s="1" a="1"/>
  <c r="E112" s="1"/>
  <c r="E113" s="1" a="1"/>
  <c r="E113" s="1"/>
  <c r="E114" s="1" a="1"/>
  <c r="E114" s="1"/>
  <c r="E115" s="1" a="1"/>
  <c r="E115" s="1"/>
  <c r="E116" s="1" a="1"/>
  <c r="E116" s="1"/>
  <c r="E117" s="1" a="1"/>
  <c r="E117" s="1"/>
  <c r="E118" s="1" a="1"/>
  <c r="E118" s="1"/>
  <c r="E119" s="1" a="1"/>
  <c r="E119" s="1"/>
  <c r="E120" s="1" a="1"/>
  <c r="E120" s="1"/>
  <c r="E121" s="1" a="1"/>
  <c r="E121" s="1"/>
  <c r="E122" s="1" a="1"/>
  <c r="E122" s="1"/>
  <c r="E123" s="1" a="1"/>
  <c r="E123" s="1"/>
  <c r="E124" s="1" a="1"/>
  <c r="E124" s="1"/>
  <c r="E125" s="1" a="1"/>
  <c r="E125" s="1"/>
  <c r="E126" s="1" a="1"/>
  <c r="E126" s="1"/>
  <c r="E127" s="1" a="1"/>
  <c r="E127" s="1"/>
  <c r="E128" s="1" a="1"/>
  <c r="E128" s="1"/>
  <c r="E129" s="1" a="1"/>
  <c r="E129" s="1"/>
  <c r="E130" s="1" a="1"/>
  <c r="E130" s="1"/>
  <c r="E131" s="1" a="1"/>
  <c r="E131" s="1"/>
  <c r="E132" s="1" a="1"/>
  <c r="E132" s="1"/>
  <c r="E133" s="1" a="1"/>
  <c r="E133" s="1"/>
  <c r="E134" s="1" a="1"/>
  <c r="E134" s="1"/>
  <c r="E135" s="1" a="1"/>
  <c r="E135" s="1"/>
  <c r="E136" s="1" a="1"/>
  <c r="E136" s="1"/>
  <c r="E137" s="1" a="1"/>
  <c r="E137" s="1"/>
  <c r="E138" s="1" a="1"/>
  <c r="E138" s="1"/>
  <c r="E139" s="1" a="1"/>
  <c r="E139" s="1"/>
  <c r="E140" s="1" a="1"/>
  <c r="E140" s="1"/>
  <c r="E141" s="1" a="1"/>
  <c r="E141" s="1"/>
  <c r="E142" s="1" a="1"/>
  <c r="E142" s="1"/>
  <c r="E143" s="1" a="1"/>
  <c r="E143" s="1"/>
  <c r="E144" s="1" a="1"/>
  <c r="E144" s="1"/>
  <c r="E145" s="1" a="1"/>
  <c r="E145" s="1"/>
  <c r="E146" s="1" a="1"/>
  <c r="E146" s="1"/>
  <c r="E147" s="1" a="1"/>
  <c r="E147" s="1"/>
  <c r="E148" s="1" a="1"/>
  <c r="E148" s="1"/>
  <c r="E149" s="1" a="1"/>
  <c r="E149" s="1"/>
  <c r="E150" s="1" a="1"/>
  <c r="E150" s="1"/>
  <c r="E151" s="1" a="1"/>
  <c r="E151" s="1"/>
  <c r="E152" s="1" a="1"/>
  <c r="E152" s="1"/>
  <c r="E153" s="1" a="1"/>
  <c r="E153" s="1"/>
  <c r="E154" s="1" a="1"/>
  <c r="E154" s="1"/>
  <c r="E155" s="1" a="1"/>
  <c r="E155" s="1"/>
  <c r="E156" s="1" a="1"/>
  <c r="E156" s="1"/>
  <c r="E157" s="1" a="1"/>
  <c r="E157" s="1"/>
  <c r="E158" s="1" a="1"/>
  <c r="E158" s="1"/>
  <c r="E159" s="1" a="1"/>
  <c r="E159" s="1"/>
  <c r="E160" s="1" a="1"/>
  <c r="E160" s="1"/>
  <c r="E161" s="1" a="1"/>
  <c r="E161" s="1"/>
  <c r="E162" s="1" a="1"/>
  <c r="E162" s="1"/>
  <c r="E163" s="1" a="1"/>
  <c r="E163" s="1"/>
  <c r="E164" s="1" a="1"/>
  <c r="E164" s="1"/>
  <c r="E165" s="1" a="1"/>
  <c r="E165" s="1"/>
  <c r="E166" s="1" a="1"/>
  <c r="E166" s="1"/>
  <c r="E167" s="1" a="1"/>
  <c r="E167" s="1"/>
  <c r="E168" s="1" a="1"/>
  <c r="E168" s="1"/>
  <c r="E169" s="1" a="1"/>
  <c r="E169" s="1"/>
  <c r="E170" s="1" a="1"/>
  <c r="E170" s="1"/>
  <c r="E171" s="1" a="1"/>
  <c r="E171" s="1"/>
  <c r="E172" s="1" a="1"/>
  <c r="E172" s="1"/>
  <c r="E173" s="1" a="1"/>
  <c r="E173" s="1"/>
  <c r="E174" s="1" a="1"/>
  <c r="E174" s="1"/>
  <c r="E175" s="1" a="1"/>
  <c r="E175" s="1"/>
  <c r="E176" s="1" a="1"/>
  <c r="E176" s="1"/>
  <c r="E177" s="1" a="1"/>
  <c r="E177" s="1"/>
  <c r="E178" s="1" a="1"/>
  <c r="E178" s="1"/>
  <c r="E179" s="1" a="1"/>
  <c r="E179" s="1"/>
  <c r="E180" s="1" a="1"/>
  <c r="E180" s="1"/>
  <c r="E181" s="1" a="1"/>
  <c r="E181" s="1"/>
  <c r="E182" s="1" a="1"/>
  <c r="E182" s="1"/>
  <c r="E183" s="1" a="1"/>
  <c r="E183" s="1"/>
  <c r="E184" s="1" a="1"/>
  <c r="E184" s="1"/>
  <c r="E185" s="1" a="1"/>
  <c r="E185" s="1"/>
  <c r="E186" s="1" a="1"/>
  <c r="E186" s="1"/>
  <c r="E187" s="1" a="1"/>
  <c r="E187" s="1"/>
  <c r="E188" s="1" a="1"/>
  <c r="E188" s="1"/>
  <c r="E189" s="1" a="1"/>
  <c r="E189" s="1"/>
  <c r="E190" s="1" a="1"/>
  <c r="E190" s="1"/>
  <c r="E191" s="1" a="1"/>
  <c r="E191" s="1"/>
  <c r="E192" s="1" a="1"/>
  <c r="E192" s="1"/>
  <c r="E193" s="1" a="1"/>
  <c r="E193" s="1"/>
  <c r="E194" s="1" a="1"/>
  <c r="E194" s="1"/>
  <c r="E195" s="1" a="1"/>
  <c r="E195" s="1"/>
  <c r="E196" s="1" a="1"/>
  <c r="E196" s="1"/>
  <c r="E197" s="1" a="1"/>
  <c r="E197" s="1"/>
  <c r="E198" s="1" a="1"/>
  <c r="E198" s="1"/>
  <c r="E199" s="1" a="1"/>
  <c r="E199" s="1"/>
  <c r="E200" s="1" a="1"/>
  <c r="E200" s="1"/>
  <c r="E201" s="1" a="1"/>
  <c r="E201" s="1"/>
  <c r="E202" s="1" a="1"/>
  <c r="E202" s="1"/>
  <c r="E203" s="1" a="1"/>
  <c r="E203" s="1"/>
  <c r="E204" s="1" a="1"/>
  <c r="E204" s="1"/>
  <c r="E205" s="1" a="1"/>
  <c r="E205" s="1"/>
  <c r="E206" s="1" a="1"/>
  <c r="E206" s="1"/>
  <c r="AB49" i="55"/>
  <c r="AC41"/>
  <c r="AH41"/>
  <c r="AC38" i="56"/>
  <c r="AH38"/>
  <c r="AD7" i="45"/>
  <c r="AC38"/>
  <c r="AK41"/>
  <c r="AL38"/>
  <c r="AH41"/>
  <c r="AG52"/>
  <c r="AM41"/>
  <c r="AN38"/>
  <c r="AH32" i="53"/>
  <c r="BB32"/>
  <c r="AE32"/>
  <c r="N38" i="58"/>
  <c r="M41"/>
  <c r="AH42" i="47"/>
  <c r="AB50"/>
  <c r="AC42"/>
  <c r="AC41" i="56"/>
  <c r="AH41"/>
  <c r="AB49"/>
  <c r="H42" i="47"/>
  <c r="N42"/>
  <c r="G50"/>
  <c r="BD38" i="45"/>
  <c r="Y41"/>
  <c r="Z38"/>
  <c r="AJ38"/>
  <c r="AI41"/>
  <c r="G49" i="53"/>
  <c r="H41"/>
  <c r="AC38" i="55"/>
  <c r="AH38"/>
  <c r="M38" i="53"/>
  <c r="N36"/>
  <c r="AO41" i="45"/>
  <c r="AP38"/>
  <c r="AC36" i="53"/>
  <c r="AH36"/>
  <c r="AB38"/>
  <c r="AE36"/>
  <c r="BB36"/>
  <c r="AH41" i="58"/>
  <c r="AG49"/>
  <c r="G49" i="55"/>
  <c r="H41"/>
  <c r="N41"/>
  <c r="H38" i="56"/>
  <c r="N38"/>
  <c r="G41"/>
  <c r="K38"/>
  <c r="U52" i="45"/>
  <c r="T53"/>
  <c r="T54" s="1"/>
  <c r="J51" i="58"/>
  <c r="K49"/>
  <c r="J53" i="56"/>
  <c r="AD51" i="58"/>
  <c r="BB49"/>
  <c r="AE49"/>
  <c r="AD50" i="47"/>
  <c r="AE42"/>
  <c r="BB42"/>
  <c r="AD49" i="53"/>
  <c r="AD49" i="55"/>
  <c r="BB41"/>
  <c r="AE41"/>
  <c r="J49" i="53"/>
  <c r="K41"/>
  <c r="AD41" i="56"/>
  <c r="BB38"/>
  <c r="AE38"/>
  <c r="J49" i="55"/>
  <c r="K41"/>
  <c r="K39" i="47"/>
  <c r="J42"/>
  <c r="D14" i="43" l="1" a="1"/>
  <c r="D14" s="1"/>
  <c r="F14" s="1"/>
  <c r="U54" i="45"/>
  <c r="AG55"/>
  <c r="Y55"/>
  <c r="H41" i="56"/>
  <c r="N41"/>
  <c r="G49"/>
  <c r="K41"/>
  <c r="AH49" i="58"/>
  <c r="AG50"/>
  <c r="AH50" s="1"/>
  <c r="AG51"/>
  <c r="AG57"/>
  <c r="AC38" i="53"/>
  <c r="AH38"/>
  <c r="BB38"/>
  <c r="AE38"/>
  <c r="G50"/>
  <c r="G51"/>
  <c r="G57"/>
  <c r="H49"/>
  <c r="Z41" i="45"/>
  <c r="BD41"/>
  <c r="Y52"/>
  <c r="H50" i="47"/>
  <c r="G58"/>
  <c r="N50"/>
  <c r="G51"/>
  <c r="AH52" i="45"/>
  <c r="AC41"/>
  <c r="AD38"/>
  <c r="AB50" i="55"/>
  <c r="AB57"/>
  <c r="AC49"/>
  <c r="AH49"/>
  <c r="U53" i="45"/>
  <c r="AG53"/>
  <c r="Y53"/>
  <c r="G50" i="55"/>
  <c r="G51"/>
  <c r="G57"/>
  <c r="H49"/>
  <c r="N49"/>
  <c r="AO52" i="45"/>
  <c r="AP41"/>
  <c r="M41" i="53"/>
  <c r="N38"/>
  <c r="AI52" i="45"/>
  <c r="AJ41"/>
  <c r="AC49" i="56"/>
  <c r="AH49"/>
  <c r="AB57"/>
  <c r="AB50"/>
  <c r="AB51"/>
  <c r="AH50" i="47"/>
  <c r="AB51"/>
  <c r="AB58"/>
  <c r="AC50"/>
  <c r="M49" i="58"/>
  <c r="N41"/>
  <c r="AN41" i="45"/>
  <c r="AM52"/>
  <c r="AK52"/>
  <c r="AL41"/>
  <c r="AB41" i="53"/>
  <c r="J50" i="55"/>
  <c r="K50" s="1"/>
  <c r="K49"/>
  <c r="AD58" i="47"/>
  <c r="BB50"/>
  <c r="AE50"/>
  <c r="AD52"/>
  <c r="AD50" i="55"/>
  <c r="AD57"/>
  <c r="AD51"/>
  <c r="AE49"/>
  <c r="BB49"/>
  <c r="AD49" i="56"/>
  <c r="AE41"/>
  <c r="BB41"/>
  <c r="K42" i="47"/>
  <c r="J50"/>
  <c r="J51" i="53"/>
  <c r="K49"/>
  <c r="AD51"/>
  <c r="AE51" i="58"/>
  <c r="AD53"/>
  <c r="BB51"/>
  <c r="K51"/>
  <c r="J53"/>
  <c r="K53" s="1"/>
  <c r="D15" i="43" l="1" a="1"/>
  <c r="D15" s="1"/>
  <c r="F15" s="1"/>
  <c r="AB49" i="53"/>
  <c r="AC41"/>
  <c r="AH41"/>
  <c r="BB41"/>
  <c r="AE41"/>
  <c r="AL52" i="45"/>
  <c r="M50" i="58"/>
  <c r="N50" s="1"/>
  <c r="M57"/>
  <c r="N49"/>
  <c r="M51"/>
  <c r="AH51" i="47"/>
  <c r="AC51"/>
  <c r="BB51"/>
  <c r="AE51"/>
  <c r="AC51" i="56"/>
  <c r="AH51"/>
  <c r="AB53"/>
  <c r="AJ52" i="45"/>
  <c r="M49" i="53"/>
  <c r="N41"/>
  <c r="AP52" i="45"/>
  <c r="G53" i="55"/>
  <c r="H51"/>
  <c r="N51"/>
  <c r="AA51"/>
  <c r="BD53" i="45"/>
  <c r="AC53"/>
  <c r="AD53" s="1"/>
  <c r="Z53"/>
  <c r="AC50" i="55"/>
  <c r="AH50"/>
  <c r="AC52" i="45"/>
  <c r="AD41"/>
  <c r="H51" i="47"/>
  <c r="N51"/>
  <c r="AA51"/>
  <c r="Z52" i="45"/>
  <c r="BD52"/>
  <c r="Y54"/>
  <c r="H51" i="53"/>
  <c r="G53"/>
  <c r="AA51"/>
  <c r="J51" i="55"/>
  <c r="AN52" i="45"/>
  <c r="AC50" i="56"/>
  <c r="AH50"/>
  <c r="H50" i="55"/>
  <c r="N50"/>
  <c r="AA50"/>
  <c r="AH53" i="45"/>
  <c r="AO53"/>
  <c r="AP53" s="1"/>
  <c r="AI53"/>
  <c r="AJ53" s="1"/>
  <c r="AM53"/>
  <c r="AN53" s="1"/>
  <c r="AK53"/>
  <c r="AL53" s="1"/>
  <c r="H50" i="53"/>
  <c r="K50"/>
  <c r="AA50"/>
  <c r="AH51" i="58"/>
  <c r="AG53"/>
  <c r="AH53" s="1"/>
  <c r="H49" i="56"/>
  <c r="N49"/>
  <c r="G57"/>
  <c r="G50"/>
  <c r="G51"/>
  <c r="K49"/>
  <c r="AB52" i="47"/>
  <c r="AB51" i="55"/>
  <c r="AG54" i="45"/>
  <c r="AH54" s="1"/>
  <c r="G52" i="47"/>
  <c r="BB51" i="55"/>
  <c r="AD53"/>
  <c r="AE51"/>
  <c r="AD53" i="53"/>
  <c r="BB49" i="56"/>
  <c r="AE49"/>
  <c r="AD50"/>
  <c r="AD51"/>
  <c r="AD57"/>
  <c r="AE53" i="58"/>
  <c r="BB53"/>
  <c r="AD57"/>
  <c r="AE50" i="55"/>
  <c r="BB50"/>
  <c r="J53"/>
  <c r="K53" s="1"/>
  <c r="K51"/>
  <c r="AD54" i="47"/>
  <c r="AE52"/>
  <c r="BB52"/>
  <c r="J53" i="53"/>
  <c r="K53" s="1"/>
  <c r="K51"/>
  <c r="K50" i="47"/>
  <c r="J51"/>
  <c r="K51" s="1"/>
  <c r="J52"/>
  <c r="D16" i="43" l="1" a="1"/>
  <c r="D16" s="1"/>
  <c r="F16" s="1"/>
  <c r="AH52" i="47"/>
  <c r="AC52"/>
  <c r="AB54"/>
  <c r="H51" i="56"/>
  <c r="N51"/>
  <c r="G53"/>
  <c r="AA51"/>
  <c r="K51"/>
  <c r="AC55" i="45"/>
  <c r="Z54"/>
  <c r="BD54"/>
  <c r="H53" i="55"/>
  <c r="N53"/>
  <c r="M50" i="53"/>
  <c r="N50" s="1"/>
  <c r="M51"/>
  <c r="M57"/>
  <c r="N49"/>
  <c r="N51" i="58"/>
  <c r="M53"/>
  <c r="N53" s="1"/>
  <c r="AB50" i="53"/>
  <c r="AB51"/>
  <c r="AB57"/>
  <c r="AC49"/>
  <c r="AH49"/>
  <c r="AE49"/>
  <c r="BB49"/>
  <c r="AM54" i="45"/>
  <c r="AN54" s="1"/>
  <c r="AI54"/>
  <c r="AJ54" s="1"/>
  <c r="AK54"/>
  <c r="AL54" s="1"/>
  <c r="H52" i="47"/>
  <c r="G54"/>
  <c r="N52"/>
  <c r="AA52"/>
  <c r="AB53" i="55"/>
  <c r="AC51"/>
  <c r="AH51"/>
  <c r="H50" i="56"/>
  <c r="N50"/>
  <c r="AA50"/>
  <c r="K50"/>
  <c r="H53" i="53"/>
  <c r="AD52" i="45"/>
  <c r="AC54"/>
  <c r="AD54" s="1"/>
  <c r="AC53" i="56"/>
  <c r="AH53"/>
  <c r="AO54" i="45"/>
  <c r="AE54" i="47"/>
  <c r="BB54"/>
  <c r="K52"/>
  <c r="J54"/>
  <c r="K54" s="1"/>
  <c r="AD53" i="56"/>
  <c r="AE51"/>
  <c r="BB51"/>
  <c r="AD57" i="53"/>
  <c r="AE53" i="55"/>
  <c r="BB53"/>
  <c r="AE50" i="56"/>
  <c r="BB50"/>
  <c r="D17" i="43" l="1" a="1"/>
  <c r="D17" s="1"/>
  <c r="F17" s="1"/>
  <c r="AQ55" i="45"/>
  <c r="AP54"/>
  <c r="AQ54"/>
  <c r="N54" i="47"/>
  <c r="H54"/>
  <c r="AC51" i="53"/>
  <c r="AH51"/>
  <c r="AB53"/>
  <c r="BB51"/>
  <c r="AE51"/>
  <c r="M53"/>
  <c r="N53" s="1"/>
  <c r="N51"/>
  <c r="AC54" i="47"/>
  <c r="AH54"/>
  <c r="AC53" i="55"/>
  <c r="AH53"/>
  <c r="AC50" i="53"/>
  <c r="AH50"/>
  <c r="AE50"/>
  <c r="BB50"/>
  <c r="H53" i="56"/>
  <c r="N53"/>
  <c r="K53"/>
  <c r="BB53"/>
  <c r="AE53"/>
  <c r="D18" i="43" l="1" a="1"/>
  <c r="D18" s="1"/>
  <c r="F18" s="1"/>
  <c r="AC53" i="53"/>
  <c r="AH53"/>
  <c r="AE53"/>
  <c r="BB53"/>
  <c r="D19" i="43" l="1" a="1"/>
  <c r="D19" s="1"/>
  <c r="F19" s="1"/>
  <c r="D20" l="1" a="1"/>
  <c r="D20" s="1"/>
  <c r="F20" s="1"/>
  <c r="D21" l="1" a="1"/>
  <c r="D21" s="1"/>
  <c r="F21" s="1"/>
  <c r="D22" l="1" a="1"/>
  <c r="D22" s="1"/>
  <c r="F22" s="1"/>
  <c r="D23" l="1" a="1"/>
  <c r="D23" s="1"/>
  <c r="F23" s="1"/>
  <c r="D24" l="1" a="1"/>
  <c r="D24" s="1"/>
  <c r="F24" s="1"/>
  <c r="D25" l="1" a="1"/>
  <c r="D25" s="1"/>
  <c r="F25" s="1"/>
  <c r="D26" l="1" a="1"/>
  <c r="D26" s="1"/>
  <c r="F26" s="1"/>
  <c r="D27" l="1" a="1"/>
  <c r="D27" s="1"/>
  <c r="F27" s="1"/>
  <c r="D28" l="1" a="1"/>
  <c r="D28" s="1"/>
  <c r="F28" s="1"/>
  <c r="D29" l="1" a="1"/>
  <c r="D29" s="1"/>
  <c r="F29" s="1"/>
  <c r="D30" l="1" a="1"/>
  <c r="D30" s="1"/>
  <c r="F30" s="1"/>
  <c r="D31" l="1" a="1"/>
  <c r="D31" s="1"/>
  <c r="F31" s="1"/>
  <c r="D32" l="1" a="1"/>
  <c r="D32" s="1"/>
  <c r="F32" s="1"/>
  <c r="D33" l="1" a="1"/>
  <c r="D33" s="1"/>
  <c r="F33" s="1"/>
  <c r="D34" l="1" a="1"/>
  <c r="D34" s="1"/>
  <c r="F34" s="1"/>
  <c r="D35" l="1" a="1"/>
  <c r="D35" s="1"/>
  <c r="F35" s="1"/>
  <c r="D36" l="1" a="1"/>
  <c r="D36" s="1"/>
  <c r="F36" s="1"/>
  <c r="D37" l="1" a="1"/>
  <c r="D37" s="1"/>
  <c r="F37" s="1"/>
  <c r="D38" l="1" a="1"/>
  <c r="D38" s="1"/>
  <c r="F38" s="1"/>
  <c r="D39" l="1" a="1"/>
  <c r="D39" s="1"/>
  <c r="F39" s="1"/>
  <c r="D40" l="1" a="1"/>
  <c r="D40" s="1"/>
  <c r="F40" s="1"/>
  <c r="D41" l="1" a="1"/>
  <c r="D41" s="1"/>
  <c r="F41" s="1"/>
  <c r="D42" l="1" a="1"/>
  <c r="D42" s="1"/>
  <c r="F42" s="1"/>
  <c r="D43" l="1" a="1"/>
  <c r="D43" s="1"/>
  <c r="F43" s="1"/>
  <c r="D44" l="1" a="1"/>
  <c r="D44" s="1"/>
  <c r="F44" s="1"/>
  <c r="D45" l="1" a="1"/>
  <c r="D45" s="1"/>
  <c r="F45" s="1"/>
  <c r="D46" l="1" a="1"/>
  <c r="D46" s="1"/>
  <c r="F46" s="1"/>
  <c r="D47" l="1" a="1"/>
  <c r="D47" s="1"/>
  <c r="F47" s="1"/>
  <c r="D48" l="1" a="1"/>
  <c r="D48" s="1"/>
  <c r="F48" s="1"/>
  <c r="D49" l="1" a="1"/>
  <c r="D49" s="1"/>
  <c r="F49" s="1"/>
  <c r="D50" l="1" a="1"/>
  <c r="D50" s="1"/>
  <c r="F50" s="1"/>
  <c r="D51" l="1" a="1"/>
  <c r="D51" s="1"/>
  <c r="F51" s="1"/>
  <c r="D52" l="1" a="1"/>
  <c r="D52" s="1"/>
  <c r="F52" s="1"/>
  <c r="D53" l="1" a="1"/>
  <c r="D53" s="1"/>
  <c r="F53" s="1"/>
  <c r="D54" l="1" a="1"/>
  <c r="D54" s="1"/>
  <c r="F54" s="1"/>
  <c r="D55" l="1" a="1"/>
  <c r="D55" s="1"/>
  <c r="F55" s="1"/>
  <c r="D56" l="1" a="1"/>
  <c r="D56" s="1"/>
  <c r="F56" s="1"/>
  <c r="D57" l="1" a="1"/>
  <c r="D57" s="1"/>
  <c r="F57" s="1"/>
  <c r="D58" l="1" a="1"/>
  <c r="D58" s="1"/>
  <c r="F58" s="1"/>
  <c r="D59" l="1" a="1"/>
  <c r="D59" s="1"/>
  <c r="F59" s="1"/>
  <c r="D60" l="1" a="1"/>
  <c r="D60" s="1"/>
  <c r="F60" s="1"/>
  <c r="D61" l="1" a="1"/>
  <c r="D61" s="1"/>
  <c r="F61" s="1"/>
  <c r="D62" l="1" a="1"/>
  <c r="D62" s="1"/>
  <c r="F62" s="1"/>
  <c r="D63" l="1" a="1"/>
  <c r="D63" s="1"/>
  <c r="F63" s="1"/>
  <c r="D64" l="1" a="1"/>
  <c r="D64" s="1"/>
  <c r="F64" s="1"/>
  <c r="D65" l="1" a="1"/>
  <c r="D65" s="1"/>
  <c r="F65" s="1"/>
  <c r="D66" l="1" a="1"/>
  <c r="D66" s="1"/>
  <c r="F66" s="1"/>
  <c r="D67" l="1" a="1"/>
  <c r="D67" s="1"/>
  <c r="F67" s="1"/>
  <c r="D68" l="1" a="1"/>
  <c r="D68" s="1"/>
  <c r="F68" s="1"/>
  <c r="D69" l="1" a="1"/>
  <c r="D69" s="1"/>
  <c r="F69" s="1"/>
  <c r="D70" l="1" a="1"/>
  <c r="D70" s="1"/>
  <c r="F70" s="1"/>
  <c r="D71" l="1" a="1"/>
  <c r="D71" s="1"/>
  <c r="F71" s="1"/>
  <c r="D72" l="1" a="1"/>
  <c r="D72" s="1"/>
  <c r="F72" s="1"/>
  <c r="D73" l="1" a="1"/>
  <c r="D73" s="1"/>
  <c r="F73" s="1"/>
  <c r="D74" l="1" a="1"/>
  <c r="D74" s="1"/>
  <c r="F74" s="1"/>
  <c r="D75" l="1" a="1"/>
  <c r="D75" s="1"/>
  <c r="F75" s="1"/>
  <c r="D76" l="1" a="1"/>
  <c r="D76" s="1"/>
  <c r="F76" s="1"/>
  <c r="D77" l="1" a="1"/>
  <c r="D77" s="1"/>
  <c r="F77" s="1"/>
  <c r="D78" l="1" a="1"/>
  <c r="D78" s="1"/>
  <c r="F78" s="1"/>
  <c r="D79" l="1" a="1"/>
  <c r="D79" s="1"/>
  <c r="F79" s="1"/>
  <c r="D80" l="1" a="1"/>
  <c r="D80" s="1"/>
  <c r="F80" s="1"/>
  <c r="D81" l="1" a="1"/>
  <c r="D81" s="1"/>
  <c r="F81" s="1"/>
  <c r="D82" l="1" a="1"/>
  <c r="D82" s="1"/>
  <c r="F82" s="1"/>
  <c r="D83" l="1" a="1"/>
  <c r="D83" s="1"/>
  <c r="F83" s="1"/>
  <c r="D84" l="1" a="1"/>
  <c r="D84" s="1"/>
  <c r="F84" s="1"/>
  <c r="D85" l="1" a="1"/>
  <c r="D85" s="1"/>
  <c r="F85" s="1"/>
  <c r="D86" l="1" a="1"/>
  <c r="D86" s="1"/>
  <c r="F86" s="1"/>
  <c r="D87" l="1" a="1"/>
  <c r="D87" s="1"/>
  <c r="F87" s="1"/>
  <c r="D88" l="1" a="1"/>
  <c r="D88" s="1"/>
  <c r="F88" s="1"/>
  <c r="D89" l="1" a="1"/>
  <c r="D89" s="1"/>
  <c r="F89" s="1"/>
  <c r="D90" l="1" a="1"/>
  <c r="D90" s="1"/>
  <c r="F90" s="1"/>
  <c r="D91" l="1" a="1"/>
  <c r="D91" s="1"/>
  <c r="F91" s="1"/>
  <c r="D92" l="1" a="1"/>
  <c r="D92" s="1"/>
  <c r="F92" s="1"/>
  <c r="D93" l="1" a="1"/>
  <c r="D93" s="1"/>
  <c r="F93" s="1"/>
  <c r="D94" l="1" a="1"/>
  <c r="D94" s="1"/>
  <c r="D95" l="1" a="1"/>
  <c r="D95" s="1"/>
  <c r="F94"/>
  <c r="D96" l="1" a="1"/>
  <c r="D96" s="1"/>
  <c r="F95"/>
  <c r="D97" l="1" a="1"/>
  <c r="D97" s="1"/>
  <c r="F96"/>
  <c r="D98" l="1" a="1"/>
  <c r="D98" s="1"/>
  <c r="F97"/>
  <c r="D99" l="1" a="1"/>
  <c r="D99" s="1"/>
  <c r="F98"/>
  <c r="D100" l="1" a="1"/>
  <c r="D100" s="1"/>
  <c r="F99"/>
  <c r="D101" l="1" a="1"/>
  <c r="D101" s="1"/>
  <c r="F100"/>
  <c r="D102" l="1" a="1"/>
  <c r="D102" s="1"/>
  <c r="F101"/>
  <c r="D103" l="1" a="1"/>
  <c r="D103" s="1"/>
  <c r="F102"/>
  <c r="D104" l="1" a="1"/>
  <c r="D104" s="1"/>
  <c r="F103"/>
  <c r="D105" l="1" a="1"/>
  <c r="D105" s="1"/>
  <c r="F104"/>
  <c r="D106" l="1" a="1"/>
  <c r="D106" s="1"/>
  <c r="F105"/>
  <c r="D107" l="1" a="1"/>
  <c r="D107" s="1"/>
  <c r="F106"/>
  <c r="D108" l="1" a="1"/>
  <c r="D108" s="1"/>
  <c r="F107"/>
  <c r="D109" l="1" a="1"/>
  <c r="D109" s="1"/>
  <c r="F108"/>
  <c r="D110" l="1" a="1"/>
  <c r="D110" s="1"/>
  <c r="F109"/>
  <c r="D111" l="1" a="1"/>
  <c r="D111" s="1"/>
  <c r="F110"/>
  <c r="D112" l="1" a="1"/>
  <c r="D112" s="1"/>
  <c r="F111"/>
  <c r="D113" l="1" a="1"/>
  <c r="D113" s="1"/>
  <c r="F112"/>
  <c r="D114" l="1" a="1"/>
  <c r="D114" s="1"/>
  <c r="F113"/>
  <c r="D115" l="1" a="1"/>
  <c r="D115" s="1"/>
  <c r="F114"/>
  <c r="D116" l="1" a="1"/>
  <c r="D116" s="1"/>
  <c r="F115"/>
  <c r="D117" l="1" a="1"/>
  <c r="D117" s="1"/>
  <c r="F116"/>
  <c r="D118" l="1" a="1"/>
  <c r="D118" s="1"/>
  <c r="F117"/>
  <c r="D119" l="1" a="1"/>
  <c r="D119" s="1"/>
  <c r="F118"/>
  <c r="D120" l="1" a="1"/>
  <c r="D120" s="1"/>
  <c r="F119"/>
  <c r="D121" l="1" a="1"/>
  <c r="D121" s="1"/>
  <c r="F120"/>
  <c r="D122" l="1" a="1"/>
  <c r="D122" s="1"/>
  <c r="F121"/>
  <c r="D123" l="1" a="1"/>
  <c r="D123" s="1"/>
  <c r="F122"/>
  <c r="D124" l="1" a="1"/>
  <c r="D124" s="1"/>
  <c r="F123"/>
  <c r="D125" l="1" a="1"/>
  <c r="D125" s="1"/>
  <c r="F124"/>
  <c r="D126" l="1" a="1"/>
  <c r="D126" s="1"/>
  <c r="F125"/>
  <c r="D127" l="1" a="1"/>
  <c r="D127" s="1"/>
  <c r="F126"/>
  <c r="D128" l="1" a="1"/>
  <c r="D128" s="1"/>
  <c r="F127"/>
  <c r="D129" l="1" a="1"/>
  <c r="D129" s="1"/>
  <c r="F128"/>
  <c r="D130" l="1" a="1"/>
  <c r="D130" s="1"/>
  <c r="F129"/>
  <c r="D131" l="1" a="1"/>
  <c r="D131" s="1"/>
  <c r="F130"/>
  <c r="D132" l="1" a="1"/>
  <c r="D132" s="1"/>
  <c r="F131"/>
  <c r="D133" l="1" a="1"/>
  <c r="D133" s="1"/>
  <c r="F132"/>
  <c r="D134" l="1" a="1"/>
  <c r="D134" s="1"/>
  <c r="F133"/>
  <c r="D135" l="1" a="1"/>
  <c r="D135" s="1"/>
  <c r="F134"/>
  <c r="D136" l="1" a="1"/>
  <c r="D136" s="1"/>
  <c r="F135"/>
  <c r="D137" l="1" a="1"/>
  <c r="D137" s="1"/>
  <c r="F136"/>
  <c r="D138" l="1" a="1"/>
  <c r="D138" s="1"/>
  <c r="F137"/>
  <c r="D139" l="1" a="1"/>
  <c r="D139" s="1"/>
  <c r="F138"/>
  <c r="D140" l="1" a="1"/>
  <c r="D140" s="1"/>
  <c r="F139"/>
  <c r="D141" l="1" a="1"/>
  <c r="D141" s="1"/>
  <c r="F140"/>
  <c r="D142" l="1" a="1"/>
  <c r="D142" s="1"/>
  <c r="F141"/>
  <c r="D143" l="1" a="1"/>
  <c r="D143" s="1"/>
  <c r="F142"/>
  <c r="D144" l="1" a="1"/>
  <c r="D144" s="1"/>
  <c r="F143"/>
  <c r="D145" l="1" a="1"/>
  <c r="D145" s="1"/>
  <c r="F144"/>
  <c r="D146" l="1" a="1"/>
  <c r="D146" s="1"/>
  <c r="F145"/>
  <c r="D147" l="1" a="1"/>
  <c r="D147" s="1"/>
  <c r="F146"/>
  <c r="D148" l="1" a="1"/>
  <c r="D148" s="1"/>
  <c r="F147"/>
  <c r="D149" l="1" a="1"/>
  <c r="D149" s="1"/>
  <c r="F148"/>
  <c r="D150" l="1" a="1"/>
  <c r="D150" s="1"/>
  <c r="F149"/>
  <c r="D151" l="1" a="1"/>
  <c r="D151" s="1"/>
  <c r="F150"/>
  <c r="D152" l="1" a="1"/>
  <c r="D152" s="1"/>
  <c r="F151"/>
  <c r="D153" l="1" a="1"/>
  <c r="D153" s="1"/>
  <c r="F152"/>
  <c r="D154" l="1" a="1"/>
  <c r="D154" s="1"/>
  <c r="F153"/>
  <c r="D155" l="1" a="1"/>
  <c r="D155" s="1"/>
  <c r="F154"/>
  <c r="D156" l="1" a="1"/>
  <c r="D156" s="1"/>
  <c r="F155"/>
  <c r="D157" l="1" a="1"/>
  <c r="D157" s="1"/>
  <c r="F156"/>
  <c r="D158" l="1" a="1"/>
  <c r="D158" s="1"/>
  <c r="F157"/>
  <c r="D159" l="1" a="1"/>
  <c r="D159" s="1"/>
  <c r="F158"/>
  <c r="D160" l="1" a="1"/>
  <c r="D160" s="1"/>
  <c r="F159"/>
  <c r="D161" l="1" a="1"/>
  <c r="D161" s="1"/>
  <c r="F160"/>
  <c r="D162" l="1" a="1"/>
  <c r="D162" s="1"/>
  <c r="F161"/>
  <c r="D163" l="1" a="1"/>
  <c r="D163" s="1"/>
  <c r="F162"/>
  <c r="D164" l="1" a="1"/>
  <c r="D164" s="1"/>
  <c r="F163"/>
  <c r="D165" l="1" a="1"/>
  <c r="D165" s="1"/>
  <c r="F164"/>
  <c r="D166" l="1" a="1"/>
  <c r="D166" s="1"/>
  <c r="F165"/>
  <c r="D167" l="1" a="1"/>
  <c r="D167" s="1"/>
  <c r="F166"/>
  <c r="D168" l="1" a="1"/>
  <c r="D168" s="1"/>
  <c r="F167"/>
  <c r="D169" l="1" a="1"/>
  <c r="D169" s="1"/>
  <c r="F168"/>
  <c r="D170" l="1" a="1"/>
  <c r="D170" s="1"/>
  <c r="F169"/>
  <c r="D171" l="1" a="1"/>
  <c r="D171" s="1"/>
  <c r="F170"/>
  <c r="D172" l="1" a="1"/>
  <c r="D172" s="1"/>
  <c r="F171"/>
  <c r="D173" l="1" a="1"/>
  <c r="D173" s="1"/>
  <c r="F172"/>
  <c r="D174" l="1" a="1"/>
  <c r="D174" s="1"/>
  <c r="F173"/>
  <c r="D175" l="1" a="1"/>
  <c r="D175" s="1"/>
  <c r="F174"/>
  <c r="D176" l="1" a="1"/>
  <c r="D176" s="1"/>
  <c r="F175"/>
  <c r="D177" l="1" a="1"/>
  <c r="D177" s="1"/>
  <c r="F176"/>
  <c r="D178" l="1" a="1"/>
  <c r="D178" s="1"/>
  <c r="F177"/>
  <c r="D179" l="1" a="1"/>
  <c r="D179" s="1"/>
  <c r="F178"/>
  <c r="D180" l="1" a="1"/>
  <c r="D180" s="1"/>
  <c r="F179"/>
  <c r="D181" l="1" a="1"/>
  <c r="D181" s="1"/>
  <c r="F180"/>
  <c r="D182" l="1" a="1"/>
  <c r="D182" s="1"/>
  <c r="F181"/>
  <c r="D183" l="1" a="1"/>
  <c r="D183" s="1"/>
  <c r="F182"/>
  <c r="D184" l="1" a="1"/>
  <c r="D184" s="1"/>
  <c r="F183"/>
  <c r="D185" l="1" a="1"/>
  <c r="D185" s="1"/>
  <c r="F184"/>
  <c r="D186" l="1" a="1"/>
  <c r="D186" s="1"/>
  <c r="F185"/>
  <c r="D187" l="1" a="1"/>
  <c r="D187" s="1"/>
  <c r="F186"/>
  <c r="D188" l="1" a="1"/>
  <c r="D188" s="1"/>
  <c r="F187"/>
  <c r="D189" l="1" a="1"/>
  <c r="D189" s="1"/>
  <c r="F188"/>
  <c r="D190" l="1" a="1"/>
  <c r="D190" s="1"/>
  <c r="F189"/>
  <c r="D191" l="1" a="1"/>
  <c r="D191" s="1"/>
  <c r="F190"/>
  <c r="D192" l="1" a="1"/>
  <c r="D192" s="1"/>
  <c r="F191"/>
  <c r="D193" l="1" a="1"/>
  <c r="D193" s="1"/>
  <c r="F192"/>
  <c r="D194" l="1" a="1"/>
  <c r="D194" s="1"/>
  <c r="F193"/>
  <c r="D195" l="1" a="1"/>
  <c r="D195" s="1"/>
  <c r="F194"/>
  <c r="D196" l="1" a="1"/>
  <c r="D196" s="1"/>
  <c r="F195"/>
  <c r="D197" l="1" a="1"/>
  <c r="D197" s="1"/>
  <c r="F196"/>
  <c r="D198" l="1" a="1"/>
  <c r="D198" s="1"/>
  <c r="F197"/>
  <c r="D199" l="1" a="1"/>
  <c r="D199" s="1"/>
  <c r="F198"/>
  <c r="D200" l="1" a="1"/>
  <c r="D200" s="1"/>
  <c r="F199"/>
  <c r="D201" l="1" a="1"/>
  <c r="D201" s="1"/>
  <c r="F200"/>
  <c r="D202" l="1" a="1"/>
  <c r="D202" s="1"/>
  <c r="F201"/>
  <c r="D203" l="1" a="1"/>
  <c r="D203" s="1"/>
  <c r="F202"/>
  <c r="D204" l="1" a="1"/>
  <c r="D204" s="1"/>
  <c r="F203"/>
  <c r="D205" l="1" a="1"/>
  <c r="D205" s="1"/>
  <c r="F204"/>
  <c r="D206" l="1" a="1"/>
  <c r="D206" s="1"/>
  <c r="F206" s="1"/>
  <c r="F205"/>
</calcChain>
</file>

<file path=xl/sharedStrings.xml><?xml version="1.0" encoding="utf-8"?>
<sst xmlns="http://schemas.openxmlformats.org/spreadsheetml/2006/main" count="1291" uniqueCount="244">
  <si>
    <t>PRODUITS EXPLOITATATIONS</t>
  </si>
  <si>
    <t>Laboratoires</t>
  </si>
  <si>
    <t>Cliniques</t>
  </si>
  <si>
    <t xml:space="preserve">ACHATS REACTIFS </t>
  </si>
  <si>
    <t>Achats Réactifs</t>
  </si>
  <si>
    <t xml:space="preserve">AUTRES CHARGES EXTERNES </t>
  </si>
  <si>
    <t>Charges externes</t>
  </si>
  <si>
    <t xml:space="preserve">IMPOTS TAXES </t>
  </si>
  <si>
    <t xml:space="preserve">Impots et taxes </t>
  </si>
  <si>
    <t>SALAIRES-CHARGES SOCIALES</t>
  </si>
  <si>
    <t xml:space="preserve">Salaires </t>
  </si>
  <si>
    <t>Charges sociales</t>
  </si>
  <si>
    <t>EXCEDENT BRUT EXPLOITATION</t>
  </si>
  <si>
    <t>Dotation de l' exercice</t>
  </si>
  <si>
    <t>AUTRES PRODUITS</t>
  </si>
  <si>
    <t>AUTRES CHARGES</t>
  </si>
  <si>
    <t>Produits financiers</t>
  </si>
  <si>
    <t>Charges financières</t>
  </si>
  <si>
    <t>Produits exceptionnels</t>
  </si>
  <si>
    <t>Charges exceptionnelles</t>
  </si>
  <si>
    <t>RESULTAT COMPTABLE AVANT IS</t>
  </si>
  <si>
    <t xml:space="preserve">IMPOTS SOCIETES </t>
  </si>
  <si>
    <t>RESULTAT COMPTABLE APRES IS</t>
  </si>
  <si>
    <t>Frais Généraux UNIBIO</t>
  </si>
  <si>
    <t>Frais GSEC</t>
  </si>
  <si>
    <t>Impots et taxes UNIBIO</t>
  </si>
  <si>
    <t>Impots et taxes GCAM</t>
  </si>
  <si>
    <t>Impots et taxes GSEC</t>
  </si>
  <si>
    <t>Rémunérations TNS</t>
  </si>
  <si>
    <t>Rémunérations Gérants</t>
  </si>
  <si>
    <t>Charges Sociales GCAM</t>
  </si>
  <si>
    <t>Charges sociales GSEC</t>
  </si>
  <si>
    <t>Cotisations Sociales TNS</t>
  </si>
  <si>
    <t>Cotisations Sociales Gérants</t>
  </si>
  <si>
    <t xml:space="preserve">Ch.Sociales UNIBIO </t>
  </si>
  <si>
    <t>CONSOLIDATION GROUPE</t>
  </si>
  <si>
    <t>%</t>
  </si>
  <si>
    <t>Réactifs UNIBIO</t>
  </si>
  <si>
    <t>Frais GCAM</t>
  </si>
  <si>
    <t xml:space="preserve">Salaires UNIBIO </t>
  </si>
  <si>
    <t>Amort CB &amp; Loc LD</t>
  </si>
  <si>
    <t xml:space="preserve">Frais financiers/ CB &amp; LD </t>
  </si>
  <si>
    <r>
      <t xml:space="preserve">Salaires </t>
    </r>
    <r>
      <rPr>
        <b/>
        <sz val="12"/>
        <color indexed="53"/>
        <rFont val="Arial"/>
        <family val="2"/>
      </rPr>
      <t>GCAM</t>
    </r>
  </si>
  <si>
    <r>
      <t>Salaires</t>
    </r>
    <r>
      <rPr>
        <b/>
        <sz val="12"/>
        <color indexed="14"/>
        <rFont val="Arial"/>
        <family val="2"/>
      </rPr>
      <t xml:space="preserve"> GSEC</t>
    </r>
  </si>
  <si>
    <t>Amort Plateau UNIBIO</t>
  </si>
  <si>
    <t>BONDARD</t>
  </si>
  <si>
    <t>TOTAL</t>
  </si>
  <si>
    <t>BIOFAMM</t>
  </si>
  <si>
    <t>TEXIER</t>
  </si>
  <si>
    <t>variation 2016/2015</t>
  </si>
  <si>
    <t>ANTICIPE CONSO GROUPE  AU 31/12/2016</t>
  </si>
  <si>
    <t>CONTRÔLE</t>
  </si>
  <si>
    <t xml:space="preserve"> 1 trimestre 2016</t>
  </si>
  <si>
    <t xml:space="preserve"> 2 trimestre 2016</t>
  </si>
  <si>
    <t xml:space="preserve"> 3 trimestre 2016</t>
  </si>
  <si>
    <t xml:space="preserve"> 4 trimestre 2016</t>
  </si>
  <si>
    <t>contrôle</t>
  </si>
  <si>
    <r>
      <t xml:space="preserve">Autres produits </t>
    </r>
    <r>
      <rPr>
        <b/>
        <sz val="12"/>
        <rFont val="Arial"/>
        <family val="2"/>
      </rPr>
      <t>(dont RRR CERBA)</t>
    </r>
  </si>
  <si>
    <t>Sous traitance</t>
  </si>
  <si>
    <t>AUTRES CHARGES (dont Dot prov)</t>
  </si>
  <si>
    <t>INTERIM BIOGROUP</t>
  </si>
  <si>
    <t>Transfert charges exploitation &amp; CICE</t>
  </si>
  <si>
    <t>PARTICIPATION</t>
  </si>
  <si>
    <t>Plan chasse au Gaspi</t>
  </si>
  <si>
    <t xml:space="preserve">ANA 17 </t>
  </si>
  <si>
    <t>Synergies</t>
  </si>
  <si>
    <t xml:space="preserve">BIOLAM </t>
  </si>
  <si>
    <t xml:space="preserve">LCD ex-ANA 11 </t>
  </si>
  <si>
    <t>Acquisition 2/07/2015</t>
  </si>
  <si>
    <t>Acquisition 15/07/2015</t>
  </si>
  <si>
    <r>
      <t xml:space="preserve">Autres produits </t>
    </r>
    <r>
      <rPr>
        <b/>
        <sz val="12"/>
        <rFont val="Arial"/>
        <family val="2"/>
      </rPr>
      <t>(dont RRR BIOMNIS)</t>
    </r>
  </si>
  <si>
    <t>Rem. &amp;charges Biol UNIBIO+ Participation</t>
  </si>
  <si>
    <t>sous traitance BIOMNIS CERBA</t>
  </si>
  <si>
    <t>BIOFAMM &amp; TEXIER</t>
  </si>
  <si>
    <t xml:space="preserve"> 1 TRIM 2016</t>
  </si>
  <si>
    <t>2 TRIM 2016</t>
  </si>
  <si>
    <t>3 TRIM 2016</t>
  </si>
  <si>
    <t>4 TRIM 2016</t>
  </si>
  <si>
    <t>sur prêt</t>
  </si>
  <si>
    <t>sur CB</t>
  </si>
  <si>
    <t xml:space="preserve">FINANCIAL KPI'S </t>
  </si>
  <si>
    <t>NET REVENUS</t>
  </si>
  <si>
    <t>LABORATORIES</t>
  </si>
  <si>
    <t>OTHER CREDITORS</t>
  </si>
  <si>
    <t>RAW MATERIELS</t>
  </si>
  <si>
    <t>SUBCONTRACTED TESTS</t>
  </si>
  <si>
    <t>EXTERNAL COSTS</t>
  </si>
  <si>
    <t>FIXED COSTS</t>
  </si>
  <si>
    <t xml:space="preserve">TAXES </t>
  </si>
  <si>
    <t>PERSONNEL COSTS</t>
  </si>
  <si>
    <t>TRANSPORTATION COSTS</t>
  </si>
  <si>
    <t>TRANSPORT</t>
  </si>
  <si>
    <t>LOSS ON RECEIVABLES</t>
  </si>
  <si>
    <t>PERTES SUR CREANCES</t>
  </si>
  <si>
    <t>TOTAL OPERATING COSTS (% of net revenues)</t>
  </si>
  <si>
    <t>GROSS MARGIN (% of net revenues)</t>
  </si>
  <si>
    <t>EBITDA (% of net revenues)</t>
  </si>
  <si>
    <t xml:space="preserve">CONTRIBUTIVE EBITDA </t>
  </si>
  <si>
    <t>FRAIS DE GESTION</t>
  </si>
  <si>
    <t>DEPRECIATION</t>
  </si>
  <si>
    <t>AMORTIZATION</t>
  </si>
  <si>
    <t>FINANCIAL RESULT</t>
  </si>
  <si>
    <t>RESULTAT FINANCIER</t>
  </si>
  <si>
    <t>NON RECURRING</t>
  </si>
  <si>
    <t>NON RECURRENT</t>
  </si>
  <si>
    <t>INCOME TAX</t>
  </si>
  <si>
    <t>NET INCOME</t>
  </si>
  <si>
    <t xml:space="preserve">RESULTAT NET </t>
  </si>
  <si>
    <t>BUDGET</t>
  </si>
  <si>
    <t>% VS BUDGET</t>
  </si>
  <si>
    <t>BIO LAM LCD</t>
  </si>
  <si>
    <t>N-1</t>
  </si>
  <si>
    <t>% vs  N-1</t>
  </si>
  <si>
    <r>
      <t xml:space="preserve">Autres produits </t>
    </r>
    <r>
      <rPr>
        <b/>
        <sz val="12"/>
        <rFont val="Tahoma"/>
        <family val="2"/>
      </rPr>
      <t>(dont RRR CERBA)</t>
    </r>
  </si>
  <si>
    <t xml:space="preserve"> REVENUS NETS</t>
  </si>
  <si>
    <t>CHARGES FIXES</t>
  </si>
  <si>
    <t>MARGE BRUTE (% du revenu net)</t>
  </si>
  <si>
    <t>TOTAL CHARGES D'EXPLOIT. (en % du revenu net)</t>
  </si>
  <si>
    <t>AMORTISSEMENTS</t>
  </si>
  <si>
    <t xml:space="preserve">REPORTING FINANCIER </t>
  </si>
  <si>
    <t>GROUP REPORT</t>
  </si>
  <si>
    <t xml:space="preserve">CONSO GROUPE </t>
  </si>
  <si>
    <t>CAPEX COMMITMENTS</t>
  </si>
  <si>
    <t>FRAIS DE BANQUE</t>
  </si>
  <si>
    <t>MANAGEMENT FEES</t>
  </si>
  <si>
    <t>OPERATING EXPENSES TRANSFER  &amp; CICE</t>
  </si>
  <si>
    <t>TRANSFERT CHARGES EXPLOITATION &amp; CICE</t>
  </si>
  <si>
    <t>OTHER MANAGT PRODUCTS</t>
  </si>
  <si>
    <t>OTHER MANAGT COSTS</t>
  </si>
  <si>
    <t>Amort LEASING  &amp; LONG DURATION</t>
  </si>
  <si>
    <t>OTHER EXCEPTIONAL COSTS</t>
  </si>
  <si>
    <t>AUTRES PROD. EXCEPT.</t>
  </si>
  <si>
    <t>AUTRES CHARGES EXCEPT.</t>
  </si>
  <si>
    <t>CAPEX ENGAGEMENTS</t>
  </si>
  <si>
    <t>Sous traitance BIOMNIS CERBA</t>
  </si>
  <si>
    <t xml:space="preserve">Achats Réactifs </t>
  </si>
  <si>
    <t>BANK FEES</t>
  </si>
  <si>
    <t xml:space="preserve">Charges externes </t>
  </si>
  <si>
    <t>PROFIT SHARING</t>
  </si>
  <si>
    <t>MONTH</t>
  </si>
  <si>
    <t>YTD</t>
  </si>
  <si>
    <t>CLINICS</t>
  </si>
  <si>
    <t>TOTAL EXTERNAL COSTS</t>
  </si>
  <si>
    <t xml:space="preserve">TOTAL CHARGES EXTERNES </t>
  </si>
  <si>
    <t>SALARIES</t>
  </si>
  <si>
    <t>BIOLOGISTS SALARIES</t>
  </si>
  <si>
    <t>BIOLOGISTS SOCIAL CHARGES</t>
  </si>
  <si>
    <t>SOCIAL CHARGES</t>
  </si>
  <si>
    <t>FINANCIAL PRODUCTS</t>
  </si>
  <si>
    <t>FINANCIAL CHARGES</t>
  </si>
  <si>
    <t>OTHER  EXCEPTIONAL PRODUCTS</t>
  </si>
  <si>
    <t xml:space="preserve">FINANCIAL CHARGES/CB &amp; LD </t>
  </si>
  <si>
    <t>RCAI</t>
  </si>
  <si>
    <t>RESULT BEFORE TAX</t>
  </si>
  <si>
    <t>602-603</t>
  </si>
  <si>
    <t>FRAIS BANCAIRES</t>
  </si>
  <si>
    <t>BANK CHARGES</t>
  </si>
  <si>
    <t>%  s/Net Rev.</t>
  </si>
  <si>
    <t xml:space="preserve">PERSONNEL - SALAIRES ET CHARGES </t>
  </si>
  <si>
    <t>708-791</t>
  </si>
  <si>
    <t>NET INCOME AFTER PROFIT SHARING</t>
  </si>
  <si>
    <t>RESULTAT NET APRES PARTICIPATION</t>
  </si>
  <si>
    <t>CONTROLES</t>
  </si>
  <si>
    <t>AU</t>
  </si>
  <si>
    <t>RESULTAT EXPLOITATION</t>
  </si>
  <si>
    <t>RESULTAT EXCEPTIONNEL</t>
  </si>
  <si>
    <t>Variation YTD</t>
  </si>
  <si>
    <t>CAB</t>
  </si>
  <si>
    <t>COMMENTAIRES</t>
  </si>
  <si>
    <t>BIOPOLE 21</t>
  </si>
  <si>
    <t>BRUANT</t>
  </si>
  <si>
    <t>3 FRONTIERES</t>
  </si>
  <si>
    <t>LABB</t>
  </si>
  <si>
    <t>MAJ LE 24/05/2016</t>
  </si>
  <si>
    <t>MAJ le 23/05/16</t>
  </si>
  <si>
    <t>GENERAL SUBCONTRACTED TEST</t>
  </si>
  <si>
    <t>Sous traitance générale</t>
  </si>
  <si>
    <t>IMMOS</t>
  </si>
  <si>
    <t>N° COMPTE</t>
  </si>
  <si>
    <t>Titre du rapport</t>
  </si>
  <si>
    <t>N° Compte Général</t>
  </si>
  <si>
    <t>Code Journal</t>
  </si>
  <si>
    <t>Date Ecriture</t>
  </si>
  <si>
    <t>N° Pièce</t>
  </si>
  <si>
    <t>Libellé Ecriture</t>
  </si>
  <si>
    <t>Montant</t>
  </si>
  <si>
    <t>ACH</t>
  </si>
  <si>
    <t>ALLIANCES INFO. DE GESTION - PTA 09</t>
  </si>
  <si>
    <t>LS2</t>
  </si>
  <si>
    <t>LA CARPA DROIT AU BAIL LA CHAPELLE</t>
  </si>
  <si>
    <t>OD</t>
  </si>
  <si>
    <t>SOBIODA RECTIF. OD 01/15</t>
  </si>
  <si>
    <t>ODIL CENTRIF. TOLBIAC FACT 14/03/16</t>
  </si>
  <si>
    <t>ODIL INSTAL LIVR CENTRIFUGEUS LEDRU</t>
  </si>
  <si>
    <t>ODIL CENTRIFUGEUSE 3 LABOS</t>
  </si>
  <si>
    <t>ODIL - PANTIN EGLISE 09/16</t>
  </si>
  <si>
    <t>CHEKLY SOLDE FELIX EBOUE</t>
  </si>
  <si>
    <t>4EME JOUR ACOMPTE FONTENAY</t>
  </si>
  <si>
    <t>OPTIM REAL ACOMPTE 30% TOLBIAC</t>
  </si>
  <si>
    <t>ANNUL FAC FA160834 OPTIM REAL 08/16</t>
  </si>
  <si>
    <t>ACB</t>
  </si>
  <si>
    <t>ECO-AUTOMOBILE ACH. VEH PSB BY832EQ</t>
  </si>
  <si>
    <t>ECO AUTOMOBILE TWINGO BY 832 EQ PSB</t>
  </si>
  <si>
    <t>ECO AUTO RAINCY AZ 216 JQ</t>
  </si>
  <si>
    <t>TERFACE KOBRA DESTRUCTEUR MONTREUIL</t>
  </si>
  <si>
    <t>JCD - PTA 09/16</t>
  </si>
  <si>
    <t>CUISINES CREAT¦ MEUBLES FELIX</t>
  </si>
  <si>
    <t>NX</t>
  </si>
  <si>
    <t>RBST C/CT LYNOR</t>
  </si>
  <si>
    <t>RBST PRET BP</t>
  </si>
  <si>
    <t>RBST PRET LCL</t>
  </si>
  <si>
    <t>RBST PRET CDN</t>
  </si>
  <si>
    <t>ACQ.ADP EX DETENUES PAR LYNORS</t>
  </si>
  <si>
    <t>ACQ.ADP EX DETENUES PAR ALLALI</t>
  </si>
  <si>
    <t>PART NON LIB CAPITAL SCM BIOGROUP</t>
  </si>
  <si>
    <t>GLF LOYER GOBELIN 01/16</t>
  </si>
  <si>
    <t>DUBOIS GAROT FONTENAY LOYER 1T16</t>
  </si>
  <si>
    <t>CITYA LOYER ORDENER REGUL DG</t>
  </si>
  <si>
    <t>IMODAM LOYER CHATENAY 02/16</t>
  </si>
  <si>
    <t>OPH PTE MONT JEAN VARENNE REGUL</t>
  </si>
  <si>
    <t>MORVAN ST OUEN LOYER 05/16</t>
  </si>
  <si>
    <t>RIVP LOYER 06/16 AURIOL DEPOT GARAN</t>
  </si>
  <si>
    <t>MICHEL LAURENT VINCENNE LOYER 2T16</t>
  </si>
  <si>
    <t>FONCIA VINCENNE LOYER 3T16</t>
  </si>
  <si>
    <t>IMODAM FELIX DEPOT GARANTIE 12/16</t>
  </si>
  <si>
    <t>SARL PARIS 153 ITALIE</t>
  </si>
  <si>
    <t>SCI JULIAX - PANTIN HOCHE 09/16</t>
  </si>
  <si>
    <t>COMPLEMENT DEPOT GARANTI CAB. COMTE</t>
  </si>
  <si>
    <t>PARIS 153 ITALIE 3T2016</t>
  </si>
  <si>
    <t>INTERFIMO REMB DEPOT</t>
  </si>
  <si>
    <t>INTITULE</t>
  </si>
  <si>
    <t>Intitulé Compte</t>
  </si>
  <si>
    <t>CONCESSIONS ET DROITS SIMILAIRES</t>
  </si>
  <si>
    <t>DROIT AU BAIL</t>
  </si>
  <si>
    <t>FONDS COMMERCIAL</t>
  </si>
  <si>
    <t>MATÉRIEL MÉDICAL</t>
  </si>
  <si>
    <t>INSTAL.GALES, AGENCT, AMENAGT.DIV.</t>
  </si>
  <si>
    <t>MATERIEL DE TRANSPORT</t>
  </si>
  <si>
    <t>MAT.INFORM.BUREAU</t>
  </si>
  <si>
    <t>MOBILIER</t>
  </si>
  <si>
    <t>TITRES DE PARTICIPATION SELAS EX</t>
  </si>
  <si>
    <t>CAPITAL SCM BIOGROUP</t>
  </si>
  <si>
    <t>DEPÔT GARANTIE LOYERS</t>
  </si>
  <si>
    <t>DEPOTS INTERFIMO</t>
  </si>
</sst>
</file>

<file path=xl/styles.xml><?xml version="1.0" encoding="utf-8"?>
<styleSheet xmlns="http://schemas.openxmlformats.org/spreadsheetml/2006/main">
  <numFmts count="1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  <numFmt numFmtId="167" formatCode="_-* #,##0\ [$€-1]_-;\-* #,##0\ [$€-1]_-;_-* &quot;-&quot;\ [$€-1]_-;_-@_-"/>
    <numFmt numFmtId="168" formatCode="_-* #,##0\ [$€-1]_-;\-* #,##0\ [$€-1]_-;_-* &quot;-&quot;??\ [$€-1]_-"/>
    <numFmt numFmtId="169" formatCode="_-* #,##0\ &quot;€&quot;_-;\-* #,##0\ &quot;€&quot;_-;_-* &quot;-&quot;??\ &quot;€&quot;_-;_-@_-"/>
    <numFmt numFmtId="170" formatCode="#,##0.00\ &quot;€&quot;"/>
    <numFmt numFmtId="171" formatCode="#,##0\ &quot;€&quot;"/>
    <numFmt numFmtId="172" formatCode="_-* #,##0\ [$€-40C]_-;\-* #,##0\ [$€-40C]_-;_-* &quot;-&quot;??\ [$€-40C]_-;_-@_-"/>
    <numFmt numFmtId="173" formatCode="m/d/yyyy"/>
  </numFmts>
  <fonts count="83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17"/>
      <name val="Times New Roman"/>
      <family val="1"/>
    </font>
    <font>
      <sz val="12"/>
      <color indexed="12"/>
      <name val="Times New Roman"/>
      <family val="1"/>
    </font>
    <font>
      <b/>
      <sz val="12"/>
      <color indexed="53"/>
      <name val="Arial"/>
      <family val="2"/>
    </font>
    <font>
      <b/>
      <sz val="12"/>
      <color indexed="14"/>
      <name val="Arial"/>
      <family val="2"/>
    </font>
    <font>
      <b/>
      <sz val="12"/>
      <color indexed="8"/>
      <name val="Arial"/>
      <family val="2"/>
    </font>
    <font>
      <sz val="12"/>
      <color indexed="44"/>
      <name val="Arial"/>
      <family val="2"/>
    </font>
    <font>
      <sz val="12"/>
      <color indexed="28"/>
      <name val="Arial"/>
      <family val="2"/>
    </font>
    <font>
      <sz val="12"/>
      <color indexed="53"/>
      <name val="Arial"/>
      <family val="2"/>
    </font>
    <font>
      <sz val="12"/>
      <color indexed="14"/>
      <name val="Arial"/>
      <family val="2"/>
    </font>
    <font>
      <b/>
      <sz val="12"/>
      <color indexed="17"/>
      <name val="Arial"/>
      <family val="2"/>
    </font>
    <font>
      <b/>
      <sz val="12"/>
      <color indexed="44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color indexed="17"/>
      <name val="Arial"/>
      <family val="2"/>
    </font>
    <font>
      <b/>
      <sz val="20"/>
      <name val="Arial"/>
      <family val="2"/>
    </font>
    <font>
      <b/>
      <sz val="16"/>
      <name val="Tahoma"/>
      <family val="2"/>
    </font>
    <font>
      <b/>
      <sz val="12"/>
      <name val="Tahoma"/>
      <family val="2"/>
    </font>
    <font>
      <sz val="12"/>
      <name val="Tahoma"/>
      <family val="2"/>
    </font>
    <font>
      <sz val="10"/>
      <name val="Tahoma"/>
      <family val="2"/>
    </font>
    <font>
      <sz val="12"/>
      <color indexed="44"/>
      <name val="Tahoma"/>
      <family val="2"/>
    </font>
    <font>
      <b/>
      <sz val="12"/>
      <color indexed="44"/>
      <name val="Tahoma"/>
      <family val="2"/>
    </font>
    <font>
      <b/>
      <sz val="12"/>
      <color indexed="17"/>
      <name val="Tahoma"/>
      <family val="2"/>
    </font>
    <font>
      <sz val="12"/>
      <color indexed="12"/>
      <name val="Tahoma"/>
      <family val="2"/>
    </font>
    <font>
      <b/>
      <sz val="12"/>
      <color indexed="12"/>
      <name val="Tahoma"/>
      <family val="2"/>
    </font>
    <font>
      <b/>
      <sz val="12"/>
      <color indexed="8"/>
      <name val="Tahoma"/>
      <family val="2"/>
    </font>
    <font>
      <b/>
      <sz val="16"/>
      <name val="TAHOMAl"/>
    </font>
    <font>
      <b/>
      <sz val="10"/>
      <name val="Tahoma"/>
      <family val="2"/>
    </font>
    <font>
      <b/>
      <sz val="10"/>
      <name val="Arial"/>
      <family val="2"/>
    </font>
    <font>
      <b/>
      <sz val="14"/>
      <name val="Tahoma"/>
      <family val="2"/>
    </font>
    <font>
      <sz val="10"/>
      <color theme="1"/>
      <name val="Calibri"/>
      <family val="2"/>
      <scheme val="minor"/>
    </font>
    <font>
      <sz val="26"/>
      <color theme="1"/>
      <name val="Cambria"/>
      <family val="2"/>
      <scheme val="major"/>
    </font>
    <font>
      <b/>
      <sz val="9"/>
      <color theme="1"/>
      <name val="Calibri"/>
      <family val="2"/>
      <scheme val="minor"/>
    </font>
    <font>
      <b/>
      <sz val="12"/>
      <color rgb="FF008000"/>
      <name val="Arial"/>
      <family val="2"/>
    </font>
    <font>
      <sz val="12"/>
      <color rgb="FF008000"/>
      <name val="Arial"/>
      <family val="2"/>
    </font>
    <font>
      <b/>
      <sz val="12"/>
      <color rgb="FFFF6600"/>
      <name val="Arial"/>
      <family val="2"/>
    </font>
    <font>
      <sz val="12"/>
      <color rgb="FFFF6600"/>
      <name val="Arial"/>
      <family val="2"/>
    </font>
    <font>
      <b/>
      <sz val="12"/>
      <color theme="9" tint="-0.249977111117893"/>
      <name val="Arial"/>
      <family val="2"/>
    </font>
    <font>
      <sz val="12"/>
      <color rgb="FFFF00FF"/>
      <name val="Times New Roman"/>
      <family val="1"/>
    </font>
    <font>
      <b/>
      <sz val="12"/>
      <color rgb="FFFF00FF"/>
      <name val="Arial"/>
      <family val="2"/>
    </font>
    <font>
      <sz val="12"/>
      <color rgb="FFFF00FF"/>
      <name val="Arial"/>
      <family val="2"/>
    </font>
    <font>
      <b/>
      <sz val="12"/>
      <color rgb="FF008000"/>
      <name val="Times New Roman"/>
      <family val="1"/>
    </font>
    <font>
      <sz val="12"/>
      <color theme="9" tint="-0.249977111117893"/>
      <name val="Times New Roman"/>
      <family val="1"/>
    </font>
    <font>
      <sz val="12"/>
      <color theme="9" tint="-0.249977111117893"/>
      <name val="Arial"/>
      <family val="2"/>
    </font>
    <font>
      <b/>
      <sz val="12"/>
      <color rgb="FFFF00FF"/>
      <name val="Times New Roman"/>
      <family val="1"/>
    </font>
    <font>
      <sz val="12"/>
      <color rgb="FF008000"/>
      <name val="Times New Roman"/>
      <family val="1"/>
    </font>
    <font>
      <b/>
      <sz val="12"/>
      <color rgb="FFFF000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Arial"/>
      <family val="2"/>
    </font>
    <font>
      <b/>
      <sz val="12"/>
      <color theme="9" tint="-0.249977111117893"/>
      <name val="Times New Roman"/>
      <family val="1"/>
    </font>
    <font>
      <b/>
      <sz val="12"/>
      <color rgb="FF0000CC"/>
      <name val="Tahoma"/>
      <family val="2"/>
    </font>
    <font>
      <b/>
      <sz val="12"/>
      <color theme="9" tint="-0.249977111117893"/>
      <name val="Tahoma"/>
      <family val="2"/>
    </font>
    <font>
      <b/>
      <sz val="12"/>
      <color rgb="FF008000"/>
      <name val="Tahoma"/>
      <family val="2"/>
    </font>
    <font>
      <b/>
      <sz val="12"/>
      <color rgb="FFFF0000"/>
      <name val="Tahoma"/>
      <family val="2"/>
    </font>
    <font>
      <sz val="12"/>
      <color theme="9" tint="-0.249977111117893"/>
      <name val="Tahoma"/>
      <family val="2"/>
    </font>
    <font>
      <b/>
      <sz val="12"/>
      <color theme="9"/>
      <name val="Tahoma"/>
      <family val="2"/>
    </font>
    <font>
      <sz val="12"/>
      <color rgb="FF0000CC"/>
      <name val="Tahoma"/>
      <family val="2"/>
    </font>
    <font>
      <sz val="10"/>
      <color rgb="FF0000CC"/>
      <name val="Tahoma"/>
      <family val="2"/>
    </font>
    <font>
      <sz val="10"/>
      <color theme="9" tint="-0.249977111117893"/>
      <name val="Arial"/>
      <family val="2"/>
    </font>
    <font>
      <sz val="10"/>
      <color theme="9" tint="-0.249977111117893"/>
      <name val="Tahoma"/>
      <family val="2"/>
    </font>
    <font>
      <sz val="10"/>
      <color rgb="FF00B050"/>
      <name val="Arial"/>
      <family val="2"/>
    </font>
    <font>
      <sz val="10"/>
      <color rgb="FF00B050"/>
      <name val="Tahoma"/>
      <family val="2"/>
    </font>
    <font>
      <b/>
      <sz val="12"/>
      <color rgb="FF00B050"/>
      <name val="Tahoma"/>
      <family val="2"/>
    </font>
    <font>
      <sz val="12"/>
      <color rgb="FF00B050"/>
      <name val="Tahoma"/>
      <family val="2"/>
    </font>
    <font>
      <sz val="12"/>
      <color rgb="FF008000"/>
      <name val="Tahoma"/>
      <family val="2"/>
    </font>
    <font>
      <sz val="12"/>
      <color rgb="FFFF0000"/>
      <name val="Tahoma"/>
      <family val="2"/>
    </font>
    <font>
      <sz val="10"/>
      <color rgb="FFFF0000"/>
      <name val="Tahoma"/>
      <family val="2"/>
    </font>
    <font>
      <b/>
      <sz val="10"/>
      <color rgb="FF0000CC"/>
      <name val="Tahoma"/>
      <family val="2"/>
    </font>
    <font>
      <b/>
      <sz val="10"/>
      <name val="TAHOMAl"/>
    </font>
    <font>
      <sz val="10"/>
      <name val="Times New Roman"/>
      <family val="1"/>
    </font>
    <font>
      <sz val="10"/>
      <name val="TAHOMAl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22"/>
      </patternFill>
    </fill>
    <fill>
      <patternFill patternType="solid">
        <fgColor indexed="5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9">
    <xf numFmtId="0" fontId="0" fillId="0" borderId="0"/>
    <xf numFmtId="166" fontId="1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6" fontId="25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2" fillId="0" borderId="0">
      <alignment vertical="center"/>
    </xf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</cellStyleXfs>
  <cellXfs count="876">
    <xf numFmtId="0" fontId="0" fillId="0" borderId="0" xfId="0"/>
    <xf numFmtId="0" fontId="4" fillId="0" borderId="0" xfId="0" applyFont="1"/>
    <xf numFmtId="0" fontId="7" fillId="0" borderId="0" xfId="12" applyFont="1" applyAlignment="1">
      <alignment horizontal="center" vertical="center"/>
    </xf>
    <xf numFmtId="0" fontId="6" fillId="2" borderId="1" xfId="12" applyFont="1" applyFill="1" applyBorder="1" applyAlignment="1">
      <alignment horizontal="center" vertical="center"/>
    </xf>
    <xf numFmtId="0" fontId="4" fillId="0" borderId="0" xfId="12" applyFont="1"/>
    <xf numFmtId="0" fontId="6" fillId="15" borderId="2" xfId="12" applyFont="1" applyFill="1" applyBorder="1" applyAlignment="1">
      <alignment horizontal="centerContinuous"/>
    </xf>
    <xf numFmtId="0" fontId="5" fillId="15" borderId="2" xfId="12" applyFont="1" applyFill="1" applyBorder="1" applyAlignment="1">
      <alignment horizontal="centerContinuous"/>
    </xf>
    <xf numFmtId="0" fontId="6" fillId="15" borderId="3" xfId="12" applyFont="1" applyFill="1" applyBorder="1" applyAlignment="1">
      <alignment horizontal="centerContinuous"/>
    </xf>
    <xf numFmtId="0" fontId="4" fillId="0" borderId="0" xfId="12"/>
    <xf numFmtId="172" fontId="4" fillId="0" borderId="0" xfId="12" applyNumberFormat="1"/>
    <xf numFmtId="0" fontId="7" fillId="0" borderId="0" xfId="12" applyFont="1" applyAlignment="1">
      <alignment vertical="center"/>
    </xf>
    <xf numFmtId="0" fontId="6" fillId="2" borderId="0" xfId="12" applyFont="1" applyFill="1" applyBorder="1" applyAlignment="1">
      <alignment horizontal="center" vertical="center"/>
    </xf>
    <xf numFmtId="0" fontId="6" fillId="3" borderId="0" xfId="12" applyFont="1" applyFill="1" applyBorder="1" applyAlignment="1">
      <alignment vertical="center"/>
    </xf>
    <xf numFmtId="0" fontId="5" fillId="0" borderId="0" xfId="12" applyFont="1" applyBorder="1" applyAlignment="1">
      <alignment vertical="center"/>
    </xf>
    <xf numFmtId="14" fontId="6" fillId="0" borderId="0" xfId="12" applyNumberFormat="1" applyFont="1" applyFill="1" applyBorder="1" applyAlignment="1">
      <alignment horizontal="center" vertical="center"/>
    </xf>
    <xf numFmtId="0" fontId="4" fillId="0" borderId="0" xfId="12" applyAlignment="1">
      <alignment vertical="center"/>
    </xf>
    <xf numFmtId="172" fontId="4" fillId="0" borderId="0" xfId="12" applyNumberFormat="1" applyAlignment="1">
      <alignment vertical="center"/>
    </xf>
    <xf numFmtId="0" fontId="8" fillId="0" borderId="0" xfId="12" applyFont="1" applyAlignment="1">
      <alignment vertical="center"/>
    </xf>
    <xf numFmtId="3" fontId="6" fillId="4" borderId="4" xfId="12" applyNumberFormat="1" applyFont="1" applyFill="1" applyBorder="1" applyAlignment="1">
      <alignment horizontal="left" vertical="center"/>
    </xf>
    <xf numFmtId="0" fontId="14" fillId="2" borderId="0" xfId="12" applyFont="1" applyFill="1" applyBorder="1" applyAlignment="1">
      <alignment vertical="center"/>
    </xf>
    <xf numFmtId="167" fontId="6" fillId="4" borderId="5" xfId="3" applyNumberFormat="1" applyFont="1" applyFill="1" applyBorder="1" applyAlignment="1">
      <alignment vertical="center"/>
    </xf>
    <xf numFmtId="9" fontId="6" fillId="4" borderId="6" xfId="12" applyNumberFormat="1" applyFont="1" applyFill="1" applyBorder="1" applyAlignment="1">
      <alignment vertical="center"/>
    </xf>
    <xf numFmtId="0" fontId="5" fillId="3" borderId="0" xfId="12" applyFont="1" applyFill="1" applyBorder="1" applyAlignment="1">
      <alignment vertical="center"/>
    </xf>
    <xf numFmtId="167" fontId="6" fillId="4" borderId="6" xfId="3" applyNumberFormat="1" applyFont="1" applyFill="1" applyBorder="1" applyAlignment="1">
      <alignment vertical="center"/>
    </xf>
    <xf numFmtId="9" fontId="6" fillId="4" borderId="7" xfId="12" applyNumberFormat="1" applyFont="1" applyFill="1" applyBorder="1" applyAlignment="1">
      <alignment vertical="center"/>
    </xf>
    <xf numFmtId="168" fontId="6" fillId="4" borderId="8" xfId="12" applyNumberFormat="1" applyFont="1" applyFill="1" applyBorder="1"/>
    <xf numFmtId="9" fontId="6" fillId="4" borderId="9" xfId="12" applyNumberFormat="1" applyFont="1" applyFill="1" applyBorder="1"/>
    <xf numFmtId="167" fontId="6" fillId="4" borderId="10" xfId="3" applyNumberFormat="1" applyFont="1" applyFill="1" applyBorder="1" applyAlignment="1">
      <alignment vertical="center"/>
    </xf>
    <xf numFmtId="9" fontId="6" fillId="4" borderId="11" xfId="12" applyNumberFormat="1" applyFont="1" applyFill="1" applyBorder="1" applyAlignment="1">
      <alignment vertical="center"/>
    </xf>
    <xf numFmtId="167" fontId="6" fillId="4" borderId="11" xfId="3" applyNumberFormat="1" applyFont="1" applyFill="1" applyBorder="1" applyAlignment="1">
      <alignment vertical="center"/>
    </xf>
    <xf numFmtId="10" fontId="6" fillId="4" borderId="12" xfId="12" applyNumberFormat="1" applyFont="1" applyFill="1" applyBorder="1" applyAlignment="1">
      <alignment vertical="center"/>
    </xf>
    <xf numFmtId="0" fontId="7" fillId="0" borderId="0" xfId="12" applyFont="1"/>
    <xf numFmtId="3" fontId="5" fillId="0" borderId="13" xfId="12" applyNumberFormat="1" applyFont="1" applyBorder="1" applyAlignment="1">
      <alignment horizontal="left"/>
    </xf>
    <xf numFmtId="0" fontId="14" fillId="2" borderId="0" xfId="12" applyFont="1" applyFill="1" applyBorder="1"/>
    <xf numFmtId="167" fontId="5" fillId="0" borderId="14" xfId="3" applyNumberFormat="1" applyFont="1" applyFill="1" applyBorder="1"/>
    <xf numFmtId="10" fontId="5" fillId="0" borderId="8" xfId="12" applyNumberFormat="1" applyFont="1" applyFill="1" applyBorder="1"/>
    <xf numFmtId="0" fontId="5" fillId="0" borderId="15" xfId="12" applyFont="1" applyFill="1" applyBorder="1"/>
    <xf numFmtId="0" fontId="5" fillId="0" borderId="15" xfId="12" applyFont="1" applyBorder="1"/>
    <xf numFmtId="10" fontId="5" fillId="0" borderId="12" xfId="12" applyNumberFormat="1" applyFont="1" applyFill="1" applyBorder="1"/>
    <xf numFmtId="168" fontId="5" fillId="0" borderId="8" xfId="3" applyNumberFormat="1" applyFont="1" applyFill="1" applyBorder="1"/>
    <xf numFmtId="167" fontId="6" fillId="5" borderId="5" xfId="3" applyNumberFormat="1" applyFont="1" applyFill="1" applyBorder="1"/>
    <xf numFmtId="10" fontId="6" fillId="5" borderId="16" xfId="12" applyNumberFormat="1" applyFont="1" applyFill="1" applyBorder="1"/>
    <xf numFmtId="171" fontId="6" fillId="5" borderId="8" xfId="12" applyNumberFormat="1" applyFont="1" applyFill="1" applyBorder="1"/>
    <xf numFmtId="167" fontId="6" fillId="5" borderId="8" xfId="12" applyNumberFormat="1" applyFont="1" applyFill="1" applyBorder="1"/>
    <xf numFmtId="10" fontId="6" fillId="5" borderId="12" xfId="12" applyNumberFormat="1" applyFont="1" applyFill="1" applyBorder="1"/>
    <xf numFmtId="3" fontId="5" fillId="3" borderId="4" xfId="12" applyNumberFormat="1" applyFont="1" applyFill="1" applyBorder="1" applyAlignment="1">
      <alignment horizontal="left"/>
    </xf>
    <xf numFmtId="10" fontId="6" fillId="5" borderId="17" xfId="12" applyNumberFormat="1" applyFont="1" applyFill="1" applyBorder="1"/>
    <xf numFmtId="167" fontId="4" fillId="0" borderId="0" xfId="12" applyNumberFormat="1"/>
    <xf numFmtId="3" fontId="6" fillId="4" borderId="4" xfId="12" applyNumberFormat="1" applyFont="1" applyFill="1" applyBorder="1" applyAlignment="1">
      <alignment horizontal="left" vertical="center" wrapText="1"/>
    </xf>
    <xf numFmtId="167" fontId="6" fillId="4" borderId="18" xfId="3" applyNumberFormat="1" applyFont="1" applyFill="1" applyBorder="1" applyAlignment="1">
      <alignment vertical="center"/>
    </xf>
    <xf numFmtId="10" fontId="6" fillId="4" borderId="19" xfId="12" applyNumberFormat="1" applyFont="1" applyFill="1" applyBorder="1" applyAlignment="1">
      <alignment vertical="center"/>
    </xf>
    <xf numFmtId="0" fontId="5" fillId="3" borderId="19" xfId="12" applyFont="1" applyFill="1" applyBorder="1" applyAlignment="1">
      <alignment vertical="center"/>
    </xf>
    <xf numFmtId="0" fontId="6" fillId="3" borderId="19" xfId="12" applyFont="1" applyFill="1" applyBorder="1" applyAlignment="1">
      <alignment vertical="center"/>
    </xf>
    <xf numFmtId="0" fontId="6" fillId="0" borderId="0" xfId="12" applyFont="1" applyBorder="1" applyAlignment="1">
      <alignment vertical="center"/>
    </xf>
    <xf numFmtId="167" fontId="6" fillId="4" borderId="19" xfId="3" applyNumberFormat="1" applyFont="1" applyFill="1" applyBorder="1" applyAlignment="1">
      <alignment vertical="center"/>
    </xf>
    <xf numFmtId="10" fontId="6" fillId="4" borderId="20" xfId="12" applyNumberFormat="1" applyFont="1" applyFill="1" applyBorder="1" applyAlignment="1">
      <alignment vertical="center"/>
    </xf>
    <xf numFmtId="168" fontId="6" fillId="4" borderId="8" xfId="3" applyNumberFormat="1" applyFont="1" applyFill="1" applyBorder="1" applyAlignment="1">
      <alignment vertical="center"/>
    </xf>
    <xf numFmtId="10" fontId="6" fillId="4" borderId="9" xfId="12" applyNumberFormat="1" applyFont="1" applyFill="1" applyBorder="1" applyAlignment="1">
      <alignment vertical="center"/>
    </xf>
    <xf numFmtId="167" fontId="6" fillId="4" borderId="14" xfId="3" applyNumberFormat="1" applyFont="1" applyFill="1" applyBorder="1" applyAlignment="1">
      <alignment vertical="center"/>
    </xf>
    <xf numFmtId="10" fontId="6" fillId="4" borderId="17" xfId="12" applyNumberFormat="1" applyFont="1" applyFill="1" applyBorder="1" applyAlignment="1">
      <alignment vertical="center"/>
    </xf>
    <xf numFmtId="167" fontId="6" fillId="4" borderId="8" xfId="3" applyNumberFormat="1" applyFont="1" applyFill="1" applyBorder="1" applyAlignment="1">
      <alignment vertical="center"/>
    </xf>
    <xf numFmtId="10" fontId="5" fillId="0" borderId="8" xfId="12" applyNumberFormat="1" applyFont="1" applyBorder="1"/>
    <xf numFmtId="0" fontId="5" fillId="3" borderId="8" xfId="12" applyFont="1" applyFill="1" applyBorder="1"/>
    <xf numFmtId="0" fontId="5" fillId="3" borderId="0" xfId="12" applyFont="1" applyFill="1" applyBorder="1"/>
    <xf numFmtId="0" fontId="5" fillId="0" borderId="0" xfId="12" applyFont="1" applyBorder="1"/>
    <xf numFmtId="10" fontId="5" fillId="0" borderId="12" xfId="12" applyNumberFormat="1" applyFont="1" applyBorder="1"/>
    <xf numFmtId="0" fontId="8" fillId="0" borderId="0" xfId="12" applyFont="1"/>
    <xf numFmtId="3" fontId="45" fillId="3" borderId="4" xfId="12" applyNumberFormat="1" applyFont="1" applyFill="1" applyBorder="1" applyAlignment="1">
      <alignment horizontal="left"/>
    </xf>
    <xf numFmtId="0" fontId="19" fillId="2" borderId="0" xfId="12" applyFont="1" applyFill="1" applyBorder="1"/>
    <xf numFmtId="167" fontId="46" fillId="0" borderId="18" xfId="3" applyNumberFormat="1" applyFont="1" applyBorder="1"/>
    <xf numFmtId="10" fontId="46" fillId="3" borderId="8" xfId="12" applyNumberFormat="1" applyFont="1" applyFill="1" applyBorder="1"/>
    <xf numFmtId="0" fontId="46" fillId="3" borderId="8" xfId="12" applyFont="1" applyFill="1" applyBorder="1"/>
    <xf numFmtId="0" fontId="46" fillId="3" borderId="0" xfId="12" applyFont="1" applyFill="1" applyBorder="1"/>
    <xf numFmtId="0" fontId="46" fillId="0" borderId="0" xfId="12" applyFont="1" applyBorder="1"/>
    <xf numFmtId="10" fontId="46" fillId="0" borderId="12" xfId="12" applyNumberFormat="1" applyFont="1" applyFill="1" applyBorder="1"/>
    <xf numFmtId="168" fontId="46" fillId="0" borderId="8" xfId="3" applyNumberFormat="1" applyFont="1" applyFill="1" applyBorder="1"/>
    <xf numFmtId="10" fontId="46" fillId="0" borderId="8" xfId="12" applyNumberFormat="1" applyFont="1" applyFill="1" applyBorder="1"/>
    <xf numFmtId="167" fontId="45" fillId="5" borderId="5" xfId="3" applyNumberFormat="1" applyFont="1" applyFill="1" applyBorder="1"/>
    <xf numFmtId="10" fontId="45" fillId="5" borderId="11" xfId="12" applyNumberFormat="1" applyFont="1" applyFill="1" applyBorder="1"/>
    <xf numFmtId="171" fontId="45" fillId="5" borderId="8" xfId="12" applyNumberFormat="1" applyFont="1" applyFill="1" applyBorder="1"/>
    <xf numFmtId="167" fontId="45" fillId="5" borderId="8" xfId="12" applyNumberFormat="1" applyFont="1" applyFill="1" applyBorder="1"/>
    <xf numFmtId="10" fontId="45" fillId="5" borderId="12" xfId="12" applyNumberFormat="1" applyFont="1" applyFill="1" applyBorder="1"/>
    <xf numFmtId="3" fontId="18" fillId="3" borderId="4" xfId="12" applyNumberFormat="1" applyFont="1" applyFill="1" applyBorder="1" applyAlignment="1">
      <alignment horizontal="left"/>
    </xf>
    <xf numFmtId="167" fontId="18" fillId="3" borderId="14" xfId="3" applyNumberFormat="1" applyFont="1" applyFill="1" applyBorder="1"/>
    <xf numFmtId="0" fontId="6" fillId="3" borderId="0" xfId="12" applyFont="1" applyFill="1" applyBorder="1"/>
    <xf numFmtId="167" fontId="18" fillId="0" borderId="21" xfId="3" applyNumberFormat="1" applyFont="1" applyBorder="1"/>
    <xf numFmtId="10" fontId="18" fillId="0" borderId="21" xfId="12" applyNumberFormat="1" applyFont="1" applyFill="1" applyBorder="1"/>
    <xf numFmtId="0" fontId="6" fillId="0" borderId="0" xfId="12" applyFont="1" applyFill="1" applyBorder="1"/>
    <xf numFmtId="10" fontId="18" fillId="5" borderId="11" xfId="12" applyNumberFormat="1" applyFont="1" applyFill="1" applyBorder="1"/>
    <xf numFmtId="171" fontId="18" fillId="5" borderId="8" xfId="12" applyNumberFormat="1" applyFont="1" applyFill="1" applyBorder="1"/>
    <xf numFmtId="167" fontId="5" fillId="5" borderId="8" xfId="12" applyNumberFormat="1" applyFont="1" applyFill="1" applyBorder="1"/>
    <xf numFmtId="0" fontId="10" fillId="0" borderId="0" xfId="12" applyFont="1"/>
    <xf numFmtId="3" fontId="18" fillId="3" borderId="22" xfId="12" applyNumberFormat="1" applyFont="1" applyFill="1" applyBorder="1" applyAlignment="1">
      <alignment horizontal="left"/>
    </xf>
    <xf numFmtId="167" fontId="20" fillId="3" borderId="23" xfId="3" applyNumberFormat="1" applyFont="1" applyFill="1" applyBorder="1"/>
    <xf numFmtId="10" fontId="20" fillId="3" borderId="24" xfId="12" applyNumberFormat="1" applyFont="1" applyFill="1" applyBorder="1"/>
    <xf numFmtId="0" fontId="21" fillId="3" borderId="0" xfId="12" applyFont="1" applyFill="1" applyBorder="1"/>
    <xf numFmtId="167" fontId="20" fillId="3" borderId="19" xfId="3" applyNumberFormat="1" applyFont="1" applyFill="1" applyBorder="1"/>
    <xf numFmtId="10" fontId="20" fillId="3" borderId="12" xfId="12" applyNumberFormat="1" applyFont="1" applyFill="1" applyBorder="1"/>
    <xf numFmtId="10" fontId="20" fillId="5" borderId="11" xfId="12" applyNumberFormat="1" applyFont="1" applyFill="1" applyBorder="1"/>
    <xf numFmtId="171" fontId="20" fillId="5" borderId="8" xfId="12" applyNumberFormat="1" applyFont="1" applyFill="1" applyBorder="1"/>
    <xf numFmtId="0" fontId="7" fillId="4" borderId="0" xfId="12" applyFont="1" applyFill="1"/>
    <xf numFmtId="10" fontId="6" fillId="4" borderId="6" xfId="12" applyNumberFormat="1" applyFont="1" applyFill="1" applyBorder="1" applyAlignment="1">
      <alignment vertical="center"/>
    </xf>
    <xf numFmtId="0" fontId="6" fillId="0" borderId="19" xfId="12" applyFont="1" applyFill="1" applyBorder="1" applyAlignment="1">
      <alignment vertical="center"/>
    </xf>
    <xf numFmtId="167" fontId="6" fillId="4" borderId="25" xfId="3" applyNumberFormat="1" applyFont="1" applyFill="1" applyBorder="1" applyAlignment="1">
      <alignment vertical="center"/>
    </xf>
    <xf numFmtId="10" fontId="6" fillId="4" borderId="11" xfId="12" applyNumberFormat="1" applyFont="1" applyFill="1" applyBorder="1" applyAlignment="1">
      <alignment vertical="center"/>
    </xf>
    <xf numFmtId="167" fontId="6" fillId="4" borderId="21" xfId="3" applyNumberFormat="1" applyFont="1" applyFill="1" applyBorder="1" applyAlignment="1">
      <alignment vertical="center"/>
    </xf>
    <xf numFmtId="3" fontId="5" fillId="0" borderId="26" xfId="12" applyNumberFormat="1" applyFont="1" applyBorder="1" applyAlignment="1">
      <alignment horizontal="left"/>
    </xf>
    <xf numFmtId="10" fontId="5" fillId="0" borderId="8" xfId="12" applyNumberFormat="1" applyFont="1" applyFill="1" applyBorder="1" applyAlignment="1">
      <alignment vertical="center"/>
    </xf>
    <xf numFmtId="0" fontId="5" fillId="0" borderId="8" xfId="12" applyFont="1" applyFill="1" applyBorder="1"/>
    <xf numFmtId="0" fontId="5" fillId="0" borderId="0" xfId="12" applyFont="1" applyFill="1" applyBorder="1"/>
    <xf numFmtId="10" fontId="5" fillId="0" borderId="12" xfId="12" applyNumberFormat="1" applyFont="1" applyFill="1" applyBorder="1" applyAlignment="1">
      <alignment vertical="center"/>
    </xf>
    <xf numFmtId="168" fontId="5" fillId="0" borderId="8" xfId="3" applyNumberFormat="1" applyFont="1" applyFill="1" applyBorder="1" applyAlignment="1">
      <alignment vertical="center"/>
    </xf>
    <xf numFmtId="0" fontId="9" fillId="0" borderId="0" xfId="12" applyFont="1" applyAlignment="1"/>
    <xf numFmtId="3" fontId="18" fillId="0" borderId="26" xfId="12" applyNumberFormat="1" applyFont="1" applyBorder="1" applyAlignment="1">
      <alignment horizontal="left"/>
    </xf>
    <xf numFmtId="10" fontId="46" fillId="3" borderId="8" xfId="12" applyNumberFormat="1" applyFont="1" applyFill="1" applyBorder="1" applyAlignment="1"/>
    <xf numFmtId="0" fontId="46" fillId="3" borderId="8" xfId="12" applyFont="1" applyFill="1" applyBorder="1" applyAlignment="1"/>
    <xf numFmtId="0" fontId="46" fillId="3" borderId="0" xfId="12" applyFont="1" applyFill="1" applyBorder="1" applyAlignment="1"/>
    <xf numFmtId="10" fontId="46" fillId="3" borderId="12" xfId="12" applyNumberFormat="1" applyFont="1" applyFill="1" applyBorder="1" applyAlignment="1"/>
    <xf numFmtId="10" fontId="45" fillId="5" borderId="16" xfId="12" applyNumberFormat="1" applyFont="1" applyFill="1" applyBorder="1" applyAlignment="1"/>
    <xf numFmtId="0" fontId="7" fillId="3" borderId="0" xfId="12" applyFont="1" applyFill="1"/>
    <xf numFmtId="3" fontId="47" fillId="3" borderId="4" xfId="12" applyNumberFormat="1" applyFont="1" applyFill="1" applyBorder="1" applyAlignment="1">
      <alignment horizontal="left"/>
    </xf>
    <xf numFmtId="167" fontId="48" fillId="0" borderId="14" xfId="3" applyNumberFormat="1" applyFont="1" applyBorder="1"/>
    <xf numFmtId="10" fontId="48" fillId="3" borderId="8" xfId="12" applyNumberFormat="1" applyFont="1" applyFill="1" applyBorder="1"/>
    <xf numFmtId="0" fontId="48" fillId="3" borderId="8" xfId="12" applyFont="1" applyFill="1" applyBorder="1"/>
    <xf numFmtId="0" fontId="48" fillId="3" borderId="0" xfId="12" applyFont="1" applyFill="1" applyBorder="1"/>
    <xf numFmtId="0" fontId="48" fillId="0" borderId="0" xfId="12" applyFont="1" applyBorder="1"/>
    <xf numFmtId="10" fontId="48" fillId="0" borderId="12" xfId="12" applyNumberFormat="1" applyFont="1" applyFill="1" applyBorder="1"/>
    <xf numFmtId="168" fontId="16" fillId="0" borderId="8" xfId="3" applyNumberFormat="1" applyFont="1" applyFill="1" applyBorder="1" applyAlignment="1">
      <alignment vertical="center"/>
    </xf>
    <xf numFmtId="167" fontId="47" fillId="5" borderId="5" xfId="3" applyNumberFormat="1" applyFont="1" applyFill="1" applyBorder="1"/>
    <xf numFmtId="10" fontId="11" fillId="5" borderId="17" xfId="12" applyNumberFormat="1" applyFont="1" applyFill="1" applyBorder="1"/>
    <xf numFmtId="171" fontId="11" fillId="5" borderId="8" xfId="12" applyNumberFormat="1" applyFont="1" applyFill="1" applyBorder="1"/>
    <xf numFmtId="167" fontId="49" fillId="5" borderId="8" xfId="12" applyNumberFormat="1" applyFont="1" applyFill="1" applyBorder="1"/>
    <xf numFmtId="10" fontId="49" fillId="5" borderId="12" xfId="12" applyNumberFormat="1" applyFont="1" applyFill="1" applyBorder="1"/>
    <xf numFmtId="0" fontId="50" fillId="0" borderId="0" xfId="12" applyFont="1"/>
    <xf numFmtId="3" fontId="51" fillId="16" borderId="4" xfId="12" applyNumberFormat="1" applyFont="1" applyFill="1" applyBorder="1" applyAlignment="1">
      <alignment horizontal="left"/>
    </xf>
    <xf numFmtId="0" fontId="52" fillId="2" borderId="0" xfId="12" applyFont="1" applyFill="1" applyBorder="1"/>
    <xf numFmtId="167" fontId="52" fillId="16" borderId="14" xfId="3" applyNumberFormat="1" applyFont="1" applyFill="1" applyBorder="1"/>
    <xf numFmtId="10" fontId="51" fillId="16" borderId="8" xfId="12" applyNumberFormat="1" applyFont="1" applyFill="1" applyBorder="1"/>
    <xf numFmtId="0" fontId="52" fillId="16" borderId="8" xfId="12" applyFont="1" applyFill="1" applyBorder="1"/>
    <xf numFmtId="167" fontId="52" fillId="16" borderId="8" xfId="3" applyNumberFormat="1" applyFont="1" applyFill="1" applyBorder="1"/>
    <xf numFmtId="0" fontId="52" fillId="16" borderId="16" xfId="12" applyFont="1" applyFill="1" applyBorder="1"/>
    <xf numFmtId="0" fontId="52" fillId="16" borderId="0" xfId="12" applyFont="1" applyFill="1" applyBorder="1"/>
    <xf numFmtId="10" fontId="51" fillId="16" borderId="12" xfId="12" applyNumberFormat="1" applyFont="1" applyFill="1" applyBorder="1"/>
    <xf numFmtId="168" fontId="12" fillId="16" borderId="8" xfId="3" applyNumberFormat="1" applyFont="1" applyFill="1" applyBorder="1" applyAlignment="1">
      <alignment vertical="center"/>
    </xf>
    <xf numFmtId="10" fontId="5" fillId="16" borderId="8" xfId="12" applyNumberFormat="1" applyFont="1" applyFill="1" applyBorder="1"/>
    <xf numFmtId="167" fontId="51" fillId="5" borderId="5" xfId="3" applyNumberFormat="1" applyFont="1" applyFill="1" applyBorder="1"/>
    <xf numFmtId="10" fontId="51" fillId="5" borderId="11" xfId="12" applyNumberFormat="1" applyFont="1" applyFill="1" applyBorder="1"/>
    <xf numFmtId="171" fontId="51" fillId="5" borderId="8" xfId="12" applyNumberFormat="1" applyFont="1" applyFill="1" applyBorder="1"/>
    <xf numFmtId="167" fontId="51" fillId="5" borderId="8" xfId="12" applyNumberFormat="1" applyFont="1" applyFill="1" applyBorder="1"/>
    <xf numFmtId="10" fontId="51" fillId="5" borderId="12" xfId="12" applyNumberFormat="1" applyFont="1" applyFill="1" applyBorder="1"/>
    <xf numFmtId="167" fontId="13" fillId="4" borderId="23" xfId="3" applyNumberFormat="1" applyFont="1" applyFill="1" applyBorder="1" applyAlignment="1">
      <alignment vertical="center"/>
    </xf>
    <xf numFmtId="0" fontId="22" fillId="3" borderId="19" xfId="12" applyFont="1" applyFill="1" applyBorder="1" applyAlignment="1">
      <alignment vertical="center"/>
    </xf>
    <xf numFmtId="168" fontId="13" fillId="4" borderId="27" xfId="3" applyNumberFormat="1" applyFont="1" applyFill="1" applyBorder="1" applyAlignment="1">
      <alignment vertical="center"/>
    </xf>
    <xf numFmtId="0" fontId="22" fillId="3" borderId="6" xfId="12" applyFont="1" applyFill="1" applyBorder="1" applyAlignment="1">
      <alignment vertical="center"/>
    </xf>
    <xf numFmtId="167" fontId="13" fillId="4" borderId="14" xfId="3" applyNumberFormat="1" applyFont="1" applyFill="1" applyBorder="1" applyAlignment="1">
      <alignment vertical="center"/>
    </xf>
    <xf numFmtId="167" fontId="13" fillId="4" borderId="11" xfId="3" applyNumberFormat="1" applyFont="1" applyFill="1" applyBorder="1" applyAlignment="1">
      <alignment vertical="center"/>
    </xf>
    <xf numFmtId="3" fontId="5" fillId="0" borderId="4" xfId="12" applyNumberFormat="1" applyFont="1" applyFill="1" applyBorder="1" applyAlignment="1">
      <alignment horizontal="left" vertical="center"/>
    </xf>
    <xf numFmtId="0" fontId="6" fillId="3" borderId="8" xfId="12" applyFont="1" applyFill="1" applyBorder="1" applyAlignment="1">
      <alignment vertical="center"/>
    </xf>
    <xf numFmtId="0" fontId="5" fillId="3" borderId="16" xfId="12" applyFont="1" applyFill="1" applyBorder="1" applyAlignment="1">
      <alignment vertical="center"/>
    </xf>
    <xf numFmtId="10" fontId="6" fillId="5" borderId="28" xfId="12" applyNumberFormat="1" applyFont="1" applyFill="1" applyBorder="1" applyAlignment="1">
      <alignment vertical="center"/>
    </xf>
    <xf numFmtId="167" fontId="6" fillId="5" borderId="8" xfId="12" applyNumberFormat="1" applyFont="1" applyFill="1" applyBorder="1" applyAlignment="1">
      <alignment vertical="center"/>
    </xf>
    <xf numFmtId="10" fontId="6" fillId="5" borderId="12" xfId="12" applyNumberFormat="1" applyFont="1" applyFill="1" applyBorder="1" applyAlignment="1">
      <alignment vertical="center"/>
    </xf>
    <xf numFmtId="0" fontId="53" fillId="4" borderId="0" xfId="12" applyFont="1" applyFill="1"/>
    <xf numFmtId="3" fontId="45" fillId="3" borderId="26" xfId="12" applyNumberFormat="1" applyFont="1" applyFill="1" applyBorder="1" applyAlignment="1">
      <alignment horizontal="left" vertical="center"/>
    </xf>
    <xf numFmtId="0" fontId="46" fillId="2" borderId="0" xfId="12" applyFont="1" applyFill="1" applyBorder="1"/>
    <xf numFmtId="10" fontId="45" fillId="3" borderId="8" xfId="12" applyNumberFormat="1" applyFont="1" applyFill="1" applyBorder="1" applyAlignment="1">
      <alignment vertical="center"/>
    </xf>
    <xf numFmtId="0" fontId="45" fillId="3" borderId="8" xfId="12" applyFont="1" applyFill="1" applyBorder="1" applyAlignment="1">
      <alignment vertical="center"/>
    </xf>
    <xf numFmtId="0" fontId="45" fillId="3" borderId="16" xfId="12" applyFont="1" applyFill="1" applyBorder="1" applyAlignment="1">
      <alignment vertical="center"/>
    </xf>
    <xf numFmtId="10" fontId="45" fillId="3" borderId="12" xfId="12" applyNumberFormat="1" applyFont="1" applyFill="1" applyBorder="1" applyAlignment="1">
      <alignment vertical="center"/>
    </xf>
    <xf numFmtId="10" fontId="45" fillId="5" borderId="17" xfId="12" applyNumberFormat="1" applyFont="1" applyFill="1" applyBorder="1" applyAlignment="1">
      <alignment vertical="center"/>
    </xf>
    <xf numFmtId="167" fontId="45" fillId="5" borderId="8" xfId="12" applyNumberFormat="1" applyFont="1" applyFill="1" applyBorder="1" applyAlignment="1">
      <alignment vertical="center"/>
    </xf>
    <xf numFmtId="10" fontId="45" fillId="5" borderId="12" xfId="12" applyNumberFormat="1" applyFont="1" applyFill="1" applyBorder="1" applyAlignment="1">
      <alignment vertical="center"/>
    </xf>
    <xf numFmtId="0" fontId="54" fillId="4" borderId="0" xfId="12" applyFont="1" applyFill="1"/>
    <xf numFmtId="3" fontId="49" fillId="0" borderId="4" xfId="12" applyNumberFormat="1" applyFont="1" applyFill="1" applyBorder="1" applyAlignment="1">
      <alignment horizontal="left" vertical="center"/>
    </xf>
    <xf numFmtId="0" fontId="55" fillId="2" borderId="0" xfId="12" applyFont="1" applyFill="1" applyBorder="1"/>
    <xf numFmtId="10" fontId="47" fillId="0" borderId="8" xfId="12" applyNumberFormat="1" applyFont="1" applyFill="1" applyBorder="1" applyAlignment="1">
      <alignment vertical="center"/>
    </xf>
    <xf numFmtId="0" fontId="47" fillId="3" borderId="8" xfId="12" applyFont="1" applyFill="1" applyBorder="1" applyAlignment="1">
      <alignment vertical="center"/>
    </xf>
    <xf numFmtId="0" fontId="47" fillId="3" borderId="16" xfId="12" applyFont="1" applyFill="1" applyBorder="1" applyAlignment="1">
      <alignment vertical="center"/>
    </xf>
    <xf numFmtId="10" fontId="49" fillId="5" borderId="16" xfId="12" applyNumberFormat="1" applyFont="1" applyFill="1" applyBorder="1" applyAlignment="1">
      <alignment vertical="center"/>
    </xf>
    <xf numFmtId="167" fontId="49" fillId="5" borderId="8" xfId="12" applyNumberFormat="1" applyFont="1" applyFill="1" applyBorder="1" applyAlignment="1">
      <alignment vertical="center"/>
    </xf>
    <xf numFmtId="10" fontId="49" fillId="5" borderId="12" xfId="12" applyNumberFormat="1" applyFont="1" applyFill="1" applyBorder="1" applyAlignment="1">
      <alignment vertical="center"/>
    </xf>
    <xf numFmtId="0" fontId="50" fillId="4" borderId="0" xfId="12" applyFont="1" applyFill="1"/>
    <xf numFmtId="3" fontId="51" fillId="16" borderId="4" xfId="12" applyNumberFormat="1" applyFont="1" applyFill="1" applyBorder="1" applyAlignment="1">
      <alignment horizontal="left" vertical="center"/>
    </xf>
    <xf numFmtId="10" fontId="51" fillId="16" borderId="8" xfId="12" applyNumberFormat="1" applyFont="1" applyFill="1" applyBorder="1" applyAlignment="1">
      <alignment vertical="center"/>
    </xf>
    <xf numFmtId="0" fontId="51" fillId="16" borderId="8" xfId="12" applyFont="1" applyFill="1" applyBorder="1" applyAlignment="1">
      <alignment vertical="center"/>
    </xf>
    <xf numFmtId="0" fontId="51" fillId="16" borderId="16" xfId="12" applyFont="1" applyFill="1" applyBorder="1" applyAlignment="1">
      <alignment vertical="center"/>
    </xf>
    <xf numFmtId="10" fontId="51" fillId="16" borderId="12" xfId="12" applyNumberFormat="1" applyFont="1" applyFill="1" applyBorder="1" applyAlignment="1">
      <alignment vertical="center"/>
    </xf>
    <xf numFmtId="10" fontId="51" fillId="5" borderId="17" xfId="12" applyNumberFormat="1" applyFont="1" applyFill="1" applyBorder="1" applyAlignment="1">
      <alignment vertical="center"/>
    </xf>
    <xf numFmtId="171" fontId="51" fillId="5" borderId="8" xfId="12" applyNumberFormat="1" applyFont="1" applyFill="1" applyBorder="1" applyAlignment="1">
      <alignment vertical="center"/>
    </xf>
    <xf numFmtId="167" fontId="51" fillId="5" borderId="8" xfId="12" applyNumberFormat="1" applyFont="1" applyFill="1" applyBorder="1" applyAlignment="1">
      <alignment vertical="center"/>
    </xf>
    <xf numFmtId="10" fontId="51" fillId="5" borderId="12" xfId="12" applyNumberFormat="1" applyFont="1" applyFill="1" applyBorder="1" applyAlignment="1">
      <alignment vertical="center"/>
    </xf>
    <xf numFmtId="3" fontId="6" fillId="4" borderId="26" xfId="12" applyNumberFormat="1" applyFont="1" applyFill="1" applyBorder="1" applyAlignment="1">
      <alignment horizontal="left" vertical="center" wrapText="1"/>
    </xf>
    <xf numFmtId="167" fontId="6" fillId="4" borderId="23" xfId="3" applyNumberFormat="1" applyFont="1" applyFill="1" applyBorder="1" applyAlignment="1">
      <alignment vertical="center"/>
    </xf>
    <xf numFmtId="0" fontId="5" fillId="3" borderId="19" xfId="12" applyFont="1" applyFill="1" applyBorder="1"/>
    <xf numFmtId="0" fontId="5" fillId="3" borderId="16" xfId="12" applyFont="1" applyFill="1" applyBorder="1"/>
    <xf numFmtId="10" fontId="6" fillId="4" borderId="7" xfId="12" applyNumberFormat="1" applyFont="1" applyFill="1" applyBorder="1" applyAlignment="1">
      <alignment vertical="center"/>
    </xf>
    <xf numFmtId="0" fontId="53" fillId="0" borderId="0" xfId="12" applyFont="1"/>
    <xf numFmtId="3" fontId="45" fillId="0" borderId="4" xfId="12" applyNumberFormat="1" applyFont="1" applyBorder="1" applyAlignment="1">
      <alignment horizontal="left"/>
    </xf>
    <xf numFmtId="10" fontId="45" fillId="0" borderId="8" xfId="12" applyNumberFormat="1" applyFont="1" applyBorder="1"/>
    <xf numFmtId="0" fontId="45" fillId="3" borderId="8" xfId="12" applyFont="1" applyFill="1" applyBorder="1"/>
    <xf numFmtId="0" fontId="45" fillId="3" borderId="0" xfId="12" applyFont="1" applyFill="1" applyBorder="1"/>
    <xf numFmtId="10" fontId="45" fillId="5" borderId="17" xfId="12" applyNumberFormat="1" applyFont="1" applyFill="1" applyBorder="1"/>
    <xf numFmtId="0" fontId="54" fillId="3" borderId="0" xfId="12" applyFont="1" applyFill="1"/>
    <xf numFmtId="10" fontId="47" fillId="3" borderId="8" xfId="12" applyNumberFormat="1" applyFont="1" applyFill="1" applyBorder="1"/>
    <xf numFmtId="10" fontId="49" fillId="5" borderId="16" xfId="12" applyNumberFormat="1" applyFont="1" applyFill="1" applyBorder="1"/>
    <xf numFmtId="3" fontId="52" fillId="16" borderId="4" xfId="12" applyNumberFormat="1" applyFont="1" applyFill="1" applyBorder="1" applyAlignment="1">
      <alignment horizontal="left"/>
    </xf>
    <xf numFmtId="168" fontId="17" fillId="16" borderId="8" xfId="3" applyNumberFormat="1" applyFont="1" applyFill="1" applyBorder="1" applyAlignment="1">
      <alignment vertical="center"/>
    </xf>
    <xf numFmtId="10" fontId="51" fillId="5" borderId="17" xfId="12" applyNumberFormat="1" applyFont="1" applyFill="1" applyBorder="1"/>
    <xf numFmtId="3" fontId="5" fillId="17" borderId="4" xfId="12" applyNumberFormat="1" applyFont="1" applyFill="1" applyBorder="1" applyAlignment="1">
      <alignment horizontal="left"/>
    </xf>
    <xf numFmtId="0" fontId="14" fillId="17" borderId="0" xfId="12" applyFont="1" applyFill="1" applyBorder="1"/>
    <xf numFmtId="167" fontId="5" fillId="17" borderId="14" xfId="3" applyNumberFormat="1" applyFont="1" applyFill="1" applyBorder="1"/>
    <xf numFmtId="10" fontId="5" fillId="17" borderId="8" xfId="12" applyNumberFormat="1" applyFont="1" applyFill="1" applyBorder="1"/>
    <xf numFmtId="0" fontId="5" fillId="17" borderId="8" xfId="12" applyFont="1" applyFill="1" applyBorder="1"/>
    <xf numFmtId="0" fontId="5" fillId="17" borderId="0" xfId="12" applyFont="1" applyFill="1" applyBorder="1"/>
    <xf numFmtId="168" fontId="5" fillId="7" borderId="8" xfId="3" applyNumberFormat="1" applyFont="1" applyFill="1" applyBorder="1"/>
    <xf numFmtId="10" fontId="5" fillId="7" borderId="8" xfId="12" applyNumberFormat="1" applyFont="1" applyFill="1" applyBorder="1"/>
    <xf numFmtId="167" fontId="6" fillId="18" borderId="5" xfId="3" applyNumberFormat="1" applyFont="1" applyFill="1" applyBorder="1"/>
    <xf numFmtId="10" fontId="6" fillId="18" borderId="17" xfId="12" applyNumberFormat="1" applyFont="1" applyFill="1" applyBorder="1"/>
    <xf numFmtId="171" fontId="6" fillId="18" borderId="8" xfId="12" applyNumberFormat="1" applyFont="1" applyFill="1" applyBorder="1"/>
    <xf numFmtId="167" fontId="6" fillId="18" borderId="8" xfId="12" applyNumberFormat="1" applyFont="1" applyFill="1" applyBorder="1"/>
    <xf numFmtId="10" fontId="6" fillId="18" borderId="12" xfId="12" applyNumberFormat="1" applyFont="1" applyFill="1" applyBorder="1"/>
    <xf numFmtId="10" fontId="49" fillId="5" borderId="17" xfId="12" applyNumberFormat="1" applyFont="1" applyFill="1" applyBorder="1"/>
    <xf numFmtId="0" fontId="56" fillId="0" borderId="0" xfId="12" applyFont="1"/>
    <xf numFmtId="0" fontId="51" fillId="16" borderId="8" xfId="12" applyFont="1" applyFill="1" applyBorder="1"/>
    <xf numFmtId="0" fontId="51" fillId="16" borderId="0" xfId="12" applyFont="1" applyFill="1" applyBorder="1"/>
    <xf numFmtId="3" fontId="5" fillId="0" borderId="4" xfId="12" applyNumberFormat="1" applyFont="1" applyBorder="1" applyAlignment="1">
      <alignment horizontal="left"/>
    </xf>
    <xf numFmtId="3" fontId="5" fillId="17" borderId="26" xfId="12" applyNumberFormat="1" applyFont="1" applyFill="1" applyBorder="1" applyAlignment="1">
      <alignment horizontal="left"/>
    </xf>
    <xf numFmtId="3" fontId="6" fillId="19" borderId="26" xfId="12" applyNumberFormat="1" applyFont="1" applyFill="1" applyBorder="1" applyAlignment="1">
      <alignment horizontal="left"/>
    </xf>
    <xf numFmtId="0" fontId="14" fillId="19" borderId="0" xfId="12" applyFont="1" applyFill="1" applyBorder="1"/>
    <xf numFmtId="167" fontId="5" fillId="19" borderId="14" xfId="3" applyNumberFormat="1" applyFont="1" applyFill="1" applyBorder="1"/>
    <xf numFmtId="10" fontId="5" fillId="19" borderId="8" xfId="12" applyNumberFormat="1" applyFont="1" applyFill="1" applyBorder="1"/>
    <xf numFmtId="0" fontId="5" fillId="19" borderId="8" xfId="12" applyFont="1" applyFill="1" applyBorder="1"/>
    <xf numFmtId="0" fontId="5" fillId="19" borderId="0" xfId="12" applyFont="1" applyFill="1" applyBorder="1"/>
    <xf numFmtId="168" fontId="5" fillId="19" borderId="8" xfId="3" applyNumberFormat="1" applyFont="1" applyFill="1" applyBorder="1"/>
    <xf numFmtId="10" fontId="6" fillId="5" borderId="11" xfId="12" applyNumberFormat="1" applyFont="1" applyFill="1" applyBorder="1"/>
    <xf numFmtId="171" fontId="5" fillId="5" borderId="8" xfId="12" applyNumberFormat="1" applyFont="1" applyFill="1" applyBorder="1"/>
    <xf numFmtId="0" fontId="53" fillId="0" borderId="0" xfId="12" applyFont="1" applyAlignment="1">
      <alignment vertical="center"/>
    </xf>
    <xf numFmtId="3" fontId="45" fillId="0" borderId="4" xfId="12" applyNumberFormat="1" applyFont="1" applyBorder="1" applyAlignment="1">
      <alignment horizontal="left" vertical="center" wrapText="1"/>
    </xf>
    <xf numFmtId="0" fontId="45" fillId="2" borderId="0" xfId="12" applyFont="1" applyFill="1" applyBorder="1" applyAlignment="1">
      <alignment vertical="center"/>
    </xf>
    <xf numFmtId="167" fontId="46" fillId="0" borderId="18" xfId="3" applyNumberFormat="1" applyFont="1" applyBorder="1" applyAlignment="1">
      <alignment vertical="center"/>
    </xf>
    <xf numFmtId="10" fontId="45" fillId="0" borderId="8" xfId="12" applyNumberFormat="1" applyFont="1" applyFill="1" applyBorder="1" applyAlignment="1">
      <alignment vertical="center"/>
    </xf>
    <xf numFmtId="0" fontId="45" fillId="0" borderId="8" xfId="12" applyFont="1" applyFill="1" applyBorder="1" applyAlignment="1">
      <alignment vertical="center"/>
    </xf>
    <xf numFmtId="0" fontId="45" fillId="0" borderId="0" xfId="12" applyFont="1" applyFill="1" applyBorder="1" applyAlignment="1">
      <alignment vertical="center"/>
    </xf>
    <xf numFmtId="0" fontId="45" fillId="0" borderId="0" xfId="12" applyFont="1" applyBorder="1" applyAlignment="1">
      <alignment vertical="center"/>
    </xf>
    <xf numFmtId="167" fontId="45" fillId="5" borderId="5" xfId="3" applyNumberFormat="1" applyFont="1" applyFill="1" applyBorder="1" applyAlignment="1">
      <alignment vertical="center"/>
    </xf>
    <xf numFmtId="10" fontId="45" fillId="5" borderId="11" xfId="12" applyNumberFormat="1" applyFont="1" applyFill="1" applyBorder="1" applyAlignment="1">
      <alignment vertical="center"/>
    </xf>
    <xf numFmtId="171" fontId="45" fillId="5" borderId="8" xfId="12" applyNumberFormat="1" applyFont="1" applyFill="1" applyBorder="1" applyAlignment="1">
      <alignment vertical="center"/>
    </xf>
    <xf numFmtId="10" fontId="46" fillId="0" borderId="8" xfId="12" applyNumberFormat="1" applyFont="1" applyFill="1" applyBorder="1" applyAlignment="1">
      <alignment vertical="center"/>
    </xf>
    <xf numFmtId="0" fontId="10" fillId="0" borderId="0" xfId="12" applyFont="1" applyAlignment="1">
      <alignment vertical="center"/>
    </xf>
    <xf numFmtId="0" fontId="46" fillId="2" borderId="0" xfId="12" applyFont="1" applyFill="1" applyBorder="1" applyAlignment="1">
      <alignment vertical="center"/>
    </xf>
    <xf numFmtId="0" fontId="46" fillId="0" borderId="8" xfId="12" applyFont="1" applyFill="1" applyBorder="1" applyAlignment="1">
      <alignment vertical="center"/>
    </xf>
    <xf numFmtId="0" fontId="46" fillId="0" borderId="0" xfId="12" applyFont="1" applyFill="1" applyBorder="1" applyAlignment="1">
      <alignment vertical="center"/>
    </xf>
    <xf numFmtId="0" fontId="46" fillId="0" borderId="0" xfId="12" applyFont="1" applyBorder="1" applyAlignment="1">
      <alignment vertical="center"/>
    </xf>
    <xf numFmtId="167" fontId="45" fillId="5" borderId="10" xfId="3" applyNumberFormat="1" applyFont="1" applyFill="1" applyBorder="1" applyAlignment="1">
      <alignment vertical="center"/>
    </xf>
    <xf numFmtId="168" fontId="45" fillId="0" borderId="8" xfId="3" applyNumberFormat="1" applyFont="1" applyFill="1" applyBorder="1"/>
    <xf numFmtId="3" fontId="6" fillId="8" borderId="4" xfId="12" applyNumberFormat="1" applyFont="1" applyFill="1" applyBorder="1" applyAlignment="1">
      <alignment horizontal="left" vertical="center"/>
    </xf>
    <xf numFmtId="167" fontId="6" fillId="8" borderId="23" xfId="3" applyNumberFormat="1" applyFont="1" applyFill="1" applyBorder="1" applyAlignment="1">
      <alignment vertical="center"/>
    </xf>
    <xf numFmtId="10" fontId="6" fillId="8" borderId="19" xfId="12" applyNumberFormat="1" applyFont="1" applyFill="1" applyBorder="1" applyAlignment="1">
      <alignment vertical="center"/>
    </xf>
    <xf numFmtId="10" fontId="6" fillId="8" borderId="20" xfId="12" applyNumberFormat="1" applyFont="1" applyFill="1" applyBorder="1" applyAlignment="1">
      <alignment vertical="center"/>
    </xf>
    <xf numFmtId="10" fontId="6" fillId="8" borderId="8" xfId="12" applyNumberFormat="1" applyFont="1" applyFill="1" applyBorder="1" applyAlignment="1">
      <alignment vertical="center"/>
    </xf>
    <xf numFmtId="10" fontId="6" fillId="8" borderId="17" xfId="12" applyNumberFormat="1" applyFont="1" applyFill="1" applyBorder="1" applyAlignment="1">
      <alignment vertical="center"/>
    </xf>
    <xf numFmtId="10" fontId="6" fillId="8" borderId="12" xfId="12" applyNumberFormat="1" applyFont="1" applyFill="1" applyBorder="1" applyAlignment="1">
      <alignment vertical="center"/>
    </xf>
    <xf numFmtId="3" fontId="5" fillId="0" borderId="29" xfId="12" applyNumberFormat="1" applyFont="1" applyBorder="1" applyAlignment="1">
      <alignment horizontal="left"/>
    </xf>
    <xf numFmtId="0" fontId="57" fillId="0" borderId="0" xfId="12" applyFont="1"/>
    <xf numFmtId="3" fontId="45" fillId="0" borderId="30" xfId="12" applyNumberFormat="1" applyFont="1" applyBorder="1" applyAlignment="1">
      <alignment horizontal="left" wrapText="1"/>
    </xf>
    <xf numFmtId="10" fontId="46" fillId="0" borderId="8" xfId="12" applyNumberFormat="1" applyFont="1" applyBorder="1"/>
    <xf numFmtId="0" fontId="46" fillId="3" borderId="16" xfId="12" applyFont="1" applyFill="1" applyBorder="1"/>
    <xf numFmtId="10" fontId="46" fillId="0" borderId="12" xfId="12" applyNumberFormat="1" applyFont="1" applyBorder="1"/>
    <xf numFmtId="10" fontId="5" fillId="0" borderId="27" xfId="12" applyNumberFormat="1" applyFont="1" applyBorder="1"/>
    <xf numFmtId="10" fontId="5" fillId="0" borderId="19" xfId="12" applyNumberFormat="1" applyFont="1" applyBorder="1"/>
    <xf numFmtId="3" fontId="6" fillId="4" borderId="4" xfId="12" applyNumberFormat="1" applyFont="1" applyFill="1" applyBorder="1" applyAlignment="1">
      <alignment horizontal="left"/>
    </xf>
    <xf numFmtId="167" fontId="6" fillId="4" borderId="23" xfId="3" applyNumberFormat="1" applyFont="1" applyFill="1" applyBorder="1"/>
    <xf numFmtId="10" fontId="5" fillId="4" borderId="19" xfId="12" applyNumberFormat="1" applyFont="1" applyFill="1" applyBorder="1"/>
    <xf numFmtId="10" fontId="5" fillId="4" borderId="21" xfId="12" applyNumberFormat="1" applyFont="1" applyFill="1" applyBorder="1"/>
    <xf numFmtId="10" fontId="5" fillId="4" borderId="12" xfId="12" applyNumberFormat="1" applyFont="1" applyFill="1" applyBorder="1"/>
    <xf numFmtId="168" fontId="6" fillId="4" borderId="17" xfId="12" applyNumberFormat="1" applyFont="1" applyFill="1" applyBorder="1"/>
    <xf numFmtId="10" fontId="5" fillId="4" borderId="8" xfId="12" applyNumberFormat="1" applyFont="1" applyFill="1" applyBorder="1"/>
    <xf numFmtId="167" fontId="6" fillId="4" borderId="31" xfId="3" applyNumberFormat="1" applyFont="1" applyFill="1" applyBorder="1"/>
    <xf numFmtId="10" fontId="6" fillId="4" borderId="17" xfId="12" applyNumberFormat="1" applyFont="1" applyFill="1" applyBorder="1"/>
    <xf numFmtId="167" fontId="6" fillId="4" borderId="17" xfId="3" applyNumberFormat="1" applyFont="1" applyFill="1" applyBorder="1"/>
    <xf numFmtId="10" fontId="58" fillId="4" borderId="12" xfId="12" applyNumberFormat="1" applyFont="1" applyFill="1" applyBorder="1" applyAlignment="1">
      <alignment vertical="center"/>
    </xf>
    <xf numFmtId="3" fontId="6" fillId="0" borderId="4" xfId="12" applyNumberFormat="1" applyFont="1" applyBorder="1" applyAlignment="1">
      <alignment horizontal="left"/>
    </xf>
    <xf numFmtId="10" fontId="15" fillId="0" borderId="12" xfId="12" applyNumberFormat="1" applyFont="1" applyBorder="1"/>
    <xf numFmtId="3" fontId="6" fillId="0" borderId="13" xfId="12" applyNumberFormat="1" applyFont="1" applyBorder="1" applyAlignment="1">
      <alignment horizontal="left"/>
    </xf>
    <xf numFmtId="167" fontId="6" fillId="4" borderId="14" xfId="3" applyNumberFormat="1" applyFont="1" applyFill="1" applyBorder="1"/>
    <xf numFmtId="167" fontId="6" fillId="4" borderId="8" xfId="3" applyNumberFormat="1" applyFont="1" applyFill="1" applyBorder="1"/>
    <xf numFmtId="167" fontId="58" fillId="4" borderId="8" xfId="3" applyNumberFormat="1" applyFont="1" applyFill="1" applyBorder="1"/>
    <xf numFmtId="10" fontId="58" fillId="4" borderId="17" xfId="12" applyNumberFormat="1" applyFont="1" applyFill="1" applyBorder="1"/>
    <xf numFmtId="167" fontId="58" fillId="4" borderId="8" xfId="3" applyNumberFormat="1" applyFont="1" applyFill="1" applyBorder="1" applyAlignment="1">
      <alignment vertical="center"/>
    </xf>
    <xf numFmtId="3" fontId="45" fillId="0" borderId="26" xfId="12" applyNumberFormat="1" applyFont="1" applyBorder="1" applyAlignment="1">
      <alignment horizontal="left"/>
    </xf>
    <xf numFmtId="3" fontId="6" fillId="4" borderId="26" xfId="12" applyNumberFormat="1" applyFont="1" applyFill="1" applyBorder="1" applyAlignment="1">
      <alignment horizontal="left"/>
    </xf>
    <xf numFmtId="167" fontId="13" fillId="4" borderId="14" xfId="3" applyNumberFormat="1" applyFont="1" applyFill="1" applyBorder="1"/>
    <xf numFmtId="10" fontId="5" fillId="4" borderId="20" xfId="12" applyNumberFormat="1" applyFont="1" applyFill="1" applyBorder="1"/>
    <xf numFmtId="167" fontId="13" fillId="4" borderId="21" xfId="3" applyNumberFormat="1" applyFont="1" applyFill="1" applyBorder="1"/>
    <xf numFmtId="167" fontId="58" fillId="4" borderId="10" xfId="3" applyNumberFormat="1" applyFont="1" applyFill="1" applyBorder="1"/>
    <xf numFmtId="167" fontId="58" fillId="4" borderId="11" xfId="3" applyNumberFormat="1" applyFont="1" applyFill="1" applyBorder="1"/>
    <xf numFmtId="167" fontId="6" fillId="4" borderId="11" xfId="3" applyNumberFormat="1" applyFont="1" applyFill="1" applyBorder="1"/>
    <xf numFmtId="10" fontId="6" fillId="5" borderId="8" xfId="12" applyNumberFormat="1" applyFont="1" applyFill="1" applyBorder="1"/>
    <xf numFmtId="3" fontId="5" fillId="0" borderId="32" xfId="12" applyNumberFormat="1" applyFont="1" applyBorder="1" applyAlignment="1">
      <alignment horizontal="left"/>
    </xf>
    <xf numFmtId="3" fontId="45" fillId="0" borderId="30" xfId="12" applyNumberFormat="1" applyFont="1" applyBorder="1" applyAlignment="1">
      <alignment horizontal="left"/>
    </xf>
    <xf numFmtId="3" fontId="6" fillId="9" borderId="4" xfId="12" applyNumberFormat="1" applyFont="1" applyFill="1" applyBorder="1" applyAlignment="1">
      <alignment horizontal="left" vertical="center"/>
    </xf>
    <xf numFmtId="167" fontId="6" fillId="10" borderId="14" xfId="3" applyNumberFormat="1" applyFont="1" applyFill="1" applyBorder="1" applyAlignment="1">
      <alignment vertical="center"/>
    </xf>
    <xf numFmtId="10" fontId="6" fillId="10" borderId="8" xfId="12" applyNumberFormat="1" applyFont="1" applyFill="1" applyBorder="1" applyAlignment="1">
      <alignment vertical="center"/>
    </xf>
    <xf numFmtId="167" fontId="6" fillId="10" borderId="8" xfId="3" applyNumberFormat="1" applyFont="1" applyFill="1" applyBorder="1" applyAlignment="1">
      <alignment vertical="center"/>
    </xf>
    <xf numFmtId="10" fontId="6" fillId="10" borderId="17" xfId="12" applyNumberFormat="1" applyFont="1" applyFill="1" applyBorder="1" applyAlignment="1">
      <alignment vertical="center"/>
    </xf>
    <xf numFmtId="10" fontId="13" fillId="10" borderId="8" xfId="12" applyNumberFormat="1" applyFont="1" applyFill="1" applyBorder="1" applyAlignment="1">
      <alignment vertical="center"/>
    </xf>
    <xf numFmtId="10" fontId="6" fillId="10" borderId="12" xfId="12" applyNumberFormat="1" applyFont="1" applyFill="1" applyBorder="1" applyAlignment="1">
      <alignment vertical="center"/>
    </xf>
    <xf numFmtId="10" fontId="58" fillId="10" borderId="8" xfId="12" applyNumberFormat="1" applyFont="1" applyFill="1" applyBorder="1" applyAlignment="1">
      <alignment vertical="center"/>
    </xf>
    <xf numFmtId="0" fontId="59" fillId="0" borderId="0" xfId="12" applyFont="1" applyAlignment="1">
      <alignment vertical="center"/>
    </xf>
    <xf numFmtId="3" fontId="58" fillId="0" borderId="13" xfId="12" applyNumberFormat="1" applyFont="1" applyBorder="1" applyAlignment="1">
      <alignment horizontal="left" vertical="center"/>
    </xf>
    <xf numFmtId="0" fontId="60" fillId="2" borderId="0" xfId="12" applyFont="1" applyFill="1" applyBorder="1" applyAlignment="1">
      <alignment vertical="center"/>
    </xf>
    <xf numFmtId="167" fontId="60" fillId="0" borderId="8" xfId="3" applyNumberFormat="1" applyFont="1" applyFill="1" applyBorder="1" applyAlignment="1">
      <alignment vertical="center"/>
    </xf>
    <xf numFmtId="10" fontId="60" fillId="0" borderId="21" xfId="12" applyNumberFormat="1" applyFont="1" applyBorder="1" applyAlignment="1">
      <alignment vertical="center"/>
    </xf>
    <xf numFmtId="0" fontId="60" fillId="0" borderId="0" xfId="12" applyFont="1" applyBorder="1" applyAlignment="1">
      <alignment vertical="center"/>
    </xf>
    <xf numFmtId="10" fontId="60" fillId="0" borderId="0" xfId="12" applyNumberFormat="1" applyFont="1" applyBorder="1" applyAlignment="1">
      <alignment vertical="center"/>
    </xf>
    <xf numFmtId="167" fontId="58" fillId="5" borderId="14" xfId="3" applyNumberFormat="1" applyFont="1" applyFill="1" applyBorder="1" applyAlignment="1">
      <alignment horizontal="left" vertical="center"/>
    </xf>
    <xf numFmtId="10" fontId="58" fillId="5" borderId="8" xfId="12" applyNumberFormat="1" applyFont="1" applyFill="1" applyBorder="1" applyAlignment="1">
      <alignment vertical="center"/>
    </xf>
    <xf numFmtId="171" fontId="58" fillId="5" borderId="8" xfId="12" applyNumberFormat="1" applyFont="1" applyFill="1" applyBorder="1" applyAlignment="1">
      <alignment vertical="center"/>
    </xf>
    <xf numFmtId="167" fontId="6" fillId="4" borderId="33" xfId="3" applyNumberFormat="1" applyFont="1" applyFill="1" applyBorder="1" applyAlignment="1">
      <alignment vertical="center"/>
    </xf>
    <xf numFmtId="10" fontId="6" fillId="4" borderId="33" xfId="12" applyNumberFormat="1" applyFont="1" applyFill="1" applyBorder="1" applyAlignment="1">
      <alignment vertical="center"/>
    </xf>
    <xf numFmtId="171" fontId="6" fillId="4" borderId="34" xfId="3" applyNumberFormat="1" applyFont="1" applyFill="1" applyBorder="1" applyAlignment="1">
      <alignment vertical="center"/>
    </xf>
    <xf numFmtId="10" fontId="13" fillId="4" borderId="33" xfId="12" applyNumberFormat="1" applyFont="1" applyFill="1" applyBorder="1" applyAlignment="1">
      <alignment vertical="center"/>
    </xf>
    <xf numFmtId="0" fontId="4" fillId="0" borderId="0" xfId="12" applyAlignment="1">
      <alignment horizontal="left"/>
    </xf>
    <xf numFmtId="0" fontId="6" fillId="20" borderId="8" xfId="12" applyFont="1" applyFill="1" applyBorder="1" applyAlignment="1">
      <alignment horizontal="center" vertical="center" wrapText="1"/>
    </xf>
    <xf numFmtId="0" fontId="6" fillId="20" borderId="35" xfId="12" applyFont="1" applyFill="1" applyBorder="1" applyAlignment="1">
      <alignment horizontal="center" vertical="center"/>
    </xf>
    <xf numFmtId="167" fontId="60" fillId="0" borderId="6" xfId="3" applyNumberFormat="1" applyFont="1" applyFill="1" applyBorder="1" applyAlignment="1">
      <alignment vertical="center"/>
    </xf>
    <xf numFmtId="10" fontId="60" fillId="0" borderId="6" xfId="12" applyNumberFormat="1" applyFont="1" applyBorder="1" applyAlignment="1">
      <alignment vertical="center"/>
    </xf>
    <xf numFmtId="3" fontId="6" fillId="11" borderId="32" xfId="12" applyNumberFormat="1" applyFont="1" applyFill="1" applyBorder="1" applyAlignment="1">
      <alignment horizontal="left" vertical="center"/>
    </xf>
    <xf numFmtId="0" fontId="14" fillId="2" borderId="36" xfId="12" applyFont="1" applyFill="1" applyBorder="1"/>
    <xf numFmtId="167" fontId="6" fillId="4" borderId="37" xfId="3" applyNumberFormat="1" applyFont="1" applyFill="1" applyBorder="1" applyAlignment="1">
      <alignment vertical="center"/>
    </xf>
    <xf numFmtId="10" fontId="6" fillId="4" borderId="38" xfId="12" applyNumberFormat="1" applyFont="1" applyFill="1" applyBorder="1" applyAlignment="1">
      <alignment vertical="center"/>
    </xf>
    <xf numFmtId="0" fontId="5" fillId="3" borderId="38" xfId="12" applyFont="1" applyFill="1" applyBorder="1"/>
    <xf numFmtId="0" fontId="5" fillId="0" borderId="36" xfId="12" applyFont="1" applyBorder="1"/>
    <xf numFmtId="10" fontId="6" fillId="4" borderId="39" xfId="12" applyNumberFormat="1" applyFont="1" applyFill="1" applyBorder="1" applyAlignment="1">
      <alignment vertical="center"/>
    </xf>
    <xf numFmtId="3" fontId="55" fillId="3" borderId="4" xfId="12" applyNumberFormat="1" applyFont="1" applyFill="1" applyBorder="1" applyAlignment="1">
      <alignment horizontal="left"/>
    </xf>
    <xf numFmtId="10" fontId="46" fillId="0" borderId="8" xfId="12" applyNumberFormat="1" applyFont="1" applyBorder="1" applyAlignment="1">
      <alignment vertical="center"/>
    </xf>
    <xf numFmtId="168" fontId="4" fillId="0" borderId="0" xfId="12" applyNumberFormat="1"/>
    <xf numFmtId="0" fontId="6" fillId="15" borderId="40" xfId="12" applyFont="1" applyFill="1" applyBorder="1" applyAlignment="1">
      <alignment horizontal="centerContinuous" vertical="center" wrapText="1"/>
    </xf>
    <xf numFmtId="168" fontId="60" fillId="0" borderId="8" xfId="3" applyNumberFormat="1" applyFont="1" applyFill="1" applyBorder="1" applyAlignment="1">
      <alignment vertical="center"/>
    </xf>
    <xf numFmtId="0" fontId="5" fillId="0" borderId="0" xfId="12" applyFont="1" applyAlignment="1">
      <alignment vertical="center"/>
    </xf>
    <xf numFmtId="0" fontId="6" fillId="12" borderId="41" xfId="12" applyFont="1" applyFill="1" applyBorder="1" applyAlignment="1">
      <alignment horizontal="center" vertical="center"/>
    </xf>
    <xf numFmtId="14" fontId="6" fillId="0" borderId="11" xfId="12" applyNumberFormat="1" applyFont="1" applyFill="1" applyBorder="1" applyAlignment="1">
      <alignment horizontal="center" vertical="center"/>
    </xf>
    <xf numFmtId="0" fontId="6" fillId="6" borderId="41" xfId="12" applyFont="1" applyFill="1" applyBorder="1" applyAlignment="1">
      <alignment horizontal="center" vertical="center" wrapText="1"/>
    </xf>
    <xf numFmtId="0" fontId="5" fillId="0" borderId="1" xfId="12" applyFont="1" applyBorder="1"/>
    <xf numFmtId="0" fontId="6" fillId="10" borderId="0" xfId="12" applyFont="1" applyFill="1" applyBorder="1" applyAlignment="1">
      <alignment horizontal="center" vertical="center"/>
    </xf>
    <xf numFmtId="172" fontId="4" fillId="0" borderId="0" xfId="12" applyNumberFormat="1" applyFont="1"/>
    <xf numFmtId="14" fontId="6" fillId="0" borderId="10" xfId="12" applyNumberFormat="1" applyFont="1" applyFill="1" applyBorder="1" applyAlignment="1">
      <alignment horizontal="center" vertical="center"/>
    </xf>
    <xf numFmtId="0" fontId="4" fillId="0" borderId="0" xfId="12" applyFont="1" applyAlignment="1">
      <alignment vertical="center"/>
    </xf>
    <xf numFmtId="172" fontId="4" fillId="0" borderId="0" xfId="12" applyNumberFormat="1" applyFont="1" applyAlignment="1">
      <alignment vertical="center"/>
    </xf>
    <xf numFmtId="9" fontId="6" fillId="4" borderId="0" xfId="12" applyNumberFormat="1" applyFont="1" applyFill="1" applyBorder="1" applyAlignment="1">
      <alignment vertical="center"/>
    </xf>
    <xf numFmtId="0" fontId="5" fillId="0" borderId="0" xfId="12" applyFont="1"/>
    <xf numFmtId="168" fontId="6" fillId="4" borderId="14" xfId="12" applyNumberFormat="1" applyFont="1" applyFill="1" applyBorder="1"/>
    <xf numFmtId="9" fontId="6" fillId="4" borderId="8" xfId="12" applyNumberFormat="1" applyFont="1" applyFill="1" applyBorder="1"/>
    <xf numFmtId="9" fontId="6" fillId="4" borderId="12" xfId="12" applyNumberFormat="1" applyFont="1" applyFill="1" applyBorder="1"/>
    <xf numFmtId="167" fontId="5" fillId="0" borderId="8" xfId="3" applyNumberFormat="1" applyFont="1" applyFill="1" applyBorder="1"/>
    <xf numFmtId="10" fontId="5" fillId="0" borderId="0" xfId="12" applyNumberFormat="1" applyFont="1" applyFill="1" applyBorder="1"/>
    <xf numFmtId="168" fontId="5" fillId="0" borderId="14" xfId="3" applyNumberFormat="1" applyFont="1" applyFill="1" applyBorder="1"/>
    <xf numFmtId="167" fontId="6" fillId="4" borderId="27" xfId="3" applyNumberFormat="1" applyFont="1" applyFill="1" applyBorder="1" applyAlignment="1">
      <alignment vertical="center"/>
    </xf>
    <xf numFmtId="10" fontId="5" fillId="4" borderId="0" xfId="12" applyNumberFormat="1" applyFont="1" applyFill="1" applyBorder="1" applyAlignment="1">
      <alignment vertical="center"/>
    </xf>
    <xf numFmtId="168" fontId="6" fillId="4" borderId="14" xfId="3" applyNumberFormat="1" applyFont="1" applyFill="1" applyBorder="1" applyAlignment="1">
      <alignment vertical="center"/>
    </xf>
    <xf numFmtId="10" fontId="6" fillId="4" borderId="8" xfId="12" applyNumberFormat="1" applyFont="1" applyFill="1" applyBorder="1" applyAlignment="1">
      <alignment vertical="center"/>
    </xf>
    <xf numFmtId="10" fontId="5" fillId="0" borderId="0" xfId="12" applyNumberFormat="1" applyFont="1" applyBorder="1"/>
    <xf numFmtId="167" fontId="46" fillId="0" borderId="8" xfId="3" applyNumberFormat="1" applyFont="1" applyFill="1" applyBorder="1"/>
    <xf numFmtId="10" fontId="46" fillId="3" borderId="0" xfId="12" applyNumberFormat="1" applyFont="1" applyFill="1" applyBorder="1"/>
    <xf numFmtId="0" fontId="46" fillId="0" borderId="0" xfId="12" applyFont="1"/>
    <xf numFmtId="167" fontId="26" fillId="0" borderId="21" xfId="3" applyNumberFormat="1" applyFont="1" applyBorder="1"/>
    <xf numFmtId="10" fontId="26" fillId="0" borderId="0" xfId="12" applyNumberFormat="1" applyFont="1" applyFill="1" applyBorder="1"/>
    <xf numFmtId="10" fontId="20" fillId="3" borderId="0" xfId="12" applyNumberFormat="1" applyFont="1" applyFill="1" applyBorder="1"/>
    <xf numFmtId="10" fontId="6" fillId="4" borderId="0" xfId="12" applyNumberFormat="1" applyFont="1" applyFill="1" applyBorder="1" applyAlignment="1">
      <alignment vertical="center"/>
    </xf>
    <xf numFmtId="10" fontId="5" fillId="0" borderId="0" xfId="12" applyNumberFormat="1" applyFont="1" applyFill="1" applyBorder="1" applyAlignment="1">
      <alignment vertical="center"/>
    </xf>
    <xf numFmtId="10" fontId="46" fillId="3" borderId="0" xfId="12" applyNumberFormat="1" applyFont="1" applyFill="1" applyBorder="1" applyAlignment="1"/>
    <xf numFmtId="167" fontId="48" fillId="0" borderId="8" xfId="3" applyNumberFormat="1" applyFont="1" applyFill="1" applyBorder="1"/>
    <xf numFmtId="10" fontId="48" fillId="0" borderId="0" xfId="12" applyNumberFormat="1" applyFont="1" applyFill="1" applyBorder="1"/>
    <xf numFmtId="10" fontId="51" fillId="3" borderId="0" xfId="12" applyNumberFormat="1" applyFont="1" applyFill="1" applyBorder="1"/>
    <xf numFmtId="0" fontId="5" fillId="16" borderId="0" xfId="12" applyFont="1" applyFill="1"/>
    <xf numFmtId="168" fontId="12" fillId="16" borderId="14" xfId="3" applyNumberFormat="1" applyFont="1" applyFill="1" applyBorder="1" applyAlignment="1">
      <alignment vertical="center"/>
    </xf>
    <xf numFmtId="10" fontId="5" fillId="16" borderId="12" xfId="12" applyNumberFormat="1" applyFont="1" applyFill="1" applyBorder="1"/>
    <xf numFmtId="168" fontId="6" fillId="16" borderId="8" xfId="3" applyNumberFormat="1" applyFont="1" applyFill="1" applyBorder="1" applyAlignment="1">
      <alignment vertical="center"/>
    </xf>
    <xf numFmtId="10" fontId="45" fillId="3" borderId="0" xfId="12" applyNumberFormat="1" applyFont="1" applyFill="1" applyBorder="1" applyAlignment="1">
      <alignment vertical="center"/>
    </xf>
    <xf numFmtId="10" fontId="48" fillId="0" borderId="8" xfId="12" applyNumberFormat="1" applyFont="1" applyFill="1" applyBorder="1" applyAlignment="1">
      <alignment vertical="center"/>
    </xf>
    <xf numFmtId="10" fontId="55" fillId="0" borderId="12" xfId="12" applyNumberFormat="1" applyFont="1" applyFill="1" applyBorder="1" applyAlignment="1">
      <alignment vertical="center"/>
    </xf>
    <xf numFmtId="10" fontId="49" fillId="0" borderId="0" xfId="12" applyNumberFormat="1" applyFont="1" applyFill="1" applyBorder="1" applyAlignment="1">
      <alignment vertical="center"/>
    </xf>
    <xf numFmtId="10" fontId="51" fillId="0" borderId="0" xfId="12" applyNumberFormat="1" applyFont="1" applyFill="1" applyBorder="1" applyAlignment="1">
      <alignment vertical="center"/>
    </xf>
    <xf numFmtId="10" fontId="45" fillId="0" borderId="0" xfId="12" applyNumberFormat="1" applyFont="1" applyBorder="1"/>
    <xf numFmtId="10" fontId="47" fillId="3" borderId="0" xfId="12" applyNumberFormat="1" applyFont="1" applyFill="1" applyBorder="1"/>
    <xf numFmtId="168" fontId="5" fillId="0" borderId="8" xfId="3" applyNumberFormat="1" applyFont="1" applyBorder="1"/>
    <xf numFmtId="0" fontId="58" fillId="0" borderId="0" xfId="12" applyFont="1"/>
    <xf numFmtId="167" fontId="5" fillId="17" borderId="8" xfId="3" applyNumberFormat="1" applyFont="1" applyFill="1" applyBorder="1"/>
    <xf numFmtId="10" fontId="5" fillId="17" borderId="0" xfId="12" applyNumberFormat="1" applyFont="1" applyFill="1" applyBorder="1"/>
    <xf numFmtId="0" fontId="61" fillId="3" borderId="0" xfId="12" applyFont="1" applyFill="1"/>
    <xf numFmtId="3" fontId="49" fillId="3" borderId="13" xfId="12" applyNumberFormat="1" applyFont="1" applyFill="1" applyBorder="1" applyAlignment="1">
      <alignment horizontal="left"/>
    </xf>
    <xf numFmtId="0" fontId="47" fillId="3" borderId="8" xfId="12" applyFont="1" applyFill="1" applyBorder="1"/>
    <xf numFmtId="0" fontId="47" fillId="3" borderId="0" xfId="12" applyFont="1" applyFill="1" applyBorder="1"/>
    <xf numFmtId="10" fontId="51" fillId="0" borderId="0" xfId="12" applyNumberFormat="1" applyFont="1" applyBorder="1"/>
    <xf numFmtId="167" fontId="5" fillId="19" borderId="8" xfId="3" applyNumberFormat="1" applyFont="1" applyFill="1" applyBorder="1"/>
    <xf numFmtId="10" fontId="5" fillId="19" borderId="0" xfId="12" applyNumberFormat="1" applyFont="1" applyFill="1" applyBorder="1"/>
    <xf numFmtId="167" fontId="45" fillId="0" borderId="8" xfId="3" applyNumberFormat="1" applyFont="1" applyFill="1" applyBorder="1" applyAlignment="1">
      <alignment vertical="center"/>
    </xf>
    <xf numFmtId="10" fontId="46" fillId="0" borderId="0" xfId="12" applyNumberFormat="1" applyFont="1" applyBorder="1" applyAlignment="1">
      <alignment vertical="center"/>
    </xf>
    <xf numFmtId="168" fontId="46" fillId="0" borderId="8" xfId="3" applyNumberFormat="1" applyFont="1" applyBorder="1" applyAlignment="1">
      <alignment vertical="center"/>
    </xf>
    <xf numFmtId="0" fontId="46" fillId="0" borderId="0" xfId="12" applyFont="1" applyAlignment="1">
      <alignment vertical="center"/>
    </xf>
    <xf numFmtId="168" fontId="5" fillId="0" borderId="14" xfId="3" applyNumberFormat="1" applyFont="1" applyFill="1" applyBorder="1" applyAlignment="1">
      <alignment vertical="center"/>
    </xf>
    <xf numFmtId="10" fontId="46" fillId="0" borderId="12" xfId="12" applyNumberFormat="1" applyFont="1" applyFill="1" applyBorder="1" applyAlignment="1">
      <alignment vertical="center"/>
    </xf>
    <xf numFmtId="168" fontId="4" fillId="0" borderId="0" xfId="12" applyNumberFormat="1" applyAlignment="1">
      <alignment vertical="center"/>
    </xf>
    <xf numFmtId="3" fontId="58" fillId="0" borderId="4" xfId="12" applyNumberFormat="1" applyFont="1" applyBorder="1" applyAlignment="1">
      <alignment horizontal="left" vertical="center" wrapText="1"/>
    </xf>
    <xf numFmtId="10" fontId="60" fillId="0" borderId="8" xfId="12" applyNumberFormat="1" applyFont="1" applyFill="1" applyBorder="1" applyAlignment="1">
      <alignment vertical="center"/>
    </xf>
    <xf numFmtId="168" fontId="45" fillId="0" borderId="14" xfId="3" applyNumberFormat="1" applyFont="1" applyFill="1" applyBorder="1"/>
    <xf numFmtId="168" fontId="6" fillId="0" borderId="8" xfId="3" applyNumberFormat="1" applyFont="1" applyFill="1" applyBorder="1"/>
    <xf numFmtId="0" fontId="5" fillId="2" borderId="0" xfId="12" applyFont="1" applyFill="1" applyBorder="1"/>
    <xf numFmtId="167" fontId="6" fillId="8" borderId="19" xfId="3" applyNumberFormat="1" applyFont="1" applyFill="1" applyBorder="1" applyAlignment="1">
      <alignment vertical="center"/>
    </xf>
    <xf numFmtId="10" fontId="6" fillId="8" borderId="0" xfId="12" applyNumberFormat="1" applyFont="1" applyFill="1" applyBorder="1" applyAlignment="1">
      <alignment vertical="center"/>
    </xf>
    <xf numFmtId="167" fontId="6" fillId="8" borderId="8" xfId="3" applyNumberFormat="1" applyFont="1" applyFill="1" applyBorder="1" applyAlignment="1">
      <alignment vertical="center"/>
    </xf>
    <xf numFmtId="167" fontId="6" fillId="8" borderId="14" xfId="3" applyNumberFormat="1" applyFont="1" applyFill="1" applyBorder="1" applyAlignment="1">
      <alignment vertical="center"/>
    </xf>
    <xf numFmtId="10" fontId="46" fillId="0" borderId="0" xfId="12" applyNumberFormat="1" applyFont="1" applyBorder="1"/>
    <xf numFmtId="10" fontId="5" fillId="4" borderId="0" xfId="12" applyNumberFormat="1" applyFont="1" applyFill="1" applyBorder="1"/>
    <xf numFmtId="10" fontId="15" fillId="0" borderId="0" xfId="12" applyNumberFormat="1" applyFont="1" applyBorder="1"/>
    <xf numFmtId="167" fontId="13" fillId="4" borderId="8" xfId="3" applyNumberFormat="1" applyFont="1" applyFill="1" applyBorder="1"/>
    <xf numFmtId="167" fontId="6" fillId="4" borderId="21" xfId="3" applyNumberFormat="1" applyFont="1" applyFill="1" applyBorder="1"/>
    <xf numFmtId="167" fontId="58" fillId="0" borderId="14" xfId="3" applyNumberFormat="1" applyFont="1" applyFill="1" applyBorder="1"/>
    <xf numFmtId="168" fontId="58" fillId="0" borderId="8" xfId="3" applyNumberFormat="1" applyFont="1" applyBorder="1"/>
    <xf numFmtId="167" fontId="5" fillId="0" borderId="8" xfId="3" applyNumberFormat="1" applyFont="1" applyBorder="1"/>
    <xf numFmtId="10" fontId="5" fillId="0" borderId="14" xfId="12" applyNumberFormat="1" applyFont="1" applyBorder="1"/>
    <xf numFmtId="10" fontId="58" fillId="10" borderId="0" xfId="12" applyNumberFormat="1" applyFont="1" applyFill="1" applyBorder="1" applyAlignment="1">
      <alignment vertical="center"/>
    </xf>
    <xf numFmtId="10" fontId="60" fillId="21" borderId="0" xfId="12" applyNumberFormat="1" applyFont="1" applyFill="1" applyBorder="1" applyAlignment="1">
      <alignment vertical="center"/>
    </xf>
    <xf numFmtId="167" fontId="60" fillId="0" borderId="8" xfId="3" applyNumberFormat="1" applyFont="1" applyBorder="1" applyAlignment="1">
      <alignment vertical="center"/>
    </xf>
    <xf numFmtId="10" fontId="60" fillId="0" borderId="8" xfId="12" applyNumberFormat="1" applyFont="1" applyBorder="1" applyAlignment="1">
      <alignment vertical="center"/>
    </xf>
    <xf numFmtId="10" fontId="60" fillId="0" borderId="12" xfId="12" applyNumberFormat="1" applyFont="1" applyBorder="1" applyAlignment="1">
      <alignment vertical="center"/>
    </xf>
    <xf numFmtId="167" fontId="6" fillId="4" borderId="38" xfId="3" applyNumberFormat="1" applyFont="1" applyFill="1" applyBorder="1" applyAlignment="1">
      <alignment vertical="center"/>
    </xf>
    <xf numFmtId="10" fontId="58" fillId="4" borderId="0" xfId="12" applyNumberFormat="1" applyFont="1" applyFill="1" applyBorder="1" applyAlignment="1">
      <alignment vertical="center"/>
    </xf>
    <xf numFmtId="10" fontId="6" fillId="0" borderId="0" xfId="12" applyNumberFormat="1" applyFont="1" applyFill="1" applyBorder="1" applyAlignment="1">
      <alignment vertical="center"/>
    </xf>
    <xf numFmtId="167" fontId="6" fillId="4" borderId="34" xfId="3" applyNumberFormat="1" applyFont="1" applyFill="1" applyBorder="1" applyAlignment="1">
      <alignment vertical="center"/>
    </xf>
    <xf numFmtId="10" fontId="6" fillId="4" borderId="42" xfId="12" applyNumberFormat="1" applyFont="1" applyFill="1" applyBorder="1" applyAlignment="1">
      <alignment vertical="center"/>
    </xf>
    <xf numFmtId="0" fontId="0" fillId="0" borderId="0" xfId="0" applyProtection="1"/>
    <xf numFmtId="0" fontId="38" fillId="0" borderId="0" xfId="0" applyFont="1" applyBorder="1" applyAlignment="1" applyProtection="1">
      <alignment horizontal="center" vertical="center"/>
    </xf>
    <xf numFmtId="0" fontId="4" fillId="0" borderId="0" xfId="0" applyFont="1" applyProtection="1"/>
    <xf numFmtId="0" fontId="4" fillId="0" borderId="0" xfId="0" applyFont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3" fontId="62" fillId="22" borderId="8" xfId="12" applyNumberFormat="1" applyFont="1" applyFill="1" applyBorder="1" applyAlignment="1" applyProtection="1">
      <alignment horizontal="left" vertical="center"/>
    </xf>
    <xf numFmtId="14" fontId="0" fillId="0" borderId="0" xfId="0" applyNumberFormat="1" applyProtection="1"/>
    <xf numFmtId="3" fontId="30" fillId="0" borderId="19" xfId="12" applyNumberFormat="1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3" fontId="30" fillId="3" borderId="8" xfId="12" applyNumberFormat="1" applyFont="1" applyFill="1" applyBorder="1" applyAlignment="1" applyProtection="1">
      <alignment horizontal="left" vertical="center"/>
    </xf>
    <xf numFmtId="3" fontId="29" fillId="23" borderId="8" xfId="12" applyNumberFormat="1" applyFont="1" applyFill="1" applyBorder="1" applyAlignment="1" applyProtection="1">
      <alignment horizontal="left" vertical="center" wrapText="1"/>
    </xf>
    <xf numFmtId="3" fontId="30" fillId="23" borderId="19" xfId="12" applyNumberFormat="1" applyFont="1" applyFill="1" applyBorder="1" applyAlignment="1" applyProtection="1">
      <alignment horizontal="left" vertical="center"/>
    </xf>
    <xf numFmtId="3" fontId="30" fillId="23" borderId="8" xfId="12" applyNumberFormat="1" applyFont="1" applyFill="1" applyBorder="1" applyAlignment="1" applyProtection="1">
      <alignment horizontal="left" vertical="center"/>
    </xf>
    <xf numFmtId="3" fontId="62" fillId="22" borderId="19" xfId="12" applyNumberFormat="1" applyFont="1" applyFill="1" applyBorder="1" applyAlignment="1" applyProtection="1">
      <alignment horizontal="left" vertical="center"/>
    </xf>
    <xf numFmtId="3" fontId="29" fillId="23" borderId="8" xfId="12" applyNumberFormat="1" applyFont="1" applyFill="1" applyBorder="1" applyAlignment="1" applyProtection="1">
      <alignment horizontal="left" vertical="center"/>
    </xf>
    <xf numFmtId="3" fontId="30" fillId="0" borderId="21" xfId="12" applyNumberFormat="1" applyFont="1" applyBorder="1" applyAlignment="1" applyProtection="1">
      <alignment horizontal="left" vertical="center"/>
    </xf>
    <xf numFmtId="3" fontId="30" fillId="0" borderId="8" xfId="12" applyNumberFormat="1" applyFont="1" applyFill="1" applyBorder="1" applyAlignment="1" applyProtection="1">
      <alignment horizontal="left" vertical="center"/>
    </xf>
    <xf numFmtId="3" fontId="29" fillId="23" borderId="21" xfId="12" applyNumberFormat="1" applyFont="1" applyFill="1" applyBorder="1" applyAlignment="1" applyProtection="1">
      <alignment horizontal="left" vertical="center" wrapText="1"/>
    </xf>
    <xf numFmtId="3" fontId="30" fillId="0" borderId="6" xfId="12" applyNumberFormat="1" applyFont="1" applyBorder="1" applyAlignment="1" applyProtection="1">
      <alignment horizontal="left" vertical="center"/>
    </xf>
    <xf numFmtId="3" fontId="30" fillId="0" borderId="8" xfId="12" applyNumberFormat="1" applyFont="1" applyBorder="1" applyAlignment="1" applyProtection="1">
      <alignment horizontal="left" vertical="center"/>
    </xf>
    <xf numFmtId="3" fontId="29" fillId="23" borderId="21" xfId="12" applyNumberFormat="1" applyFont="1" applyFill="1" applyBorder="1" applyAlignment="1" applyProtection="1">
      <alignment horizontal="left" vertical="center"/>
    </xf>
    <xf numFmtId="3" fontId="29" fillId="22" borderId="21" xfId="12" applyNumberFormat="1" applyFont="1" applyFill="1" applyBorder="1" applyAlignment="1" applyProtection="1">
      <alignment horizontal="left" vertical="center" wrapText="1"/>
    </xf>
    <xf numFmtId="3" fontId="63" fillId="0" borderId="8" xfId="12" applyNumberFormat="1" applyFont="1" applyBorder="1" applyAlignment="1" applyProtection="1">
      <alignment horizontal="left" vertical="center" wrapText="1"/>
    </xf>
    <xf numFmtId="3" fontId="29" fillId="24" borderId="8" xfId="12" applyNumberFormat="1" applyFont="1" applyFill="1" applyBorder="1" applyAlignment="1" applyProtection="1">
      <alignment horizontal="left" vertical="center"/>
    </xf>
    <xf numFmtId="3" fontId="29" fillId="24" borderId="6" xfId="12" applyNumberFormat="1" applyFont="1" applyFill="1" applyBorder="1" applyAlignment="1" applyProtection="1">
      <alignment horizontal="left" vertical="center"/>
    </xf>
    <xf numFmtId="3" fontId="29" fillId="23" borderId="6" xfId="12" applyNumberFormat="1" applyFont="1" applyFill="1" applyBorder="1" applyAlignment="1" applyProtection="1">
      <alignment horizontal="left" vertical="center"/>
    </xf>
    <xf numFmtId="3" fontId="29" fillId="25" borderId="6" xfId="12" applyNumberFormat="1" applyFont="1" applyFill="1" applyBorder="1" applyAlignment="1" applyProtection="1">
      <alignment horizontal="left" vertical="center"/>
    </xf>
    <xf numFmtId="3" fontId="29" fillId="25" borderId="8" xfId="12" applyNumberFormat="1" applyFont="1" applyFill="1" applyBorder="1" applyAlignment="1" applyProtection="1">
      <alignment horizontal="left" vertical="center"/>
    </xf>
    <xf numFmtId="3" fontId="64" fillId="0" borderId="8" xfId="12" applyNumberFormat="1" applyFont="1" applyBorder="1" applyAlignment="1" applyProtection="1">
      <alignment horizontal="left" vertical="center" wrapText="1"/>
    </xf>
    <xf numFmtId="3" fontId="29" fillId="24" borderId="19" xfId="12" applyNumberFormat="1" applyFont="1" applyFill="1" applyBorder="1" applyAlignment="1" applyProtection="1">
      <alignment horizontal="left" vertical="center"/>
    </xf>
    <xf numFmtId="3" fontId="29" fillId="22" borderId="8" xfId="12" applyNumberFormat="1" applyFont="1" applyFill="1" applyBorder="1" applyAlignment="1" applyProtection="1">
      <alignment horizontal="left" vertical="center"/>
    </xf>
    <xf numFmtId="3" fontId="64" fillId="0" borderId="21" xfId="12" applyNumberFormat="1" applyFont="1" applyBorder="1" applyAlignment="1" applyProtection="1">
      <alignment horizontal="left" vertical="center"/>
    </xf>
    <xf numFmtId="3" fontId="29" fillId="0" borderId="8" xfId="12" applyNumberFormat="1" applyFont="1" applyFill="1" applyBorder="1" applyAlignment="1" applyProtection="1">
      <alignment horizontal="left" vertical="center"/>
    </xf>
    <xf numFmtId="3" fontId="65" fillId="0" borderId="8" xfId="12" applyNumberFormat="1" applyFont="1" applyFill="1" applyBorder="1" applyAlignment="1" applyProtection="1">
      <alignment horizontal="left" vertical="center"/>
    </xf>
    <xf numFmtId="3" fontId="62" fillId="26" borderId="21" xfId="12" applyNumberFormat="1" applyFont="1" applyFill="1" applyBorder="1" applyAlignment="1" applyProtection="1">
      <alignment horizontal="left" vertical="center"/>
    </xf>
    <xf numFmtId="3" fontId="66" fillId="3" borderId="8" xfId="12" applyNumberFormat="1" applyFont="1" applyFill="1" applyBorder="1" applyAlignment="1" applyProtection="1">
      <alignment horizontal="left" vertical="center"/>
    </xf>
    <xf numFmtId="3" fontId="29" fillId="27" borderId="8" xfId="12" applyNumberFormat="1" applyFont="1" applyFill="1" applyBorder="1" applyAlignment="1" applyProtection="1">
      <alignment horizontal="left" vertical="center"/>
    </xf>
    <xf numFmtId="3" fontId="29" fillId="27" borderId="0" xfId="12" applyNumberFormat="1" applyFont="1" applyFill="1" applyBorder="1" applyAlignment="1" applyProtection="1">
      <alignment horizontal="left" vertical="center"/>
    </xf>
    <xf numFmtId="0" fontId="31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27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167" fontId="62" fillId="22" borderId="8" xfId="3" applyNumberFormat="1" applyFont="1" applyFill="1" applyBorder="1" applyAlignment="1" applyProtection="1">
      <alignment vertical="center"/>
      <protection locked="0"/>
    </xf>
    <xf numFmtId="167" fontId="62" fillId="22" borderId="8" xfId="1" applyNumberFormat="1" applyFont="1" applyFill="1" applyBorder="1" applyAlignment="1" applyProtection="1">
      <alignment vertical="center"/>
      <protection locked="0"/>
    </xf>
    <xf numFmtId="167" fontId="29" fillId="0" borderId="8" xfId="3" applyNumberFormat="1" applyFont="1" applyFill="1" applyBorder="1" applyAlignment="1" applyProtection="1">
      <alignment vertical="center"/>
      <protection locked="0"/>
    </xf>
    <xf numFmtId="167" fontId="29" fillId="23" borderId="8" xfId="3" applyNumberFormat="1" applyFont="1" applyFill="1" applyBorder="1" applyAlignment="1" applyProtection="1">
      <alignment vertical="center"/>
      <protection locked="0"/>
    </xf>
    <xf numFmtId="171" fontId="36" fillId="22" borderId="8" xfId="0" applyNumberFormat="1" applyFont="1" applyFill="1" applyBorder="1" applyAlignment="1" applyProtection="1">
      <alignment vertical="center"/>
      <protection locked="0"/>
    </xf>
    <xf numFmtId="167" fontId="37" fillId="23" borderId="8" xfId="3" applyNumberFormat="1" applyFont="1" applyFill="1" applyBorder="1" applyAlignment="1" applyProtection="1">
      <alignment vertical="center"/>
      <protection locked="0"/>
    </xf>
    <xf numFmtId="171" fontId="29" fillId="22" borderId="8" xfId="0" applyNumberFormat="1" applyFont="1" applyFill="1" applyBorder="1" applyAlignment="1" applyProtection="1">
      <alignment vertical="center"/>
      <protection locked="0"/>
    </xf>
    <xf numFmtId="167" fontId="63" fillId="0" borderId="8" xfId="3" applyNumberFormat="1" applyFont="1" applyFill="1" applyBorder="1" applyAlignment="1" applyProtection="1">
      <alignment vertical="center"/>
      <protection locked="0"/>
    </xf>
    <xf numFmtId="167" fontId="29" fillId="24" borderId="8" xfId="1" applyNumberFormat="1" applyFont="1" applyFill="1" applyBorder="1" applyAlignment="1" applyProtection="1">
      <alignment vertical="center"/>
      <protection locked="0"/>
    </xf>
    <xf numFmtId="10" fontId="29" fillId="24" borderId="8" xfId="14" applyNumberFormat="1" applyFont="1" applyFill="1" applyBorder="1" applyAlignment="1" applyProtection="1">
      <alignment vertical="center"/>
      <protection locked="0"/>
    </xf>
    <xf numFmtId="167" fontId="29" fillId="24" borderId="8" xfId="3" applyNumberFormat="1" applyFont="1" applyFill="1" applyBorder="1" applyAlignment="1" applyProtection="1">
      <protection locked="0"/>
    </xf>
    <xf numFmtId="167" fontId="29" fillId="24" borderId="8" xfId="3" applyNumberFormat="1" applyFont="1" applyFill="1" applyBorder="1" applyAlignment="1" applyProtection="1">
      <alignment vertical="center"/>
      <protection locked="0"/>
    </xf>
    <xf numFmtId="167" fontId="29" fillId="23" borderId="6" xfId="3" applyNumberFormat="1" applyFont="1" applyFill="1" applyBorder="1" applyAlignment="1" applyProtection="1">
      <alignment vertical="center"/>
      <protection locked="0"/>
    </xf>
    <xf numFmtId="167" fontId="64" fillId="0" borderId="8" xfId="3" applyNumberFormat="1" applyFont="1" applyFill="1" applyBorder="1" applyAlignment="1" applyProtection="1">
      <alignment vertical="center"/>
      <protection locked="0"/>
    </xf>
    <xf numFmtId="167" fontId="29" fillId="24" borderId="19" xfId="3" applyNumberFormat="1" applyFont="1" applyFill="1" applyBorder="1" applyAlignment="1" applyProtection="1">
      <alignment vertical="center"/>
      <protection locked="0"/>
    </xf>
    <xf numFmtId="167" fontId="29" fillId="22" borderId="17" xfId="3" applyNumberFormat="1" applyFont="1" applyFill="1" applyBorder="1" applyAlignment="1" applyProtection="1">
      <alignment vertical="center"/>
      <protection locked="0"/>
    </xf>
    <xf numFmtId="167" fontId="29" fillId="0" borderId="8" xfId="3" applyNumberFormat="1" applyFont="1" applyFill="1" applyBorder="1" applyProtection="1">
      <protection locked="0"/>
    </xf>
    <xf numFmtId="167" fontId="65" fillId="0" borderId="8" xfId="3" applyNumberFormat="1" applyFont="1" applyFill="1" applyBorder="1" applyAlignment="1" applyProtection="1">
      <alignment vertical="center"/>
      <protection locked="0"/>
    </xf>
    <xf numFmtId="171" fontId="62" fillId="22" borderId="8" xfId="3" applyNumberFormat="1" applyFont="1" applyFill="1" applyBorder="1" applyAlignment="1" applyProtection="1">
      <alignment vertical="center"/>
      <protection locked="0"/>
    </xf>
    <xf numFmtId="167" fontId="67" fillId="0" borderId="8" xfId="3" applyNumberFormat="1" applyFont="1" applyFill="1" applyBorder="1" applyAlignment="1" applyProtection="1">
      <alignment vertical="center"/>
      <protection locked="0"/>
    </xf>
    <xf numFmtId="171" fontId="29" fillId="25" borderId="8" xfId="3" applyNumberFormat="1" applyFont="1" applyFill="1" applyBorder="1" applyAlignment="1" applyProtection="1">
      <alignment vertical="center"/>
      <protection locked="0"/>
    </xf>
    <xf numFmtId="167" fontId="62" fillId="22" borderId="8" xfId="1" applyNumberFormat="1" applyFont="1" applyFill="1" applyBorder="1" applyAlignment="1" applyProtection="1">
      <alignment vertical="center"/>
    </xf>
    <xf numFmtId="171" fontId="29" fillId="0" borderId="8" xfId="0" applyNumberFormat="1" applyFont="1" applyFill="1" applyBorder="1" applyAlignment="1" applyProtection="1">
      <alignment vertical="center"/>
    </xf>
    <xf numFmtId="167" fontId="29" fillId="23" borderId="8" xfId="1" applyNumberFormat="1" applyFont="1" applyFill="1" applyBorder="1" applyAlignment="1" applyProtection="1">
      <alignment vertical="center"/>
    </xf>
    <xf numFmtId="171" fontId="29" fillId="23" borderId="8" xfId="0" applyNumberFormat="1" applyFont="1" applyFill="1" applyBorder="1" applyAlignment="1" applyProtection="1">
      <alignment vertical="center"/>
    </xf>
    <xf numFmtId="171" fontId="36" fillId="22" borderId="8" xfId="0" applyNumberFormat="1" applyFont="1" applyFill="1" applyBorder="1" applyAlignment="1" applyProtection="1">
      <alignment vertical="center"/>
    </xf>
    <xf numFmtId="44" fontId="29" fillId="0" borderId="8" xfId="0" applyNumberFormat="1" applyFont="1" applyFill="1" applyBorder="1" applyAlignment="1" applyProtection="1">
      <alignment vertical="center"/>
    </xf>
    <xf numFmtId="167" fontId="37" fillId="23" borderId="8" xfId="1" applyNumberFormat="1" applyFont="1" applyFill="1" applyBorder="1" applyAlignment="1" applyProtection="1">
      <alignment vertical="center"/>
    </xf>
    <xf numFmtId="167" fontId="29" fillId="23" borderId="8" xfId="3" applyNumberFormat="1" applyFont="1" applyFill="1" applyBorder="1" applyAlignment="1" applyProtection="1">
      <alignment vertical="center"/>
    </xf>
    <xf numFmtId="171" fontId="29" fillId="22" borderId="8" xfId="0" applyNumberFormat="1" applyFont="1" applyFill="1" applyBorder="1" applyAlignment="1" applyProtection="1">
      <alignment vertical="center"/>
    </xf>
    <xf numFmtId="171" fontId="63" fillId="0" borderId="8" xfId="0" applyNumberFormat="1" applyFont="1" applyFill="1" applyBorder="1" applyAlignment="1" applyProtection="1">
      <alignment vertical="center"/>
    </xf>
    <xf numFmtId="167" fontId="29" fillId="24" borderId="8" xfId="1" applyNumberFormat="1" applyFont="1" applyFill="1" applyBorder="1" applyAlignment="1" applyProtection="1">
      <alignment vertical="center"/>
    </xf>
    <xf numFmtId="10" fontId="29" fillId="24" borderId="8" xfId="14" applyNumberFormat="1" applyFont="1" applyFill="1" applyBorder="1" applyAlignment="1" applyProtection="1">
      <alignment vertical="center"/>
    </xf>
    <xf numFmtId="167" fontId="29" fillId="0" borderId="8" xfId="1" applyNumberFormat="1" applyFont="1" applyFill="1" applyBorder="1" applyAlignment="1" applyProtection="1">
      <alignment vertical="center"/>
    </xf>
    <xf numFmtId="167" fontId="29" fillId="23" borderId="28" xfId="0" applyNumberFormat="1" applyFont="1" applyFill="1" applyBorder="1" applyAlignment="1" applyProtection="1">
      <alignment vertical="center"/>
    </xf>
    <xf numFmtId="171" fontId="29" fillId="24" borderId="8" xfId="0" applyNumberFormat="1" applyFont="1" applyFill="1" applyBorder="1" applyAlignment="1" applyProtection="1">
      <alignment vertical="center"/>
    </xf>
    <xf numFmtId="171" fontId="64" fillId="0" borderId="8" xfId="0" applyNumberFormat="1" applyFont="1" applyFill="1" applyBorder="1" applyAlignment="1" applyProtection="1">
      <alignment vertical="center"/>
    </xf>
    <xf numFmtId="167" fontId="29" fillId="22" borderId="17" xfId="1" applyNumberFormat="1" applyFont="1" applyFill="1" applyBorder="1" applyAlignment="1" applyProtection="1">
      <alignment vertical="center"/>
    </xf>
    <xf numFmtId="167" fontId="29" fillId="0" borderId="8" xfId="3" applyNumberFormat="1" applyFont="1" applyFill="1" applyBorder="1" applyAlignment="1" applyProtection="1">
      <alignment vertical="center"/>
    </xf>
    <xf numFmtId="171" fontId="65" fillId="0" borderId="8" xfId="0" applyNumberFormat="1" applyFont="1" applyFill="1" applyBorder="1" applyAlignment="1" applyProtection="1">
      <alignment vertical="center"/>
    </xf>
    <xf numFmtId="167" fontId="67" fillId="0" borderId="8" xfId="3" applyNumberFormat="1" applyFont="1" applyFill="1" applyBorder="1" applyAlignment="1" applyProtection="1">
      <alignment vertical="center"/>
    </xf>
    <xf numFmtId="171" fontId="62" fillId="22" borderId="8" xfId="0" applyNumberFormat="1" applyFont="1" applyFill="1" applyBorder="1" applyAlignment="1" applyProtection="1">
      <alignment vertical="center"/>
    </xf>
    <xf numFmtId="167" fontId="29" fillId="25" borderId="8" xfId="1" applyNumberFormat="1" applyFont="1" applyFill="1" applyBorder="1" applyAlignment="1" applyProtection="1">
      <alignment vertical="center"/>
    </xf>
    <xf numFmtId="10" fontId="62" fillId="22" borderId="8" xfId="0" applyNumberFormat="1" applyFont="1" applyFill="1" applyBorder="1" applyAlignment="1" applyProtection="1">
      <alignment vertical="center"/>
    </xf>
    <xf numFmtId="10" fontId="29" fillId="0" borderId="8" xfId="0" applyNumberFormat="1" applyFont="1" applyFill="1" applyBorder="1" applyAlignment="1" applyProtection="1">
      <alignment vertical="center"/>
    </xf>
    <xf numFmtId="10" fontId="29" fillId="23" borderId="8" xfId="0" applyNumberFormat="1" applyFont="1" applyFill="1" applyBorder="1" applyAlignment="1" applyProtection="1">
      <alignment vertical="center"/>
    </xf>
    <xf numFmtId="10" fontId="36" fillId="22" borderId="8" xfId="0" applyNumberFormat="1" applyFont="1" applyFill="1" applyBorder="1" applyAlignment="1" applyProtection="1">
      <alignment vertical="center"/>
    </xf>
    <xf numFmtId="10" fontId="29" fillId="22" borderId="8" xfId="0" applyNumberFormat="1" applyFont="1" applyFill="1" applyBorder="1" applyAlignment="1" applyProtection="1">
      <alignment vertical="center"/>
    </xf>
    <xf numFmtId="10" fontId="63" fillId="0" borderId="8" xfId="0" applyNumberFormat="1" applyFont="1" applyFill="1" applyBorder="1" applyAlignment="1" applyProtection="1">
      <alignment vertical="center"/>
    </xf>
    <xf numFmtId="10" fontId="29" fillId="24" borderId="8" xfId="0" applyNumberFormat="1" applyFont="1" applyFill="1" applyBorder="1" applyAlignment="1" applyProtection="1">
      <alignment vertical="center"/>
    </xf>
    <xf numFmtId="10" fontId="64" fillId="0" borderId="8" xfId="0" applyNumberFormat="1" applyFont="1" applyFill="1" applyBorder="1" applyAlignment="1" applyProtection="1">
      <alignment vertical="center"/>
    </xf>
    <xf numFmtId="10" fontId="65" fillId="0" borderId="8" xfId="0" applyNumberFormat="1" applyFont="1" applyFill="1" applyBorder="1" applyAlignment="1" applyProtection="1">
      <alignment vertical="center"/>
    </xf>
    <xf numFmtId="10" fontId="67" fillId="0" borderId="8" xfId="12" applyNumberFormat="1" applyFont="1" applyFill="1" applyBorder="1" applyAlignment="1" applyProtection="1">
      <alignment vertical="center"/>
    </xf>
    <xf numFmtId="10" fontId="37" fillId="25" borderId="8" xfId="0" applyNumberFormat="1" applyFont="1" applyFill="1" applyBorder="1" applyAlignment="1" applyProtection="1">
      <alignment vertical="center"/>
    </xf>
    <xf numFmtId="10" fontId="67" fillId="0" borderId="8" xfId="0" applyNumberFormat="1" applyFont="1" applyFill="1" applyBorder="1" applyAlignment="1" applyProtection="1">
      <alignment vertical="center"/>
    </xf>
    <xf numFmtId="10" fontId="29" fillId="25" borderId="8" xfId="0" applyNumberFormat="1" applyFont="1" applyFill="1" applyBorder="1" applyAlignment="1" applyProtection="1">
      <alignment vertical="center"/>
    </xf>
    <xf numFmtId="42" fontId="29" fillId="0" borderId="8" xfId="10" applyNumberFormat="1" applyFont="1" applyFill="1" applyBorder="1" applyAlignment="1" applyProtection="1">
      <alignment horizontal="right" vertical="center"/>
    </xf>
    <xf numFmtId="10" fontId="29" fillId="23" borderId="8" xfId="14" applyNumberFormat="1" applyFont="1" applyFill="1" applyBorder="1" applyAlignment="1" applyProtection="1">
      <alignment vertical="center"/>
    </xf>
    <xf numFmtId="10" fontId="62" fillId="22" borderId="8" xfId="14" applyNumberFormat="1" applyFont="1" applyFill="1" applyBorder="1" applyAlignment="1" applyProtection="1">
      <alignment vertical="center"/>
    </xf>
    <xf numFmtId="10" fontId="29" fillId="0" borderId="8" xfId="14" applyNumberFormat="1" applyFont="1" applyFill="1" applyBorder="1" applyAlignment="1" applyProtection="1">
      <alignment vertical="center"/>
    </xf>
    <xf numFmtId="10" fontId="37" fillId="23" borderId="8" xfId="14" applyNumberFormat="1" applyFont="1" applyFill="1" applyBorder="1" applyAlignment="1" applyProtection="1">
      <alignment vertical="center"/>
    </xf>
    <xf numFmtId="10" fontId="29" fillId="22" borderId="8" xfId="14" applyNumberFormat="1" applyFont="1" applyFill="1" applyBorder="1" applyAlignment="1" applyProtection="1">
      <alignment vertical="center"/>
    </xf>
    <xf numFmtId="10" fontId="63" fillId="0" borderId="8" xfId="14" applyNumberFormat="1" applyFont="1" applyFill="1" applyBorder="1" applyAlignment="1" applyProtection="1">
      <alignment vertical="center"/>
    </xf>
    <xf numFmtId="10" fontId="29" fillId="24" borderId="8" xfId="14" applyNumberFormat="1" applyFont="1" applyFill="1" applyBorder="1" applyAlignment="1" applyProtection="1"/>
    <xf numFmtId="44" fontId="29" fillId="23" borderId="6" xfId="0" applyNumberFormat="1" applyFont="1" applyFill="1" applyBorder="1" applyAlignment="1" applyProtection="1">
      <alignment vertical="center"/>
    </xf>
    <xf numFmtId="10" fontId="29" fillId="23" borderId="6" xfId="14" applyNumberFormat="1" applyFont="1" applyFill="1" applyBorder="1" applyAlignment="1" applyProtection="1">
      <alignment vertical="center"/>
    </xf>
    <xf numFmtId="10" fontId="64" fillId="0" borderId="8" xfId="14" applyNumberFormat="1" applyFont="1" applyFill="1" applyBorder="1" applyAlignment="1" applyProtection="1">
      <alignment vertical="center"/>
    </xf>
    <xf numFmtId="10" fontId="65" fillId="0" borderId="8" xfId="14" applyNumberFormat="1" applyFont="1" applyFill="1" applyBorder="1" applyAlignment="1" applyProtection="1">
      <alignment vertical="center"/>
    </xf>
    <xf numFmtId="10" fontId="29" fillId="25" borderId="8" xfId="14" applyNumberFormat="1" applyFont="1" applyFill="1" applyBorder="1" applyAlignment="1" applyProtection="1">
      <alignment vertical="center"/>
    </xf>
    <xf numFmtId="0" fontId="0" fillId="0" borderId="0" xfId="0" applyAlignment="1" applyProtection="1">
      <alignment horizontal="right" vertical="center"/>
    </xf>
    <xf numFmtId="0" fontId="38" fillId="0" borderId="16" xfId="0" applyFont="1" applyBorder="1" applyAlignment="1" applyProtection="1">
      <alignment horizontal="center" vertical="center"/>
    </xf>
    <xf numFmtId="0" fontId="38" fillId="0" borderId="43" xfId="0" applyFont="1" applyBorder="1" applyAlignment="1" applyProtection="1">
      <alignment horizontal="center" vertical="center"/>
    </xf>
    <xf numFmtId="10" fontId="38" fillId="0" borderId="43" xfId="14" applyNumberFormat="1" applyFont="1" applyBorder="1" applyAlignment="1" applyProtection="1">
      <alignment horizontal="center" vertical="center"/>
    </xf>
    <xf numFmtId="0" fontId="38" fillId="0" borderId="44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30" fillId="0" borderId="19" xfId="0" applyFont="1" applyBorder="1" applyAlignment="1" applyProtection="1">
      <alignment horizontal="center" vertical="center"/>
    </xf>
    <xf numFmtId="0" fontId="29" fillId="25" borderId="19" xfId="0" applyFont="1" applyFill="1" applyBorder="1" applyAlignment="1" applyProtection="1">
      <alignment horizontal="center" vertical="center"/>
    </xf>
    <xf numFmtId="0" fontId="31" fillId="0" borderId="0" xfId="0" applyFont="1" applyProtection="1"/>
    <xf numFmtId="0" fontId="30" fillId="0" borderId="0" xfId="0" applyFont="1" applyAlignment="1" applyProtection="1">
      <alignment horizontal="center" vertical="center"/>
    </xf>
    <xf numFmtId="0" fontId="29" fillId="25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vertical="center"/>
    </xf>
    <xf numFmtId="14" fontId="29" fillId="28" borderId="17" xfId="0" applyNumberFormat="1" applyFont="1" applyFill="1" applyBorder="1" applyAlignment="1" applyProtection="1">
      <alignment horizontal="center" vertical="center" wrapText="1"/>
    </xf>
    <xf numFmtId="10" fontId="29" fillId="28" borderId="8" xfId="14" applyNumberFormat="1" applyFont="1" applyFill="1" applyBorder="1" applyAlignment="1" applyProtection="1">
      <alignment horizontal="center" vertical="center" wrapText="1"/>
    </xf>
    <xf numFmtId="0" fontId="29" fillId="29" borderId="8" xfId="0" applyFont="1" applyFill="1" applyBorder="1" applyAlignment="1" applyProtection="1">
      <alignment horizontal="center" vertical="center" wrapText="1"/>
    </xf>
    <xf numFmtId="0" fontId="29" fillId="29" borderId="9" xfId="0" applyFont="1" applyFill="1" applyBorder="1" applyAlignment="1" applyProtection="1">
      <alignment horizontal="center" vertical="center" wrapText="1"/>
    </xf>
    <xf numFmtId="0" fontId="31" fillId="0" borderId="0" xfId="0" applyFont="1" applyAlignment="1" applyProtection="1">
      <alignment vertical="center"/>
    </xf>
    <xf numFmtId="17" fontId="29" fillId="24" borderId="17" xfId="12" applyNumberFormat="1" applyFont="1" applyFill="1" applyBorder="1" applyAlignment="1" applyProtection="1">
      <alignment horizontal="right" vertical="center"/>
    </xf>
    <xf numFmtId="14" fontId="29" fillId="28" borderId="8" xfId="0" applyNumberFormat="1" applyFont="1" applyFill="1" applyBorder="1" applyAlignment="1" applyProtection="1">
      <alignment horizontal="center" vertical="center" wrapText="1"/>
    </xf>
    <xf numFmtId="14" fontId="29" fillId="28" borderId="9" xfId="0" applyNumberFormat="1" applyFont="1" applyFill="1" applyBorder="1" applyAlignment="1" applyProtection="1">
      <alignment horizontal="center" vertical="center" wrapText="1"/>
    </xf>
    <xf numFmtId="10" fontId="4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right" vertical="center"/>
    </xf>
    <xf numFmtId="0" fontId="62" fillId="0" borderId="0" xfId="0" applyFont="1" applyAlignment="1" applyProtection="1">
      <alignment vertical="center"/>
    </xf>
    <xf numFmtId="0" fontId="68" fillId="25" borderId="0" xfId="0" applyFont="1" applyFill="1" applyBorder="1" applyAlignment="1" applyProtection="1">
      <alignment vertical="center"/>
    </xf>
    <xf numFmtId="9" fontId="62" fillId="22" borderId="8" xfId="12" applyNumberFormat="1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vertical="center"/>
    </xf>
    <xf numFmtId="3" fontId="62" fillId="0" borderId="4" xfId="12" applyNumberFormat="1" applyFont="1" applyFill="1" applyBorder="1" applyAlignment="1" applyProtection="1">
      <alignment horizontal="left" vertical="center"/>
    </xf>
    <xf numFmtId="168" fontId="62" fillId="0" borderId="8" xfId="0" applyNumberFormat="1" applyFont="1" applyFill="1" applyBorder="1" applyProtection="1"/>
    <xf numFmtId="9" fontId="62" fillId="0" borderId="9" xfId="0" applyNumberFormat="1" applyFont="1" applyFill="1" applyBorder="1" applyProtection="1"/>
    <xf numFmtId="10" fontId="4" fillId="0" borderId="0" xfId="14" applyNumberFormat="1" applyFont="1" applyAlignment="1" applyProtection="1">
      <alignment vertical="center"/>
    </xf>
    <xf numFmtId="0" fontId="7" fillId="0" borderId="0" xfId="0" applyFont="1" applyProtection="1"/>
    <xf numFmtId="0" fontId="30" fillId="0" borderId="0" xfId="0" applyFont="1" applyProtection="1"/>
    <xf numFmtId="0" fontId="32" fillId="25" borderId="0" xfId="0" applyFont="1" applyFill="1" applyBorder="1" applyProtection="1"/>
    <xf numFmtId="10" fontId="29" fillId="0" borderId="8" xfId="12" applyNumberFormat="1" applyFont="1" applyFill="1" applyBorder="1" applyAlignment="1" applyProtection="1">
      <alignment vertical="center"/>
    </xf>
    <xf numFmtId="167" fontId="29" fillId="0" borderId="8" xfId="0" applyNumberFormat="1" applyFont="1" applyFill="1" applyBorder="1" applyAlignment="1" applyProtection="1">
      <alignment vertical="center"/>
    </xf>
    <xf numFmtId="0" fontId="31" fillId="0" borderId="0" xfId="0" applyFont="1" applyFill="1" applyProtection="1"/>
    <xf numFmtId="3" fontId="30" fillId="0" borderId="13" xfId="12" applyNumberFormat="1" applyFont="1" applyFill="1" applyBorder="1" applyAlignment="1" applyProtection="1">
      <alignment horizontal="left"/>
    </xf>
    <xf numFmtId="168" fontId="30" fillId="0" borderId="8" xfId="1" applyNumberFormat="1" applyFont="1" applyFill="1" applyBorder="1" applyProtection="1"/>
    <xf numFmtId="10" fontId="30" fillId="0" borderId="8" xfId="0" applyNumberFormat="1" applyFont="1" applyFill="1" applyBorder="1" applyProtection="1"/>
    <xf numFmtId="168" fontId="31" fillId="0" borderId="0" xfId="0" applyNumberFormat="1" applyFont="1" applyFill="1" applyProtection="1"/>
    <xf numFmtId="10" fontId="5" fillId="0" borderId="0" xfId="0" applyNumberFormat="1" applyFont="1" applyProtection="1"/>
    <xf numFmtId="3" fontId="30" fillId="0" borderId="4" xfId="12" applyNumberFormat="1" applyFont="1" applyFill="1" applyBorder="1" applyAlignment="1" applyProtection="1">
      <alignment horizontal="left"/>
    </xf>
    <xf numFmtId="0" fontId="5" fillId="0" borderId="0" xfId="0" applyFont="1" applyProtection="1"/>
    <xf numFmtId="0" fontId="4" fillId="0" borderId="0" xfId="0" applyFont="1" applyAlignment="1" applyProtection="1">
      <alignment horizontal="right" vertical="center"/>
    </xf>
    <xf numFmtId="0" fontId="29" fillId="0" borderId="0" xfId="0" applyFont="1" applyAlignment="1" applyProtection="1">
      <alignment vertical="center"/>
    </xf>
    <xf numFmtId="0" fontId="32" fillId="25" borderId="0" xfId="0" applyFont="1" applyFill="1" applyBorder="1" applyAlignment="1" applyProtection="1">
      <alignment vertical="center"/>
    </xf>
    <xf numFmtId="10" fontId="29" fillId="23" borderId="8" xfId="12" applyNumberFormat="1" applyFont="1" applyFill="1" applyBorder="1" applyAlignment="1" applyProtection="1">
      <alignment vertical="center"/>
    </xf>
    <xf numFmtId="0" fontId="31" fillId="0" borderId="0" xfId="0" applyFont="1" applyFill="1" applyAlignment="1" applyProtection="1">
      <alignment vertical="center"/>
    </xf>
    <xf numFmtId="3" fontId="29" fillId="0" borderId="4" xfId="12" applyNumberFormat="1" applyFont="1" applyFill="1" applyBorder="1" applyAlignment="1" applyProtection="1">
      <alignment horizontal="left" vertical="center" wrapText="1"/>
    </xf>
    <xf numFmtId="168" fontId="29" fillId="0" borderId="8" xfId="1" applyNumberFormat="1" applyFont="1" applyFill="1" applyBorder="1" applyAlignment="1" applyProtection="1">
      <alignment vertical="center"/>
    </xf>
    <xf numFmtId="10" fontId="29" fillId="0" borderId="9" xfId="0" applyNumberFormat="1" applyFont="1" applyFill="1" applyBorder="1" applyAlignment="1" applyProtection="1">
      <alignment vertical="center"/>
    </xf>
    <xf numFmtId="170" fontId="5" fillId="0" borderId="0" xfId="0" applyNumberFormat="1" applyFont="1" applyAlignment="1" applyProtection="1">
      <alignment vertical="center"/>
    </xf>
    <xf numFmtId="3" fontId="29" fillId="23" borderId="19" xfId="12" applyNumberFormat="1" applyFont="1" applyFill="1" applyBorder="1" applyAlignment="1" applyProtection="1">
      <alignment horizontal="left" vertical="center"/>
    </xf>
    <xf numFmtId="167" fontId="29" fillId="23" borderId="8" xfId="0" applyNumberFormat="1" applyFont="1" applyFill="1" applyBorder="1" applyAlignment="1" applyProtection="1">
      <alignment vertical="center"/>
    </xf>
    <xf numFmtId="170" fontId="5" fillId="0" borderId="0" xfId="0" applyNumberFormat="1" applyFont="1" applyProtection="1"/>
    <xf numFmtId="0" fontId="29" fillId="0" borderId="0" xfId="0" applyFont="1" applyProtection="1"/>
    <xf numFmtId="0" fontId="33" fillId="25" borderId="0" xfId="0" applyFont="1" applyFill="1" applyBorder="1" applyProtection="1"/>
    <xf numFmtId="3" fontId="29" fillId="0" borderId="4" xfId="12" applyNumberFormat="1" applyFont="1" applyFill="1" applyBorder="1" applyAlignment="1" applyProtection="1">
      <alignment horizontal="left"/>
    </xf>
    <xf numFmtId="3" fontId="62" fillId="22" borderId="19" xfId="12" applyNumberFormat="1" applyFont="1" applyFill="1" applyBorder="1" applyAlignment="1" applyProtection="1">
      <alignment horizontal="left" vertical="center" wrapText="1"/>
    </xf>
    <xf numFmtId="0" fontId="35" fillId="25" borderId="0" xfId="0" applyFont="1" applyFill="1" applyProtection="1"/>
    <xf numFmtId="10" fontId="36" fillId="22" borderId="8" xfId="12" applyNumberFormat="1" applyFont="1" applyFill="1" applyBorder="1" applyAlignment="1" applyProtection="1">
      <alignment vertical="center"/>
    </xf>
    <xf numFmtId="3" fontId="34" fillId="0" borderId="13" xfId="12" applyNumberFormat="1" applyFont="1" applyFill="1" applyBorder="1" applyAlignment="1" applyProtection="1">
      <alignment horizontal="left" vertical="center"/>
    </xf>
    <xf numFmtId="168" fontId="30" fillId="0" borderId="8" xfId="1" applyNumberFormat="1" applyFont="1" applyFill="1" applyBorder="1" applyAlignment="1" applyProtection="1">
      <alignment vertical="center"/>
    </xf>
    <xf numFmtId="10" fontId="30" fillId="0" borderId="9" xfId="0" applyNumberFormat="1" applyFont="1" applyFill="1" applyBorder="1" applyAlignment="1" applyProtection="1">
      <alignment vertical="center"/>
    </xf>
    <xf numFmtId="168" fontId="31" fillId="0" borderId="0" xfId="0" applyNumberFormat="1" applyFont="1" applyFill="1" applyAlignment="1" applyProtection="1">
      <alignment vertical="center"/>
    </xf>
    <xf numFmtId="0" fontId="30" fillId="25" borderId="0" xfId="0" applyFont="1" applyFill="1" applyProtection="1"/>
    <xf numFmtId="3" fontId="29" fillId="0" borderId="4" xfId="12" applyNumberFormat="1" applyFont="1" applyFill="1" applyBorder="1" applyAlignment="1" applyProtection="1">
      <alignment horizontal="left" vertical="center"/>
    </xf>
    <xf numFmtId="3" fontId="30" fillId="0" borderId="26" xfId="12" applyNumberFormat="1" applyFont="1" applyFill="1" applyBorder="1" applyAlignment="1" applyProtection="1">
      <alignment horizontal="left"/>
    </xf>
    <xf numFmtId="0" fontId="34" fillId="25" borderId="0" xfId="0" applyFont="1" applyFill="1" applyAlignment="1" applyProtection="1"/>
    <xf numFmtId="3" fontId="29" fillId="0" borderId="26" xfId="12" applyNumberFormat="1" applyFont="1" applyFill="1" applyBorder="1" applyAlignment="1" applyProtection="1">
      <alignment horizontal="left"/>
    </xf>
    <xf numFmtId="171" fontId="0" fillId="0" borderId="0" xfId="0" applyNumberFormat="1" applyProtection="1"/>
    <xf numFmtId="3" fontId="30" fillId="0" borderId="4" xfId="12" applyNumberFormat="1" applyFont="1" applyFill="1" applyBorder="1" applyAlignment="1" applyProtection="1">
      <alignment horizontal="left" vertical="center"/>
    </xf>
    <xf numFmtId="3" fontId="29" fillId="0" borderId="26" xfId="12" applyNumberFormat="1" applyFont="1" applyFill="1" applyBorder="1" applyAlignment="1" applyProtection="1">
      <alignment horizontal="left" vertical="center" wrapText="1"/>
    </xf>
    <xf numFmtId="167" fontId="29" fillId="0" borderId="23" xfId="1" applyNumberFormat="1" applyFont="1" applyFill="1" applyBorder="1" applyAlignment="1" applyProtection="1">
      <alignment vertical="center"/>
    </xf>
    <xf numFmtId="0" fontId="30" fillId="0" borderId="8" xfId="0" applyFont="1" applyBorder="1" applyAlignment="1" applyProtection="1">
      <alignment vertical="center"/>
    </xf>
    <xf numFmtId="167" fontId="5" fillId="0" borderId="0" xfId="0" applyNumberFormat="1" applyFont="1" applyProtection="1"/>
    <xf numFmtId="3" fontId="30" fillId="0" borderId="26" xfId="12" applyNumberFormat="1" applyFont="1" applyFill="1" applyBorder="1" applyAlignment="1" applyProtection="1">
      <alignment horizontal="left" vertical="center"/>
    </xf>
    <xf numFmtId="10" fontId="30" fillId="0" borderId="8" xfId="0" applyNumberFormat="1" applyFont="1" applyFill="1" applyBorder="1" applyAlignment="1" applyProtection="1">
      <alignment vertical="center"/>
    </xf>
    <xf numFmtId="10" fontId="29" fillId="22" borderId="8" xfId="12" applyNumberFormat="1" applyFont="1" applyFill="1" applyBorder="1" applyAlignment="1" applyProtection="1">
      <alignment vertical="center"/>
    </xf>
    <xf numFmtId="0" fontId="39" fillId="0" borderId="0" xfId="0" applyFont="1" applyFill="1" applyAlignment="1" applyProtection="1">
      <alignment vertical="center"/>
    </xf>
    <xf numFmtId="3" fontId="29" fillId="0" borderId="26" xfId="12" applyNumberFormat="1" applyFont="1" applyFill="1" applyBorder="1" applyAlignment="1" applyProtection="1">
      <alignment horizontal="left" vertical="center"/>
    </xf>
    <xf numFmtId="168" fontId="39" fillId="0" borderId="0" xfId="0" applyNumberFormat="1" applyFont="1" applyFill="1" applyAlignment="1" applyProtection="1">
      <alignment vertical="center"/>
    </xf>
    <xf numFmtId="9" fontId="0" fillId="0" borderId="0" xfId="14" applyFont="1" applyProtection="1"/>
    <xf numFmtId="0" fontId="53" fillId="0" borderId="0" xfId="0" applyFont="1" applyAlignment="1" applyProtection="1">
      <alignment vertical="center"/>
    </xf>
    <xf numFmtId="0" fontId="53" fillId="0" borderId="0" xfId="0" applyFont="1" applyAlignment="1" applyProtection="1">
      <alignment horizontal="right" vertical="center"/>
    </xf>
    <xf numFmtId="0" fontId="70" fillId="0" borderId="0" xfId="0" applyFont="1" applyAlignment="1" applyProtection="1">
      <alignment vertical="center"/>
    </xf>
    <xf numFmtId="0" fontId="70" fillId="25" borderId="0" xfId="0" applyFont="1" applyFill="1" applyProtection="1"/>
    <xf numFmtId="10" fontId="63" fillId="0" borderId="8" xfId="12" applyNumberFormat="1" applyFont="1" applyFill="1" applyBorder="1" applyAlignment="1" applyProtection="1">
      <alignment vertical="center"/>
    </xf>
    <xf numFmtId="167" fontId="63" fillId="0" borderId="8" xfId="0" applyNumberFormat="1" applyFont="1" applyFill="1" applyBorder="1" applyAlignment="1" applyProtection="1">
      <alignment vertical="center"/>
    </xf>
    <xf numFmtId="0" fontId="71" fillId="0" borderId="0" xfId="0" applyFont="1" applyFill="1" applyAlignment="1" applyProtection="1">
      <alignment vertical="center"/>
    </xf>
    <xf numFmtId="3" fontId="63" fillId="0" borderId="4" xfId="12" applyNumberFormat="1" applyFont="1" applyFill="1" applyBorder="1" applyAlignment="1" applyProtection="1">
      <alignment horizontal="left" vertical="center" wrapText="1"/>
    </xf>
    <xf numFmtId="168" fontId="66" fillId="0" borderId="8" xfId="1" applyNumberFormat="1" applyFont="1" applyFill="1" applyBorder="1" applyProtection="1"/>
    <xf numFmtId="10" fontId="66" fillId="0" borderId="8" xfId="0" applyNumberFormat="1" applyFont="1" applyFill="1" applyBorder="1" applyAlignment="1" applyProtection="1">
      <alignment vertical="center"/>
    </xf>
    <xf numFmtId="168" fontId="66" fillId="0" borderId="8" xfId="1" applyNumberFormat="1" applyFont="1" applyFill="1" applyBorder="1" applyAlignment="1" applyProtection="1">
      <alignment vertical="center"/>
    </xf>
    <xf numFmtId="168" fontId="71" fillId="0" borderId="0" xfId="0" applyNumberFormat="1" applyFont="1" applyFill="1" applyProtection="1"/>
    <xf numFmtId="0" fontId="0" fillId="25" borderId="0" xfId="0" applyFill="1" applyProtection="1"/>
    <xf numFmtId="10" fontId="29" fillId="24" borderId="8" xfId="12" applyNumberFormat="1" applyFont="1" applyFill="1" applyBorder="1" applyAlignment="1" applyProtection="1">
      <alignment vertical="center"/>
    </xf>
    <xf numFmtId="10" fontId="29" fillId="24" borderId="8" xfId="12" applyNumberFormat="1" applyFont="1" applyFill="1" applyBorder="1" applyAlignment="1" applyProtection="1"/>
    <xf numFmtId="167" fontId="29" fillId="24" borderId="8" xfId="1" applyNumberFormat="1" applyFont="1" applyFill="1" applyBorder="1" applyAlignment="1" applyProtection="1"/>
    <xf numFmtId="3" fontId="29" fillId="0" borderId="45" xfId="12" applyNumberFormat="1" applyFont="1" applyFill="1" applyBorder="1" applyAlignment="1" applyProtection="1">
      <alignment horizontal="left" vertical="center"/>
    </xf>
    <xf numFmtId="167" fontId="29" fillId="0" borderId="27" xfId="1" applyNumberFormat="1" applyFont="1" applyFill="1" applyBorder="1" applyAlignment="1" applyProtection="1">
      <alignment vertical="center"/>
    </xf>
    <xf numFmtId="3" fontId="30" fillId="0" borderId="29" xfId="12" applyNumberFormat="1" applyFont="1" applyFill="1" applyBorder="1" applyAlignment="1" applyProtection="1">
      <alignment horizontal="left"/>
    </xf>
    <xf numFmtId="10" fontId="29" fillId="23" borderId="28" xfId="12" applyNumberFormat="1" applyFont="1" applyFill="1" applyBorder="1" applyAlignment="1" applyProtection="1">
      <alignment vertical="center"/>
    </xf>
    <xf numFmtId="167" fontId="29" fillId="24" borderId="8" xfId="0" applyNumberFormat="1" applyFont="1" applyFill="1" applyBorder="1" applyAlignment="1" applyProtection="1">
      <alignment vertical="center"/>
    </xf>
    <xf numFmtId="0" fontId="57" fillId="0" borderId="0" xfId="0" applyFont="1" applyProtection="1"/>
    <xf numFmtId="0" fontId="57" fillId="0" borderId="0" xfId="0" applyFont="1" applyAlignment="1" applyProtection="1">
      <alignment horizontal="right" vertical="center"/>
    </xf>
    <xf numFmtId="0" fontId="72" fillId="0" borderId="0" xfId="0" applyFont="1" applyAlignment="1" applyProtection="1">
      <alignment vertical="center"/>
    </xf>
    <xf numFmtId="0" fontId="72" fillId="25" borderId="0" xfId="0" applyFont="1" applyFill="1" applyProtection="1"/>
    <xf numFmtId="10" fontId="64" fillId="0" borderId="8" xfId="12" applyNumberFormat="1" applyFont="1" applyFill="1" applyBorder="1" applyAlignment="1" applyProtection="1">
      <alignment vertical="center"/>
    </xf>
    <xf numFmtId="167" fontId="64" fillId="0" borderId="8" xfId="0" applyNumberFormat="1" applyFont="1" applyFill="1" applyBorder="1" applyAlignment="1" applyProtection="1">
      <alignment vertical="center"/>
    </xf>
    <xf numFmtId="0" fontId="73" fillId="0" borderId="0" xfId="0" applyFont="1" applyFill="1" applyProtection="1"/>
    <xf numFmtId="3" fontId="74" fillId="0" borderId="30" xfId="12" applyNumberFormat="1" applyFont="1" applyFill="1" applyBorder="1" applyAlignment="1" applyProtection="1">
      <alignment horizontal="left" wrapText="1"/>
    </xf>
    <xf numFmtId="168" fontId="75" fillId="0" borderId="8" xfId="1" applyNumberFormat="1" applyFont="1" applyFill="1" applyBorder="1" applyProtection="1"/>
    <xf numFmtId="10" fontId="75" fillId="0" borderId="8" xfId="0" applyNumberFormat="1" applyFont="1" applyFill="1" applyBorder="1" applyProtection="1"/>
    <xf numFmtId="168" fontId="73" fillId="0" borderId="0" xfId="0" applyNumberFormat="1" applyFont="1" applyFill="1" applyProtection="1"/>
    <xf numFmtId="3" fontId="64" fillId="0" borderId="26" xfId="12" applyNumberFormat="1" applyFont="1" applyFill="1" applyBorder="1" applyAlignment="1" applyProtection="1">
      <alignment horizontal="left" wrapText="1"/>
    </xf>
    <xf numFmtId="168" fontId="30" fillId="0" borderId="17" xfId="1" applyNumberFormat="1" applyFont="1" applyFill="1" applyBorder="1" applyProtection="1"/>
    <xf numFmtId="0" fontId="8" fillId="0" borderId="0" xfId="0" applyFont="1" applyProtection="1"/>
    <xf numFmtId="168" fontId="29" fillId="0" borderId="17" xfId="0" applyNumberFormat="1" applyFont="1" applyFill="1" applyBorder="1" applyAlignment="1" applyProtection="1">
      <alignment vertical="center"/>
    </xf>
    <xf numFmtId="10" fontId="29" fillId="22" borderId="17" xfId="12" applyNumberFormat="1" applyFont="1" applyFill="1" applyBorder="1" applyAlignment="1" applyProtection="1">
      <alignment vertical="center"/>
    </xf>
    <xf numFmtId="10" fontId="29" fillId="0" borderId="8" xfId="12" applyNumberFormat="1" applyFont="1" applyFill="1" applyBorder="1" applyProtection="1"/>
    <xf numFmtId="0" fontId="76" fillId="25" borderId="0" xfId="0" applyFont="1" applyFill="1" applyBorder="1" applyProtection="1"/>
    <xf numFmtId="3" fontId="64" fillId="0" borderId="26" xfId="12" applyNumberFormat="1" applyFont="1" applyFill="1" applyBorder="1" applyAlignment="1" applyProtection="1">
      <alignment horizontal="left"/>
    </xf>
    <xf numFmtId="167" fontId="29" fillId="0" borderId="21" xfId="1" applyNumberFormat="1" applyFont="1" applyFill="1" applyBorder="1" applyAlignment="1" applyProtection="1">
      <alignment vertical="center"/>
    </xf>
    <xf numFmtId="3" fontId="29" fillId="0" borderId="8" xfId="12" applyNumberFormat="1" applyFont="1" applyFill="1" applyBorder="1" applyAlignment="1" applyProtection="1">
      <alignment horizontal="left" vertical="center" wrapText="1"/>
    </xf>
    <xf numFmtId="0" fontId="29" fillId="0" borderId="0" xfId="0" applyFont="1" applyFill="1" applyAlignment="1" applyProtection="1">
      <alignment vertical="center"/>
    </xf>
    <xf numFmtId="167" fontId="30" fillId="0" borderId="21" xfId="1" applyNumberFormat="1" applyFont="1" applyFill="1" applyBorder="1" applyProtection="1"/>
    <xf numFmtId="10" fontId="30" fillId="0" borderId="21" xfId="0" applyNumberFormat="1" applyFont="1" applyFill="1" applyBorder="1" applyProtection="1"/>
    <xf numFmtId="10" fontId="62" fillId="22" borderId="8" xfId="12" applyNumberFormat="1" applyFont="1" applyFill="1" applyBorder="1" applyAlignment="1" applyProtection="1">
      <alignment vertical="center"/>
    </xf>
    <xf numFmtId="0" fontId="59" fillId="0" borderId="0" xfId="0" applyFont="1" applyAlignment="1" applyProtection="1">
      <alignment vertical="center"/>
    </xf>
    <xf numFmtId="0" fontId="59" fillId="0" borderId="0" xfId="0" applyFont="1" applyAlignment="1" applyProtection="1">
      <alignment horizontal="right" vertical="center"/>
    </xf>
    <xf numFmtId="0" fontId="77" fillId="0" borderId="0" xfId="0" applyFont="1" applyFill="1" applyAlignment="1" applyProtection="1">
      <alignment vertical="center"/>
    </xf>
    <xf numFmtId="0" fontId="77" fillId="25" borderId="0" xfId="0" applyFont="1" applyFill="1" applyBorder="1" applyAlignment="1" applyProtection="1">
      <alignment vertical="center"/>
    </xf>
    <xf numFmtId="10" fontId="65" fillId="0" borderId="8" xfId="12" applyNumberFormat="1" applyFont="1" applyFill="1" applyBorder="1" applyAlignment="1" applyProtection="1">
      <alignment vertical="center"/>
    </xf>
    <xf numFmtId="167" fontId="65" fillId="0" borderId="8" xfId="0" applyNumberFormat="1" applyFont="1" applyFill="1" applyBorder="1" applyAlignment="1" applyProtection="1">
      <alignment vertical="center"/>
    </xf>
    <xf numFmtId="0" fontId="78" fillId="0" borderId="0" xfId="0" applyFont="1" applyFill="1" applyAlignment="1" applyProtection="1">
      <alignment vertical="center"/>
    </xf>
    <xf numFmtId="3" fontId="77" fillId="0" borderId="13" xfId="12" applyNumberFormat="1" applyFont="1" applyFill="1" applyBorder="1" applyAlignment="1" applyProtection="1">
      <alignment horizontal="left" vertical="center"/>
    </xf>
    <xf numFmtId="168" fontId="77" fillId="0" borderId="8" xfId="1" applyNumberFormat="1" applyFont="1" applyFill="1" applyBorder="1" applyAlignment="1" applyProtection="1">
      <alignment vertical="center"/>
    </xf>
    <xf numFmtId="10" fontId="77" fillId="0" borderId="21" xfId="0" applyNumberFormat="1" applyFont="1" applyFill="1" applyBorder="1" applyAlignment="1" applyProtection="1">
      <alignment vertical="center"/>
    </xf>
    <xf numFmtId="168" fontId="78" fillId="0" borderId="0" xfId="0" applyNumberFormat="1" applyFont="1" applyFill="1" applyAlignment="1" applyProtection="1">
      <alignment vertical="center"/>
    </xf>
    <xf numFmtId="3" fontId="29" fillId="0" borderId="32" xfId="12" applyNumberFormat="1" applyFont="1" applyFill="1" applyBorder="1" applyAlignment="1" applyProtection="1">
      <alignment horizontal="left" vertical="center"/>
    </xf>
    <xf numFmtId="167" fontId="29" fillId="0" borderId="33" xfId="1" applyNumberFormat="1" applyFont="1" applyFill="1" applyBorder="1" applyAlignment="1" applyProtection="1">
      <alignment vertical="center"/>
    </xf>
    <xf numFmtId="10" fontId="29" fillId="0" borderId="33" xfId="0" applyNumberFormat="1" applyFont="1" applyFill="1" applyBorder="1" applyAlignment="1" applyProtection="1">
      <alignment vertical="center"/>
    </xf>
    <xf numFmtId="10" fontId="65" fillId="0" borderId="33" xfId="0" applyNumberFormat="1" applyFont="1" applyFill="1" applyBorder="1" applyAlignment="1" applyProtection="1">
      <alignment vertical="center"/>
    </xf>
    <xf numFmtId="0" fontId="61" fillId="3" borderId="0" xfId="0" applyFont="1" applyFill="1" applyProtection="1"/>
    <xf numFmtId="0" fontId="61" fillId="3" borderId="0" xfId="0" applyFont="1" applyFill="1" applyAlignment="1" applyProtection="1">
      <alignment horizontal="right" vertical="center"/>
    </xf>
    <xf numFmtId="0" fontId="66" fillId="3" borderId="8" xfId="0" applyFont="1" applyFill="1" applyBorder="1" applyAlignment="1" applyProtection="1">
      <alignment vertical="center"/>
    </xf>
    <xf numFmtId="0" fontId="66" fillId="25" borderId="0" xfId="0" applyFont="1" applyFill="1" applyBorder="1" applyProtection="1"/>
    <xf numFmtId="0" fontId="71" fillId="0" borderId="0" xfId="0" applyFont="1" applyFill="1" applyProtection="1"/>
    <xf numFmtId="3" fontId="66" fillId="0" borderId="13" xfId="12" applyNumberFormat="1" applyFont="1" applyFill="1" applyBorder="1" applyAlignment="1" applyProtection="1">
      <alignment horizontal="left"/>
    </xf>
    <xf numFmtId="10" fontId="66" fillId="0" borderId="8" xfId="0" applyNumberFormat="1" applyFont="1" applyFill="1" applyBorder="1" applyProtection="1"/>
    <xf numFmtId="0" fontId="66" fillId="3" borderId="0" xfId="0" applyFont="1" applyFill="1" applyBorder="1" applyAlignment="1" applyProtection="1">
      <alignment vertical="center"/>
    </xf>
    <xf numFmtId="167" fontId="62" fillId="22" borderId="8" xfId="0" applyNumberFormat="1" applyFont="1" applyFill="1" applyBorder="1" applyAlignment="1" applyProtection="1">
      <alignment vertical="center"/>
    </xf>
    <xf numFmtId="3" fontId="66" fillId="0" borderId="0" xfId="12" applyNumberFormat="1" applyFont="1" applyFill="1" applyBorder="1" applyAlignment="1" applyProtection="1">
      <alignment horizontal="left"/>
    </xf>
    <xf numFmtId="168" fontId="66" fillId="0" borderId="0" xfId="1" applyNumberFormat="1" applyFont="1" applyFill="1" applyBorder="1" applyProtection="1"/>
    <xf numFmtId="10" fontId="66" fillId="0" borderId="0" xfId="0" applyNumberFormat="1" applyFont="1" applyFill="1" applyBorder="1" applyProtection="1"/>
    <xf numFmtId="0" fontId="29" fillId="25" borderId="0" xfId="0" applyFont="1" applyFill="1" applyAlignment="1" applyProtection="1">
      <alignment vertical="center"/>
    </xf>
    <xf numFmtId="10" fontId="37" fillId="25" borderId="8" xfId="12" applyNumberFormat="1" applyFont="1" applyFill="1" applyBorder="1" applyAlignment="1" applyProtection="1">
      <alignment vertical="center"/>
    </xf>
    <xf numFmtId="0" fontId="31" fillId="25" borderId="0" xfId="0" applyFont="1" applyFill="1" applyProtection="1"/>
    <xf numFmtId="167" fontId="29" fillId="25" borderId="0" xfId="1" applyNumberFormat="1" applyFont="1" applyFill="1" applyBorder="1" applyAlignment="1" applyProtection="1">
      <alignment vertical="center"/>
    </xf>
    <xf numFmtId="10" fontId="29" fillId="25" borderId="0" xfId="0" applyNumberFormat="1" applyFont="1" applyFill="1" applyBorder="1" applyAlignment="1" applyProtection="1">
      <alignment vertical="center"/>
    </xf>
    <xf numFmtId="10" fontId="65" fillId="25" borderId="0" xfId="0" applyNumberFormat="1" applyFont="1" applyFill="1" applyBorder="1" applyAlignment="1" applyProtection="1">
      <alignment vertical="center"/>
    </xf>
    <xf numFmtId="168" fontId="31" fillId="25" borderId="0" xfId="0" applyNumberFormat="1" applyFont="1" applyFill="1" applyProtection="1"/>
    <xf numFmtId="171" fontId="29" fillId="25" borderId="0" xfId="3" applyNumberFormat="1" applyFont="1" applyFill="1" applyBorder="1" applyAlignment="1" applyProtection="1">
      <alignment vertical="center"/>
    </xf>
    <xf numFmtId="10" fontId="37" fillId="25" borderId="0" xfId="12" applyNumberFormat="1" applyFont="1" applyFill="1" applyBorder="1" applyAlignment="1" applyProtection="1">
      <alignment vertical="center"/>
    </xf>
    <xf numFmtId="10" fontId="29" fillId="25" borderId="0" xfId="14" applyNumberFormat="1" applyFont="1" applyFill="1" applyBorder="1" applyAlignment="1" applyProtection="1">
      <alignment vertical="center"/>
    </xf>
    <xf numFmtId="10" fontId="37" fillId="25" borderId="0" xfId="0" applyNumberFormat="1" applyFont="1" applyFill="1" applyBorder="1" applyAlignment="1" applyProtection="1">
      <alignment vertical="center"/>
    </xf>
    <xf numFmtId="0" fontId="62" fillId="0" borderId="8" xfId="0" applyFont="1" applyBorder="1" applyAlignment="1" applyProtection="1">
      <alignment horizontal="center" vertical="center"/>
    </xf>
    <xf numFmtId="171" fontId="68" fillId="25" borderId="6" xfId="3" applyNumberFormat="1" applyFont="1" applyFill="1" applyBorder="1" applyAlignment="1" applyProtection="1">
      <alignment vertical="center"/>
    </xf>
    <xf numFmtId="167" fontId="68" fillId="25" borderId="6" xfId="1" applyNumberFormat="1" applyFont="1" applyFill="1" applyBorder="1" applyAlignment="1" applyProtection="1">
      <alignment vertical="center"/>
    </xf>
    <xf numFmtId="167" fontId="62" fillId="25" borderId="6" xfId="1" applyNumberFormat="1" applyFont="1" applyFill="1" applyBorder="1" applyAlignment="1" applyProtection="1">
      <alignment vertical="center"/>
    </xf>
    <xf numFmtId="0" fontId="31" fillId="0" borderId="0" xfId="0" applyFont="1" applyAlignment="1" applyProtection="1">
      <alignment horizontal="right" vertical="center"/>
    </xf>
    <xf numFmtId="167" fontId="62" fillId="0" borderId="21" xfId="0" applyNumberFormat="1" applyFont="1" applyBorder="1" applyProtection="1"/>
    <xf numFmtId="10" fontId="31" fillId="0" borderId="0" xfId="14" applyNumberFormat="1" applyFont="1" applyProtection="1"/>
    <xf numFmtId="167" fontId="79" fillId="0" borderId="21" xfId="0" applyNumberFormat="1" applyFont="1" applyBorder="1" applyProtection="1"/>
    <xf numFmtId="172" fontId="31" fillId="0" borderId="0" xfId="0" applyNumberFormat="1" applyFont="1" applyProtection="1"/>
    <xf numFmtId="167" fontId="31" fillId="0" borderId="0" xfId="0" applyNumberFormat="1" applyFont="1" applyProtection="1"/>
    <xf numFmtId="171" fontId="62" fillId="0" borderId="21" xfId="0" applyNumberFormat="1" applyFont="1" applyBorder="1" applyProtection="1"/>
    <xf numFmtId="167" fontId="69" fillId="0" borderId="21" xfId="0" applyNumberFormat="1" applyFont="1" applyBorder="1" applyProtection="1"/>
    <xf numFmtId="167" fontId="0" fillId="0" borderId="0" xfId="0" applyNumberFormat="1" applyProtection="1"/>
    <xf numFmtId="10" fontId="0" fillId="0" borderId="0" xfId="14" applyNumberFormat="1" applyFont="1" applyProtection="1"/>
    <xf numFmtId="172" fontId="0" fillId="0" borderId="0" xfId="0" applyNumberFormat="1" applyProtection="1"/>
    <xf numFmtId="168" fontId="0" fillId="0" borderId="0" xfId="0" applyNumberFormat="1" applyProtection="1"/>
    <xf numFmtId="3" fontId="6" fillId="0" borderId="4" xfId="12" applyNumberFormat="1" applyFont="1" applyBorder="1" applyAlignment="1" applyProtection="1">
      <alignment horizontal="left"/>
    </xf>
    <xf numFmtId="168" fontId="5" fillId="0" borderId="8" xfId="1" applyNumberFormat="1" applyFont="1" applyFill="1" applyBorder="1" applyProtection="1"/>
    <xf numFmtId="10" fontId="5" fillId="0" borderId="8" xfId="0" applyNumberFormat="1" applyFont="1" applyFill="1" applyBorder="1" applyProtection="1"/>
    <xf numFmtId="3" fontId="6" fillId="0" borderId="13" xfId="12" applyNumberFormat="1" applyFont="1" applyBorder="1" applyAlignment="1" applyProtection="1">
      <alignment horizontal="left"/>
    </xf>
    <xf numFmtId="3" fontId="5" fillId="0" borderId="29" xfId="12" applyNumberFormat="1" applyFont="1" applyBorder="1" applyAlignment="1" applyProtection="1">
      <alignment horizontal="left"/>
    </xf>
    <xf numFmtId="3" fontId="5" fillId="0" borderId="32" xfId="12" applyNumberFormat="1" applyFont="1" applyBorder="1" applyAlignment="1" applyProtection="1">
      <alignment horizontal="left"/>
    </xf>
    <xf numFmtId="3" fontId="45" fillId="0" borderId="30" xfId="12" applyNumberFormat="1" applyFont="1" applyBorder="1" applyAlignment="1" applyProtection="1">
      <alignment horizontal="left"/>
    </xf>
    <xf numFmtId="10" fontId="5" fillId="0" borderId="27" xfId="0" applyNumberFormat="1" applyFont="1" applyBorder="1" applyProtection="1"/>
    <xf numFmtId="10" fontId="5" fillId="0" borderId="19" xfId="0" applyNumberFormat="1" applyFont="1" applyBorder="1" applyProtection="1"/>
    <xf numFmtId="3" fontId="6" fillId="9" borderId="4" xfId="12" applyNumberFormat="1" applyFont="1" applyFill="1" applyBorder="1" applyAlignment="1" applyProtection="1">
      <alignment horizontal="left" vertical="center"/>
    </xf>
    <xf numFmtId="167" fontId="6" fillId="10" borderId="8" xfId="1" applyNumberFormat="1" applyFont="1" applyFill="1" applyBorder="1" applyAlignment="1" applyProtection="1">
      <alignment vertical="center"/>
    </xf>
    <xf numFmtId="10" fontId="6" fillId="10" borderId="8" xfId="0" applyNumberFormat="1" applyFont="1" applyFill="1" applyBorder="1" applyAlignment="1" applyProtection="1">
      <alignment vertical="center"/>
    </xf>
    <xf numFmtId="14" fontId="4" fillId="0" borderId="0" xfId="0" applyNumberFormat="1" applyFont="1" applyAlignment="1" applyProtection="1">
      <alignment vertical="center"/>
    </xf>
    <xf numFmtId="0" fontId="40" fillId="0" borderId="0" xfId="0" applyFont="1" applyProtection="1"/>
    <xf numFmtId="1" fontId="0" fillId="0" borderId="0" xfId="0" applyNumberFormat="1" applyProtection="1"/>
    <xf numFmtId="1" fontId="0" fillId="0" borderId="0" xfId="0" applyNumberFormat="1" applyAlignment="1" applyProtection="1">
      <alignment vertical="center"/>
    </xf>
    <xf numFmtId="14" fontId="29" fillId="24" borderId="9" xfId="12" applyNumberFormat="1" applyFont="1" applyFill="1" applyBorder="1" applyAlignment="1" applyProtection="1">
      <alignment vertical="center"/>
    </xf>
    <xf numFmtId="0" fontId="0" fillId="30" borderId="16" xfId="0" applyFill="1" applyBorder="1" applyAlignment="1" applyProtection="1">
      <alignment vertical="center"/>
    </xf>
    <xf numFmtId="0" fontId="4" fillId="0" borderId="16" xfId="0" applyFont="1" applyFill="1" applyBorder="1" applyAlignment="1" applyProtection="1">
      <alignment vertical="center"/>
    </xf>
    <xf numFmtId="0" fontId="0" fillId="0" borderId="16" xfId="0" applyFill="1" applyBorder="1" applyAlignment="1" applyProtection="1">
      <alignment vertical="center"/>
    </xf>
    <xf numFmtId="167" fontId="29" fillId="24" borderId="8" xfId="3" applyNumberFormat="1" applyFont="1" applyFill="1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8" xfId="0" applyBorder="1" applyProtection="1"/>
    <xf numFmtId="0" fontId="0" fillId="24" borderId="8" xfId="0" applyFill="1" applyBorder="1" applyAlignment="1" applyProtection="1">
      <alignment vertical="center"/>
    </xf>
    <xf numFmtId="0" fontId="0" fillId="24" borderId="8" xfId="0" applyFill="1" applyBorder="1" applyProtection="1"/>
    <xf numFmtId="167" fontId="29" fillId="0" borderId="8" xfId="0" applyNumberFormat="1" applyFont="1" applyFill="1" applyBorder="1" applyAlignment="1" applyProtection="1">
      <alignment vertical="center"/>
      <protection locked="0"/>
    </xf>
    <xf numFmtId="167" fontId="29" fillId="23" borderId="8" xfId="1" applyNumberFormat="1" applyFont="1" applyFill="1" applyBorder="1" applyAlignment="1" applyProtection="1">
      <alignment vertical="center"/>
      <protection locked="0"/>
    </xf>
    <xf numFmtId="167" fontId="29" fillId="23" borderId="8" xfId="0" applyNumberFormat="1" applyFont="1" applyFill="1" applyBorder="1" applyAlignment="1" applyProtection="1">
      <alignment vertical="center"/>
      <protection locked="0"/>
    </xf>
    <xf numFmtId="167" fontId="37" fillId="23" borderId="8" xfId="1" applyNumberFormat="1" applyFont="1" applyFill="1" applyBorder="1" applyAlignment="1" applyProtection="1">
      <alignment vertical="center"/>
      <protection locked="0"/>
    </xf>
    <xf numFmtId="167" fontId="63" fillId="0" borderId="8" xfId="0" applyNumberFormat="1" applyFont="1" applyFill="1" applyBorder="1" applyAlignment="1" applyProtection="1">
      <alignment vertical="center"/>
      <protection locked="0"/>
    </xf>
    <xf numFmtId="167" fontId="29" fillId="24" borderId="8" xfId="1" applyNumberFormat="1" applyFont="1" applyFill="1" applyBorder="1" applyAlignment="1" applyProtection="1">
      <protection locked="0"/>
    </xf>
    <xf numFmtId="167" fontId="29" fillId="0" borderId="8" xfId="1" applyNumberFormat="1" applyFont="1" applyFill="1" applyBorder="1" applyAlignment="1" applyProtection="1">
      <alignment vertical="center"/>
      <protection locked="0"/>
    </xf>
    <xf numFmtId="167" fontId="29" fillId="23" borderId="28" xfId="0" applyNumberFormat="1" applyFont="1" applyFill="1" applyBorder="1" applyAlignment="1" applyProtection="1">
      <alignment vertical="center"/>
      <protection locked="0"/>
    </xf>
    <xf numFmtId="171" fontId="29" fillId="24" borderId="8" xfId="0" applyNumberFormat="1" applyFont="1" applyFill="1" applyBorder="1" applyAlignment="1" applyProtection="1">
      <alignment vertical="center"/>
      <protection locked="0"/>
    </xf>
    <xf numFmtId="167" fontId="64" fillId="0" borderId="8" xfId="0" applyNumberFormat="1" applyFont="1" applyFill="1" applyBorder="1" applyAlignment="1" applyProtection="1">
      <alignment vertical="center"/>
      <protection locked="0"/>
    </xf>
    <xf numFmtId="167" fontId="29" fillId="22" borderId="17" xfId="1" applyNumberFormat="1" applyFont="1" applyFill="1" applyBorder="1" applyAlignment="1" applyProtection="1">
      <alignment vertical="center"/>
      <protection locked="0"/>
    </xf>
    <xf numFmtId="167" fontId="65" fillId="0" borderId="8" xfId="0" applyNumberFormat="1" applyFont="1" applyFill="1" applyBorder="1" applyAlignment="1" applyProtection="1">
      <alignment vertical="center"/>
      <protection locked="0"/>
    </xf>
    <xf numFmtId="167" fontId="62" fillId="22" borderId="8" xfId="0" applyNumberFormat="1" applyFont="1" applyFill="1" applyBorder="1" applyAlignment="1" applyProtection="1">
      <alignment vertical="center"/>
      <protection locked="0"/>
    </xf>
    <xf numFmtId="167" fontId="29" fillId="25" borderId="8" xfId="1" applyNumberFormat="1" applyFont="1" applyFill="1" applyBorder="1" applyAlignment="1" applyProtection="1">
      <alignment vertical="center"/>
      <protection locked="0"/>
    </xf>
    <xf numFmtId="167" fontId="29" fillId="24" borderId="8" xfId="0" applyNumberFormat="1" applyFont="1" applyFill="1" applyBorder="1" applyAlignment="1" applyProtection="1">
      <alignment vertical="center"/>
      <protection locked="0"/>
    </xf>
    <xf numFmtId="0" fontId="40" fillId="18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5" fillId="0" borderId="0" xfId="0" applyFont="1" applyAlignment="1" applyProtection="1">
      <alignment horizontal="right" vertical="center"/>
    </xf>
    <xf numFmtId="0" fontId="5" fillId="25" borderId="0" xfId="0" applyFont="1" applyFill="1" applyAlignment="1" applyProtection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0" fillId="34" borderId="0" xfId="0" applyFill="1" applyBorder="1" applyProtection="1"/>
    <xf numFmtId="14" fontId="5" fillId="0" borderId="0" xfId="0" applyNumberFormat="1" applyFont="1" applyProtection="1"/>
    <xf numFmtId="14" fontId="5" fillId="0" borderId="0" xfId="0" applyNumberFormat="1" applyFont="1" applyFill="1" applyAlignment="1" applyProtection="1">
      <alignment vertical="center"/>
    </xf>
    <xf numFmtId="14" fontId="5" fillId="0" borderId="0" xfId="0" applyNumberFormat="1" applyFont="1" applyFill="1" applyProtection="1"/>
    <xf numFmtId="170" fontId="0" fillId="34" borderId="0" xfId="0" applyNumberFormat="1" applyFill="1" applyBorder="1" applyProtection="1"/>
    <xf numFmtId="0" fontId="5" fillId="0" borderId="0" xfId="0" applyNumberFormat="1" applyFont="1" applyAlignment="1" applyProtection="1">
      <alignment horizontal="right" vertical="center"/>
    </xf>
    <xf numFmtId="0" fontId="8" fillId="0" borderId="0" xfId="0" applyNumberFormat="1" applyFont="1" applyFill="1" applyAlignment="1" applyProtection="1">
      <alignment horizontal="right" vertical="center"/>
    </xf>
    <xf numFmtId="0" fontId="0" fillId="0" borderId="0" xfId="0" applyNumberFormat="1"/>
    <xf numFmtId="0" fontId="0" fillId="0" borderId="0" xfId="0" applyNumberFormat="1" applyProtection="1"/>
    <xf numFmtId="0" fontId="5" fillId="0" borderId="0" xfId="0" applyNumberFormat="1" applyFont="1" applyProtection="1"/>
    <xf numFmtId="0" fontId="4" fillId="0" borderId="0" xfId="0" applyNumberFormat="1" applyFont="1"/>
    <xf numFmtId="0" fontId="5" fillId="0" borderId="0" xfId="0" applyNumberFormat="1" applyFont="1" applyFill="1" applyAlignment="1" applyProtection="1">
      <alignment vertical="center"/>
    </xf>
    <xf numFmtId="14" fontId="4" fillId="0" borderId="0" xfId="0" applyNumberFormat="1" applyFont="1"/>
    <xf numFmtId="0" fontId="5" fillId="0" borderId="0" xfId="0" applyNumberFormat="1" applyFont="1" applyFill="1" applyProtection="1"/>
    <xf numFmtId="0" fontId="4" fillId="0" borderId="0" xfId="0" applyNumberFormat="1" applyFont="1" applyAlignment="1" applyProtection="1">
      <alignment horizontal="right" vertical="center"/>
    </xf>
    <xf numFmtId="0" fontId="4" fillId="25" borderId="0" xfId="0" applyNumberFormat="1" applyFont="1" applyFill="1" applyAlignment="1" applyProtection="1">
      <alignment horizontal="right" vertical="center"/>
    </xf>
    <xf numFmtId="0" fontId="80" fillId="25" borderId="16" xfId="0" applyNumberFormat="1" applyFont="1" applyFill="1" applyBorder="1" applyAlignment="1" applyProtection="1">
      <alignment horizontal="center" vertical="center"/>
    </xf>
    <xf numFmtId="0" fontId="80" fillId="25" borderId="0" xfId="0" applyFont="1" applyFill="1" applyBorder="1" applyAlignment="1" applyProtection="1">
      <alignment horizontal="center" vertical="center"/>
    </xf>
    <xf numFmtId="0" fontId="80" fillId="34" borderId="0" xfId="0" applyFont="1" applyFill="1" applyBorder="1" applyAlignment="1" applyProtection="1">
      <alignment horizontal="center" vertical="center"/>
    </xf>
    <xf numFmtId="0" fontId="81" fillId="0" borderId="0" xfId="0" applyNumberFormat="1" applyFont="1" applyAlignment="1" applyProtection="1">
      <alignment horizontal="right" vertical="center"/>
    </xf>
    <xf numFmtId="0" fontId="39" fillId="34" borderId="0" xfId="12" applyFont="1" applyFill="1" applyBorder="1" applyAlignment="1" applyProtection="1">
      <alignment horizontal="center" vertical="center" wrapText="1"/>
    </xf>
    <xf numFmtId="14" fontId="39" fillId="24" borderId="8" xfId="12" applyNumberFormat="1" applyFont="1" applyFill="1" applyBorder="1" applyAlignment="1" applyProtection="1">
      <alignment horizontal="center" vertical="center"/>
      <protection locked="0"/>
    </xf>
    <xf numFmtId="14" fontId="39" fillId="34" borderId="43" xfId="12" applyNumberFormat="1" applyFont="1" applyFill="1" applyBorder="1" applyAlignment="1" applyProtection="1">
      <alignment horizontal="center" vertical="center"/>
      <protection locked="0"/>
    </xf>
    <xf numFmtId="14" fontId="39" fillId="24" borderId="17" xfId="12" applyNumberFormat="1" applyFont="1" applyFill="1" applyBorder="1" applyAlignment="1" applyProtection="1">
      <alignment horizontal="center" vertical="center"/>
      <protection locked="0"/>
    </xf>
    <xf numFmtId="14" fontId="39" fillId="24" borderId="9" xfId="12" applyNumberFormat="1" applyFont="1" applyFill="1" applyBorder="1" applyAlignment="1" applyProtection="1">
      <alignment horizontal="center" vertical="center"/>
      <protection locked="0"/>
    </xf>
    <xf numFmtId="14" fontId="6" fillId="20" borderId="46" xfId="12" applyNumberFormat="1" applyFont="1" applyFill="1" applyBorder="1" applyAlignment="1">
      <alignment horizontal="center" vertical="center"/>
    </xf>
    <xf numFmtId="14" fontId="6" fillId="20" borderId="47" xfId="12" applyNumberFormat="1" applyFont="1" applyFill="1" applyBorder="1" applyAlignment="1">
      <alignment horizontal="center" vertical="center"/>
    </xf>
    <xf numFmtId="14" fontId="6" fillId="20" borderId="10" xfId="12" applyNumberFormat="1" applyFont="1" applyFill="1" applyBorder="1" applyAlignment="1">
      <alignment horizontal="center" vertical="center"/>
    </xf>
    <xf numFmtId="14" fontId="6" fillId="20" borderId="48" xfId="12" applyNumberFormat="1" applyFont="1" applyFill="1" applyBorder="1" applyAlignment="1">
      <alignment horizontal="center" vertical="center"/>
    </xf>
    <xf numFmtId="14" fontId="6" fillId="0" borderId="8" xfId="12" applyNumberFormat="1" applyFont="1" applyFill="1" applyBorder="1" applyAlignment="1">
      <alignment horizontal="center" vertical="center"/>
    </xf>
    <xf numFmtId="14" fontId="6" fillId="0" borderId="12" xfId="12" applyNumberFormat="1" applyFont="1" applyFill="1" applyBorder="1" applyAlignment="1">
      <alignment horizontal="center" vertical="center"/>
    </xf>
    <xf numFmtId="14" fontId="6" fillId="0" borderId="14" xfId="12" applyNumberFormat="1" applyFont="1" applyFill="1" applyBorder="1" applyAlignment="1">
      <alignment horizontal="center" vertical="center"/>
    </xf>
    <xf numFmtId="0" fontId="24" fillId="31" borderId="49" xfId="12" applyFont="1" applyFill="1" applyBorder="1" applyAlignment="1">
      <alignment horizontal="center" vertical="center"/>
    </xf>
    <xf numFmtId="0" fontId="24" fillId="31" borderId="50" xfId="12" applyFont="1" applyFill="1" applyBorder="1" applyAlignment="1">
      <alignment horizontal="center" vertical="center"/>
    </xf>
    <xf numFmtId="0" fontId="24" fillId="31" borderId="51" xfId="12" applyFont="1" applyFill="1" applyBorder="1" applyAlignment="1">
      <alignment horizontal="center" vertical="center"/>
    </xf>
    <xf numFmtId="0" fontId="6" fillId="8" borderId="52" xfId="12" applyFont="1" applyFill="1" applyBorder="1" applyAlignment="1">
      <alignment horizontal="center" vertical="center" wrapText="1"/>
    </xf>
    <xf numFmtId="0" fontId="6" fillId="8" borderId="26" xfId="12" applyFont="1" applyFill="1" applyBorder="1" applyAlignment="1">
      <alignment horizontal="center" vertical="center" wrapText="1"/>
    </xf>
    <xf numFmtId="0" fontId="6" fillId="13" borderId="41" xfId="12" applyFont="1" applyFill="1" applyBorder="1" applyAlignment="1">
      <alignment horizontal="center" vertical="center"/>
    </xf>
    <xf numFmtId="0" fontId="6" fillId="13" borderId="1" xfId="12" applyFont="1" applyFill="1" applyBorder="1" applyAlignment="1">
      <alignment horizontal="center" vertical="center"/>
    </xf>
    <xf numFmtId="0" fontId="6" fillId="14" borderId="41" xfId="12" applyFont="1" applyFill="1" applyBorder="1" applyAlignment="1">
      <alignment horizontal="center" vertical="center"/>
    </xf>
    <xf numFmtId="0" fontId="6" fillId="14" borderId="1" xfId="12" applyFont="1" applyFill="1" applyBorder="1" applyAlignment="1">
      <alignment horizontal="center" vertical="center"/>
    </xf>
    <xf numFmtId="0" fontId="6" fillId="10" borderId="41" xfId="12" applyFont="1" applyFill="1" applyBorder="1" applyAlignment="1">
      <alignment horizontal="center" vertical="center"/>
    </xf>
    <xf numFmtId="0" fontId="6" fillId="10" borderId="53" xfId="12" applyFont="1" applyFill="1" applyBorder="1" applyAlignment="1">
      <alignment horizontal="center" vertical="center"/>
    </xf>
    <xf numFmtId="0" fontId="3" fillId="31" borderId="17" xfId="12" applyFont="1" applyFill="1" applyBorder="1" applyAlignment="1">
      <alignment horizontal="center" vertical="center"/>
    </xf>
    <xf numFmtId="0" fontId="3" fillId="31" borderId="9" xfId="12" applyFont="1" applyFill="1" applyBorder="1" applyAlignment="1">
      <alignment horizontal="center" vertical="center"/>
    </xf>
    <xf numFmtId="14" fontId="6" fillId="20" borderId="17" xfId="12" applyNumberFormat="1" applyFont="1" applyFill="1" applyBorder="1" applyAlignment="1">
      <alignment horizontal="center" vertical="center"/>
    </xf>
    <xf numFmtId="14" fontId="6" fillId="20" borderId="9" xfId="12" applyNumberFormat="1" applyFont="1" applyFill="1" applyBorder="1" applyAlignment="1">
      <alignment horizontal="center" vertical="center"/>
    </xf>
    <xf numFmtId="0" fontId="24" fillId="32" borderId="17" xfId="12" applyFont="1" applyFill="1" applyBorder="1" applyAlignment="1">
      <alignment horizontal="center" vertical="center"/>
    </xf>
    <xf numFmtId="0" fontId="24" fillId="32" borderId="9" xfId="12" applyFont="1" applyFill="1" applyBorder="1" applyAlignment="1">
      <alignment horizontal="center" vertical="center"/>
    </xf>
    <xf numFmtId="14" fontId="6" fillId="20" borderId="25" xfId="12" applyNumberFormat="1" applyFont="1" applyFill="1" applyBorder="1" applyAlignment="1">
      <alignment horizontal="center" vertical="center"/>
    </xf>
    <xf numFmtId="14" fontId="6" fillId="20" borderId="44" xfId="12" applyNumberFormat="1" applyFont="1" applyFill="1" applyBorder="1" applyAlignment="1">
      <alignment horizontal="center" vertical="center"/>
    </xf>
    <xf numFmtId="14" fontId="6" fillId="0" borderId="11" xfId="12" applyNumberFormat="1" applyFont="1" applyFill="1" applyBorder="1" applyAlignment="1">
      <alignment horizontal="center" vertical="center"/>
    </xf>
    <xf numFmtId="14" fontId="6" fillId="0" borderId="43" xfId="12" applyNumberFormat="1" applyFont="1" applyFill="1" applyBorder="1" applyAlignment="1">
      <alignment horizontal="center" vertical="center"/>
    </xf>
    <xf numFmtId="14" fontId="6" fillId="0" borderId="48" xfId="12" applyNumberFormat="1" applyFont="1" applyFill="1" applyBorder="1" applyAlignment="1">
      <alignment horizontal="center" vertical="center"/>
    </xf>
    <xf numFmtId="14" fontId="6" fillId="0" borderId="15" xfId="12" applyNumberFormat="1" applyFont="1" applyFill="1" applyBorder="1" applyAlignment="1">
      <alignment horizontal="center" vertical="center" wrapText="1"/>
    </xf>
    <xf numFmtId="14" fontId="6" fillId="0" borderId="9" xfId="12" applyNumberFormat="1" applyFont="1" applyFill="1" applyBorder="1" applyAlignment="1">
      <alignment horizontal="center" vertical="center" wrapText="1"/>
    </xf>
    <xf numFmtId="14" fontId="6" fillId="0" borderId="15" xfId="12" applyNumberFormat="1" applyFont="1" applyFill="1" applyBorder="1" applyAlignment="1">
      <alignment horizontal="center" vertical="center"/>
    </xf>
    <xf numFmtId="14" fontId="6" fillId="0" borderId="9" xfId="12" applyNumberFormat="1" applyFont="1" applyFill="1" applyBorder="1" applyAlignment="1">
      <alignment horizontal="center" vertical="center"/>
    </xf>
    <xf numFmtId="14" fontId="6" fillId="20" borderId="31" xfId="12" applyNumberFormat="1" applyFont="1" applyFill="1" applyBorder="1" applyAlignment="1">
      <alignment horizontal="center" vertical="center"/>
    </xf>
    <xf numFmtId="0" fontId="39" fillId="33" borderId="6" xfId="0" applyFont="1" applyFill="1" applyBorder="1" applyAlignment="1" applyProtection="1">
      <alignment horizontal="center" vertical="center" wrapText="1"/>
    </xf>
    <xf numFmtId="0" fontId="39" fillId="33" borderId="19" xfId="0" applyFont="1" applyFill="1" applyBorder="1" applyAlignment="1" applyProtection="1">
      <alignment horizontal="center" vertical="center" wrapText="1"/>
    </xf>
    <xf numFmtId="0" fontId="39" fillId="33" borderId="21" xfId="0" applyFont="1" applyFill="1" applyBorder="1" applyAlignment="1" applyProtection="1">
      <alignment horizontal="center" vertical="center" wrapText="1"/>
    </xf>
    <xf numFmtId="0" fontId="39" fillId="33" borderId="17" xfId="12" applyFont="1" applyFill="1" applyBorder="1" applyAlignment="1" applyProtection="1">
      <alignment horizontal="center" vertical="center" wrapText="1"/>
    </xf>
    <xf numFmtId="0" fontId="39" fillId="33" borderId="15" xfId="12" applyFont="1" applyFill="1" applyBorder="1" applyAlignment="1" applyProtection="1">
      <alignment horizontal="center" vertical="center" wrapText="1"/>
    </xf>
    <xf numFmtId="0" fontId="39" fillId="33" borderId="9" xfId="12" applyFont="1" applyFill="1" applyBorder="1" applyAlignment="1" applyProtection="1">
      <alignment horizontal="center" vertical="center" wrapText="1"/>
    </xf>
    <xf numFmtId="0" fontId="39" fillId="33" borderId="28" xfId="12" applyFont="1" applyFill="1" applyBorder="1" applyAlignment="1" applyProtection="1">
      <alignment horizontal="center" vertical="center" wrapText="1"/>
    </xf>
    <xf numFmtId="0" fontId="39" fillId="33" borderId="25" xfId="12" applyFont="1" applyFill="1" applyBorder="1" applyAlignment="1" applyProtection="1">
      <alignment horizontal="center" vertical="center" wrapText="1"/>
    </xf>
    <xf numFmtId="0" fontId="39" fillId="0" borderId="17" xfId="0" applyFont="1" applyBorder="1" applyAlignment="1" applyProtection="1">
      <alignment horizontal="center" vertical="center"/>
    </xf>
    <xf numFmtId="0" fontId="39" fillId="0" borderId="15" xfId="0" applyFont="1" applyBorder="1" applyAlignment="1" applyProtection="1">
      <alignment horizontal="center" vertical="center"/>
    </xf>
    <xf numFmtId="0" fontId="39" fillId="33" borderId="6" xfId="0" applyNumberFormat="1" applyFont="1" applyFill="1" applyBorder="1" applyAlignment="1" applyProtection="1">
      <alignment horizontal="center" vertical="center" wrapText="1"/>
    </xf>
    <xf numFmtId="0" fontId="39" fillId="33" borderId="19" xfId="0" applyNumberFormat="1" applyFont="1" applyFill="1" applyBorder="1" applyAlignment="1" applyProtection="1">
      <alignment horizontal="center" vertical="center" wrapText="1"/>
    </xf>
    <xf numFmtId="0" fontId="39" fillId="33" borderId="21" xfId="0" applyNumberFormat="1" applyFont="1" applyFill="1" applyBorder="1" applyAlignment="1" applyProtection="1">
      <alignment horizontal="center" vertical="center" wrapText="1"/>
    </xf>
    <xf numFmtId="0" fontId="24" fillId="0" borderId="8" xfId="0" applyFont="1" applyBorder="1" applyAlignment="1" applyProtection="1">
      <alignment horizontal="center" vertical="center"/>
    </xf>
    <xf numFmtId="0" fontId="28" fillId="0" borderId="17" xfId="0" applyFont="1" applyBorder="1" applyAlignment="1" applyProtection="1">
      <alignment horizontal="center" vertical="center"/>
    </xf>
    <xf numFmtId="0" fontId="28" fillId="0" borderId="15" xfId="0" applyFont="1" applyBorder="1" applyAlignment="1" applyProtection="1">
      <alignment horizontal="center" vertical="center"/>
    </xf>
    <xf numFmtId="0" fontId="28" fillId="0" borderId="9" xfId="0" applyFont="1" applyBorder="1" applyAlignment="1" applyProtection="1">
      <alignment horizontal="center" vertical="center"/>
    </xf>
    <xf numFmtId="0" fontId="29" fillId="33" borderId="6" xfId="0" applyFont="1" applyFill="1" applyBorder="1" applyAlignment="1" applyProtection="1">
      <alignment horizontal="center" vertical="center" wrapText="1"/>
    </xf>
    <xf numFmtId="0" fontId="29" fillId="33" borderId="19" xfId="0" applyFont="1" applyFill="1" applyBorder="1" applyAlignment="1" applyProtection="1">
      <alignment horizontal="center" vertical="center" wrapText="1"/>
    </xf>
    <xf numFmtId="0" fontId="29" fillId="33" borderId="21" xfId="0" applyFont="1" applyFill="1" applyBorder="1" applyAlignment="1" applyProtection="1">
      <alignment horizontal="center" vertical="center" wrapText="1"/>
    </xf>
    <xf numFmtId="0" fontId="41" fillId="33" borderId="11" xfId="12" applyFont="1" applyFill="1" applyBorder="1" applyAlignment="1" applyProtection="1">
      <alignment horizontal="center" vertical="center" wrapText="1"/>
    </xf>
    <xf numFmtId="0" fontId="41" fillId="33" borderId="43" xfId="12" applyFont="1" applyFill="1" applyBorder="1" applyAlignment="1" applyProtection="1">
      <alignment horizontal="center" vertical="center" wrapText="1"/>
    </xf>
    <xf numFmtId="0" fontId="41" fillId="33" borderId="44" xfId="12" applyFont="1" applyFill="1" applyBorder="1" applyAlignment="1" applyProtection="1">
      <alignment horizontal="center" vertical="center" wrapText="1"/>
    </xf>
    <xf numFmtId="0" fontId="29" fillId="8" borderId="13" xfId="0" applyFont="1" applyFill="1" applyBorder="1" applyAlignment="1" applyProtection="1">
      <alignment horizontal="center" vertical="center" wrapText="1"/>
    </xf>
    <xf numFmtId="0" fontId="29" fillId="8" borderId="26" xfId="0" applyFont="1" applyFill="1" applyBorder="1" applyAlignment="1" applyProtection="1">
      <alignment horizontal="center" vertical="center" wrapText="1"/>
    </xf>
    <xf numFmtId="14" fontId="29" fillId="20" borderId="54" xfId="12" applyNumberFormat="1" applyFont="1" applyFill="1" applyBorder="1" applyAlignment="1" applyProtection="1">
      <alignment horizontal="center" vertical="center"/>
    </xf>
    <xf numFmtId="14" fontId="29" fillId="20" borderId="55" xfId="12" applyNumberFormat="1" applyFont="1" applyFill="1" applyBorder="1" applyAlignment="1" applyProtection="1">
      <alignment horizontal="center" vertical="center"/>
    </xf>
    <xf numFmtId="14" fontId="29" fillId="20" borderId="10" xfId="12" applyNumberFormat="1" applyFont="1" applyFill="1" applyBorder="1" applyAlignment="1" applyProtection="1">
      <alignment horizontal="center" vertical="center"/>
    </xf>
    <xf numFmtId="14" fontId="29" fillId="20" borderId="48" xfId="12" applyNumberFormat="1" applyFont="1" applyFill="1" applyBorder="1" applyAlignment="1" applyProtection="1">
      <alignment horizontal="center" vertical="center"/>
    </xf>
    <xf numFmtId="14" fontId="29" fillId="24" borderId="17" xfId="12" applyNumberFormat="1" applyFont="1" applyFill="1" applyBorder="1" applyAlignment="1" applyProtection="1">
      <alignment horizontal="center" vertical="center"/>
      <protection locked="0"/>
    </xf>
    <xf numFmtId="14" fontId="29" fillId="24" borderId="9" xfId="12" applyNumberFormat="1" applyFont="1" applyFill="1" applyBorder="1" applyAlignment="1" applyProtection="1">
      <alignment horizontal="center" vertical="center"/>
      <protection locked="0"/>
    </xf>
    <xf numFmtId="14" fontId="29" fillId="20" borderId="27" xfId="12" applyNumberFormat="1" applyFont="1" applyFill="1" applyBorder="1" applyAlignment="1" applyProtection="1">
      <alignment horizontal="center" vertical="center"/>
    </xf>
    <xf numFmtId="14" fontId="29" fillId="20" borderId="44" xfId="12" applyNumberFormat="1" applyFont="1" applyFill="1" applyBorder="1" applyAlignment="1" applyProtection="1">
      <alignment horizontal="center" vertical="center"/>
    </xf>
    <xf numFmtId="0" fontId="29" fillId="33" borderId="17" xfId="12" applyFont="1" applyFill="1" applyBorder="1" applyAlignment="1" applyProtection="1">
      <alignment horizontal="center" vertical="center" wrapText="1"/>
    </xf>
    <xf numFmtId="0" fontId="29" fillId="33" borderId="15" xfId="12" applyFont="1" applyFill="1" applyBorder="1" applyAlignment="1" applyProtection="1">
      <alignment horizontal="center" vertical="center" wrapText="1"/>
    </xf>
    <xf numFmtId="0" fontId="29" fillId="33" borderId="9" xfId="12" applyFont="1" applyFill="1" applyBorder="1" applyAlignment="1" applyProtection="1">
      <alignment horizontal="center" vertical="center" wrapText="1"/>
    </xf>
    <xf numFmtId="0" fontId="29" fillId="33" borderId="11" xfId="12" applyFont="1" applyFill="1" applyBorder="1" applyAlignment="1" applyProtection="1">
      <alignment horizontal="center" vertical="center" wrapText="1"/>
    </xf>
    <xf numFmtId="0" fontId="29" fillId="33" borderId="43" xfId="12" applyFont="1" applyFill="1" applyBorder="1" applyAlignment="1" applyProtection="1">
      <alignment horizontal="center" vertical="center" wrapText="1"/>
    </xf>
    <xf numFmtId="0" fontId="29" fillId="33" borderId="44" xfId="12" applyFont="1" applyFill="1" applyBorder="1" applyAlignment="1" applyProtection="1">
      <alignment horizontal="center" vertical="center" wrapText="1"/>
    </xf>
    <xf numFmtId="0" fontId="4" fillId="0" borderId="8" xfId="0" applyFont="1" applyBorder="1"/>
    <xf numFmtId="0" fontId="82" fillId="25" borderId="0" xfId="0" applyFont="1" applyFill="1" applyBorder="1" applyAlignment="1" applyProtection="1">
      <alignment horizontal="center" vertical="center"/>
    </xf>
    <xf numFmtId="0" fontId="31" fillId="33" borderId="8" xfId="12" applyFont="1" applyFill="1" applyBorder="1" applyAlignment="1" applyProtection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0" xfId="0" applyFont="1" applyAlignment="1" applyProtection="1">
      <alignment horizontal="center"/>
    </xf>
  </cellXfs>
  <cellStyles count="19">
    <cellStyle name="Euro" xfId="1"/>
    <cellStyle name="Euro 2" xfId="2"/>
    <cellStyle name="Euro 2 2" xfId="3"/>
    <cellStyle name="Euro 3" xfId="4"/>
    <cellStyle name="Euro 4" xfId="5"/>
    <cellStyle name="Euro 5" xfId="6"/>
    <cellStyle name="Euro_CA ANAVAL 2005" xfId="7"/>
    <cellStyle name="Lien hypertexte 2" xfId="8"/>
    <cellStyle name="Milliers 2" xfId="9"/>
    <cellStyle name="Monétaire 2" xfId="10"/>
    <cellStyle name="Monétaire 3" xfId="11"/>
    <cellStyle name="Normal" xfId="0" builtinId="0"/>
    <cellStyle name="Normal 2" xfId="12"/>
    <cellStyle name="Normal 2 2" xfId="13"/>
    <cellStyle name="Pourcentage" xfId="14" builtinId="5"/>
    <cellStyle name="Pourcentage 2" xfId="15"/>
    <cellStyle name="Pourcentage 2 2" xfId="16"/>
    <cellStyle name="Titre 2" xfId="17"/>
    <cellStyle name="Titre 2 2" xfId="18"/>
  </cellStyles>
  <dxfs count="1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/>
        <color theme="1"/>
      </font>
      <border>
        <top style="thin">
          <color theme="1" tint="0.34998626667073579"/>
        </top>
        <bottom style="medium">
          <color theme="1" tint="0.34998626667073579"/>
        </bottom>
      </border>
    </dxf>
    <dxf>
      <font>
        <b val="0"/>
        <i val="0"/>
        <color theme="1"/>
      </font>
      <border diagonalUp="0" diagonalDown="0">
        <left/>
        <right/>
        <top/>
        <bottom style="medium">
          <color theme="1" tint="0.34998626667073579"/>
        </bottom>
        <vertical style="medium">
          <color theme="0"/>
        </vertical>
        <horizontal/>
      </border>
    </dxf>
    <dxf>
      <font>
        <b val="0"/>
        <i val="0"/>
        <color theme="1"/>
      </font>
      <border diagonalUp="0" diagonalDown="0">
        <left/>
        <right/>
        <top/>
        <bottom style="medium">
          <color theme="1" tint="0.34998626667073579"/>
        </bottom>
        <vertical style="medium">
          <color theme="0"/>
        </vertical>
        <horizontal style="medium">
          <color theme="0"/>
        </horizontal>
      </border>
    </dxf>
  </dxfs>
  <tableStyles count="1" defaultTableStyle="TableStyleMedium2" defaultPivotStyle="PivotStyleLight16">
    <tableStyle name="Marketing Plan" pivot="0" count="3">
      <tableStyleElement type="wholeTable" dxfId="12"/>
      <tableStyleElement type="headerRow" dxfId="11"/>
      <tableStyleElement type="totalRow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IOLAM%20LCD%20CLOTURE%202015/Copie%20de%20GROUPE%202016%20MAJ%20le%2012%2004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lidations%20groupe%20et%20pr&#233;visionnel/Conso%20Groupe%202013/Conso%20Groupe%202012/consolidation%20par%20trimestre%20et%20consolide%20ccmx%20escue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lidations%20groupe%20et%20pr&#233;visionnel/Conso%20Groupe%202013/Conso%20Groupe%202012/Conso%20Groupe%202011/Trimestriel/GROUPE%20AU%2031-12-20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Compta/DOSSIER%20COMPTA-PARIS/1-COMPTA/REPORTING/BUDGETS/BUDGET%20MENSUEL%20BIOGROUP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1 dec 2014"/>
      <sheetName val="30 sept  2015"/>
      <sheetName val="4 trim 2015"/>
      <sheetName val="31 dec 2015"/>
      <sheetName val="31 dec 2016 Normatif"/>
      <sheetName val="1 trim 2016"/>
      <sheetName val="2 trim 2016"/>
      <sheetName val="3 trim 2016"/>
      <sheetName val="4 trim 2016"/>
      <sheetName val="amort"/>
      <sheetName val="Calculs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4">
          <cell r="P4">
            <v>31064471</v>
          </cell>
          <cell r="AA4">
            <v>53330074</v>
          </cell>
        </row>
        <row r="5">
          <cell r="M5">
            <v>3881373</v>
          </cell>
          <cell r="P5">
            <v>0</v>
          </cell>
          <cell r="S5">
            <v>0</v>
          </cell>
          <cell r="AA5">
            <v>3881373</v>
          </cell>
        </row>
        <row r="6">
          <cell r="M6">
            <v>262780</v>
          </cell>
          <cell r="P6">
            <v>467275</v>
          </cell>
          <cell r="S6">
            <v>0</v>
          </cell>
          <cell r="AA6">
            <v>730055</v>
          </cell>
        </row>
        <row r="8">
          <cell r="P8">
            <v>734635.82799999998</v>
          </cell>
          <cell r="AA8">
            <v>2103014</v>
          </cell>
        </row>
        <row r="9">
          <cell r="P9">
            <v>3261513.557</v>
          </cell>
          <cell r="S9">
            <v>41358.406000000003</v>
          </cell>
          <cell r="AA9">
            <v>5520564</v>
          </cell>
        </row>
        <row r="13">
          <cell r="M13">
            <v>3440979</v>
          </cell>
          <cell r="P13">
            <v>4277257.3899999997</v>
          </cell>
          <cell r="AA13">
            <v>8082466.9999999991</v>
          </cell>
        </row>
        <row r="14">
          <cell r="M14">
            <v>647771</v>
          </cell>
          <cell r="P14">
            <v>1115989.27</v>
          </cell>
          <cell r="AA14">
            <v>1870634</v>
          </cell>
        </row>
        <row r="15">
          <cell r="M15">
            <v>359281</v>
          </cell>
          <cell r="P15">
            <v>506086.46250000002</v>
          </cell>
          <cell r="AA15">
            <v>895173</v>
          </cell>
        </row>
        <row r="18">
          <cell r="M18">
            <v>819076</v>
          </cell>
          <cell r="P18">
            <v>1319254.6625000001</v>
          </cell>
          <cell r="AA18">
            <v>2263311</v>
          </cell>
        </row>
        <row r="19">
          <cell r="M19">
            <v>112889</v>
          </cell>
          <cell r="P19">
            <v>195845.17019999999</v>
          </cell>
          <cell r="AA19">
            <v>332465</v>
          </cell>
        </row>
        <row r="20">
          <cell r="M20">
            <v>60297</v>
          </cell>
          <cell r="P20">
            <v>80519</v>
          </cell>
          <cell r="AA20">
            <v>147816</v>
          </cell>
        </row>
        <row r="23">
          <cell r="M23">
            <v>4063777</v>
          </cell>
          <cell r="P23">
            <v>5896525</v>
          </cell>
          <cell r="AA23">
            <v>10641897</v>
          </cell>
        </row>
        <row r="24">
          <cell r="M24">
            <v>664675</v>
          </cell>
          <cell r="P24">
            <v>1152214</v>
          </cell>
          <cell r="AA24">
            <v>1919609</v>
          </cell>
        </row>
        <row r="25">
          <cell r="M25">
            <v>417150</v>
          </cell>
          <cell r="P25">
            <v>591531.31799999997</v>
          </cell>
          <cell r="AA25">
            <v>1041057</v>
          </cell>
        </row>
        <row r="27">
          <cell r="M27">
            <v>1597060</v>
          </cell>
          <cell r="P27">
            <v>2018350</v>
          </cell>
          <cell r="AA27">
            <v>3767685</v>
          </cell>
        </row>
        <row r="28">
          <cell r="P28">
            <v>404250</v>
          </cell>
          <cell r="AA28">
            <v>404250</v>
          </cell>
        </row>
        <row r="29">
          <cell r="M29">
            <v>1906498</v>
          </cell>
          <cell r="P29">
            <v>2563635.2675000001</v>
          </cell>
          <cell r="AA29">
            <v>4748592</v>
          </cell>
        </row>
        <row r="30">
          <cell r="M30">
            <v>261829</v>
          </cell>
          <cell r="P30">
            <v>453752.83140000002</v>
          </cell>
          <cell r="AA30">
            <v>756171</v>
          </cell>
        </row>
        <row r="31">
          <cell r="M31">
            <v>174929</v>
          </cell>
          <cell r="P31">
            <v>247459.17505640001</v>
          </cell>
          <cell r="AA31">
            <v>436627</v>
          </cell>
        </row>
        <row r="33">
          <cell r="M33">
            <v>423727</v>
          </cell>
          <cell r="P33">
            <v>423930</v>
          </cell>
          <cell r="AA33">
            <v>866207</v>
          </cell>
        </row>
        <row r="34">
          <cell r="P34">
            <v>161701</v>
          </cell>
          <cell r="AA34">
            <v>161701</v>
          </cell>
        </row>
        <row r="36">
          <cell r="M36">
            <v>-55673</v>
          </cell>
          <cell r="P36">
            <v>-730680</v>
          </cell>
          <cell r="AA36">
            <v>-805766</v>
          </cell>
        </row>
        <row r="39">
          <cell r="AA39">
            <v>1236041.3600000001</v>
          </cell>
        </row>
        <row r="40">
          <cell r="M40">
            <v>317600.9318561338</v>
          </cell>
          <cell r="P40">
            <v>650642.76814386621</v>
          </cell>
          <cell r="AA40">
            <v>968243.7</v>
          </cell>
        </row>
        <row r="42">
          <cell r="AA42">
            <v>92911</v>
          </cell>
        </row>
        <row r="43">
          <cell r="AA43">
            <v>255829</v>
          </cell>
        </row>
        <row r="45">
          <cell r="AA45">
            <v>336851</v>
          </cell>
        </row>
        <row r="46">
          <cell r="AA46">
            <v>3301903.6399999997</v>
          </cell>
        </row>
        <row r="47">
          <cell r="M47">
            <v>80144.337744021788</v>
          </cell>
          <cell r="P47">
            <v>143406.96225597823</v>
          </cell>
          <cell r="AA47">
            <v>223551.30000000002</v>
          </cell>
        </row>
        <row r="49">
          <cell r="AA49">
            <v>540685</v>
          </cell>
        </row>
        <row r="50">
          <cell r="AA50">
            <v>6245801</v>
          </cell>
        </row>
        <row r="53">
          <cell r="AA53">
            <v>-1672116.9387000001</v>
          </cell>
        </row>
      </sheetData>
      <sheetData sheetId="4" refreshError="1"/>
      <sheetData sheetId="5" refreshError="1">
        <row r="54">
          <cell r="AA54">
            <v>2689732.0930485735</v>
          </cell>
        </row>
      </sheetData>
      <sheetData sheetId="6" refreshError="1">
        <row r="54">
          <cell r="AA54">
            <v>2049115.0460587922</v>
          </cell>
        </row>
      </sheetData>
      <sheetData sheetId="7" refreshError="1">
        <row r="54">
          <cell r="AA54">
            <v>933138.73397785029</v>
          </cell>
        </row>
      </sheetData>
      <sheetData sheetId="8" refreshError="1">
        <row r="54">
          <cell r="AA54">
            <v>2041819.3416499961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so groupe 1trim"/>
      <sheetName val="conso groupe 1trimdetail"/>
      <sheetName val="conso groupe 2trim"/>
      <sheetName val="conso groupe detail 30-06"/>
      <sheetName val="conso groupe 2trimdetail"/>
      <sheetName val="conso groupe 3trim"/>
      <sheetName val="conso groupe detail 30-09"/>
      <sheetName val="conso lcd"/>
      <sheetName val="conso lcd (ccmx_ANA17)"/>
      <sheetName val="conso lcd (ccmx_ANAVAL)"/>
      <sheetName val="conso lcd (ccmx_BIOLAM)"/>
      <sheetName val="conso lcd (ccmx_ANA11)"/>
      <sheetName val="conso lcd (ccmx_SELAS)"/>
      <sheetName val="Controle trimestriel"/>
      <sheetName val="Feuil1"/>
    </sheetNames>
    <sheetDataSet>
      <sheetData sheetId="0" refreshError="1"/>
      <sheetData sheetId="1" refreshError="1">
        <row r="10">
          <cell r="F10">
            <v>0</v>
          </cell>
        </row>
      </sheetData>
      <sheetData sheetId="2" refreshError="1"/>
      <sheetData sheetId="3" refreshError="1"/>
      <sheetData sheetId="4" refreshError="1">
        <row r="10">
          <cell r="F10">
            <v>0</v>
          </cell>
        </row>
      </sheetData>
      <sheetData sheetId="5" refreshError="1"/>
      <sheetData sheetId="6" refreshError="1"/>
      <sheetData sheetId="7" refreshError="1">
        <row r="40">
          <cell r="A40" t="str">
            <v>RESULTAT EXPLOITATION</v>
          </cell>
        </row>
        <row r="43">
          <cell r="A43" t="str">
            <v>RESULTAT FINANCIER</v>
          </cell>
        </row>
        <row r="46">
          <cell r="A46" t="str">
            <v>RESULTAT EXCEPTIONNEL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ns groupe detail 31-12 av CR "/>
      <sheetName val="cons groupe detail 31-12 ss CR"/>
      <sheetName val="conso groupe 4tr2011 av CR "/>
      <sheetName val="cons groupe 4tr2011 ss CR "/>
      <sheetName val="conso groupe detail 30-09 av CR"/>
      <sheetName val="conso groupe detail 30-09 ss CR"/>
      <sheetName val="conso  groupe 3tr2011 ss CR  "/>
      <sheetName val="conso groupe 3tr2011 av CR "/>
      <sheetName val="conso groupe detail 30-06 ss CR"/>
      <sheetName val="conso groupe detail 30-06 av CR"/>
      <sheetName val="Feuil1"/>
      <sheetName val="feuil10"/>
      <sheetName val="Feuil2"/>
    </sheetNames>
    <sheetDataSet>
      <sheetData sheetId="0" refreshError="1">
        <row r="36">
          <cell r="I3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31 dec 2014"/>
      <sheetName val="31 dec 2015"/>
      <sheetName val="31 dec 2016"/>
      <sheetName val="1 trim 2016 BIOGROUP"/>
      <sheetName val="2 trim 2016 BIOGROUP"/>
      <sheetName val="3 trim 2016 BIOGROUP"/>
      <sheetName val="4 trim 2016 BIOGROUP"/>
      <sheetName val="31 dec 2016 BIOLAM"/>
    </sheetNames>
    <sheetDataSet>
      <sheetData sheetId="0"/>
      <sheetData sheetId="1"/>
      <sheetData sheetId="2"/>
      <sheetData sheetId="3">
        <row r="4">
          <cell r="G4">
            <v>8178634.25</v>
          </cell>
          <cell r="S4">
            <v>509954.51244999998</v>
          </cell>
          <cell r="U4">
            <v>235244</v>
          </cell>
          <cell r="Z4">
            <v>850438.25</v>
          </cell>
          <cell r="AC4">
            <v>996315.5</v>
          </cell>
        </row>
        <row r="5">
          <cell r="G5">
            <v>0</v>
          </cell>
          <cell r="S5">
            <v>113446.48755000001</v>
          </cell>
          <cell r="U5">
            <v>0</v>
          </cell>
          <cell r="Z5">
            <v>135694.25</v>
          </cell>
          <cell r="AC5">
            <v>0</v>
          </cell>
        </row>
        <row r="6">
          <cell r="G6">
            <v>203118.25</v>
          </cell>
          <cell r="S6">
            <v>561.99935000000005</v>
          </cell>
          <cell r="U6">
            <v>3644.4133000000002</v>
          </cell>
          <cell r="Z6">
            <v>5066.75</v>
          </cell>
          <cell r="AC6">
            <v>23750</v>
          </cell>
        </row>
        <row r="8">
          <cell r="G8">
            <v>947141.25</v>
          </cell>
          <cell r="I8">
            <v>-375000</v>
          </cell>
          <cell r="S8">
            <v>76879.977899999998</v>
          </cell>
          <cell r="U8">
            <v>50586.829700000002</v>
          </cell>
          <cell r="Z8">
            <v>108572.25</v>
          </cell>
          <cell r="AC8">
            <v>139501.25</v>
          </cell>
        </row>
        <row r="9">
          <cell r="G9">
            <v>514076.25</v>
          </cell>
          <cell r="S9">
            <v>0</v>
          </cell>
          <cell r="U9">
            <v>13315.39055</v>
          </cell>
          <cell r="Z9">
            <v>138150</v>
          </cell>
          <cell r="AC9">
            <v>76545.5</v>
          </cell>
        </row>
        <row r="13">
          <cell r="G13">
            <v>1226196.75</v>
          </cell>
          <cell r="S13">
            <v>91008.564899999998</v>
          </cell>
          <cell r="U13">
            <v>54235.687000000005</v>
          </cell>
          <cell r="Z13">
            <v>121551.75</v>
          </cell>
          <cell r="AC13">
            <v>118503</v>
          </cell>
        </row>
        <row r="14">
          <cell r="G14">
            <v>25931.25</v>
          </cell>
          <cell r="S14">
            <v>0</v>
          </cell>
          <cell r="U14">
            <v>0</v>
          </cell>
          <cell r="Z14">
            <v>0</v>
          </cell>
          <cell r="AC14">
            <v>0</v>
          </cell>
        </row>
        <row r="18">
          <cell r="G18">
            <v>287531.5</v>
          </cell>
          <cell r="S18">
            <v>22979.701800000003</v>
          </cell>
          <cell r="U18">
            <v>9945.2276000000002</v>
          </cell>
          <cell r="Z18">
            <v>35892.5</v>
          </cell>
          <cell r="AC18">
            <v>51226.75</v>
          </cell>
        </row>
        <row r="23">
          <cell r="G23">
            <v>1306449.5</v>
          </cell>
          <cell r="S23">
            <v>134651.03354999999</v>
          </cell>
          <cell r="U23">
            <v>63345.275950000003</v>
          </cell>
          <cell r="Z23">
            <v>232119.25</v>
          </cell>
          <cell r="AC23">
            <v>183021.5</v>
          </cell>
        </row>
        <row r="25">
          <cell r="G25">
            <v>0</v>
          </cell>
          <cell r="S25">
            <v>0</v>
          </cell>
          <cell r="U25">
            <v>0</v>
          </cell>
          <cell r="Z25">
            <v>0</v>
          </cell>
          <cell r="AC25">
            <v>0</v>
          </cell>
        </row>
        <row r="27">
          <cell r="G27">
            <v>536517.5</v>
          </cell>
          <cell r="S27">
            <v>60325.244650000001</v>
          </cell>
          <cell r="U27">
            <v>28868.501749999999</v>
          </cell>
          <cell r="Z27">
            <v>0</v>
          </cell>
          <cell r="AC27">
            <v>50487.5</v>
          </cell>
        </row>
        <row r="29">
          <cell r="G29">
            <v>481859</v>
          </cell>
          <cell r="S29">
            <v>57198.335149999999</v>
          </cell>
          <cell r="U29">
            <v>26576.6754</v>
          </cell>
          <cell r="Z29">
            <v>93372.25</v>
          </cell>
          <cell r="AC29">
            <v>76853.25</v>
          </cell>
        </row>
        <row r="31">
          <cell r="G31">
            <v>0</v>
          </cell>
          <cell r="S31">
            <v>5863.3580499999998</v>
          </cell>
          <cell r="U31">
            <v>3236.0097000000001</v>
          </cell>
          <cell r="Z31">
            <v>0</v>
          </cell>
          <cell r="AC31">
            <v>0</v>
          </cell>
        </row>
        <row r="33">
          <cell r="G33">
            <v>282839.75</v>
          </cell>
          <cell r="S33">
            <v>0</v>
          </cell>
          <cell r="U33">
            <v>0</v>
          </cell>
          <cell r="Z33">
            <v>0</v>
          </cell>
          <cell r="AC33">
            <v>36351</v>
          </cell>
        </row>
        <row r="36">
          <cell r="G36">
            <v>-98905</v>
          </cell>
          <cell r="S36">
            <v>-10249.80825</v>
          </cell>
          <cell r="U36">
            <v>-6274.5391500000005</v>
          </cell>
          <cell r="Z36">
            <v>-8995.75</v>
          </cell>
          <cell r="AC36">
            <v>-10412.25</v>
          </cell>
        </row>
        <row r="39">
          <cell r="G39">
            <v>156117.25</v>
          </cell>
          <cell r="S39">
            <v>6090.0020500000001</v>
          </cell>
          <cell r="U39">
            <v>5396.1825500000004</v>
          </cell>
          <cell r="Z39">
            <v>28788.25</v>
          </cell>
          <cell r="AC39">
            <v>36112.5</v>
          </cell>
        </row>
        <row r="40">
          <cell r="G40">
            <v>63066.75</v>
          </cell>
          <cell r="S40">
            <v>14450.783666000001</v>
          </cell>
          <cell r="U40">
            <v>2346.6853080000005</v>
          </cell>
          <cell r="Z40">
            <v>7746.63</v>
          </cell>
          <cell r="AC40">
            <v>0</v>
          </cell>
        </row>
        <row r="46">
          <cell r="G46">
            <v>4257759</v>
          </cell>
          <cell r="S46">
            <v>0</v>
          </cell>
          <cell r="U46">
            <v>0</v>
          </cell>
          <cell r="Z46">
            <v>0</v>
          </cell>
          <cell r="AC46">
            <v>0</v>
          </cell>
        </row>
        <row r="47">
          <cell r="G47">
            <v>5243.5</v>
          </cell>
          <cell r="S47">
            <v>1256.5898839999986</v>
          </cell>
          <cell r="U47">
            <v>204.05959199999972</v>
          </cell>
          <cell r="Z47">
            <v>0</v>
          </cell>
          <cell r="AC47">
            <v>0</v>
          </cell>
        </row>
        <row r="52">
          <cell r="Z52">
            <v>234002.12</v>
          </cell>
          <cell r="AC52">
            <v>261875.5</v>
          </cell>
        </row>
        <row r="53">
          <cell r="S53">
            <v>-54513.972614400038</v>
          </cell>
          <cell r="U53">
            <v>4298.7171215100043</v>
          </cell>
        </row>
        <row r="54">
          <cell r="S54">
            <v>108995.2433856001</v>
          </cell>
          <cell r="U54">
            <v>-8594.8555284900103</v>
          </cell>
        </row>
      </sheetData>
      <sheetData sheetId="4">
        <row r="4">
          <cell r="G4">
            <v>8000323.5</v>
          </cell>
          <cell r="S4">
            <v>409596.51244999998</v>
          </cell>
          <cell r="U4">
            <v>300143</v>
          </cell>
          <cell r="Z4">
            <v>855505</v>
          </cell>
          <cell r="AC4">
            <v>996315.5</v>
          </cell>
        </row>
        <row r="5">
          <cell r="G5">
            <v>0</v>
          </cell>
          <cell r="S5">
            <v>113446.48755000001</v>
          </cell>
          <cell r="U5">
            <v>0</v>
          </cell>
          <cell r="Z5">
            <v>135694.25</v>
          </cell>
          <cell r="AC5">
            <v>0</v>
          </cell>
        </row>
        <row r="6">
          <cell r="G6">
            <v>203118.25</v>
          </cell>
          <cell r="S6">
            <v>561.99935000000005</v>
          </cell>
          <cell r="U6">
            <v>3644.4133000000002</v>
          </cell>
          <cell r="Z6">
            <v>5066.75</v>
          </cell>
          <cell r="AC6">
            <v>23750</v>
          </cell>
        </row>
        <row r="8">
          <cell r="G8">
            <v>947141.25</v>
          </cell>
          <cell r="I8">
            <v>-375000</v>
          </cell>
          <cell r="S8">
            <v>76879.977899999998</v>
          </cell>
          <cell r="U8">
            <v>50586.829700000002</v>
          </cell>
          <cell r="Z8">
            <v>108572.25</v>
          </cell>
          <cell r="AC8">
            <v>139501.25</v>
          </cell>
        </row>
        <row r="9">
          <cell r="G9">
            <v>514076.25</v>
          </cell>
          <cell r="S9">
            <v>0</v>
          </cell>
          <cell r="U9">
            <v>13315.39055</v>
          </cell>
          <cell r="Z9">
            <v>138150</v>
          </cell>
          <cell r="AC9">
            <v>76545.5</v>
          </cell>
        </row>
        <row r="13">
          <cell r="G13">
            <v>1226196.75</v>
          </cell>
          <cell r="S13">
            <v>91008.564899999998</v>
          </cell>
          <cell r="U13">
            <v>54235.687000000005</v>
          </cell>
          <cell r="Z13">
            <v>121551.75</v>
          </cell>
          <cell r="AC13">
            <v>118503</v>
          </cell>
        </row>
        <row r="14">
          <cell r="G14">
            <v>25931.25</v>
          </cell>
          <cell r="S14">
            <v>0</v>
          </cell>
          <cell r="U14">
            <v>0</v>
          </cell>
          <cell r="Z14">
            <v>0</v>
          </cell>
          <cell r="AC14">
            <v>0</v>
          </cell>
        </row>
        <row r="18">
          <cell r="G18">
            <v>287531.5</v>
          </cell>
          <cell r="S18">
            <v>22979.701800000003</v>
          </cell>
          <cell r="U18">
            <v>9945.2276000000002</v>
          </cell>
          <cell r="Z18">
            <v>35892.5</v>
          </cell>
          <cell r="AC18">
            <v>51226.75</v>
          </cell>
        </row>
        <row r="23">
          <cell r="G23">
            <v>1306449.5</v>
          </cell>
          <cell r="S23">
            <v>134651.03354999999</v>
          </cell>
          <cell r="U23">
            <v>63345.275950000003</v>
          </cell>
          <cell r="Z23">
            <v>232119.25</v>
          </cell>
          <cell r="AC23">
            <v>183021.5</v>
          </cell>
        </row>
        <row r="25">
          <cell r="G25">
            <v>0</v>
          </cell>
          <cell r="S25">
            <v>0</v>
          </cell>
          <cell r="U25">
            <v>0</v>
          </cell>
          <cell r="Z25">
            <v>0</v>
          </cell>
          <cell r="AC25">
            <v>0</v>
          </cell>
        </row>
        <row r="27">
          <cell r="G27">
            <v>536517.5</v>
          </cell>
          <cell r="S27">
            <v>60325.244650000001</v>
          </cell>
          <cell r="U27">
            <v>28868.501749999999</v>
          </cell>
          <cell r="Z27">
            <v>0</v>
          </cell>
          <cell r="AC27">
            <v>50487.5</v>
          </cell>
        </row>
        <row r="29">
          <cell r="G29">
            <v>481859</v>
          </cell>
          <cell r="S29">
            <v>57198.335149999999</v>
          </cell>
          <cell r="U29">
            <v>26576.6754</v>
          </cell>
          <cell r="Z29">
            <v>93372.25</v>
          </cell>
          <cell r="AC29">
            <v>76853.25</v>
          </cell>
        </row>
        <row r="31">
          <cell r="G31">
            <v>0</v>
          </cell>
          <cell r="S31">
            <v>5863.3580499999998</v>
          </cell>
          <cell r="U31">
            <v>3236.0097000000001</v>
          </cell>
          <cell r="Z31">
            <v>0</v>
          </cell>
          <cell r="AC31">
            <v>0</v>
          </cell>
        </row>
        <row r="33">
          <cell r="G33">
            <v>282839.75</v>
          </cell>
          <cell r="S33">
            <v>0</v>
          </cell>
          <cell r="U33">
            <v>0</v>
          </cell>
          <cell r="Z33">
            <v>0</v>
          </cell>
          <cell r="AC33">
            <v>36351</v>
          </cell>
        </row>
        <row r="36">
          <cell r="G36">
            <v>-98905</v>
          </cell>
          <cell r="S36">
            <v>-10249.80825</v>
          </cell>
          <cell r="U36">
            <v>-6274.5391500000005</v>
          </cell>
          <cell r="Z36">
            <v>-8995.75</v>
          </cell>
          <cell r="AC36">
            <v>-10412.25</v>
          </cell>
        </row>
        <row r="39">
          <cell r="G39">
            <v>156117.25</v>
          </cell>
          <cell r="S39">
            <v>6090.0020500000001</v>
          </cell>
          <cell r="U39">
            <v>5396.1825500000004</v>
          </cell>
          <cell r="Z39">
            <v>28788.25</v>
          </cell>
          <cell r="AC39">
            <v>36112.5</v>
          </cell>
        </row>
        <row r="40">
          <cell r="G40">
            <v>63066.75</v>
          </cell>
          <cell r="S40">
            <v>14450.783666000001</v>
          </cell>
          <cell r="U40">
            <v>2346.6853080000005</v>
          </cell>
          <cell r="Z40">
            <v>7746.63</v>
          </cell>
          <cell r="AC40">
            <v>0</v>
          </cell>
        </row>
        <row r="46">
          <cell r="G46">
            <v>4257759</v>
          </cell>
          <cell r="S46">
            <v>0</v>
          </cell>
          <cell r="U46">
            <v>0</v>
          </cell>
          <cell r="Z46">
            <v>0</v>
          </cell>
          <cell r="AC46">
            <v>0</v>
          </cell>
        </row>
        <row r="47">
          <cell r="G47">
            <v>5243.5</v>
          </cell>
          <cell r="S47">
            <v>1256.5898839999986</v>
          </cell>
          <cell r="U47">
            <v>204.05959199999972</v>
          </cell>
          <cell r="Z47">
            <v>0</v>
          </cell>
          <cell r="AC47">
            <v>0</v>
          </cell>
        </row>
        <row r="52">
          <cell r="Z52">
            <v>239068.87</v>
          </cell>
          <cell r="AC52">
            <v>261875.5</v>
          </cell>
        </row>
        <row r="53">
          <cell r="S53">
            <v>-21054.615414400003</v>
          </cell>
          <cell r="U53">
            <v>-17338.609478489991</v>
          </cell>
        </row>
        <row r="54">
          <cell r="S54">
            <v>42096.600585600012</v>
          </cell>
          <cell r="U54">
            <v>34666.817871509986</v>
          </cell>
        </row>
      </sheetData>
      <sheetData sheetId="5">
        <row r="4">
          <cell r="G4">
            <v>7368539.5</v>
          </cell>
          <cell r="S4">
            <v>382308.51244999998</v>
          </cell>
          <cell r="U4">
            <v>263664</v>
          </cell>
          <cell r="Z4">
            <v>855505</v>
          </cell>
          <cell r="AC4">
            <v>996315.5</v>
          </cell>
        </row>
        <row r="5">
          <cell r="G5">
            <v>0</v>
          </cell>
          <cell r="S5">
            <v>113446.48755000001</v>
          </cell>
          <cell r="U5">
            <v>0</v>
          </cell>
          <cell r="Z5">
            <v>135694.25</v>
          </cell>
          <cell r="AC5">
            <v>0</v>
          </cell>
        </row>
        <row r="6">
          <cell r="G6">
            <v>203118.25</v>
          </cell>
          <cell r="S6">
            <v>561.99935000000005</v>
          </cell>
          <cell r="U6">
            <v>3644.4133000000002</v>
          </cell>
          <cell r="Z6">
            <v>5066.75</v>
          </cell>
          <cell r="AC6">
            <v>23750</v>
          </cell>
        </row>
        <row r="8">
          <cell r="G8">
            <v>947141.25</v>
          </cell>
          <cell r="I8">
            <v>-375000</v>
          </cell>
          <cell r="S8">
            <v>76879.977899999998</v>
          </cell>
          <cell r="U8">
            <v>50586.829700000002</v>
          </cell>
          <cell r="Z8">
            <v>108572.25</v>
          </cell>
          <cell r="AC8">
            <v>139501.25</v>
          </cell>
        </row>
        <row r="9">
          <cell r="G9">
            <v>514076.25</v>
          </cell>
          <cell r="S9">
            <v>0</v>
          </cell>
          <cell r="U9">
            <v>13315.39055</v>
          </cell>
          <cell r="Z9">
            <v>138150</v>
          </cell>
          <cell r="AC9">
            <v>76545.5</v>
          </cell>
        </row>
        <row r="13">
          <cell r="G13">
            <v>1226196.75</v>
          </cell>
          <cell r="S13">
            <v>91008.564899999998</v>
          </cell>
          <cell r="U13">
            <v>54235.687000000005</v>
          </cell>
          <cell r="Z13">
            <v>121551.75</v>
          </cell>
          <cell r="AC13">
            <v>118503</v>
          </cell>
        </row>
        <row r="14">
          <cell r="G14">
            <v>25931.25</v>
          </cell>
          <cell r="S14">
            <v>0</v>
          </cell>
          <cell r="U14">
            <v>0</v>
          </cell>
          <cell r="Z14">
            <v>0</v>
          </cell>
          <cell r="AC14">
            <v>0</v>
          </cell>
        </row>
        <row r="18">
          <cell r="G18">
            <v>287531.5</v>
          </cell>
          <cell r="S18">
            <v>22979.701800000003</v>
          </cell>
          <cell r="U18">
            <v>9945.2276000000002</v>
          </cell>
          <cell r="Z18">
            <v>35892.5</v>
          </cell>
          <cell r="AC18">
            <v>51226.75</v>
          </cell>
        </row>
        <row r="23">
          <cell r="G23">
            <v>1306449.5</v>
          </cell>
          <cell r="S23">
            <v>134651.03354999999</v>
          </cell>
          <cell r="U23">
            <v>63345.275950000003</v>
          </cell>
          <cell r="Z23">
            <v>232119.25</v>
          </cell>
          <cell r="AC23">
            <v>183021.5</v>
          </cell>
        </row>
        <row r="25">
          <cell r="G25">
            <v>0</v>
          </cell>
          <cell r="S25">
            <v>0</v>
          </cell>
          <cell r="U25">
            <v>0</v>
          </cell>
          <cell r="Z25">
            <v>0</v>
          </cell>
          <cell r="AC25">
            <v>0</v>
          </cell>
        </row>
        <row r="27">
          <cell r="G27">
            <v>536517.5</v>
          </cell>
          <cell r="S27">
            <v>60325.244650000001</v>
          </cell>
          <cell r="U27">
            <v>28868.501749999999</v>
          </cell>
          <cell r="Z27">
            <v>0</v>
          </cell>
          <cell r="AC27">
            <v>50487.5</v>
          </cell>
        </row>
        <row r="29">
          <cell r="G29">
            <v>481859</v>
          </cell>
          <cell r="S29">
            <v>57198.335149999999</v>
          </cell>
          <cell r="U29">
            <v>26576.6754</v>
          </cell>
          <cell r="Z29">
            <v>93372.25</v>
          </cell>
          <cell r="AC29">
            <v>76853.25</v>
          </cell>
        </row>
        <row r="31">
          <cell r="G31">
            <v>0</v>
          </cell>
          <cell r="S31">
            <v>5863.3580499999998</v>
          </cell>
          <cell r="U31">
            <v>3236.0097000000001</v>
          </cell>
          <cell r="Z31">
            <v>0</v>
          </cell>
          <cell r="AC31">
            <v>0</v>
          </cell>
        </row>
        <row r="33">
          <cell r="G33">
            <v>282839.75</v>
          </cell>
          <cell r="S33">
            <v>0</v>
          </cell>
          <cell r="U33">
            <v>0</v>
          </cell>
          <cell r="Z33">
            <v>0</v>
          </cell>
          <cell r="AC33">
            <v>36351</v>
          </cell>
        </row>
        <row r="36">
          <cell r="G36">
            <v>-98905</v>
          </cell>
          <cell r="S36">
            <v>-10249.80825</v>
          </cell>
          <cell r="U36">
            <v>-6274.5391500000005</v>
          </cell>
          <cell r="Z36">
            <v>-8995.75</v>
          </cell>
          <cell r="AC36">
            <v>-10412.25</v>
          </cell>
        </row>
        <row r="39">
          <cell r="G39">
            <v>156117.25</v>
          </cell>
          <cell r="S39">
            <v>6090.0020500000001</v>
          </cell>
          <cell r="U39">
            <v>5396.1825500000004</v>
          </cell>
          <cell r="Z39">
            <v>28788.25</v>
          </cell>
          <cell r="AC39">
            <v>36112.5</v>
          </cell>
        </row>
        <row r="40">
          <cell r="G40">
            <v>63066.75</v>
          </cell>
          <cell r="S40">
            <v>14450.783666000001</v>
          </cell>
          <cell r="U40">
            <v>2346.6853080000005</v>
          </cell>
          <cell r="Z40">
            <v>7746.63</v>
          </cell>
          <cell r="AC40">
            <v>0</v>
          </cell>
        </row>
        <row r="46">
          <cell r="G46">
            <v>4257759</v>
          </cell>
          <cell r="S46">
            <v>0</v>
          </cell>
          <cell r="U46">
            <v>0</v>
          </cell>
          <cell r="Z46">
            <v>0</v>
          </cell>
          <cell r="AC46">
            <v>0</v>
          </cell>
        </row>
        <row r="47">
          <cell r="G47">
            <v>5243.5</v>
          </cell>
          <cell r="S47">
            <v>1256.5898839999986</v>
          </cell>
          <cell r="U47">
            <v>204.05959199999972</v>
          </cell>
          <cell r="Z47">
            <v>0</v>
          </cell>
          <cell r="AC47">
            <v>0</v>
          </cell>
        </row>
        <row r="52">
          <cell r="Z52">
            <v>239068.87</v>
          </cell>
          <cell r="AC52">
            <v>261875.5</v>
          </cell>
        </row>
        <row r="53">
          <cell r="S53">
            <v>-11956.796214400001</v>
          </cell>
          <cell r="U53">
            <v>-5176.5108784899903</v>
          </cell>
        </row>
      </sheetData>
      <sheetData sheetId="6">
        <row r="4">
          <cell r="G4">
            <v>7904652.5</v>
          </cell>
          <cell r="S4">
            <v>439565.51244999998</v>
          </cell>
          <cell r="U4">
            <v>286578</v>
          </cell>
          <cell r="Z4">
            <v>855505</v>
          </cell>
          <cell r="AC4">
            <v>996315.5</v>
          </cell>
        </row>
        <row r="5">
          <cell r="G5">
            <v>0</v>
          </cell>
          <cell r="S5">
            <v>113446.48755000001</v>
          </cell>
          <cell r="U5">
            <v>0</v>
          </cell>
          <cell r="Z5">
            <v>135694.25</v>
          </cell>
          <cell r="AC5">
            <v>0</v>
          </cell>
        </row>
        <row r="6">
          <cell r="G6">
            <v>203118.25</v>
          </cell>
          <cell r="S6">
            <v>561.99935000000005</v>
          </cell>
          <cell r="U6">
            <v>3644.4133000000002</v>
          </cell>
          <cell r="Z6">
            <v>5066.75</v>
          </cell>
          <cell r="AC6">
            <v>23750</v>
          </cell>
        </row>
        <row r="8">
          <cell r="G8">
            <v>947141.25</v>
          </cell>
          <cell r="S8">
            <v>76879.977899999998</v>
          </cell>
          <cell r="U8">
            <v>50586.829700000002</v>
          </cell>
          <cell r="Z8">
            <v>108572.25</v>
          </cell>
          <cell r="AC8">
            <v>139501.25</v>
          </cell>
        </row>
        <row r="9">
          <cell r="G9">
            <v>514076.25</v>
          </cell>
          <cell r="S9">
            <v>0</v>
          </cell>
          <cell r="U9">
            <v>13315.39055</v>
          </cell>
          <cell r="Z9">
            <v>138150</v>
          </cell>
          <cell r="AC9">
            <v>76545.5</v>
          </cell>
        </row>
        <row r="13">
          <cell r="G13">
            <v>1226196.75</v>
          </cell>
          <cell r="S13">
            <v>91008.564899999998</v>
          </cell>
          <cell r="U13">
            <v>54235.687000000005</v>
          </cell>
          <cell r="Z13">
            <v>121551.75</v>
          </cell>
          <cell r="AC13">
            <v>118503</v>
          </cell>
        </row>
        <row r="14">
          <cell r="G14">
            <v>25931.25</v>
          </cell>
          <cell r="S14">
            <v>0</v>
          </cell>
          <cell r="U14">
            <v>0</v>
          </cell>
          <cell r="Z14">
            <v>0</v>
          </cell>
          <cell r="AC14">
            <v>0</v>
          </cell>
        </row>
        <row r="18">
          <cell r="G18">
            <v>287531.5</v>
          </cell>
          <cell r="S18">
            <v>22979.701800000003</v>
          </cell>
          <cell r="U18">
            <v>9945.2276000000002</v>
          </cell>
          <cell r="Z18">
            <v>35892.5</v>
          </cell>
          <cell r="AC18">
            <v>51226.75</v>
          </cell>
        </row>
        <row r="23">
          <cell r="G23">
            <v>1306449.5</v>
          </cell>
          <cell r="S23">
            <v>134651.03354999999</v>
          </cell>
          <cell r="U23">
            <v>63345.275950000003</v>
          </cell>
          <cell r="Z23">
            <v>232119.25</v>
          </cell>
          <cell r="AC23">
            <v>183021.5</v>
          </cell>
        </row>
        <row r="25">
          <cell r="G25">
            <v>0</v>
          </cell>
          <cell r="S25">
            <v>0</v>
          </cell>
          <cell r="U25">
            <v>0</v>
          </cell>
          <cell r="Z25">
            <v>0</v>
          </cell>
          <cell r="AC25">
            <v>0</v>
          </cell>
        </row>
        <row r="27">
          <cell r="G27">
            <v>536517.5</v>
          </cell>
          <cell r="S27">
            <v>60325.244650000001</v>
          </cell>
          <cell r="U27">
            <v>28868.501749999999</v>
          </cell>
          <cell r="Z27">
            <v>0</v>
          </cell>
          <cell r="AC27">
            <v>50487.5</v>
          </cell>
        </row>
        <row r="29">
          <cell r="G29">
            <v>481859</v>
          </cell>
          <cell r="S29">
            <v>57198.335149999999</v>
          </cell>
          <cell r="U29">
            <v>26576.6754</v>
          </cell>
          <cell r="Z29">
            <v>93372.25</v>
          </cell>
          <cell r="AC29">
            <v>76853.25</v>
          </cell>
        </row>
        <row r="31">
          <cell r="G31">
            <v>0</v>
          </cell>
          <cell r="S31">
            <v>5863.3580499999998</v>
          </cell>
          <cell r="U31">
            <v>3236.0097000000001</v>
          </cell>
          <cell r="Z31">
            <v>0</v>
          </cell>
          <cell r="AC31">
            <v>0</v>
          </cell>
        </row>
        <row r="33">
          <cell r="G33">
            <v>282839.75</v>
          </cell>
          <cell r="S33">
            <v>0</v>
          </cell>
          <cell r="U33">
            <v>0</v>
          </cell>
          <cell r="Z33">
            <v>0</v>
          </cell>
          <cell r="AC33">
            <v>36351</v>
          </cell>
        </row>
        <row r="36">
          <cell r="G36">
            <v>-98905</v>
          </cell>
          <cell r="S36">
            <v>-10249.80825</v>
          </cell>
          <cell r="U36">
            <v>-6274.5391500000005</v>
          </cell>
          <cell r="Z36">
            <v>-8995.75</v>
          </cell>
          <cell r="AC36">
            <v>-10412.25</v>
          </cell>
        </row>
        <row r="39">
          <cell r="G39">
            <v>156117.25</v>
          </cell>
          <cell r="S39">
            <v>6090.0020500000001</v>
          </cell>
          <cell r="U39">
            <v>5396.1825500000004</v>
          </cell>
          <cell r="Z39">
            <v>28788.25</v>
          </cell>
          <cell r="AC39">
            <v>36112.5</v>
          </cell>
        </row>
        <row r="40">
          <cell r="G40">
            <v>63066.75</v>
          </cell>
          <cell r="S40">
            <v>14450.783666000001</v>
          </cell>
          <cell r="U40">
            <v>2346.6853080000005</v>
          </cell>
          <cell r="Z40">
            <v>7746.63</v>
          </cell>
          <cell r="AC40">
            <v>0</v>
          </cell>
        </row>
        <row r="46">
          <cell r="G46">
            <v>4257759</v>
          </cell>
          <cell r="S46">
            <v>0</v>
          </cell>
          <cell r="U46">
            <v>0</v>
          </cell>
          <cell r="Z46">
            <v>0</v>
          </cell>
          <cell r="AC46">
            <v>0</v>
          </cell>
        </row>
        <row r="47">
          <cell r="G47">
            <v>5243.5</v>
          </cell>
          <cell r="S47">
            <v>1256.5898839999986</v>
          </cell>
          <cell r="U47">
            <v>204.05959199999972</v>
          </cell>
          <cell r="Z47">
            <v>0</v>
          </cell>
          <cell r="AC47">
            <v>0</v>
          </cell>
        </row>
        <row r="52">
          <cell r="Z52">
            <v>239068.87</v>
          </cell>
          <cell r="AC52">
            <v>261875.5</v>
          </cell>
        </row>
        <row r="53">
          <cell r="S53">
            <v>-31046.280014400021</v>
          </cell>
          <cell r="U53">
            <v>-12816.038478489991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E55"/>
  <sheetViews>
    <sheetView topLeftCell="B27" zoomScale="80" zoomScaleNormal="80" zoomScaleSheetLayoutView="70" workbookViewId="0">
      <pane xSplit="7" topLeftCell="AK1" activePane="topRight" state="frozen"/>
      <selection activeCell="B31" sqref="B31"/>
      <selection pane="topRight" activeCell="AV53" activeCellId="1" sqref="AT53 AV53"/>
    </sheetView>
  </sheetViews>
  <sheetFormatPr baseColWidth="10" defaultColWidth="11.54296875" defaultRowHeight="12.5"/>
  <cols>
    <col min="1" max="1" width="2.1796875" style="8" hidden="1" customWidth="1"/>
    <col min="2" max="2" width="37.453125" style="322" customWidth="1"/>
    <col min="3" max="3" width="3.1796875" style="8" hidden="1" customWidth="1"/>
    <col min="4" max="4" width="15.54296875" style="8" hidden="1" customWidth="1"/>
    <col min="5" max="5" width="7.7265625" style="8" hidden="1" customWidth="1"/>
    <col min="6" max="6" width="14.81640625" style="8" hidden="1" customWidth="1"/>
    <col min="7" max="8" width="11.453125" style="8" hidden="1" customWidth="1"/>
    <col min="9" max="9" width="14.81640625" style="8" customWidth="1"/>
    <col min="10" max="10" width="11.453125" style="8" hidden="1" customWidth="1"/>
    <col min="11" max="11" width="16" style="8" customWidth="1"/>
    <col min="12" max="12" width="14.26953125" style="8" customWidth="1"/>
    <col min="13" max="13" width="2" style="8" hidden="1" customWidth="1"/>
    <col min="14" max="14" width="16.81640625" style="8" customWidth="1"/>
    <col min="15" max="15" width="12.81640625" style="8" customWidth="1"/>
    <col min="16" max="16" width="3.26953125" style="8" hidden="1" customWidth="1"/>
    <col min="17" max="17" width="15.26953125" style="4" customWidth="1"/>
    <col min="18" max="18" width="11.26953125" style="4" customWidth="1"/>
    <col min="19" max="19" width="2" style="4" customWidth="1"/>
    <col min="20" max="20" width="14.54296875" style="4" customWidth="1"/>
    <col min="21" max="21" width="10.1796875" style="4" customWidth="1"/>
    <col min="22" max="22" width="2" style="4" hidden="1" customWidth="1"/>
    <col min="23" max="23" width="15" style="4" hidden="1" customWidth="1"/>
    <col min="24" max="24" width="11.26953125" style="4" hidden="1" customWidth="1"/>
    <col min="25" max="25" width="17.54296875" style="8" customWidth="1"/>
    <col min="26" max="26" width="11.453125" style="8" customWidth="1"/>
    <col min="27" max="27" width="16.7265625" style="8" customWidth="1"/>
    <col min="28" max="28" width="14" style="8" customWidth="1"/>
    <col min="29" max="29" width="15.81640625" style="8" customWidth="1"/>
    <col min="30" max="30" width="12.26953125" style="8" customWidth="1"/>
    <col min="31" max="31" width="11.54296875" style="8"/>
    <col min="32" max="32" width="13" style="9" customWidth="1"/>
    <col min="33" max="34" width="15.453125" style="9" customWidth="1"/>
    <col min="35" max="35" width="15.453125" style="8" customWidth="1"/>
    <col min="36" max="36" width="11.54296875" style="8"/>
    <col min="37" max="37" width="16.81640625" style="8" customWidth="1"/>
    <col min="38" max="38" width="11.54296875" style="8"/>
    <col min="39" max="39" width="16.453125" style="8" customWidth="1"/>
    <col min="40" max="40" width="11.54296875" style="8"/>
    <col min="41" max="41" width="14.54296875" style="8" customWidth="1"/>
    <col min="42" max="42" width="11.54296875" style="8"/>
    <col min="43" max="43" width="12.81640625" style="8" bestFit="1" customWidth="1"/>
    <col min="44" max="44" width="11.54296875" style="8"/>
    <col min="45" max="45" width="38.26953125" style="8" customWidth="1"/>
    <col min="46" max="46" width="15.7265625" style="8" customWidth="1"/>
    <col min="47" max="47" width="11.54296875" style="8"/>
    <col min="48" max="48" width="17.7265625" style="8" customWidth="1"/>
    <col min="49" max="49" width="11.54296875" style="8"/>
    <col min="50" max="50" width="18" style="8" customWidth="1"/>
    <col min="51" max="51" width="11.54296875" style="8"/>
    <col min="52" max="52" width="16.81640625" style="8" customWidth="1"/>
    <col min="53" max="53" width="11.54296875" style="8"/>
    <col min="54" max="54" width="17" style="8" customWidth="1"/>
    <col min="55" max="16384" width="11.54296875" style="8"/>
  </cols>
  <sheetData>
    <row r="1" spans="1:57" s="4" customFormat="1" ht="27.75" customHeight="1">
      <c r="A1" s="2"/>
      <c r="B1" s="808" t="s">
        <v>50</v>
      </c>
      <c r="C1" s="3"/>
      <c r="D1" s="342" t="s">
        <v>63</v>
      </c>
      <c r="E1" s="343"/>
      <c r="F1" s="810" t="s">
        <v>64</v>
      </c>
      <c r="G1" s="811"/>
      <c r="H1" s="343"/>
      <c r="I1" s="340" t="s">
        <v>65</v>
      </c>
      <c r="J1" s="343"/>
      <c r="K1" s="812" t="s">
        <v>66</v>
      </c>
      <c r="L1" s="813"/>
      <c r="M1" s="343"/>
      <c r="N1" s="814" t="s">
        <v>67</v>
      </c>
      <c r="O1" s="815"/>
      <c r="P1" s="344"/>
      <c r="Q1" s="816" t="s">
        <v>48</v>
      </c>
      <c r="R1" s="817"/>
      <c r="T1" s="816" t="s">
        <v>47</v>
      </c>
      <c r="U1" s="817"/>
      <c r="W1" s="820" t="s">
        <v>45</v>
      </c>
      <c r="X1" s="821"/>
      <c r="Y1" s="337" t="s">
        <v>35</v>
      </c>
      <c r="Z1" s="5"/>
      <c r="AA1" s="6"/>
      <c r="AB1" s="5"/>
      <c r="AC1" s="6"/>
      <c r="AD1" s="7"/>
      <c r="AF1" s="345"/>
      <c r="AG1" s="805" t="s">
        <v>73</v>
      </c>
      <c r="AH1" s="806"/>
      <c r="AI1" s="806"/>
      <c r="AJ1" s="806"/>
      <c r="AK1" s="806"/>
      <c r="AL1" s="806"/>
      <c r="AM1" s="806"/>
      <c r="AN1" s="806"/>
      <c r="AO1" s="806"/>
      <c r="AP1" s="807"/>
      <c r="AS1" s="808" t="s">
        <v>50</v>
      </c>
      <c r="AT1" s="798" t="s">
        <v>52</v>
      </c>
      <c r="AU1" s="799"/>
      <c r="AV1" s="798" t="s">
        <v>53</v>
      </c>
      <c r="AW1" s="799"/>
      <c r="AX1" s="798" t="s">
        <v>54</v>
      </c>
      <c r="AY1" s="799"/>
      <c r="AZ1" s="798" t="s">
        <v>55</v>
      </c>
      <c r="BA1" s="799"/>
      <c r="BB1" s="798" t="s">
        <v>46</v>
      </c>
      <c r="BC1" s="822"/>
    </row>
    <row r="2" spans="1:57" s="347" customFormat="1" ht="35.25" customHeight="1">
      <c r="A2" s="10"/>
      <c r="B2" s="809"/>
      <c r="C2" s="11"/>
      <c r="D2" s="346"/>
      <c r="E2" s="12"/>
      <c r="F2" s="824"/>
      <c r="G2" s="825"/>
      <c r="H2" s="12"/>
      <c r="I2" s="341"/>
      <c r="J2" s="13"/>
      <c r="K2" s="824">
        <v>42735</v>
      </c>
      <c r="L2" s="825"/>
      <c r="M2" s="13"/>
      <c r="N2" s="824">
        <f>+K2</f>
        <v>42735</v>
      </c>
      <c r="O2" s="826"/>
      <c r="P2" s="14"/>
      <c r="Q2" s="827" t="s">
        <v>68</v>
      </c>
      <c r="R2" s="828"/>
      <c r="S2" s="339"/>
      <c r="T2" s="827" t="s">
        <v>69</v>
      </c>
      <c r="U2" s="828"/>
      <c r="V2" s="339"/>
      <c r="W2" s="829">
        <f>+N2</f>
        <v>42735</v>
      </c>
      <c r="X2" s="830"/>
      <c r="Y2" s="831">
        <f>+K2</f>
        <v>42735</v>
      </c>
      <c r="Z2" s="819"/>
      <c r="AA2" s="818">
        <v>42369</v>
      </c>
      <c r="AB2" s="819"/>
      <c r="AC2" s="323" t="s">
        <v>49</v>
      </c>
      <c r="AD2" s="324" t="s">
        <v>36</v>
      </c>
      <c r="AF2" s="348"/>
      <c r="AG2" s="804" t="s">
        <v>46</v>
      </c>
      <c r="AH2" s="802"/>
      <c r="AI2" s="802" t="s">
        <v>74</v>
      </c>
      <c r="AJ2" s="802"/>
      <c r="AK2" s="802" t="s">
        <v>75</v>
      </c>
      <c r="AL2" s="802"/>
      <c r="AM2" s="802" t="s">
        <v>76</v>
      </c>
      <c r="AN2" s="802"/>
      <c r="AO2" s="802" t="s">
        <v>77</v>
      </c>
      <c r="AP2" s="803"/>
      <c r="AQ2" s="347" t="s">
        <v>51</v>
      </c>
      <c r="AS2" s="809"/>
      <c r="AT2" s="800"/>
      <c r="AU2" s="801"/>
      <c r="AV2" s="800"/>
      <c r="AW2" s="801"/>
      <c r="AX2" s="800"/>
      <c r="AY2" s="801"/>
      <c r="AZ2" s="800"/>
      <c r="BA2" s="801"/>
      <c r="BB2" s="800"/>
      <c r="BC2" s="823"/>
      <c r="BD2" s="347" t="s">
        <v>56</v>
      </c>
    </row>
    <row r="3" spans="1:57" s="15" customFormat="1" ht="24" customHeight="1">
      <c r="A3" s="17"/>
      <c r="B3" s="18" t="s">
        <v>0</v>
      </c>
      <c r="C3" s="19"/>
      <c r="D3" s="20">
        <f>SUM(D4:D6)</f>
        <v>0</v>
      </c>
      <c r="E3" s="22"/>
      <c r="F3" s="23">
        <f>SUM(F4:F6)</f>
        <v>0</v>
      </c>
      <c r="G3" s="21">
        <v>1</v>
      </c>
      <c r="H3" s="22"/>
      <c r="I3" s="23">
        <f>SUM(I4:I6)</f>
        <v>258000</v>
      </c>
      <c r="J3" s="13"/>
      <c r="K3" s="23">
        <f>SUM(K4:K6)</f>
        <v>24492780</v>
      </c>
      <c r="L3" s="21">
        <v>1</v>
      </c>
      <c r="M3" s="13"/>
      <c r="N3" s="23">
        <f>SUM(N4:N6)</f>
        <v>33301355</v>
      </c>
      <c r="O3" s="24">
        <f>SUM(O4:O6)</f>
        <v>1</v>
      </c>
      <c r="P3" s="349"/>
      <c r="Q3" s="25">
        <f>SUM(Q4:Q6)</f>
        <v>914000</v>
      </c>
      <c r="R3" s="26">
        <f>SUM(R4:R6)</f>
        <v>1</v>
      </c>
      <c r="S3" s="350"/>
      <c r="T3" s="25">
        <f>SUM(T4:T6)</f>
        <v>5987000</v>
      </c>
      <c r="U3" s="26">
        <f>SUM(U4:U6)</f>
        <v>1</v>
      </c>
      <c r="V3" s="350"/>
      <c r="W3" s="23">
        <f>SUM(W4:W6)</f>
        <v>0</v>
      </c>
      <c r="X3" s="26" t="e">
        <f>SUM(X4:X6)</f>
        <v>#DIV/0!</v>
      </c>
      <c r="Y3" s="27">
        <f>SUM(Y4:Y6)</f>
        <v>64953135</v>
      </c>
      <c r="Z3" s="28">
        <v>1</v>
      </c>
      <c r="AA3" s="29">
        <f>SUM(AA4:AA6)</f>
        <v>57941502</v>
      </c>
      <c r="AB3" s="28">
        <v>1</v>
      </c>
      <c r="AC3" s="29">
        <f>SUM(AC4:AC6)</f>
        <v>7011633</v>
      </c>
      <c r="AD3" s="30">
        <f t="shared" ref="AD3:AD9" si="0">AC3/AA3</f>
        <v>0.12101227544981488</v>
      </c>
      <c r="AF3" s="16"/>
      <c r="AG3" s="351">
        <f>SUM(AG4:AG6)</f>
        <v>6901000</v>
      </c>
      <c r="AH3" s="352">
        <f>SUM(AH4:AH6)</f>
        <v>1</v>
      </c>
      <c r="AI3" s="25">
        <f>SUM(AI4:AI6)</f>
        <v>1824000</v>
      </c>
      <c r="AJ3" s="352">
        <f t="shared" ref="AJ3:AP3" si="1">SUM(AJ4:AJ6)</f>
        <v>1</v>
      </c>
      <c r="AK3" s="25">
        <f t="shared" si="1"/>
        <v>1798000</v>
      </c>
      <c r="AL3" s="352">
        <f t="shared" si="1"/>
        <v>1</v>
      </c>
      <c r="AM3" s="25">
        <f t="shared" si="1"/>
        <v>1480000</v>
      </c>
      <c r="AN3" s="352">
        <f t="shared" si="1"/>
        <v>1</v>
      </c>
      <c r="AO3" s="25">
        <f t="shared" si="1"/>
        <v>1799000</v>
      </c>
      <c r="AP3" s="353">
        <f t="shared" si="1"/>
        <v>1</v>
      </c>
      <c r="AS3" s="18" t="s">
        <v>0</v>
      </c>
      <c r="AT3" s="25">
        <v>17416676</v>
      </c>
      <c r="AU3" s="26">
        <v>1</v>
      </c>
      <c r="AV3" s="25">
        <v>16473779</v>
      </c>
      <c r="AW3" s="26">
        <v>1</v>
      </c>
      <c r="AX3" s="25">
        <v>14267862</v>
      </c>
      <c r="AY3" s="26">
        <v>1</v>
      </c>
      <c r="AZ3" s="25">
        <v>16794815</v>
      </c>
      <c r="BA3" s="26">
        <v>1</v>
      </c>
      <c r="BB3" s="25">
        <v>64953132</v>
      </c>
      <c r="BC3" s="26">
        <v>1</v>
      </c>
    </row>
    <row r="4" spans="1:57" ht="15.5">
      <c r="A4" s="31"/>
      <c r="B4" s="32" t="s">
        <v>1</v>
      </c>
      <c r="C4" s="33"/>
      <c r="D4" s="34"/>
      <c r="E4" s="36"/>
      <c r="F4" s="34"/>
      <c r="G4" s="35" t="e">
        <f>F4/F3</f>
        <v>#DIV/0!</v>
      </c>
      <c r="H4" s="36"/>
      <c r="I4" s="354"/>
      <c r="J4" s="36"/>
      <c r="K4" s="34">
        <f>24492780-K5-K6</f>
        <v>20348627</v>
      </c>
      <c r="L4" s="35">
        <f>K4/K3</f>
        <v>0.83080103606042266</v>
      </c>
      <c r="M4" s="37"/>
      <c r="N4" s="34">
        <f>+'[1]31 dec 2015'!P4+1618754</f>
        <v>32683225</v>
      </c>
      <c r="O4" s="38">
        <f>N4/N$3</f>
        <v>0.98143829282622286</v>
      </c>
      <c r="P4" s="355"/>
      <c r="Q4" s="34">
        <v>914000</v>
      </c>
      <c r="R4" s="35">
        <f>Q4/Q$3</f>
        <v>1</v>
      </c>
      <c r="S4" s="350"/>
      <c r="T4" s="34">
        <f>6901000-Q4</f>
        <v>5987000</v>
      </c>
      <c r="U4" s="35">
        <f>T4/T$3</f>
        <v>1</v>
      </c>
      <c r="V4" s="350"/>
      <c r="W4" s="34"/>
      <c r="X4" s="35" t="e">
        <f>W4/W$3</f>
        <v>#DIV/0!</v>
      </c>
      <c r="Y4" s="40">
        <f>+D4+F4+I4+K4+N4+Q4+T4+W4</f>
        <v>59932852</v>
      </c>
      <c r="Z4" s="41">
        <f>Y4/Y3</f>
        <v>0.9227091502203858</v>
      </c>
      <c r="AA4" s="42">
        <f>+'[1]31 dec 2015'!AA4</f>
        <v>53330074</v>
      </c>
      <c r="AB4" s="41">
        <f>AA4/AA3</f>
        <v>0.92041234968330643</v>
      </c>
      <c r="AC4" s="43">
        <f>Y4-AA4</f>
        <v>6602778</v>
      </c>
      <c r="AD4" s="44">
        <f t="shared" si="0"/>
        <v>0.12380965381746892</v>
      </c>
      <c r="AG4" s="356">
        <f>+T4+Q4</f>
        <v>6901000</v>
      </c>
      <c r="AH4" s="35">
        <f>AG4/AG$3</f>
        <v>1</v>
      </c>
      <c r="AI4" s="39">
        <f>587000+566000+671000</f>
        <v>1824000</v>
      </c>
      <c r="AJ4" s="35">
        <f>AI4/AI$3</f>
        <v>1</v>
      </c>
      <c r="AK4" s="39">
        <f>605000+538000+655000</f>
        <v>1798000</v>
      </c>
      <c r="AL4" s="35">
        <f>AK4/AK$3</f>
        <v>1</v>
      </c>
      <c r="AM4" s="39">
        <f>508000+363000+609000</f>
        <v>1480000</v>
      </c>
      <c r="AN4" s="35">
        <f>AM4/AM$3</f>
        <v>1</v>
      </c>
      <c r="AO4" s="39">
        <f>631000+593000+575000</f>
        <v>1799000</v>
      </c>
      <c r="AP4" s="38">
        <f>AO4/AO$3</f>
        <v>1</v>
      </c>
      <c r="AQ4" s="336">
        <f>+AO4+AM4+AK4+AI4</f>
        <v>6901000</v>
      </c>
      <c r="AS4" s="32" t="s">
        <v>1</v>
      </c>
      <c r="AT4" s="39">
        <v>16107721</v>
      </c>
      <c r="AU4" s="35">
        <v>0.92484472926981021</v>
      </c>
      <c r="AV4" s="39">
        <v>15188141</v>
      </c>
      <c r="AW4" s="35">
        <v>0.92195852572746062</v>
      </c>
      <c r="AX4" s="39">
        <v>13118027</v>
      </c>
      <c r="AY4" s="35">
        <v>0.91941084095150349</v>
      </c>
      <c r="AZ4" s="39">
        <v>15518963</v>
      </c>
      <c r="BA4" s="35">
        <v>0.92403298279856017</v>
      </c>
      <c r="BB4" s="39">
        <v>59932852</v>
      </c>
      <c r="BC4" s="35">
        <v>0.92270919283769104</v>
      </c>
      <c r="BD4" s="336">
        <f t="shared" ref="BD4:BD10" si="2">+Y4-BB4</f>
        <v>0</v>
      </c>
    </row>
    <row r="5" spans="1:57" ht="15.5">
      <c r="A5" s="31"/>
      <c r="B5" s="45" t="s">
        <v>2</v>
      </c>
      <c r="C5" s="33"/>
      <c r="D5" s="34"/>
      <c r="E5" s="36"/>
      <c r="F5" s="34"/>
      <c r="G5" s="35" t="e">
        <f>F5/F3</f>
        <v>#DIV/0!</v>
      </c>
      <c r="H5" s="36"/>
      <c r="I5" s="354"/>
      <c r="J5" s="36"/>
      <c r="K5" s="34">
        <f>+'[1]31 dec 2015'!M5</f>
        <v>3881373</v>
      </c>
      <c r="L5" s="35">
        <f>K5/K3</f>
        <v>0.15847008791978698</v>
      </c>
      <c r="M5" s="37"/>
      <c r="N5" s="34">
        <f>+'[1]31 dec 2015'!P5</f>
        <v>0</v>
      </c>
      <c r="O5" s="38">
        <f>N5/N3</f>
        <v>0</v>
      </c>
      <c r="P5" s="355"/>
      <c r="Q5" s="34">
        <f>+'[1]31 dec 2015'!S5</f>
        <v>0</v>
      </c>
      <c r="R5" s="35">
        <f>Q5/Q$3</f>
        <v>0</v>
      </c>
      <c r="S5" s="350"/>
      <c r="T5" s="34"/>
      <c r="U5" s="35">
        <f>T5/T$3</f>
        <v>0</v>
      </c>
      <c r="V5" s="350"/>
      <c r="W5" s="34"/>
      <c r="X5" s="35" t="e">
        <f>W5/W$3</f>
        <v>#DIV/0!</v>
      </c>
      <c r="Y5" s="40">
        <f>+D5+F5+I5+K5+N5+Q5+T5+W5</f>
        <v>3881373</v>
      </c>
      <c r="Z5" s="46">
        <f>Y5/Y3</f>
        <v>5.9756515216702014E-2</v>
      </c>
      <c r="AA5" s="42">
        <f>+'[1]31 dec 2015'!AA5</f>
        <v>3881373</v>
      </c>
      <c r="AB5" s="46">
        <f>AA5/AA3</f>
        <v>6.698778709602661E-2</v>
      </c>
      <c r="AC5" s="43">
        <f t="shared" ref="AC5:AC11" si="3">Y5-AA5</f>
        <v>0</v>
      </c>
      <c r="AD5" s="44">
        <f t="shared" si="0"/>
        <v>0</v>
      </c>
      <c r="AG5" s="356">
        <f>+T5+Q5</f>
        <v>0</v>
      </c>
      <c r="AH5" s="35">
        <f>AG5/AG$3</f>
        <v>0</v>
      </c>
      <c r="AI5" s="39"/>
      <c r="AJ5" s="35">
        <f>AI5/AI$3</f>
        <v>0</v>
      </c>
      <c r="AK5" s="39"/>
      <c r="AL5" s="35">
        <f>AK5/AK$3</f>
        <v>0</v>
      </c>
      <c r="AM5" s="39"/>
      <c r="AN5" s="35">
        <f>AM5/AM$3</f>
        <v>0</v>
      </c>
      <c r="AO5" s="39"/>
      <c r="AP5" s="38">
        <f>AO5/AO$3</f>
        <v>0</v>
      </c>
      <c r="AQ5" s="336">
        <f>+AO5+AM5+AK5+AI5</f>
        <v>0</v>
      </c>
      <c r="AS5" s="45" t="s">
        <v>2</v>
      </c>
      <c r="AT5" s="39">
        <v>1019347</v>
      </c>
      <c r="AU5" s="35">
        <v>5.8527069114680669E-2</v>
      </c>
      <c r="AV5" s="39">
        <v>977226</v>
      </c>
      <c r="AW5" s="35">
        <v>5.932008678761564E-2</v>
      </c>
      <c r="AX5" s="39">
        <v>880655</v>
      </c>
      <c r="AY5" s="35">
        <v>6.1722982742614133E-2</v>
      </c>
      <c r="AZ5" s="39">
        <v>1004145</v>
      </c>
      <c r="BA5" s="35">
        <v>5.9788988446731924E-2</v>
      </c>
      <c r="BB5" s="39">
        <v>3881373</v>
      </c>
      <c r="BC5" s="35">
        <v>5.9756517976685096E-2</v>
      </c>
      <c r="BD5" s="336">
        <f t="shared" si="2"/>
        <v>0</v>
      </c>
    </row>
    <row r="6" spans="1:57" ht="15.5">
      <c r="A6" s="31"/>
      <c r="B6" s="32" t="s">
        <v>70</v>
      </c>
      <c r="C6" s="33"/>
      <c r="D6" s="34"/>
      <c r="E6" s="36"/>
      <c r="F6" s="34"/>
      <c r="G6" s="35" t="e">
        <f>F6/F3</f>
        <v>#DIV/0!</v>
      </c>
      <c r="H6" s="36"/>
      <c r="I6" s="354">
        <v>258000</v>
      </c>
      <c r="J6" s="36"/>
      <c r="K6" s="34">
        <f>+'[1]31 dec 2015'!M6</f>
        <v>262780</v>
      </c>
      <c r="L6" s="35">
        <f>K6/K3</f>
        <v>1.0728876019790322E-2</v>
      </c>
      <c r="M6" s="37"/>
      <c r="N6" s="34">
        <f>+'[1]31 dec 2015'!P6+150855</f>
        <v>618130</v>
      </c>
      <c r="O6" s="38">
        <f>N6/N3</f>
        <v>1.8561707173777163E-2</v>
      </c>
      <c r="P6" s="355"/>
      <c r="Q6" s="34">
        <f>+'[1]31 dec 2015'!S6</f>
        <v>0</v>
      </c>
      <c r="R6" s="35">
        <f>Q6/Q$3</f>
        <v>0</v>
      </c>
      <c r="S6" s="350"/>
      <c r="T6" s="34"/>
      <c r="U6" s="35">
        <f>T6/T$3</f>
        <v>0</v>
      </c>
      <c r="V6" s="350"/>
      <c r="W6" s="34"/>
      <c r="X6" s="35" t="e">
        <f>W6/W$3</f>
        <v>#DIV/0!</v>
      </c>
      <c r="Y6" s="40">
        <f>+D6+F6+I6+K6+N6+Q6+T6+W6</f>
        <v>1138910</v>
      </c>
      <c r="Z6" s="41">
        <f>Y6/Y3</f>
        <v>1.7534334562912167E-2</v>
      </c>
      <c r="AA6" s="42">
        <f>+'[1]31 dec 2015'!AA6</f>
        <v>730055</v>
      </c>
      <c r="AB6" s="41">
        <f>AA6/AA3</f>
        <v>1.2599863220666941E-2</v>
      </c>
      <c r="AC6" s="43">
        <f t="shared" si="3"/>
        <v>408855</v>
      </c>
      <c r="AD6" s="44">
        <f t="shared" si="0"/>
        <v>0.5600331481874653</v>
      </c>
      <c r="AG6" s="356">
        <f>+T6+Q6</f>
        <v>0</v>
      </c>
      <c r="AH6" s="35">
        <f>AG6/AG$3</f>
        <v>0</v>
      </c>
      <c r="AI6" s="39"/>
      <c r="AJ6" s="35">
        <f>AI6/AI$3</f>
        <v>0</v>
      </c>
      <c r="AK6" s="39"/>
      <c r="AL6" s="35">
        <f>AK6/AK$3</f>
        <v>0</v>
      </c>
      <c r="AM6" s="39"/>
      <c r="AN6" s="35">
        <f>AM6/AM$3</f>
        <v>0</v>
      </c>
      <c r="AO6" s="39"/>
      <c r="AP6" s="38">
        <f>AO6/AO$3</f>
        <v>0</v>
      </c>
      <c r="AQ6" s="336">
        <f>+AO6+AM6+AK6+AI6</f>
        <v>0</v>
      </c>
      <c r="AS6" s="32" t="s">
        <v>57</v>
      </c>
      <c r="AT6" s="39">
        <v>289608</v>
      </c>
      <c r="AU6" s="35">
        <v>1.6628201615509181E-2</v>
      </c>
      <c r="AV6" s="39">
        <v>308412</v>
      </c>
      <c r="AW6" s="35">
        <v>1.872138748492377E-2</v>
      </c>
      <c r="AX6" s="39">
        <v>269180</v>
      </c>
      <c r="AY6" s="35">
        <v>1.8866176305882408E-2</v>
      </c>
      <c r="AZ6" s="39">
        <v>271707</v>
      </c>
      <c r="BA6" s="35">
        <v>1.6178028754707925E-2</v>
      </c>
      <c r="BB6" s="39">
        <v>1138907</v>
      </c>
      <c r="BC6" s="35">
        <v>1.7534289185623875E-2</v>
      </c>
      <c r="BD6" s="336">
        <f t="shared" si="2"/>
        <v>3</v>
      </c>
      <c r="BE6" s="4"/>
    </row>
    <row r="7" spans="1:57" s="15" customFormat="1" ht="28.5" customHeight="1">
      <c r="A7" s="17"/>
      <c r="B7" s="48" t="s">
        <v>3</v>
      </c>
      <c r="C7" s="19"/>
      <c r="D7" s="49">
        <f>SUM(D8:D11)</f>
        <v>0</v>
      </c>
      <c r="E7" s="51"/>
      <c r="F7" s="357">
        <f>SUM(F8:F11)</f>
        <v>0</v>
      </c>
      <c r="G7" s="50" t="e">
        <f>F7/F3</f>
        <v>#DIV/0!</v>
      </c>
      <c r="H7" s="52"/>
      <c r="I7" s="357">
        <f>SUM(I8:I11)</f>
        <v>-190436</v>
      </c>
      <c r="J7" s="53"/>
      <c r="K7" s="54">
        <f>SUM(K8:K11)</f>
        <v>4209114</v>
      </c>
      <c r="L7" s="50">
        <f>K7/K3</f>
        <v>0.17185121492946084</v>
      </c>
      <c r="M7" s="53"/>
      <c r="N7" s="54">
        <f>SUM(N8:N11)</f>
        <v>5614903.3849999998</v>
      </c>
      <c r="O7" s="55">
        <f>SUM(O8:O10)</f>
        <v>0.1686088564564415</v>
      </c>
      <c r="P7" s="358"/>
      <c r="Q7" s="56">
        <f>SUM(Q8:Q10)</f>
        <v>128250</v>
      </c>
      <c r="R7" s="57">
        <f>SUM(R8:R11)</f>
        <v>0.14031728665207877</v>
      </c>
      <c r="S7" s="339"/>
      <c r="T7" s="54">
        <f>SUM(T8:T11)</f>
        <v>918325</v>
      </c>
      <c r="U7" s="57">
        <f>SUM(U8:U11)</f>
        <v>0.15338650409219975</v>
      </c>
      <c r="V7" s="339"/>
      <c r="W7" s="54">
        <f>SUM(W8:W11)</f>
        <v>0</v>
      </c>
      <c r="X7" s="57" t="e">
        <f>SUM(X8:X11)</f>
        <v>#DIV/0!</v>
      </c>
      <c r="Y7" s="58">
        <f>SUM(Y8:Y11)</f>
        <v>10680156.385000002</v>
      </c>
      <c r="Z7" s="59">
        <f>Y7/Y3</f>
        <v>0.16442865128834816</v>
      </c>
      <c r="AA7" s="60">
        <f>SUM(AA8:AA11)</f>
        <v>7623578</v>
      </c>
      <c r="AB7" s="59">
        <f>AA7/AA3</f>
        <v>0.13157370342246219</v>
      </c>
      <c r="AC7" s="60">
        <f>SUM(AC8:AC11)</f>
        <v>3056578.3850000007</v>
      </c>
      <c r="AD7" s="30">
        <f t="shared" si="0"/>
        <v>0.40093751057574289</v>
      </c>
      <c r="AF7" s="16"/>
      <c r="AG7" s="359">
        <f>SUM(AG8:AG10)</f>
        <v>1046575</v>
      </c>
      <c r="AH7" s="360">
        <f>SUM(AH8:AH11)</f>
        <v>0.15165555716562817</v>
      </c>
      <c r="AI7" s="56">
        <f>SUM(AI8:AI10)</f>
        <v>276619.73627010576</v>
      </c>
      <c r="AJ7" s="360">
        <f>SUM(AJ8:AJ11)</f>
        <v>0.15165555716562817</v>
      </c>
      <c r="AK7" s="56">
        <f>SUM(AK8:AK10)</f>
        <v>272676.69178379944</v>
      </c>
      <c r="AL7" s="360">
        <f>SUM(AL8:AL11)</f>
        <v>0.15165555716562817</v>
      </c>
      <c r="AM7" s="56">
        <f>SUM(AM8:AM10)</f>
        <v>224450.22460512968</v>
      </c>
      <c r="AN7" s="360">
        <f>SUM(AN8:AN11)</f>
        <v>0.15165555716562817</v>
      </c>
      <c r="AO7" s="56">
        <f>SUM(AO8:AO10)</f>
        <v>272828.34734096506</v>
      </c>
      <c r="AP7" s="30">
        <f>SUM(AP8:AP11)</f>
        <v>0.15165555716562817</v>
      </c>
      <c r="AS7" s="48" t="s">
        <v>3</v>
      </c>
      <c r="AT7" s="56">
        <v>2710311.5414701058</v>
      </c>
      <c r="AU7" s="57">
        <v>0.15561589028067732</v>
      </c>
      <c r="AV7" s="56">
        <v>2795799.5519837993</v>
      </c>
      <c r="AW7" s="57">
        <v>0.16971209532334988</v>
      </c>
      <c r="AX7" s="56">
        <v>2330240.6852051294</v>
      </c>
      <c r="AY7" s="57">
        <v>0.16332094361475669</v>
      </c>
      <c r="AZ7" s="56">
        <v>2843804.5685409652</v>
      </c>
      <c r="BA7" s="57">
        <v>0.16932634081059927</v>
      </c>
      <c r="BB7" s="56">
        <v>10680156.347199999</v>
      </c>
      <c r="BC7" s="57">
        <v>0.16442865830088071</v>
      </c>
      <c r="BD7" s="336">
        <f t="shared" si="2"/>
        <v>3.7800002843141556E-2</v>
      </c>
    </row>
    <row r="8" spans="1:57" ht="15.5">
      <c r="A8" s="31"/>
      <c r="B8" s="32" t="s">
        <v>4</v>
      </c>
      <c r="C8" s="33"/>
      <c r="D8" s="34"/>
      <c r="E8" s="62"/>
      <c r="F8" s="34"/>
      <c r="G8" s="61" t="e">
        <f>F8/F3</f>
        <v>#DIV/0!</v>
      </c>
      <c r="H8" s="63"/>
      <c r="I8" s="354">
        <v>-52853</v>
      </c>
      <c r="J8" s="64"/>
      <c r="K8" s="34">
        <v>1285055</v>
      </c>
      <c r="L8" s="61">
        <f>K8/K3</f>
        <v>5.2466686100965262E-2</v>
      </c>
      <c r="M8" s="64"/>
      <c r="N8" s="34">
        <f>+'[1]31 dec 2015'!P8</f>
        <v>734635.82799999998</v>
      </c>
      <c r="O8" s="65">
        <f>N8/N3</f>
        <v>2.2060238329641543E-2</v>
      </c>
      <c r="P8" s="361"/>
      <c r="Q8" s="34">
        <f>128250-Q9</f>
        <v>86891.593999999997</v>
      </c>
      <c r="R8" s="35">
        <f>Q8/Q$3</f>
        <v>9.5067389496717725E-2</v>
      </c>
      <c r="S8" s="350"/>
      <c r="T8" s="34">
        <f>918325-T9</f>
        <v>277716</v>
      </c>
      <c r="U8" s="35">
        <f>T8/T$3</f>
        <v>4.6386504092199764E-2</v>
      </c>
      <c r="V8" s="350"/>
      <c r="W8" s="34"/>
      <c r="X8" s="35" t="e">
        <f>W8/W$3</f>
        <v>#DIV/0!</v>
      </c>
      <c r="Y8" s="40">
        <f>+D8+F8+I8+K8+N8+Q8+T8+W8</f>
        <v>2331445.4220000003</v>
      </c>
      <c r="Z8" s="46">
        <f>Y8/Y3</f>
        <v>3.5894270876994622E-2</v>
      </c>
      <c r="AA8" s="42">
        <f>+'[1]31 dec 2015'!AA8</f>
        <v>2103014</v>
      </c>
      <c r="AB8" s="46">
        <f>AA8/AA3</f>
        <v>3.6295469178551844E-2</v>
      </c>
      <c r="AC8" s="43">
        <f t="shared" si="3"/>
        <v>228431.42200000025</v>
      </c>
      <c r="AD8" s="44">
        <f t="shared" si="0"/>
        <v>0.10862097066400901</v>
      </c>
      <c r="AG8" s="356">
        <f>+T8+Q8</f>
        <v>364607.59399999998</v>
      </c>
      <c r="AH8" s="35">
        <f>AG8/AG$3</f>
        <v>5.2834023185045646E-2</v>
      </c>
      <c r="AI8" s="39">
        <f>+(AI$4/$AG$4)*$AG8</f>
        <v>96369.258289523263</v>
      </c>
      <c r="AJ8" s="35">
        <f>AI8/AI$3</f>
        <v>5.2834023185045646E-2</v>
      </c>
      <c r="AK8" s="39">
        <f>+(AK$4/$AG$4)*$AG8</f>
        <v>94995.573686712072</v>
      </c>
      <c r="AL8" s="35">
        <f>AK8/AK$3</f>
        <v>5.2834023185045646E-2</v>
      </c>
      <c r="AM8" s="39">
        <f>+(AM$4/$AG$4)*$AG8</f>
        <v>78194.354313867545</v>
      </c>
      <c r="AN8" s="35">
        <f>AM8/AM$3</f>
        <v>5.2834023185045639E-2</v>
      </c>
      <c r="AO8" s="39">
        <f>+(AO$4/$AG$4)*$AG8</f>
        <v>95048.407709897117</v>
      </c>
      <c r="AP8" s="38">
        <f>AO8/AO$3</f>
        <v>5.2834023185045646E-2</v>
      </c>
      <c r="AQ8" s="336">
        <f>+AO8+AM8+AK8+AI8</f>
        <v>364607.59399999998</v>
      </c>
      <c r="AS8" s="32" t="s">
        <v>4</v>
      </c>
      <c r="AT8" s="39">
        <v>572255.00828952331</v>
      </c>
      <c r="AU8" s="35">
        <v>3.2856729280002869E-2</v>
      </c>
      <c r="AV8" s="39">
        <v>614393.32368671207</v>
      </c>
      <c r="AW8" s="35">
        <v>3.7295226777457197E-2</v>
      </c>
      <c r="AX8" s="39">
        <v>528107.10431386752</v>
      </c>
      <c r="AY8" s="35">
        <v>3.7013751907179052E-2</v>
      </c>
      <c r="AZ8" s="39">
        <v>616689.15770989715</v>
      </c>
      <c r="BA8" s="35">
        <v>3.6719020585216158E-2</v>
      </c>
      <c r="BB8" s="39">
        <v>2331444.594</v>
      </c>
      <c r="BC8" s="35">
        <v>3.589425978719548E-2</v>
      </c>
      <c r="BD8" s="336">
        <f t="shared" si="2"/>
        <v>0.82800000021234155</v>
      </c>
    </row>
    <row r="9" spans="1:57" ht="15.5">
      <c r="A9" s="66"/>
      <c r="B9" s="67" t="s">
        <v>37</v>
      </c>
      <c r="C9" s="68"/>
      <c r="D9" s="69"/>
      <c r="E9" s="71"/>
      <c r="F9" s="69"/>
      <c r="G9" s="70" t="e">
        <f>F9/F3</f>
        <v>#DIV/0!</v>
      </c>
      <c r="H9" s="72"/>
      <c r="I9" s="362">
        <v>-137583</v>
      </c>
      <c r="J9" s="73"/>
      <c r="K9" s="69">
        <v>1924059</v>
      </c>
      <c r="L9" s="70">
        <f>K9/K$3</f>
        <v>7.8556170430633024E-2</v>
      </c>
      <c r="M9" s="73"/>
      <c r="N9" s="69">
        <f>+'[1]31 dec 2015'!P9</f>
        <v>3261513.557</v>
      </c>
      <c r="O9" s="74">
        <f>N9/N3</f>
        <v>9.7939364839658927E-2</v>
      </c>
      <c r="P9" s="363"/>
      <c r="Q9" s="69">
        <f>+'[1]31 dec 2015'!S9</f>
        <v>41358.406000000003</v>
      </c>
      <c r="R9" s="76">
        <f>Q9/Q$3</f>
        <v>4.5249897155361055E-2</v>
      </c>
      <c r="S9" s="364"/>
      <c r="T9" s="69">
        <f>+T3*0.107</f>
        <v>640609</v>
      </c>
      <c r="U9" s="76">
        <f>T9/T$3</f>
        <v>0.107</v>
      </c>
      <c r="V9" s="364"/>
      <c r="W9" s="69"/>
      <c r="X9" s="76" t="e">
        <f>W9/W$3</f>
        <v>#DIV/0!</v>
      </c>
      <c r="Y9" s="77">
        <f>+D9+F9+I9+K9+N9+Q9+T9+W9</f>
        <v>5729956.9630000005</v>
      </c>
      <c r="Z9" s="78">
        <f>Y9/Y3</f>
        <v>8.8216788350554604E-2</v>
      </c>
      <c r="AA9" s="79">
        <f>+'[1]31 dec 2015'!AA9</f>
        <v>5520564</v>
      </c>
      <c r="AB9" s="78">
        <f>AA9/AA3</f>
        <v>9.5278234243910354E-2</v>
      </c>
      <c r="AC9" s="80">
        <f t="shared" si="3"/>
        <v>209392.96300000045</v>
      </c>
      <c r="AD9" s="81">
        <f t="shared" si="0"/>
        <v>3.792963237089552E-2</v>
      </c>
      <c r="AG9" s="356">
        <f>+T9+Q9</f>
        <v>681967.40599999996</v>
      </c>
      <c r="AH9" s="76">
        <f>AG9/AG$3</f>
        <v>9.8821533980582521E-2</v>
      </c>
      <c r="AI9" s="39">
        <f>+(AI$4/$AG$4)*$AG9</f>
        <v>180250.47798058251</v>
      </c>
      <c r="AJ9" s="76">
        <f>AI9/AI$3</f>
        <v>9.8821533980582521E-2</v>
      </c>
      <c r="AK9" s="39">
        <f>+(AK$4/$AG$4)*$AG9</f>
        <v>177681.11809708737</v>
      </c>
      <c r="AL9" s="76">
        <f>AK9/AK$3</f>
        <v>9.8821533980582521E-2</v>
      </c>
      <c r="AM9" s="39">
        <f>+(AM$4/$AG$4)*$AG9</f>
        <v>146255.87029126214</v>
      </c>
      <c r="AN9" s="76">
        <f>AM9/AM$3</f>
        <v>9.8821533980582521E-2</v>
      </c>
      <c r="AO9" s="39">
        <f>+(AO$4/$AG$4)*$AG9</f>
        <v>177779.93963106797</v>
      </c>
      <c r="AP9" s="74">
        <f>AO9/AO$3</f>
        <v>9.8821533980582535E-2</v>
      </c>
      <c r="AQ9" s="336">
        <f>+AO9+AM9+AK9+AI9</f>
        <v>681967.40599999996</v>
      </c>
      <c r="AS9" s="67" t="s">
        <v>37</v>
      </c>
      <c r="AT9" s="39">
        <v>1434387.7279805825</v>
      </c>
      <c r="AU9" s="35">
        <v>8.2357145989314068E-2</v>
      </c>
      <c r="AV9" s="39">
        <v>1519081.3680970874</v>
      </c>
      <c r="AW9" s="35">
        <v>9.2212076421389857E-2</v>
      </c>
      <c r="AX9" s="39">
        <v>1225617.1202912622</v>
      </c>
      <c r="AY9" s="35">
        <v>8.5900544895322242E-2</v>
      </c>
      <c r="AZ9" s="39">
        <v>1550871.1896310679</v>
      </c>
      <c r="BA9" s="35">
        <v>9.2342260967510983E-2</v>
      </c>
      <c r="BB9" s="39">
        <v>5729957.4059999995</v>
      </c>
      <c r="BC9" s="35">
        <v>8.8216799245338928E-2</v>
      </c>
      <c r="BD9" s="336">
        <f t="shared" si="2"/>
        <v>-0.4429999990388751</v>
      </c>
    </row>
    <row r="10" spans="1:57" ht="15.75" customHeight="1">
      <c r="A10" s="66"/>
      <c r="B10" s="82" t="s">
        <v>72</v>
      </c>
      <c r="C10" s="68"/>
      <c r="D10" s="83"/>
      <c r="E10" s="84"/>
      <c r="F10" s="85">
        <f>+'[2]conso groupe 1trimdetail'!F10+'[2]conso groupe 2trimdetail'!F10</f>
        <v>0</v>
      </c>
      <c r="G10" s="86" t="e">
        <f>F10/F3</f>
        <v>#DIV/0!</v>
      </c>
      <c r="H10" s="87"/>
      <c r="I10" s="365"/>
      <c r="J10" s="64"/>
      <c r="K10" s="365">
        <v>1000000</v>
      </c>
      <c r="L10" s="70">
        <f>K10/K$3</f>
        <v>4.0828358397862551E-2</v>
      </c>
      <c r="M10" s="64"/>
      <c r="N10" s="365">
        <v>1618754</v>
      </c>
      <c r="O10" s="70">
        <f>N10/N$3</f>
        <v>4.8609253287141017E-2</v>
      </c>
      <c r="P10" s="366"/>
      <c r="Q10" s="39"/>
      <c r="R10" s="35">
        <f>Q10/Q$3</f>
        <v>0</v>
      </c>
      <c r="S10" s="350"/>
      <c r="T10" s="365"/>
      <c r="U10" s="35">
        <f>T10/T$3</f>
        <v>0</v>
      </c>
      <c r="V10" s="350"/>
      <c r="W10" s="85"/>
      <c r="X10" s="35" t="e">
        <f>W10/W$3</f>
        <v>#DIV/0!</v>
      </c>
      <c r="Y10" s="77">
        <f>+D10+F10+I10+K10+N10+Q10+T10+W10</f>
        <v>2618754</v>
      </c>
      <c r="Z10" s="88">
        <f>Y10/Y3</f>
        <v>4.0317592060798914E-2</v>
      </c>
      <c r="AA10" s="89"/>
      <c r="AB10" s="88">
        <f>AA10/AA3</f>
        <v>0</v>
      </c>
      <c r="AC10" s="80">
        <f t="shared" si="3"/>
        <v>2618754</v>
      </c>
      <c r="AD10" s="44"/>
      <c r="AG10" s="356"/>
      <c r="AH10" s="35">
        <f>AG10/AG$3</f>
        <v>0</v>
      </c>
      <c r="AI10" s="39"/>
      <c r="AJ10" s="35">
        <f>AI10/AI$3</f>
        <v>0</v>
      </c>
      <c r="AK10" s="39"/>
      <c r="AL10" s="35">
        <f>AK10/AK$3</f>
        <v>0</v>
      </c>
      <c r="AM10" s="39"/>
      <c r="AN10" s="35">
        <f>AM10/AM$3</f>
        <v>0</v>
      </c>
      <c r="AO10" s="39"/>
      <c r="AP10" s="38">
        <f>AO10/AO$3</f>
        <v>0</v>
      </c>
      <c r="AS10" s="82" t="s">
        <v>72</v>
      </c>
      <c r="AT10" s="39">
        <v>703668.80520000006</v>
      </c>
      <c r="AU10" s="35">
        <v>4.0402015011360377E-2</v>
      </c>
      <c r="AV10" s="39">
        <v>662324.8602</v>
      </c>
      <c r="AW10" s="35">
        <v>4.0204792124502821E-2</v>
      </c>
      <c r="AX10" s="39">
        <v>576516.46059999999</v>
      </c>
      <c r="AY10" s="35">
        <v>4.0406646812255399E-2</v>
      </c>
      <c r="AZ10" s="39">
        <v>676244.22120000003</v>
      </c>
      <c r="BA10" s="35">
        <v>4.0265059257872146E-2</v>
      </c>
      <c r="BB10" s="39">
        <v>2618754.3471999997</v>
      </c>
      <c r="BC10" s="35">
        <v>4.0317599268346285E-2</v>
      </c>
      <c r="BD10" s="336">
        <f t="shared" si="2"/>
        <v>-0.34719999972730875</v>
      </c>
    </row>
    <row r="11" spans="1:57" ht="15.75" hidden="1" customHeight="1">
      <c r="A11" s="91"/>
      <c r="B11" s="92"/>
      <c r="C11" s="33"/>
      <c r="D11" s="93"/>
      <c r="E11" s="95"/>
      <c r="F11" s="96"/>
      <c r="G11" s="94"/>
      <c r="H11" s="95"/>
      <c r="I11" s="96"/>
      <c r="J11" s="64"/>
      <c r="K11" s="96"/>
      <c r="L11" s="94"/>
      <c r="M11" s="64"/>
      <c r="N11" s="96"/>
      <c r="O11" s="97"/>
      <c r="P11" s="367"/>
      <c r="Q11" s="39"/>
      <c r="R11" s="35">
        <f>Q11/Q$3</f>
        <v>0</v>
      </c>
      <c r="S11" s="350"/>
      <c r="T11" s="96"/>
      <c r="U11" s="35">
        <f>T11/T$3</f>
        <v>0</v>
      </c>
      <c r="V11" s="350"/>
      <c r="W11" s="96"/>
      <c r="X11" s="35" t="e">
        <f>W11/W$3</f>
        <v>#DIV/0!</v>
      </c>
      <c r="Y11" s="40">
        <f>+D11+F11+I11+K11+N11</f>
        <v>0</v>
      </c>
      <c r="Z11" s="98"/>
      <c r="AA11" s="99"/>
      <c r="AB11" s="98"/>
      <c r="AC11" s="90">
        <f t="shared" si="3"/>
        <v>0</v>
      </c>
      <c r="AD11" s="44"/>
      <c r="AG11" s="356"/>
      <c r="AH11" s="35">
        <f>AG11/AG$3</f>
        <v>0</v>
      </c>
      <c r="AI11" s="39"/>
      <c r="AJ11" s="35">
        <f>AI11/AI$3</f>
        <v>0</v>
      </c>
      <c r="AK11" s="39"/>
      <c r="AL11" s="35">
        <f>AK11/AK$3</f>
        <v>0</v>
      </c>
      <c r="AM11" s="39"/>
      <c r="AN11" s="35">
        <f>AM11/AM$3</f>
        <v>0</v>
      </c>
      <c r="AO11" s="39"/>
      <c r="AP11" s="38">
        <f>AO11/AO$3</f>
        <v>0</v>
      </c>
      <c r="AS11" s="92"/>
      <c r="AT11" s="39">
        <v>0</v>
      </c>
      <c r="AU11" s="35">
        <v>0</v>
      </c>
      <c r="AV11" s="39">
        <v>0</v>
      </c>
      <c r="AW11" s="35">
        <v>0</v>
      </c>
      <c r="AX11" s="39">
        <v>0</v>
      </c>
      <c r="AY11" s="35">
        <v>0</v>
      </c>
      <c r="AZ11" s="39">
        <v>0</v>
      </c>
      <c r="BA11" s="35">
        <v>0</v>
      </c>
      <c r="BB11" s="39">
        <v>0</v>
      </c>
      <c r="BC11" s="35">
        <v>0</v>
      </c>
    </row>
    <row r="12" spans="1:57" ht="26.25" customHeight="1">
      <c r="A12" s="100"/>
      <c r="B12" s="18" t="s">
        <v>5</v>
      </c>
      <c r="C12" s="33"/>
      <c r="D12" s="20">
        <f>SUM(D13:D16)</f>
        <v>0</v>
      </c>
      <c r="E12" s="102"/>
      <c r="F12" s="103">
        <f>SUM(F13:F16)</f>
        <v>0</v>
      </c>
      <c r="G12" s="101" t="e">
        <f>F12/F3</f>
        <v>#DIV/0!</v>
      </c>
      <c r="H12" s="102"/>
      <c r="I12" s="103">
        <f>SUM(I13:I16)</f>
        <v>-293951</v>
      </c>
      <c r="J12" s="64"/>
      <c r="K12" s="103">
        <f>SUM(K13:K16)</f>
        <v>4598886</v>
      </c>
      <c r="L12" s="101">
        <f>K12/K3</f>
        <v>0.18776496583891253</v>
      </c>
      <c r="M12" s="64"/>
      <c r="N12" s="103">
        <f>SUM(N13:N16)</f>
        <v>5899333.1225000005</v>
      </c>
      <c r="O12" s="30">
        <f>SUM(O13:O16)</f>
        <v>0.17714994247231081</v>
      </c>
      <c r="P12" s="368"/>
      <c r="Q12" s="56">
        <f>SUM(Q13:Q16)</f>
        <v>114668</v>
      </c>
      <c r="R12" s="57">
        <f>SUM(R13:R16)</f>
        <v>0.12545733041575494</v>
      </c>
      <c r="S12" s="350"/>
      <c r="T12" s="103">
        <f>SUM(T13:T16)</f>
        <v>932717</v>
      </c>
      <c r="U12" s="57">
        <f>SUM(U13:U16)</f>
        <v>0.15579037915483548</v>
      </c>
      <c r="V12" s="350"/>
      <c r="W12" s="103">
        <f>SUM(W13:W16)</f>
        <v>0</v>
      </c>
      <c r="X12" s="57" t="e">
        <f>SUM(X13:X16)</f>
        <v>#DIV/0!</v>
      </c>
      <c r="Y12" s="58">
        <f>SUM(Y13:Y16)</f>
        <v>11251653.122500001</v>
      </c>
      <c r="Z12" s="104">
        <f>Y12/Y3</f>
        <v>0.17322725257987934</v>
      </c>
      <c r="AA12" s="105">
        <f>SUM(AA13:AA16)</f>
        <v>10848274</v>
      </c>
      <c r="AB12" s="104">
        <f>AA12/AA3</f>
        <v>0.18722804251777939</v>
      </c>
      <c r="AC12" s="105">
        <f>SUM(AC13:AC16)</f>
        <v>403379.12250000075</v>
      </c>
      <c r="AD12" s="30">
        <f t="shared" ref="AD12:AD34" si="4">AC12/AA12</f>
        <v>3.718371443236046E-2</v>
      </c>
      <c r="AG12" s="359">
        <f>SUM(AG13:AG16)</f>
        <v>1047385</v>
      </c>
      <c r="AH12" s="360">
        <f>SUM(AH13:AH16)</f>
        <v>0.15177293145920881</v>
      </c>
      <c r="AI12" s="56">
        <f>SUM(AI13:AI16)</f>
        <v>261846.25</v>
      </c>
      <c r="AJ12" s="360">
        <f t="shared" ref="AJ12:AP12" si="5">SUM(AJ13:AJ16)</f>
        <v>0.1435560581140351</v>
      </c>
      <c r="AK12" s="56">
        <f t="shared" si="5"/>
        <v>261846.25</v>
      </c>
      <c r="AL12" s="360">
        <f t="shared" si="5"/>
        <v>0.14563195216907673</v>
      </c>
      <c r="AM12" s="56">
        <f t="shared" si="5"/>
        <v>261846.25</v>
      </c>
      <c r="AN12" s="360">
        <f t="shared" si="5"/>
        <v>0.1769231418918919</v>
      </c>
      <c r="AO12" s="56">
        <f t="shared" si="5"/>
        <v>261846.25</v>
      </c>
      <c r="AP12" s="30">
        <f t="shared" si="5"/>
        <v>0.14555100055586437</v>
      </c>
      <c r="AS12" s="18" t="s">
        <v>5</v>
      </c>
      <c r="AT12" s="56">
        <v>2730536.5</v>
      </c>
      <c r="AU12" s="57">
        <v>0.15677713129646553</v>
      </c>
      <c r="AV12" s="56">
        <v>2787072.4999999995</v>
      </c>
      <c r="AW12" s="57">
        <v>0.16918234122237524</v>
      </c>
      <c r="AX12" s="56">
        <v>2834365.4999999995</v>
      </c>
      <c r="AY12" s="57">
        <v>0.19865383475113507</v>
      </c>
      <c r="AZ12" s="56">
        <v>2899671.4999999995</v>
      </c>
      <c r="BA12" s="57">
        <v>0.17265278003955387</v>
      </c>
      <c r="BB12" s="56">
        <v>11251645.999999998</v>
      </c>
      <c r="BC12" s="57">
        <v>0.17322715092476218</v>
      </c>
      <c r="BD12" s="336">
        <f>+Y12-BB12</f>
        <v>7.1225000023841858</v>
      </c>
    </row>
    <row r="13" spans="1:57" ht="15.5">
      <c r="A13" s="31"/>
      <c r="B13" s="106" t="s">
        <v>6</v>
      </c>
      <c r="C13" s="33"/>
      <c r="D13" s="34"/>
      <c r="E13" s="108"/>
      <c r="F13" s="34"/>
      <c r="G13" s="107" t="e">
        <f>F13/F3</f>
        <v>#DIV/0!</v>
      </c>
      <c r="H13" s="109"/>
      <c r="I13" s="354">
        <v>-141951</v>
      </c>
      <c r="J13" s="64"/>
      <c r="K13" s="34">
        <f>+'[1]31 dec 2015'!M13+150855</f>
        <v>3591834</v>
      </c>
      <c r="L13" s="107">
        <f>K13/K3</f>
        <v>0.14664868585762825</v>
      </c>
      <c r="M13" s="64"/>
      <c r="N13" s="34">
        <f>+'[1]31 dec 2015'!P13</f>
        <v>4277257.3899999997</v>
      </c>
      <c r="O13" s="110">
        <f>N13/N3</f>
        <v>0.12844094151724456</v>
      </c>
      <c r="P13" s="369"/>
      <c r="Q13" s="111">
        <v>114668</v>
      </c>
      <c r="R13" s="35">
        <f>Q13/Q$3</f>
        <v>0.12545733041575494</v>
      </c>
      <c r="S13" s="350"/>
      <c r="T13" s="34">
        <f>932717-T14-T15</f>
        <v>744284.70000000007</v>
      </c>
      <c r="U13" s="35">
        <f>T13/T$3</f>
        <v>0.12431680307332554</v>
      </c>
      <c r="V13" s="350"/>
      <c r="W13" s="34"/>
      <c r="X13" s="35" t="e">
        <f>W13/W$3</f>
        <v>#DIV/0!</v>
      </c>
      <c r="Y13" s="40">
        <f>+D13+F13+I13+K13+N13+Q13+T13+W13</f>
        <v>8586093.0899999999</v>
      </c>
      <c r="Z13" s="46">
        <f>Y13/Y3</f>
        <v>0.1321890481498699</v>
      </c>
      <c r="AA13" s="42">
        <f>+'[1]31 dec 2015'!AA13</f>
        <v>8082466.9999999991</v>
      </c>
      <c r="AB13" s="46">
        <f>AA13/AA3</f>
        <v>0.13949357060160433</v>
      </c>
      <c r="AC13" s="43">
        <f>Y13-AA13</f>
        <v>503626.09000000078</v>
      </c>
      <c r="AD13" s="44">
        <f t="shared" si="4"/>
        <v>6.2310936747406558E-2</v>
      </c>
      <c r="AG13" s="356">
        <f>+T13+Q13</f>
        <v>858952.70000000007</v>
      </c>
      <c r="AH13" s="35">
        <f>AG13/AG$3</f>
        <v>0.12446785973047385</v>
      </c>
      <c r="AI13" s="39">
        <f>+$AG13/4</f>
        <v>214738.17500000002</v>
      </c>
      <c r="AJ13" s="35">
        <f>AI13/AI$3</f>
        <v>0.11772926260964914</v>
      </c>
      <c r="AK13" s="39">
        <f>+$AG13/4</f>
        <v>214738.17500000002</v>
      </c>
      <c r="AL13" s="35">
        <f>AK13/AK$3</f>
        <v>0.11943168798665184</v>
      </c>
      <c r="AM13" s="39">
        <f>+$AG13/4</f>
        <v>214738.17500000002</v>
      </c>
      <c r="AN13" s="35">
        <f>AM13/AM$3</f>
        <v>0.14509336148648649</v>
      </c>
      <c r="AO13" s="39">
        <f>+$AG13/4</f>
        <v>214738.17500000002</v>
      </c>
      <c r="AP13" s="38">
        <f>AO13/AO$3</f>
        <v>0.11936530016675932</v>
      </c>
      <c r="AQ13" s="336">
        <f>+AO13+AM13+AK13+AI13</f>
        <v>858952.70000000007</v>
      </c>
      <c r="AS13" s="106" t="s">
        <v>6</v>
      </c>
      <c r="AT13" s="39">
        <v>2096868.425</v>
      </c>
      <c r="AU13" s="35">
        <v>0.1203942948126267</v>
      </c>
      <c r="AV13" s="39">
        <v>2120396.4249999998</v>
      </c>
      <c r="AW13" s="35">
        <v>0.12871341936783295</v>
      </c>
      <c r="AX13" s="39">
        <v>2139460.4249999998</v>
      </c>
      <c r="AY13" s="35">
        <v>0.14994961578686419</v>
      </c>
      <c r="AZ13" s="39">
        <v>2229365.4249999998</v>
      </c>
      <c r="BA13" s="35">
        <v>0.13274129098772447</v>
      </c>
      <c r="BB13" s="39">
        <v>8586090.6999999993</v>
      </c>
      <c r="BC13" s="35">
        <v>0.13218901745954298</v>
      </c>
      <c r="BD13" s="336">
        <f>+Y13-BB13</f>
        <v>2.3900000005960464</v>
      </c>
      <c r="BE13" s="4"/>
    </row>
    <row r="14" spans="1:57" ht="15.5">
      <c r="A14" s="112"/>
      <c r="B14" s="113" t="s">
        <v>23</v>
      </c>
      <c r="C14" s="33"/>
      <c r="D14" s="69"/>
      <c r="E14" s="115"/>
      <c r="F14" s="69"/>
      <c r="G14" s="114" t="e">
        <f>F14/F3</f>
        <v>#DIV/0!</v>
      </c>
      <c r="H14" s="116"/>
      <c r="I14" s="362">
        <v>0</v>
      </c>
      <c r="J14" s="73"/>
      <c r="K14" s="69">
        <f>+'[1]31 dec 2015'!M14</f>
        <v>647771</v>
      </c>
      <c r="L14" s="114">
        <f>K14/K3</f>
        <v>2.6447426547741824E-2</v>
      </c>
      <c r="M14" s="73"/>
      <c r="N14" s="69">
        <f>+'[1]31 dec 2015'!P14</f>
        <v>1115989.27</v>
      </c>
      <c r="O14" s="117">
        <f>N14/N3</f>
        <v>3.3511827671877013E-2</v>
      </c>
      <c r="P14" s="370"/>
      <c r="Q14" s="75"/>
      <c r="R14" s="76">
        <f>Q14/Q$3</f>
        <v>0</v>
      </c>
      <c r="S14" s="364"/>
      <c r="T14" s="69">
        <f>155846*0.7</f>
        <v>109092.2</v>
      </c>
      <c r="U14" s="76">
        <f>T14/T$3</f>
        <v>1.8221513278770668E-2</v>
      </c>
      <c r="V14" s="364"/>
      <c r="W14" s="69"/>
      <c r="X14" s="76" t="e">
        <f>W14/W$3</f>
        <v>#DIV/0!</v>
      </c>
      <c r="Y14" s="77">
        <f>+D14+F14+I14+K14+N14+Q14+T14+W14</f>
        <v>1872852.47</v>
      </c>
      <c r="Z14" s="118">
        <f>Y14/Y3</f>
        <v>2.8833904167982038E-2</v>
      </c>
      <c r="AA14" s="79">
        <f>+'[1]31 dec 2015'!AA14</f>
        <v>1870634</v>
      </c>
      <c r="AB14" s="118">
        <f>AA14/AA3</f>
        <v>3.228487242184367E-2</v>
      </c>
      <c r="AC14" s="80">
        <f>Y14-AA14</f>
        <v>2218.4699999999721</v>
      </c>
      <c r="AD14" s="81">
        <f t="shared" si="4"/>
        <v>1.1859455136600597E-3</v>
      </c>
      <c r="AG14" s="356">
        <f>+T14+Q14</f>
        <v>109092.2</v>
      </c>
      <c r="AH14" s="76">
        <f>AG14/AG$3</f>
        <v>1.5808172728590059E-2</v>
      </c>
      <c r="AI14" s="39">
        <f t="shared" ref="AI14:AO15" si="6">+$AG14/4</f>
        <v>27273.05</v>
      </c>
      <c r="AJ14" s="76">
        <f>AI14/AI$3</f>
        <v>1.4952330043859648E-2</v>
      </c>
      <c r="AK14" s="39">
        <f t="shared" si="6"/>
        <v>27273.05</v>
      </c>
      <c r="AL14" s="76">
        <f>AK14/AK$3</f>
        <v>1.5168548387096773E-2</v>
      </c>
      <c r="AM14" s="39">
        <f t="shared" si="6"/>
        <v>27273.05</v>
      </c>
      <c r="AN14" s="76">
        <f>AM14/AM$3</f>
        <v>1.8427736486486487E-2</v>
      </c>
      <c r="AO14" s="39">
        <f t="shared" si="6"/>
        <v>27273.05</v>
      </c>
      <c r="AP14" s="74">
        <f>AO14/AO$3</f>
        <v>1.5160116731517509E-2</v>
      </c>
      <c r="AQ14" s="336">
        <f>+AO14+AM14+AK14+AI14</f>
        <v>109092.2</v>
      </c>
      <c r="AS14" s="113" t="s">
        <v>23</v>
      </c>
      <c r="AT14" s="39">
        <v>443846.05</v>
      </c>
      <c r="AU14" s="35">
        <v>2.5483970075575842E-2</v>
      </c>
      <c r="AV14" s="39">
        <v>491992.05</v>
      </c>
      <c r="AW14" s="35">
        <v>2.9865160264684866E-2</v>
      </c>
      <c r="AX14" s="39">
        <v>481039.05</v>
      </c>
      <c r="AY14" s="35">
        <v>3.37148656189694E-2</v>
      </c>
      <c r="AZ14" s="39">
        <v>455974.05</v>
      </c>
      <c r="BA14" s="35">
        <v>2.7149691735217089E-2</v>
      </c>
      <c r="BB14" s="39">
        <v>1872851.2</v>
      </c>
      <c r="BC14" s="35">
        <v>2.8833885947178034E-2</v>
      </c>
      <c r="BD14" s="336">
        <f>+Y14-BB14</f>
        <v>1.2700000000186265</v>
      </c>
    </row>
    <row r="15" spans="1:57" ht="15.5">
      <c r="A15" s="119"/>
      <c r="B15" s="120" t="s">
        <v>38</v>
      </c>
      <c r="C15" s="33"/>
      <c r="D15" s="121"/>
      <c r="E15" s="123"/>
      <c r="F15" s="121"/>
      <c r="G15" s="122" t="e">
        <f>F15/F3</f>
        <v>#DIV/0!</v>
      </c>
      <c r="H15" s="124"/>
      <c r="I15" s="371">
        <v>-152000</v>
      </c>
      <c r="J15" s="125"/>
      <c r="K15" s="121">
        <f>+'[1]31 dec 2015'!M15</f>
        <v>359281</v>
      </c>
      <c r="L15" s="122">
        <f>K15/K3</f>
        <v>1.4668853433542456E-2</v>
      </c>
      <c r="M15" s="125"/>
      <c r="N15" s="121">
        <f>+'[1]31 dec 2015'!P15</f>
        <v>506086.46250000002</v>
      </c>
      <c r="O15" s="126">
        <f>N15/N3</f>
        <v>1.5197173283189229E-2</v>
      </c>
      <c r="P15" s="372"/>
      <c r="Q15" s="127"/>
      <c r="R15" s="35">
        <f>Q15/Q$3</f>
        <v>0</v>
      </c>
      <c r="S15" s="350"/>
      <c r="T15" s="121">
        <f>113343*0.7</f>
        <v>79340.099999999991</v>
      </c>
      <c r="U15" s="35">
        <f>T15/T$3</f>
        <v>1.3252062802739268E-2</v>
      </c>
      <c r="V15" s="350"/>
      <c r="W15" s="121"/>
      <c r="X15" s="35" t="e">
        <f>W15/W$3</f>
        <v>#DIV/0!</v>
      </c>
      <c r="Y15" s="128">
        <f>+D15+F15+I15+K15+N15+Q15+T15+W15</f>
        <v>792707.5625</v>
      </c>
      <c r="Z15" s="129">
        <f>Y15/Y3</f>
        <v>1.2204300262027384E-2</v>
      </c>
      <c r="AA15" s="130">
        <f>+'[1]31 dec 2015'!AA15</f>
        <v>895173</v>
      </c>
      <c r="AB15" s="129">
        <f>AA15/AA3</f>
        <v>1.5449599494331369E-2</v>
      </c>
      <c r="AC15" s="131">
        <f>Y15-AA15</f>
        <v>-102465.4375</v>
      </c>
      <c r="AD15" s="132">
        <f t="shared" si="4"/>
        <v>-0.11446439682608836</v>
      </c>
      <c r="AG15" s="356">
        <f>+T15+Q15</f>
        <v>79340.099999999991</v>
      </c>
      <c r="AH15" s="35">
        <f>AG15/AG$3</f>
        <v>1.1496899000144905E-2</v>
      </c>
      <c r="AI15" s="39">
        <f t="shared" si="6"/>
        <v>19835.024999999998</v>
      </c>
      <c r="AJ15" s="35">
        <f>AI15/AI$3</f>
        <v>1.0874465460526315E-2</v>
      </c>
      <c r="AK15" s="39">
        <f t="shared" si="6"/>
        <v>19835.024999999998</v>
      </c>
      <c r="AL15" s="35">
        <f>AK15/AK$3</f>
        <v>1.1031715795328141E-2</v>
      </c>
      <c r="AM15" s="39">
        <f t="shared" si="6"/>
        <v>19835.024999999998</v>
      </c>
      <c r="AN15" s="35">
        <f>AM15/AM$3</f>
        <v>1.3402043918918917E-2</v>
      </c>
      <c r="AO15" s="39">
        <f t="shared" si="6"/>
        <v>19835.024999999998</v>
      </c>
      <c r="AP15" s="38">
        <f>AO15/AO$3</f>
        <v>1.1025583657587547E-2</v>
      </c>
      <c r="AQ15" s="336">
        <f>+AO15+AM15+AK15+AI15</f>
        <v>79340.099999999991</v>
      </c>
      <c r="AS15" s="120" t="s">
        <v>38</v>
      </c>
      <c r="AT15" s="39">
        <v>189822.02499999999</v>
      </c>
      <c r="AU15" s="35">
        <v>1.0898866408262977E-2</v>
      </c>
      <c r="AV15" s="39">
        <v>174684.02499999999</v>
      </c>
      <c r="AW15" s="35">
        <v>1.0603761589857433E-2</v>
      </c>
      <c r="AX15" s="39">
        <v>213866.02499999999</v>
      </c>
      <c r="AY15" s="35">
        <v>1.4989353345301489E-2</v>
      </c>
      <c r="AZ15" s="39">
        <v>214332.02499999999</v>
      </c>
      <c r="BA15" s="35">
        <v>1.2761797316612299E-2</v>
      </c>
      <c r="BB15" s="39">
        <v>792704.1</v>
      </c>
      <c r="BC15" s="35">
        <v>1.2204247518041162E-2</v>
      </c>
      <c r="BD15" s="336">
        <f>+Y15-BB15</f>
        <v>3.4625000000232831</v>
      </c>
    </row>
    <row r="16" spans="1:57" ht="15.75" hidden="1" customHeight="1">
      <c r="A16" s="133"/>
      <c r="B16" s="134" t="s">
        <v>24</v>
      </c>
      <c r="C16" s="135"/>
      <c r="D16" s="136"/>
      <c r="E16" s="138"/>
      <c r="F16" s="139"/>
      <c r="G16" s="137"/>
      <c r="H16" s="140"/>
      <c r="I16" s="139"/>
      <c r="J16" s="141"/>
      <c r="K16" s="139"/>
      <c r="L16" s="137"/>
      <c r="M16" s="141"/>
      <c r="N16" s="139"/>
      <c r="O16" s="142"/>
      <c r="P16" s="373"/>
      <c r="Q16" s="143"/>
      <c r="R16" s="144"/>
      <c r="S16" s="374"/>
      <c r="T16" s="139"/>
      <c r="U16" s="144"/>
      <c r="V16" s="374"/>
      <c r="W16" s="139"/>
      <c r="X16" s="144" t="e">
        <f>W16/W$3</f>
        <v>#DIV/0!</v>
      </c>
      <c r="Y16" s="145">
        <f>+D16+F16+I16+K16+N16+Q16+T16+W16</f>
        <v>0</v>
      </c>
      <c r="Z16" s="146">
        <f>Y16/Y3</f>
        <v>0</v>
      </c>
      <c r="AA16" s="147">
        <v>0</v>
      </c>
      <c r="AB16" s="146">
        <f>AA16/AA3</f>
        <v>0</v>
      </c>
      <c r="AC16" s="148">
        <f>Y16-AA16</f>
        <v>0</v>
      </c>
      <c r="AD16" s="149" t="e">
        <f t="shared" si="4"/>
        <v>#DIV/0!</v>
      </c>
      <c r="AG16" s="375"/>
      <c r="AH16" s="144">
        <f>AG16/AG$3</f>
        <v>0</v>
      </c>
      <c r="AI16" s="143"/>
      <c r="AJ16" s="144">
        <f>AI16/AI$3</f>
        <v>0</v>
      </c>
      <c r="AK16" s="143"/>
      <c r="AL16" s="144">
        <f>AK16/AK$3</f>
        <v>0</v>
      </c>
      <c r="AM16" s="143"/>
      <c r="AN16" s="144">
        <f>AM16/AM$3</f>
        <v>0</v>
      </c>
      <c r="AO16" s="143"/>
      <c r="AP16" s="376">
        <f>AO16/AO$3</f>
        <v>0</v>
      </c>
      <c r="AS16" s="134" t="s">
        <v>24</v>
      </c>
      <c r="AT16" s="377"/>
      <c r="AU16" s="144">
        <v>0</v>
      </c>
      <c r="AV16" s="377"/>
      <c r="AW16" s="144">
        <v>0</v>
      </c>
      <c r="AX16" s="377"/>
      <c r="AY16" s="144">
        <v>0</v>
      </c>
      <c r="AZ16" s="377"/>
      <c r="BA16" s="144">
        <v>0</v>
      </c>
      <c r="BB16" s="377"/>
      <c r="BC16" s="144">
        <v>0</v>
      </c>
    </row>
    <row r="17" spans="1:57" ht="15.5">
      <c r="A17" s="10"/>
      <c r="B17" s="18" t="s">
        <v>7</v>
      </c>
      <c r="C17" s="33"/>
      <c r="D17" s="150">
        <f>SUM(D18:D21)</f>
        <v>0</v>
      </c>
      <c r="E17" s="151"/>
      <c r="F17" s="152">
        <f>SUM(F18:F21)</f>
        <v>0</v>
      </c>
      <c r="G17" s="50" t="e">
        <f>F17/F3</f>
        <v>#DIV/0!</v>
      </c>
      <c r="H17" s="153"/>
      <c r="I17" s="152">
        <f>SUM(I18:I21)</f>
        <v>-36750</v>
      </c>
      <c r="J17" s="64"/>
      <c r="K17" s="152">
        <f>SUM(K18:K21)</f>
        <v>992262</v>
      </c>
      <c r="L17" s="50">
        <f>K17/K3</f>
        <v>4.0512428560579891E-2</v>
      </c>
      <c r="M17" s="64"/>
      <c r="N17" s="152">
        <f>SUM(N18:N21)</f>
        <v>1595618.8327000001</v>
      </c>
      <c r="O17" s="30">
        <f>SUM(O18:O21)</f>
        <v>4.7914531787069933E-2</v>
      </c>
      <c r="P17" s="368"/>
      <c r="Q17" s="56">
        <f>SUM(Q18:Q21)</f>
        <v>20474</v>
      </c>
      <c r="R17" s="57">
        <f>SUM(R18:R21)</f>
        <v>2.2400437636761489E-2</v>
      </c>
      <c r="S17" s="350"/>
      <c r="T17" s="152">
        <f>SUM(T18:T21)</f>
        <v>261552</v>
      </c>
      <c r="U17" s="57">
        <f>SUM(U18:U21)</f>
        <v>4.3686654417905466E-2</v>
      </c>
      <c r="V17" s="350"/>
      <c r="W17" s="152">
        <f>SUM(W18:W21)</f>
        <v>0</v>
      </c>
      <c r="X17" s="57" t="e">
        <f>SUM(X18:X21)</f>
        <v>#DIV/0!</v>
      </c>
      <c r="Y17" s="154">
        <f>SUM(Y18:Y21)</f>
        <v>2833156.8327000001</v>
      </c>
      <c r="Z17" s="59">
        <f>Y17/Y3</f>
        <v>4.3618477117386256E-2</v>
      </c>
      <c r="AA17" s="155">
        <f>SUM(AA18:AA21)</f>
        <v>2743592</v>
      </c>
      <c r="AB17" s="59">
        <f>AA17/AA3</f>
        <v>4.7351067978872896E-2</v>
      </c>
      <c r="AC17" s="155">
        <f>SUM(AC18:AC21)</f>
        <v>89564.83269999997</v>
      </c>
      <c r="AD17" s="30">
        <f t="shared" si="4"/>
        <v>3.2645099089077374E-2</v>
      </c>
      <c r="AG17" s="359">
        <f>SUM(AG18:AG21)</f>
        <v>282026</v>
      </c>
      <c r="AH17" s="360">
        <f>SUM(AH18:AH21)</f>
        <v>4.0867410520214462E-2</v>
      </c>
      <c r="AI17" s="56">
        <f>SUM(AI18:AI21)</f>
        <v>70506.5</v>
      </c>
      <c r="AJ17" s="360">
        <f t="shared" ref="AJ17:AP17" si="7">SUM(AJ18:AJ21)</f>
        <v>3.8654879385964909E-2</v>
      </c>
      <c r="AK17" s="56">
        <f>SUM(AK18:AK21)</f>
        <v>70506.5</v>
      </c>
      <c r="AL17" s="360">
        <f t="shared" si="7"/>
        <v>3.9213848720800887E-2</v>
      </c>
      <c r="AM17" s="56">
        <f t="shared" si="7"/>
        <v>70506.5</v>
      </c>
      <c r="AN17" s="360">
        <f t="shared" si="7"/>
        <v>4.7639527027027027E-2</v>
      </c>
      <c r="AO17" s="56">
        <f t="shared" si="7"/>
        <v>70506.5</v>
      </c>
      <c r="AP17" s="30">
        <f t="shared" si="7"/>
        <v>3.9192051139521955E-2</v>
      </c>
      <c r="AS17" s="18" t="s">
        <v>7</v>
      </c>
      <c r="AT17" s="56">
        <v>696289</v>
      </c>
      <c r="AU17" s="57">
        <v>3.9978294365698712E-2</v>
      </c>
      <c r="AV17" s="56">
        <v>708651</v>
      </c>
      <c r="AW17" s="57">
        <v>4.3016905835631274E-2</v>
      </c>
      <c r="AX17" s="56">
        <v>699933</v>
      </c>
      <c r="AY17" s="57">
        <v>4.9056614088361657E-2</v>
      </c>
      <c r="AZ17" s="56">
        <v>728279</v>
      </c>
      <c r="BA17" s="57">
        <v>4.3363323740094786E-2</v>
      </c>
      <c r="BB17" s="56">
        <v>2833152</v>
      </c>
      <c r="BC17" s="57">
        <v>4.361840472912068E-2</v>
      </c>
      <c r="BD17" s="336">
        <f>+Y17-BB17</f>
        <v>4.8327000001445413</v>
      </c>
    </row>
    <row r="18" spans="1:57" ht="15.5">
      <c r="A18" s="100"/>
      <c r="B18" s="156" t="s">
        <v>8</v>
      </c>
      <c r="C18" s="33"/>
      <c r="D18" s="34"/>
      <c r="E18" s="157"/>
      <c r="F18" s="34"/>
      <c r="G18" s="107" t="e">
        <f>F18/F3</f>
        <v>#DIV/0!</v>
      </c>
      <c r="H18" s="158"/>
      <c r="I18" s="34">
        <v>-36750</v>
      </c>
      <c r="J18" s="64"/>
      <c r="K18" s="34">
        <f>+'[1]31 dec 2015'!M18</f>
        <v>819076</v>
      </c>
      <c r="L18" s="107">
        <f>K18/K3</f>
        <v>3.3441528483087672E-2</v>
      </c>
      <c r="M18" s="64"/>
      <c r="N18" s="34">
        <f>+'[1]31 dec 2015'!P18</f>
        <v>1319254.6625000001</v>
      </c>
      <c r="O18" s="110">
        <f>N18/N3</f>
        <v>3.9615645144169064E-2</v>
      </c>
      <c r="P18" s="369"/>
      <c r="Q18" s="111">
        <v>20474</v>
      </c>
      <c r="R18" s="35">
        <f>Q18/Q$3</f>
        <v>2.2400437636761489E-2</v>
      </c>
      <c r="S18" s="350"/>
      <c r="T18" s="34">
        <f>261552-T19-T20</f>
        <v>220638.4</v>
      </c>
      <c r="U18" s="35">
        <f>T18/T$3</f>
        <v>3.6852914648404879E-2</v>
      </c>
      <c r="V18" s="350"/>
      <c r="W18" s="34"/>
      <c r="X18" s="35" t="e">
        <f>W18/W$3</f>
        <v>#DIV/0!</v>
      </c>
      <c r="Y18" s="40">
        <f>+D18+F18+I18+K18+N18+Q18+T18+W18</f>
        <v>2342693.0625</v>
      </c>
      <c r="Z18" s="159">
        <f>Y18/Y3</f>
        <v>3.6067436352379294E-2</v>
      </c>
      <c r="AA18" s="42">
        <f>+'[1]31 dec 2015'!AA18</f>
        <v>2263311</v>
      </c>
      <c r="AB18" s="159">
        <f>AA18/AA3</f>
        <v>3.9062000843540438E-2</v>
      </c>
      <c r="AC18" s="160">
        <f>Y18-AA18</f>
        <v>79382.0625</v>
      </c>
      <c r="AD18" s="161">
        <f t="shared" si="4"/>
        <v>3.5073422300337866E-2</v>
      </c>
      <c r="AG18" s="356">
        <f>+T18+Q18</f>
        <v>241112.4</v>
      </c>
      <c r="AH18" s="35">
        <f>AG18/AG$3</f>
        <v>3.4938762498188669E-2</v>
      </c>
      <c r="AI18" s="39">
        <f t="shared" ref="AI18:AO20" si="8">+$AG18/4</f>
        <v>60278.1</v>
      </c>
      <c r="AJ18" s="35">
        <f>AI18/AI$3</f>
        <v>3.3047203947368417E-2</v>
      </c>
      <c r="AK18" s="39">
        <f t="shared" si="8"/>
        <v>60278.1</v>
      </c>
      <c r="AL18" s="35">
        <f>AK18/AK$3</f>
        <v>3.3525083426028918E-2</v>
      </c>
      <c r="AM18" s="39">
        <f t="shared" si="8"/>
        <v>60278.1</v>
      </c>
      <c r="AN18" s="35">
        <f>AM18/AM$3</f>
        <v>4.0728445945945942E-2</v>
      </c>
      <c r="AO18" s="39">
        <f t="shared" si="8"/>
        <v>60278.1</v>
      </c>
      <c r="AP18" s="38">
        <f>AO18/AO$3</f>
        <v>3.3506448026681492E-2</v>
      </c>
      <c r="AQ18" s="336">
        <f>+AO18+AM18+AK18+AI18</f>
        <v>241112.4</v>
      </c>
      <c r="AS18" s="156" t="s">
        <v>8</v>
      </c>
      <c r="AT18" s="39">
        <v>577601.6</v>
      </c>
      <c r="AU18" s="35">
        <v>3.3163710457724538E-2</v>
      </c>
      <c r="AV18" s="39">
        <v>572229.6</v>
      </c>
      <c r="AW18" s="35">
        <v>3.4735782239157145E-2</v>
      </c>
      <c r="AX18" s="39">
        <v>583698.6</v>
      </c>
      <c r="AY18" s="35">
        <v>4.0910025622619563E-2</v>
      </c>
      <c r="AZ18" s="39">
        <v>609160.6</v>
      </c>
      <c r="BA18" s="35">
        <v>3.6270753801098732E-2</v>
      </c>
      <c r="BB18" s="39">
        <v>2342690.4</v>
      </c>
      <c r="BC18" s="35">
        <v>3.6067397027136426E-2</v>
      </c>
      <c r="BD18" s="336">
        <f>+Y18-BB18</f>
        <v>2.6625000000931323</v>
      </c>
    </row>
    <row r="19" spans="1:57" ht="15.5">
      <c r="A19" s="162"/>
      <c r="B19" s="163" t="s">
        <v>25</v>
      </c>
      <c r="C19" s="164"/>
      <c r="D19" s="69"/>
      <c r="E19" s="166"/>
      <c r="F19" s="69"/>
      <c r="G19" s="165" t="e">
        <f>F19/F3</f>
        <v>#DIV/0!</v>
      </c>
      <c r="H19" s="167"/>
      <c r="I19" s="362"/>
      <c r="J19" s="73"/>
      <c r="K19" s="69">
        <f>+'[1]31 dec 2015'!M19</f>
        <v>112889</v>
      </c>
      <c r="L19" s="165">
        <f>K19/K3</f>
        <v>4.6090725511763056E-3</v>
      </c>
      <c r="M19" s="73"/>
      <c r="N19" s="69">
        <f>+'[1]31 dec 2015'!P19</f>
        <v>195845.17019999999</v>
      </c>
      <c r="O19" s="168">
        <f>N19/N3</f>
        <v>5.8809970405108141E-3</v>
      </c>
      <c r="P19" s="378"/>
      <c r="Q19" s="75"/>
      <c r="R19" s="76">
        <f>Q19/Q$3</f>
        <v>0</v>
      </c>
      <c r="S19" s="364"/>
      <c r="T19" s="69">
        <f>33788*0.7</f>
        <v>23651.599999999999</v>
      </c>
      <c r="U19" s="76">
        <f>T19/T$3</f>
        <v>3.9504927342575574E-3</v>
      </c>
      <c r="V19" s="364"/>
      <c r="W19" s="69"/>
      <c r="X19" s="76" t="e">
        <f>W19/W$3</f>
        <v>#DIV/0!</v>
      </c>
      <c r="Y19" s="77">
        <f>+D19+F19+I19+K19+N19+Q19+T19+W19</f>
        <v>332385.77019999997</v>
      </c>
      <c r="Z19" s="169">
        <f>Y19/Y3</f>
        <v>5.1173168192728494E-3</v>
      </c>
      <c r="AA19" s="79">
        <f>+'[1]31 dec 2015'!AA19</f>
        <v>332465</v>
      </c>
      <c r="AB19" s="169">
        <f>AA19/AA3</f>
        <v>5.7379423819562013E-3</v>
      </c>
      <c r="AC19" s="170">
        <f>Y19-AA19</f>
        <v>-79.229800000030082</v>
      </c>
      <c r="AD19" s="171">
        <f t="shared" si="4"/>
        <v>-2.3831019806605232E-4</v>
      </c>
      <c r="AG19" s="356">
        <f>+T19+Q19</f>
        <v>23651.599999999999</v>
      </c>
      <c r="AH19" s="76">
        <f>AG19/AG$3</f>
        <v>3.4272714099405879E-3</v>
      </c>
      <c r="AI19" s="39">
        <f t="shared" si="8"/>
        <v>5912.9</v>
      </c>
      <c r="AJ19" s="76">
        <f>AI19/AI$3</f>
        <v>3.2417214912280699E-3</v>
      </c>
      <c r="AK19" s="39">
        <f t="shared" si="8"/>
        <v>5912.9</v>
      </c>
      <c r="AL19" s="76">
        <f>AK19/AK$3</f>
        <v>3.2885984427141264E-3</v>
      </c>
      <c r="AM19" s="39">
        <f t="shared" si="8"/>
        <v>5912.9</v>
      </c>
      <c r="AN19" s="76">
        <f>AM19/AM$3</f>
        <v>3.9952027027027022E-3</v>
      </c>
      <c r="AO19" s="39">
        <f t="shared" si="8"/>
        <v>5912.9</v>
      </c>
      <c r="AP19" s="74">
        <f>AO19/AO$3</f>
        <v>3.286770428015564E-3</v>
      </c>
      <c r="AQ19" s="336">
        <f>+AO19+AM19+AK19+AI19</f>
        <v>23651.599999999999</v>
      </c>
      <c r="AS19" s="163" t="s">
        <v>25</v>
      </c>
      <c r="AT19" s="39">
        <v>85088.9</v>
      </c>
      <c r="AU19" s="35">
        <v>4.8854844632810531E-3</v>
      </c>
      <c r="AV19" s="39">
        <v>85502.9</v>
      </c>
      <c r="AW19" s="35">
        <v>5.1902420203646044E-3</v>
      </c>
      <c r="AX19" s="39">
        <v>80182.899999999994</v>
      </c>
      <c r="AY19" s="35">
        <v>5.6198258715987014E-3</v>
      </c>
      <c r="AZ19" s="39">
        <v>81607.899999999994</v>
      </c>
      <c r="BA19" s="35">
        <v>4.8591127678393594E-3</v>
      </c>
      <c r="BB19" s="39">
        <v>332382.59999999998</v>
      </c>
      <c r="BC19" s="35">
        <v>5.1172682481269724E-3</v>
      </c>
      <c r="BD19" s="336">
        <f>+Y19-BB19</f>
        <v>3.1701999999932013</v>
      </c>
    </row>
    <row r="20" spans="1:57" ht="15.5">
      <c r="A20" s="172"/>
      <c r="B20" s="173" t="s">
        <v>26</v>
      </c>
      <c r="C20" s="174"/>
      <c r="D20" s="121"/>
      <c r="E20" s="176"/>
      <c r="F20" s="121"/>
      <c r="G20" s="175" t="e">
        <f>+F20/F3</f>
        <v>#DIV/0!</v>
      </c>
      <c r="H20" s="177"/>
      <c r="I20" s="371"/>
      <c r="J20" s="125"/>
      <c r="K20" s="121">
        <f>+'[1]31 dec 2015'!M20</f>
        <v>60297</v>
      </c>
      <c r="L20" s="379">
        <f>+K20/K3</f>
        <v>2.4618275263159186E-3</v>
      </c>
      <c r="M20" s="125"/>
      <c r="N20" s="121">
        <f>+'[1]31 dec 2015'!P20</f>
        <v>80519</v>
      </c>
      <c r="O20" s="380">
        <f>N20/N3</f>
        <v>2.4178896023900531E-3</v>
      </c>
      <c r="P20" s="381"/>
      <c r="Q20" s="127"/>
      <c r="R20" s="35">
        <f>Q20/Q$3</f>
        <v>0</v>
      </c>
      <c r="S20" s="350"/>
      <c r="T20" s="121">
        <f>24660*0.7</f>
        <v>17262</v>
      </c>
      <c r="U20" s="35">
        <f>T20/T$3</f>
        <v>2.8832470352430266E-3</v>
      </c>
      <c r="V20" s="350"/>
      <c r="W20" s="121"/>
      <c r="X20" s="35" t="e">
        <f>W20/W$3</f>
        <v>#DIV/0!</v>
      </c>
      <c r="Y20" s="128">
        <f>+D20+F20+I20+K20+N20+Q20+T20+W20</f>
        <v>158078</v>
      </c>
      <c r="Z20" s="178">
        <f>+Y20/Y3</f>
        <v>2.4337239457341052E-3</v>
      </c>
      <c r="AA20" s="130">
        <f>+'[1]31 dec 2015'!AA20</f>
        <v>147816</v>
      </c>
      <c r="AB20" s="178">
        <f>+AA20/AA3</f>
        <v>2.5511247533762586E-3</v>
      </c>
      <c r="AC20" s="179">
        <f>Y20-AA20</f>
        <v>10262</v>
      </c>
      <c r="AD20" s="180">
        <f t="shared" si="4"/>
        <v>6.9424148941927805E-2</v>
      </c>
      <c r="AG20" s="356">
        <f>+T20+Q20</f>
        <v>17262</v>
      </c>
      <c r="AH20" s="35">
        <f>AG20/AG$3</f>
        <v>2.501376612085205E-3</v>
      </c>
      <c r="AI20" s="39">
        <f t="shared" si="8"/>
        <v>4315.5</v>
      </c>
      <c r="AJ20" s="35">
        <f>AI20/AI$3</f>
        <v>2.3659539473684212E-3</v>
      </c>
      <c r="AK20" s="39">
        <f t="shared" si="8"/>
        <v>4315.5</v>
      </c>
      <c r="AL20" s="35">
        <f>AK20/AK$3</f>
        <v>2.4001668520578418E-3</v>
      </c>
      <c r="AM20" s="39">
        <f t="shared" si="8"/>
        <v>4315.5</v>
      </c>
      <c r="AN20" s="35">
        <f>AM20/AM$3</f>
        <v>2.9158783783783783E-3</v>
      </c>
      <c r="AO20" s="39">
        <f t="shared" si="8"/>
        <v>4315.5</v>
      </c>
      <c r="AP20" s="38">
        <f>AO20/AO$3</f>
        <v>2.3988326848249026E-3</v>
      </c>
      <c r="AQ20" s="336">
        <f>+AO20+AM20+AK20+AI20</f>
        <v>17262</v>
      </c>
      <c r="AS20" s="173" t="s">
        <v>26</v>
      </c>
      <c r="AT20" s="39">
        <v>33598.5</v>
      </c>
      <c r="AU20" s="35">
        <v>1.9290994446931205E-3</v>
      </c>
      <c r="AV20" s="39">
        <v>50918.5</v>
      </c>
      <c r="AW20" s="35">
        <v>3.0908815761095253E-3</v>
      </c>
      <c r="AX20" s="39">
        <v>36051.5</v>
      </c>
      <c r="AY20" s="35">
        <v>2.5267625941433973E-3</v>
      </c>
      <c r="AZ20" s="39">
        <v>37510.5</v>
      </c>
      <c r="BA20" s="35">
        <v>2.2334571711566933E-3</v>
      </c>
      <c r="BB20" s="39">
        <v>158079</v>
      </c>
      <c r="BC20" s="35">
        <v>2.4337394538572828E-3</v>
      </c>
      <c r="BD20" s="336">
        <f>+Y20-BB20</f>
        <v>-1</v>
      </c>
    </row>
    <row r="21" spans="1:57" ht="15.75" hidden="1" customHeight="1">
      <c r="A21" s="181"/>
      <c r="B21" s="182" t="s">
        <v>27</v>
      </c>
      <c r="C21" s="135"/>
      <c r="D21" s="136"/>
      <c r="E21" s="184"/>
      <c r="F21" s="139"/>
      <c r="G21" s="183"/>
      <c r="H21" s="185"/>
      <c r="I21" s="139"/>
      <c r="J21" s="141"/>
      <c r="K21" s="139"/>
      <c r="L21" s="183"/>
      <c r="M21" s="141"/>
      <c r="N21" s="139"/>
      <c r="O21" s="186"/>
      <c r="P21" s="382"/>
      <c r="Q21" s="143"/>
      <c r="R21" s="144"/>
      <c r="S21" s="374"/>
      <c r="T21" s="139"/>
      <c r="U21" s="144"/>
      <c r="V21" s="374"/>
      <c r="W21" s="139"/>
      <c r="X21" s="144" t="e">
        <f>W21/W$3</f>
        <v>#DIV/0!</v>
      </c>
      <c r="Y21" s="145">
        <f>+D21+F21+I21+K21+N21+Q21+T21+W21</f>
        <v>0</v>
      </c>
      <c r="Z21" s="187">
        <f>+Y21/Y3</f>
        <v>0</v>
      </c>
      <c r="AA21" s="188">
        <v>0</v>
      </c>
      <c r="AB21" s="187">
        <f>+AA21/AA3</f>
        <v>0</v>
      </c>
      <c r="AC21" s="189">
        <f>Y21-AA21</f>
        <v>0</v>
      </c>
      <c r="AD21" s="190" t="e">
        <f t="shared" si="4"/>
        <v>#DIV/0!</v>
      </c>
      <c r="AG21" s="375"/>
      <c r="AH21" s="144">
        <f>AG21/AG$3</f>
        <v>0</v>
      </c>
      <c r="AI21" s="143"/>
      <c r="AJ21" s="144">
        <f>AI21/AI$3</f>
        <v>0</v>
      </c>
      <c r="AK21" s="143"/>
      <c r="AL21" s="144">
        <f>AK21/AK$3</f>
        <v>0</v>
      </c>
      <c r="AM21" s="143"/>
      <c r="AN21" s="144">
        <f>AM21/AM$3</f>
        <v>0</v>
      </c>
      <c r="AO21" s="143"/>
      <c r="AP21" s="376">
        <f>AO21/AO$3</f>
        <v>0</v>
      </c>
      <c r="AS21" s="182" t="s">
        <v>27</v>
      </c>
      <c r="AT21" s="377"/>
      <c r="AU21" s="144">
        <v>0</v>
      </c>
      <c r="AV21" s="377"/>
      <c r="AW21" s="144">
        <v>0</v>
      </c>
      <c r="AX21" s="377"/>
      <c r="AY21" s="144">
        <v>0</v>
      </c>
      <c r="AZ21" s="377"/>
      <c r="BA21" s="144">
        <v>0</v>
      </c>
      <c r="BB21" s="377"/>
      <c r="BC21" s="144">
        <v>0</v>
      </c>
    </row>
    <row r="22" spans="1:57" ht="27.75" customHeight="1">
      <c r="A22" s="17"/>
      <c r="B22" s="191" t="s">
        <v>9</v>
      </c>
      <c r="C22" s="33"/>
      <c r="D22" s="192">
        <f>SUM(D23:D37)</f>
        <v>0</v>
      </c>
      <c r="E22" s="193"/>
      <c r="F22" s="192">
        <f>SUM(F23:F37)</f>
        <v>0</v>
      </c>
      <c r="G22" s="50" t="e">
        <f>F22/F3</f>
        <v>#DIV/0!</v>
      </c>
      <c r="H22" s="194"/>
      <c r="I22" s="23">
        <f>SUM(I23:I34)</f>
        <v>-755096</v>
      </c>
      <c r="J22" s="64"/>
      <c r="K22" s="192">
        <f>SUM(K23:K37)</f>
        <v>9453972</v>
      </c>
      <c r="L22" s="101">
        <f>K22/K3</f>
        <v>0.38599015709935747</v>
      </c>
      <c r="M22" s="64"/>
      <c r="N22" s="192">
        <f>SUM(N23:N37)</f>
        <v>13182668.591956399</v>
      </c>
      <c r="O22" s="195">
        <f>SUM(O23:O34)</f>
        <v>0.4008064414182666</v>
      </c>
      <c r="P22" s="368"/>
      <c r="Q22" s="56">
        <f>SUM(Q23:Q37)</f>
        <v>322753</v>
      </c>
      <c r="R22" s="57">
        <f>SUM(R23:R34)</f>
        <v>0.35312144420131292</v>
      </c>
      <c r="S22" s="350"/>
      <c r="T22" s="192">
        <f>SUM(T23:T37)</f>
        <v>2199420.7000000002</v>
      </c>
      <c r="U22" s="57">
        <f>SUM(U23:U34)</f>
        <v>0.36736607649908132</v>
      </c>
      <c r="V22" s="350"/>
      <c r="W22" s="192">
        <f>SUM(W23:W37)</f>
        <v>0</v>
      </c>
      <c r="X22" s="57" t="e">
        <f>SUM(X23:X34)</f>
        <v>#DIV/0!</v>
      </c>
      <c r="Y22" s="192">
        <f>SUM(Y23:Y37)</f>
        <v>24403718.291956402</v>
      </c>
      <c r="Z22" s="104">
        <f>Y22/Y3</f>
        <v>0.37571270873925333</v>
      </c>
      <c r="AA22" s="192">
        <f>SUM(AA23:AA37)</f>
        <v>23938030</v>
      </c>
      <c r="AB22" s="104">
        <f>AA22/AA3</f>
        <v>0.41314134383330275</v>
      </c>
      <c r="AC22" s="192">
        <f>SUM(AC23:AC37)</f>
        <v>465688.29195640003</v>
      </c>
      <c r="AD22" s="30">
        <f t="shared" si="4"/>
        <v>1.9453910449456369E-2</v>
      </c>
      <c r="AG22" s="58">
        <f>SUM(AG23:AG37)</f>
        <v>2522173.7000000002</v>
      </c>
      <c r="AH22" s="360">
        <f>SUM(AH23:AH34)</f>
        <v>0.36547945225329664</v>
      </c>
      <c r="AI22" s="60">
        <f>SUM(AI23:AI37)</f>
        <v>630543.42500000005</v>
      </c>
      <c r="AJ22" s="360">
        <f>SUM(AJ23:AJ34)</f>
        <v>0.34569266721491226</v>
      </c>
      <c r="AK22" s="60">
        <f>SUM(AK23:AK37)</f>
        <v>630543.42500000005</v>
      </c>
      <c r="AL22" s="360">
        <f>SUM(AL23:AL34)</f>
        <v>0.35069156006674085</v>
      </c>
      <c r="AM22" s="60">
        <f>SUM(AM23:AM37)</f>
        <v>630543.42500000005</v>
      </c>
      <c r="AN22" s="360">
        <f>SUM(AN23:AN34)</f>
        <v>0.42604285472972975</v>
      </c>
      <c r="AO22" s="60">
        <f>SUM(AO23:AO37)</f>
        <v>630543.42500000005</v>
      </c>
      <c r="AP22" s="30">
        <f>SUM(AP23:AP34)</f>
        <v>0.35049662312395774</v>
      </c>
      <c r="AS22" s="191" t="s">
        <v>9</v>
      </c>
      <c r="AT22" s="192">
        <v>6162883.4249999998</v>
      </c>
      <c r="AU22" s="57">
        <v>0.35948164994284793</v>
      </c>
      <c r="AV22" s="192">
        <v>6124546.4249999998</v>
      </c>
      <c r="AW22" s="57">
        <v>0.39645848259831584</v>
      </c>
      <c r="AX22" s="192">
        <v>5848797.4249999998</v>
      </c>
      <c r="AY22" s="57">
        <v>0.4215372579998321</v>
      </c>
      <c r="AZ22" s="192">
        <v>6267487.4249999998</v>
      </c>
      <c r="BA22" s="57">
        <v>0.38008679613321128</v>
      </c>
      <c r="BB22" s="192">
        <v>24403714.699999999</v>
      </c>
      <c r="BC22" s="57">
        <v>0.38781913857518058</v>
      </c>
      <c r="BD22" s="336">
        <f t="shared" ref="BD22:BD36" si="9">+Y22-BB22</f>
        <v>3.591956403106451</v>
      </c>
    </row>
    <row r="23" spans="1:57" ht="15.5">
      <c r="A23" s="31"/>
      <c r="B23" s="32" t="s">
        <v>10</v>
      </c>
      <c r="C23" s="33"/>
      <c r="D23" s="34"/>
      <c r="E23" s="62"/>
      <c r="F23" s="34"/>
      <c r="G23" s="61" t="e">
        <f>F23/F3</f>
        <v>#DIV/0!</v>
      </c>
      <c r="H23" s="63"/>
      <c r="I23" s="354">
        <v>-54144</v>
      </c>
      <c r="J23" s="64"/>
      <c r="K23" s="34">
        <f>+'[1]31 dec 2015'!M23</f>
        <v>4063777</v>
      </c>
      <c r="L23" s="61">
        <f>K23/K3</f>
        <v>0.16591734380499071</v>
      </c>
      <c r="M23" s="64"/>
      <c r="N23" s="34">
        <f>+'[1]31 dec 2015'!P23</f>
        <v>5896525</v>
      </c>
      <c r="O23" s="61">
        <f>N23/N3</f>
        <v>0.17706561790053288</v>
      </c>
      <c r="P23" s="361"/>
      <c r="Q23" s="111">
        <v>147091</v>
      </c>
      <c r="R23" s="35">
        <f t="shared" ref="R23:R39" si="10">Q23/Q$3</f>
        <v>0.16093107221006564</v>
      </c>
      <c r="S23" s="350"/>
      <c r="T23" s="34">
        <f>351455*4-Q23</f>
        <v>1258729</v>
      </c>
      <c r="U23" s="35">
        <f t="shared" ref="U23:U39" si="11">T23/T$3</f>
        <v>0.21024369467178888</v>
      </c>
      <c r="V23" s="350"/>
      <c r="W23" s="34"/>
      <c r="X23" s="35" t="e">
        <f t="shared" ref="X23:X39" si="12">W23/W$3</f>
        <v>#DIV/0!</v>
      </c>
      <c r="Y23" s="40">
        <f t="shared" ref="Y23:Y34" si="13">+D23+F23+I23+K23+N23+Q23+T23+W23</f>
        <v>11311978</v>
      </c>
      <c r="Z23" s="41">
        <f>Y23/Y3</f>
        <v>0.17415599724324315</v>
      </c>
      <c r="AA23" s="42">
        <f>+'[1]31 dec 2015'!AA23</f>
        <v>10641897</v>
      </c>
      <c r="AB23" s="41">
        <f>AA23/AA3</f>
        <v>0.18366622598081769</v>
      </c>
      <c r="AC23" s="90">
        <f>Y23-AA23</f>
        <v>670081</v>
      </c>
      <c r="AD23" s="44">
        <f t="shared" si="4"/>
        <v>6.2966311363472138E-2</v>
      </c>
      <c r="AG23" s="356">
        <f t="shared" ref="AG23:AG36" si="14">+T23+Q23</f>
        <v>1405820</v>
      </c>
      <c r="AH23" s="35">
        <f t="shared" ref="AH23:AH34" si="15">AG23/AG$3</f>
        <v>0.20371250543399508</v>
      </c>
      <c r="AI23" s="39">
        <f t="shared" ref="AI23:AO36" si="16">+$AG23/4</f>
        <v>351455</v>
      </c>
      <c r="AJ23" s="35">
        <f t="shared" ref="AJ23:AJ34" si="17">AI23/AI$3</f>
        <v>0.19268366228070175</v>
      </c>
      <c r="AK23" s="39">
        <f t="shared" si="16"/>
        <v>351455</v>
      </c>
      <c r="AL23" s="35">
        <f t="shared" ref="AL23:AL34" si="18">AK23/AK$3</f>
        <v>0.19546996662958843</v>
      </c>
      <c r="AM23" s="39">
        <f t="shared" si="16"/>
        <v>351455</v>
      </c>
      <c r="AN23" s="35">
        <f t="shared" ref="AN23:AN34" si="19">AM23/AM$3</f>
        <v>0.2374695945945946</v>
      </c>
      <c r="AO23" s="39">
        <f t="shared" si="16"/>
        <v>351455</v>
      </c>
      <c r="AP23" s="38">
        <f t="shared" ref="AP23:AP34" si="20">AO23/AO$3</f>
        <v>0.19536131183991107</v>
      </c>
      <c r="AQ23" s="336">
        <f t="shared" ref="AQ23:AQ36" si="21">+AO23+AM23+AK23+AI23</f>
        <v>1405820</v>
      </c>
      <c r="AS23" s="32" t="s">
        <v>10</v>
      </c>
      <c r="AT23" s="39">
        <v>2883462</v>
      </c>
      <c r="AU23" s="35">
        <v>0.16555753807442936</v>
      </c>
      <c r="AV23" s="39">
        <v>2848531</v>
      </c>
      <c r="AW23" s="35">
        <v>0.17291302742376233</v>
      </c>
      <c r="AX23" s="39">
        <v>2681511</v>
      </c>
      <c r="AY23" s="35">
        <v>0.18794063189004773</v>
      </c>
      <c r="AZ23" s="39">
        <v>2898474</v>
      </c>
      <c r="BA23" s="35">
        <v>0.1725814782717166</v>
      </c>
      <c r="BB23" s="39">
        <v>11311978</v>
      </c>
      <c r="BC23" s="35">
        <v>0.17415600528701217</v>
      </c>
      <c r="BD23" s="336">
        <f t="shared" si="9"/>
        <v>0</v>
      </c>
    </row>
    <row r="24" spans="1:57" ht="15.5">
      <c r="A24" s="196"/>
      <c r="B24" s="197" t="s">
        <v>39</v>
      </c>
      <c r="C24" s="164"/>
      <c r="D24" s="69"/>
      <c r="E24" s="199"/>
      <c r="F24" s="69"/>
      <c r="G24" s="198" t="e">
        <f>F24/F3</f>
        <v>#DIV/0!</v>
      </c>
      <c r="H24" s="200"/>
      <c r="I24" s="362"/>
      <c r="J24" s="73"/>
      <c r="K24" s="69">
        <f>+'[1]31 dec 2015'!M24</f>
        <v>664675</v>
      </c>
      <c r="L24" s="198">
        <f>K24/K3</f>
        <v>2.7137589118099294E-2</v>
      </c>
      <c r="M24" s="73"/>
      <c r="N24" s="69">
        <f>+'[1]31 dec 2015'!P24</f>
        <v>1152214</v>
      </c>
      <c r="O24" s="198">
        <f>N24/N3</f>
        <v>3.4599613138864768E-2</v>
      </c>
      <c r="P24" s="383"/>
      <c r="Q24" s="75"/>
      <c r="R24" s="76">
        <f t="shared" si="10"/>
        <v>0</v>
      </c>
      <c r="S24" s="364"/>
      <c r="T24" s="69">
        <f>271151*0.7/1.5</f>
        <v>126537.13333333332</v>
      </c>
      <c r="U24" s="76">
        <f t="shared" si="11"/>
        <v>2.1135315405601023E-2</v>
      </c>
      <c r="V24" s="364"/>
      <c r="W24" s="69"/>
      <c r="X24" s="76" t="e">
        <f t="shared" si="12"/>
        <v>#DIV/0!</v>
      </c>
      <c r="Y24" s="77">
        <f t="shared" si="13"/>
        <v>1943426.1333333333</v>
      </c>
      <c r="Z24" s="201">
        <f>Y24/Y3</f>
        <v>2.9920436224261281E-2</v>
      </c>
      <c r="AA24" s="79">
        <f>+'[1]31 dec 2015'!AA24</f>
        <v>1919609</v>
      </c>
      <c r="AB24" s="201">
        <f>AA24/AA3</f>
        <v>3.3130121480109367E-2</v>
      </c>
      <c r="AC24" s="80">
        <f t="shared" ref="AC24:AC36" si="22">Y24-AA24</f>
        <v>23817.133333333302</v>
      </c>
      <c r="AD24" s="81">
        <f t="shared" si="4"/>
        <v>1.2407283636059897E-2</v>
      </c>
      <c r="AG24" s="356">
        <f t="shared" si="14"/>
        <v>126537.13333333332</v>
      </c>
      <c r="AH24" s="76">
        <f t="shared" si="15"/>
        <v>1.8336057576196683E-2</v>
      </c>
      <c r="AI24" s="39">
        <f t="shared" si="16"/>
        <v>31634.283333333329</v>
      </c>
      <c r="AJ24" s="76">
        <f t="shared" si="17"/>
        <v>1.7343357090643271E-2</v>
      </c>
      <c r="AK24" s="39">
        <f t="shared" si="16"/>
        <v>31634.283333333329</v>
      </c>
      <c r="AL24" s="76">
        <f t="shared" si="18"/>
        <v>1.7594150908416758E-2</v>
      </c>
      <c r="AM24" s="39">
        <f t="shared" si="16"/>
        <v>31634.283333333329</v>
      </c>
      <c r="AN24" s="76">
        <f t="shared" si="19"/>
        <v>2.1374515765765763E-2</v>
      </c>
      <c r="AO24" s="39">
        <f t="shared" si="16"/>
        <v>31634.283333333329</v>
      </c>
      <c r="AP24" s="74">
        <f t="shared" si="20"/>
        <v>1.7584370946822307E-2</v>
      </c>
      <c r="AQ24" s="336">
        <f t="shared" si="21"/>
        <v>126537.13333333332</v>
      </c>
      <c r="AS24" s="197" t="s">
        <v>39</v>
      </c>
      <c r="AT24" s="39">
        <v>497682.28333333333</v>
      </c>
      <c r="AU24" s="35">
        <v>2.8575044017201293E-2</v>
      </c>
      <c r="AV24" s="39">
        <v>506670.28333333333</v>
      </c>
      <c r="AW24" s="35">
        <v>3.0756166106959023E-2</v>
      </c>
      <c r="AX24" s="39">
        <v>503816.28333333333</v>
      </c>
      <c r="AY24" s="35">
        <v>3.531126691114151E-2</v>
      </c>
      <c r="AZ24" s="39">
        <v>435255.28333333333</v>
      </c>
      <c r="BA24" s="35">
        <v>2.5916051074890277E-2</v>
      </c>
      <c r="BB24" s="39">
        <v>1943424.1333333333</v>
      </c>
      <c r="BC24" s="35">
        <v>2.9920406814768121E-2</v>
      </c>
      <c r="BD24" s="336">
        <f t="shared" si="9"/>
        <v>2</v>
      </c>
    </row>
    <row r="25" spans="1:57" ht="15.5">
      <c r="A25" s="202"/>
      <c r="B25" s="334" t="s">
        <v>42</v>
      </c>
      <c r="C25" s="174"/>
      <c r="D25" s="121"/>
      <c r="E25" s="123"/>
      <c r="F25" s="121"/>
      <c r="G25" s="203" t="e">
        <f>F25/F3</f>
        <v>#DIV/0!</v>
      </c>
      <c r="H25" s="124"/>
      <c r="I25" s="371">
        <v>-70674</v>
      </c>
      <c r="J25" s="125"/>
      <c r="K25" s="121">
        <f>+'[1]31 dec 2015'!M25</f>
        <v>417150</v>
      </c>
      <c r="L25" s="122">
        <f>K25/K3</f>
        <v>1.7031549705668364E-2</v>
      </c>
      <c r="M25" s="125"/>
      <c r="N25" s="121">
        <f>+'[1]31 dec 2015'!P25</f>
        <v>591531.31799999997</v>
      </c>
      <c r="O25" s="122">
        <f>N25/N3</f>
        <v>1.7762980455299792E-2</v>
      </c>
      <c r="P25" s="384"/>
      <c r="Q25" s="127"/>
      <c r="R25" s="35">
        <f t="shared" si="10"/>
        <v>0</v>
      </c>
      <c r="S25" s="350"/>
      <c r="T25" s="121"/>
      <c r="U25" s="35">
        <f t="shared" si="11"/>
        <v>0</v>
      </c>
      <c r="V25" s="350"/>
      <c r="W25" s="121"/>
      <c r="X25" s="35" t="e">
        <f t="shared" si="12"/>
        <v>#DIV/0!</v>
      </c>
      <c r="Y25" s="128">
        <f t="shared" si="13"/>
        <v>938007.31799999997</v>
      </c>
      <c r="Z25" s="204">
        <f>Y25/Y3</f>
        <v>1.4441293988350215E-2</v>
      </c>
      <c r="AA25" s="130">
        <f>+'[1]31 dec 2015'!AA25</f>
        <v>1041057</v>
      </c>
      <c r="AB25" s="204">
        <f>AA25/AA3</f>
        <v>1.7967380272606671E-2</v>
      </c>
      <c r="AC25" s="131">
        <f t="shared" si="22"/>
        <v>-103049.68200000003</v>
      </c>
      <c r="AD25" s="132">
        <f t="shared" si="4"/>
        <v>-9.8985629028958091E-2</v>
      </c>
      <c r="AG25" s="356">
        <f t="shared" si="14"/>
        <v>0</v>
      </c>
      <c r="AH25" s="35">
        <f t="shared" si="15"/>
        <v>0</v>
      </c>
      <c r="AI25" s="39">
        <f t="shared" si="16"/>
        <v>0</v>
      </c>
      <c r="AJ25" s="35">
        <f t="shared" si="17"/>
        <v>0</v>
      </c>
      <c r="AK25" s="39">
        <f t="shared" si="16"/>
        <v>0</v>
      </c>
      <c r="AL25" s="35">
        <f t="shared" si="18"/>
        <v>0</v>
      </c>
      <c r="AM25" s="39">
        <f t="shared" si="16"/>
        <v>0</v>
      </c>
      <c r="AN25" s="35">
        <f t="shared" si="19"/>
        <v>0</v>
      </c>
      <c r="AO25" s="39">
        <f t="shared" si="16"/>
        <v>0</v>
      </c>
      <c r="AP25" s="38">
        <f t="shared" si="20"/>
        <v>0</v>
      </c>
      <c r="AQ25" s="336">
        <f t="shared" si="21"/>
        <v>0</v>
      </c>
      <c r="AS25" s="334" t="s">
        <v>42</v>
      </c>
      <c r="AT25" s="39">
        <v>220709.5</v>
      </c>
      <c r="AU25" s="35">
        <v>1.2672308998571254E-2</v>
      </c>
      <c r="AV25" s="39">
        <v>246170.5</v>
      </c>
      <c r="AW25" s="35">
        <v>1.494317120558677E-2</v>
      </c>
      <c r="AX25" s="39">
        <v>233795.5</v>
      </c>
      <c r="AY25" s="35">
        <v>1.6386162131369085E-2</v>
      </c>
      <c r="AZ25" s="39">
        <v>237331.5</v>
      </c>
      <c r="BA25" s="35">
        <v>1.4131236336928987E-2</v>
      </c>
      <c r="BB25" s="39">
        <v>938007</v>
      </c>
      <c r="BC25" s="35">
        <v>1.4441289759514598E-2</v>
      </c>
      <c r="BD25" s="336">
        <f t="shared" si="9"/>
        <v>0.31799999997019768</v>
      </c>
    </row>
    <row r="26" spans="1:57" ht="15.75" hidden="1" customHeight="1">
      <c r="A26" s="133"/>
      <c r="B26" s="205" t="s">
        <v>43</v>
      </c>
      <c r="C26" s="141"/>
      <c r="D26" s="136"/>
      <c r="E26" s="138"/>
      <c r="F26" s="136"/>
      <c r="G26" s="137"/>
      <c r="H26" s="141"/>
      <c r="I26" s="139"/>
      <c r="J26" s="141"/>
      <c r="K26" s="136"/>
      <c r="L26" s="137"/>
      <c r="M26" s="141"/>
      <c r="N26" s="136"/>
      <c r="O26" s="137"/>
      <c r="P26" s="373"/>
      <c r="Q26" s="206"/>
      <c r="R26" s="144"/>
      <c r="S26" s="374"/>
      <c r="T26" s="136"/>
      <c r="U26" s="144"/>
      <c r="V26" s="374"/>
      <c r="W26" s="136"/>
      <c r="X26" s="144" t="e">
        <f t="shared" si="12"/>
        <v>#DIV/0!</v>
      </c>
      <c r="Y26" s="145">
        <f t="shared" si="13"/>
        <v>0</v>
      </c>
      <c r="Z26" s="207">
        <f>Y26/Y3</f>
        <v>0</v>
      </c>
      <c r="AA26" s="147">
        <v>0</v>
      </c>
      <c r="AB26" s="207">
        <f>AA26/AA3</f>
        <v>0</v>
      </c>
      <c r="AC26" s="148">
        <f t="shared" si="22"/>
        <v>0</v>
      </c>
      <c r="AD26" s="149" t="e">
        <f t="shared" si="4"/>
        <v>#DIV/0!</v>
      </c>
      <c r="AG26" s="356">
        <f t="shared" si="14"/>
        <v>0</v>
      </c>
      <c r="AH26" s="144">
        <f t="shared" si="15"/>
        <v>0</v>
      </c>
      <c r="AI26" s="39">
        <f t="shared" si="16"/>
        <v>0</v>
      </c>
      <c r="AJ26" s="144">
        <f t="shared" si="17"/>
        <v>0</v>
      </c>
      <c r="AK26" s="39">
        <f t="shared" si="16"/>
        <v>0</v>
      </c>
      <c r="AL26" s="144">
        <f t="shared" si="18"/>
        <v>0</v>
      </c>
      <c r="AM26" s="39">
        <f t="shared" si="16"/>
        <v>0</v>
      </c>
      <c r="AN26" s="144">
        <f t="shared" si="19"/>
        <v>0</v>
      </c>
      <c r="AO26" s="39">
        <f t="shared" si="16"/>
        <v>0</v>
      </c>
      <c r="AP26" s="376">
        <f t="shared" si="20"/>
        <v>0</v>
      </c>
      <c r="AQ26" s="336">
        <f t="shared" si="21"/>
        <v>0</v>
      </c>
      <c r="AS26" s="205" t="s">
        <v>43</v>
      </c>
      <c r="AT26" s="39">
        <v>0</v>
      </c>
      <c r="AU26" s="144">
        <v>0</v>
      </c>
      <c r="AV26" s="39">
        <v>0</v>
      </c>
      <c r="AW26" s="144">
        <v>0</v>
      </c>
      <c r="AX26" s="39">
        <v>0</v>
      </c>
      <c r="AY26" s="144">
        <v>0</v>
      </c>
      <c r="AZ26" s="39">
        <v>0</v>
      </c>
      <c r="BA26" s="144">
        <v>0</v>
      </c>
      <c r="BB26" s="39">
        <v>0</v>
      </c>
      <c r="BC26" s="144">
        <v>0</v>
      </c>
      <c r="BD26" s="336">
        <f t="shared" si="9"/>
        <v>0</v>
      </c>
    </row>
    <row r="27" spans="1:57" ht="15.5">
      <c r="A27" s="31"/>
      <c r="B27" s="225" t="s">
        <v>28</v>
      </c>
      <c r="C27" s="33"/>
      <c r="D27" s="34"/>
      <c r="E27" s="62"/>
      <c r="F27" s="34"/>
      <c r="G27" s="61" t="e">
        <f>F27/F3</f>
        <v>#DIV/0!</v>
      </c>
      <c r="H27" s="63"/>
      <c r="I27" s="354"/>
      <c r="J27" s="64"/>
      <c r="K27" s="34">
        <f>+'[1]31 dec 2015'!M27</f>
        <v>1597060</v>
      </c>
      <c r="L27" s="61">
        <f>K27/K3</f>
        <v>6.5205338062890375E-2</v>
      </c>
      <c r="M27" s="64"/>
      <c r="N27" s="34">
        <f>+'[1]31 dec 2015'!P27</f>
        <v>2018350</v>
      </c>
      <c r="O27" s="61">
        <f>N27/N3</f>
        <v>6.0608644903488162E-2</v>
      </c>
      <c r="P27" s="361"/>
      <c r="Q27" s="385">
        <f>9000*12</f>
        <v>108000</v>
      </c>
      <c r="R27" s="35">
        <f t="shared" si="10"/>
        <v>0.11816192560175055</v>
      </c>
      <c r="S27" s="386"/>
      <c r="T27" s="34">
        <f>20000*12</f>
        <v>240000</v>
      </c>
      <c r="U27" s="35">
        <f t="shared" si="11"/>
        <v>4.0086854852179721E-2</v>
      </c>
      <c r="V27" s="350"/>
      <c r="W27" s="34"/>
      <c r="X27" s="35" t="e">
        <f t="shared" si="12"/>
        <v>#DIV/0!</v>
      </c>
      <c r="Y27" s="40">
        <f t="shared" si="13"/>
        <v>3963410</v>
      </c>
      <c r="Z27" s="41">
        <f>Y27/Y3</f>
        <v>6.1019533545224568E-2</v>
      </c>
      <c r="AA27" s="42">
        <f>+'[1]31 dec 2015'!AA27</f>
        <v>3767685</v>
      </c>
      <c r="AB27" s="41">
        <f>AA27/AA3</f>
        <v>6.502567020095544E-2</v>
      </c>
      <c r="AC27" s="43">
        <f t="shared" si="22"/>
        <v>195725</v>
      </c>
      <c r="AD27" s="44">
        <f t="shared" si="4"/>
        <v>5.1948344938602883E-2</v>
      </c>
      <c r="AG27" s="356">
        <f t="shared" si="14"/>
        <v>348000</v>
      </c>
      <c r="AH27" s="35">
        <f t="shared" si="15"/>
        <v>5.0427474279089987E-2</v>
      </c>
      <c r="AI27" s="39">
        <f t="shared" si="16"/>
        <v>87000</v>
      </c>
      <c r="AJ27" s="35">
        <f t="shared" si="17"/>
        <v>4.7697368421052634E-2</v>
      </c>
      <c r="AK27" s="39">
        <f t="shared" si="16"/>
        <v>87000</v>
      </c>
      <c r="AL27" s="35">
        <f t="shared" si="18"/>
        <v>4.8387096774193547E-2</v>
      </c>
      <c r="AM27" s="39">
        <f t="shared" si="16"/>
        <v>87000</v>
      </c>
      <c r="AN27" s="35">
        <f t="shared" si="19"/>
        <v>5.8783783783783787E-2</v>
      </c>
      <c r="AO27" s="39">
        <f t="shared" si="16"/>
        <v>87000</v>
      </c>
      <c r="AP27" s="38">
        <f t="shared" si="20"/>
        <v>4.8360200111172875E-2</v>
      </c>
      <c r="AQ27" s="336">
        <f t="shared" si="21"/>
        <v>348000</v>
      </c>
      <c r="AS27" s="225" t="s">
        <v>28</v>
      </c>
      <c r="AT27" s="39">
        <v>944129</v>
      </c>
      <c r="AU27" s="35">
        <v>5.4208334586921175E-2</v>
      </c>
      <c r="AV27" s="39">
        <v>1005748</v>
      </c>
      <c r="AW27" s="35">
        <v>6.1051444237536515E-2</v>
      </c>
      <c r="AX27" s="39">
        <v>926533</v>
      </c>
      <c r="AY27" s="35">
        <v>6.4938460997169725E-2</v>
      </c>
      <c r="AZ27" s="39">
        <v>1087000</v>
      </c>
      <c r="BA27" s="35">
        <v>6.4722356274838397E-2</v>
      </c>
      <c r="BB27" s="39">
        <v>3963410</v>
      </c>
      <c r="BC27" s="35">
        <v>6.1019536363542869E-2</v>
      </c>
      <c r="BD27" s="336">
        <f t="shared" si="9"/>
        <v>0</v>
      </c>
    </row>
    <row r="28" spans="1:57" ht="15.5">
      <c r="A28" s="31"/>
      <c r="B28" s="208" t="s">
        <v>29</v>
      </c>
      <c r="C28" s="209"/>
      <c r="D28" s="210"/>
      <c r="E28" s="212"/>
      <c r="F28" s="210"/>
      <c r="G28" s="211"/>
      <c r="H28" s="213"/>
      <c r="I28" s="387">
        <v>-404250</v>
      </c>
      <c r="J28" s="213"/>
      <c r="K28" s="210">
        <v>0</v>
      </c>
      <c r="L28" s="211"/>
      <c r="M28" s="213"/>
      <c r="N28" s="210">
        <f>+'[1]31 dec 2015'!P28</f>
        <v>404250</v>
      </c>
      <c r="O28" s="211"/>
      <c r="P28" s="388"/>
      <c r="Q28" s="214"/>
      <c r="R28" s="215">
        <f t="shared" si="10"/>
        <v>0</v>
      </c>
      <c r="S28" s="350"/>
      <c r="T28" s="210"/>
      <c r="U28" s="211"/>
      <c r="V28" s="350"/>
      <c r="W28" s="210"/>
      <c r="X28" s="215" t="e">
        <f t="shared" si="12"/>
        <v>#DIV/0!</v>
      </c>
      <c r="Y28" s="216">
        <f t="shared" si="13"/>
        <v>0</v>
      </c>
      <c r="Z28" s="217">
        <f>Y28/Y3</f>
        <v>0</v>
      </c>
      <c r="AA28" s="218">
        <f>+'[1]31 dec 2015'!AA28</f>
        <v>404250</v>
      </c>
      <c r="AB28" s="217">
        <f>AA28/AA3</f>
        <v>6.9768643553631037E-3</v>
      </c>
      <c r="AC28" s="219">
        <f t="shared" si="22"/>
        <v>-404250</v>
      </c>
      <c r="AD28" s="220">
        <f t="shared" si="4"/>
        <v>-1</v>
      </c>
      <c r="AG28" s="356">
        <f t="shared" si="14"/>
        <v>0</v>
      </c>
      <c r="AH28" s="35">
        <f t="shared" si="15"/>
        <v>0</v>
      </c>
      <c r="AI28" s="39">
        <f t="shared" si="16"/>
        <v>0</v>
      </c>
      <c r="AJ28" s="35">
        <f t="shared" si="17"/>
        <v>0</v>
      </c>
      <c r="AK28" s="39">
        <f t="shared" si="16"/>
        <v>0</v>
      </c>
      <c r="AL28" s="35">
        <f t="shared" si="18"/>
        <v>0</v>
      </c>
      <c r="AM28" s="39">
        <f t="shared" si="16"/>
        <v>0</v>
      </c>
      <c r="AN28" s="35">
        <f t="shared" si="19"/>
        <v>0</v>
      </c>
      <c r="AO28" s="39">
        <f t="shared" si="16"/>
        <v>0</v>
      </c>
      <c r="AP28" s="38">
        <f t="shared" si="20"/>
        <v>0</v>
      </c>
      <c r="AQ28" s="336">
        <f t="shared" si="21"/>
        <v>0</v>
      </c>
      <c r="AS28" s="208" t="s">
        <v>29</v>
      </c>
      <c r="AT28" s="39">
        <v>9187.5</v>
      </c>
      <c r="AU28" s="35">
        <v>5.275116790368036E-4</v>
      </c>
      <c r="AV28" s="39">
        <v>9187.5</v>
      </c>
      <c r="AW28" s="35">
        <v>5.5770445870373766E-4</v>
      </c>
      <c r="AX28" s="39">
        <v>9187.5</v>
      </c>
      <c r="AY28" s="35">
        <v>6.4392969318037975E-4</v>
      </c>
      <c r="AZ28" s="39">
        <v>-27562.5</v>
      </c>
      <c r="BA28" s="35">
        <v>-1.6411315039790554E-3</v>
      </c>
      <c r="BB28" s="39">
        <v>0</v>
      </c>
      <c r="BC28" s="35">
        <v>0</v>
      </c>
      <c r="BD28" s="336">
        <f t="shared" si="9"/>
        <v>0</v>
      </c>
    </row>
    <row r="29" spans="1:57" ht="15.5">
      <c r="A29" s="31"/>
      <c r="B29" s="32" t="s">
        <v>11</v>
      </c>
      <c r="C29" s="33"/>
      <c r="D29" s="34"/>
      <c r="E29" s="62"/>
      <c r="F29" s="34"/>
      <c r="G29" s="61" t="e">
        <f>F29/F3</f>
        <v>#DIV/0!</v>
      </c>
      <c r="H29" s="63"/>
      <c r="I29" s="354">
        <v>-24365</v>
      </c>
      <c r="J29" s="64"/>
      <c r="K29" s="34">
        <f>+'[1]31 dec 2015'!M29</f>
        <v>1906498</v>
      </c>
      <c r="L29" s="61">
        <f>K29/K3</f>
        <v>7.7839183628808165E-2</v>
      </c>
      <c r="M29" s="64"/>
      <c r="N29" s="34">
        <f>+'[1]31 dec 2015'!P29</f>
        <v>2563635.2675000001</v>
      </c>
      <c r="O29" s="61">
        <f>N29/N3</f>
        <v>7.6982911581225458E-2</v>
      </c>
      <c r="P29" s="361"/>
      <c r="Q29" s="111">
        <v>67662</v>
      </c>
      <c r="R29" s="35">
        <f t="shared" si="10"/>
        <v>7.4028446389496724E-2</v>
      </c>
      <c r="S29" s="350"/>
      <c r="T29" s="34">
        <f>144637*4-Q29</f>
        <v>510886</v>
      </c>
      <c r="U29" s="35">
        <f t="shared" si="11"/>
        <v>8.5332553866711208E-2</v>
      </c>
      <c r="V29" s="350"/>
      <c r="W29" s="34"/>
      <c r="X29" s="35" t="e">
        <f t="shared" si="12"/>
        <v>#DIV/0!</v>
      </c>
      <c r="Y29" s="40">
        <f t="shared" si="13"/>
        <v>5024316.2675000001</v>
      </c>
      <c r="Z29" s="41">
        <f>Y29/Y3</f>
        <v>7.7352944819368608E-2</v>
      </c>
      <c r="AA29" s="42">
        <f>+'[1]31 dec 2015'!AA29</f>
        <v>4748592</v>
      </c>
      <c r="AB29" s="41">
        <f>AA29/AA3</f>
        <v>8.1954934478571162E-2</v>
      </c>
      <c r="AC29" s="43">
        <f t="shared" si="22"/>
        <v>275724.26750000007</v>
      </c>
      <c r="AD29" s="44">
        <f t="shared" si="4"/>
        <v>5.8064425728721288E-2</v>
      </c>
      <c r="AG29" s="356">
        <f t="shared" si="14"/>
        <v>578548</v>
      </c>
      <c r="AH29" s="35">
        <f t="shared" si="15"/>
        <v>8.3835386175916529E-2</v>
      </c>
      <c r="AI29" s="39">
        <f t="shared" si="16"/>
        <v>144637</v>
      </c>
      <c r="AJ29" s="35">
        <f t="shared" si="17"/>
        <v>7.929660087719298E-2</v>
      </c>
      <c r="AK29" s="39">
        <f t="shared" si="16"/>
        <v>144637</v>
      </c>
      <c r="AL29" s="35">
        <f t="shared" si="18"/>
        <v>8.04432703003337E-2</v>
      </c>
      <c r="AM29" s="39">
        <f t="shared" si="16"/>
        <v>144637</v>
      </c>
      <c r="AN29" s="35">
        <f t="shared" si="19"/>
        <v>9.7727702702702701E-2</v>
      </c>
      <c r="AO29" s="39">
        <f t="shared" si="16"/>
        <v>144637</v>
      </c>
      <c r="AP29" s="38">
        <f t="shared" si="20"/>
        <v>8.039855475264035E-2</v>
      </c>
      <c r="AQ29" s="336">
        <f t="shared" si="21"/>
        <v>578548</v>
      </c>
      <c r="AS29" s="32" t="s">
        <v>11</v>
      </c>
      <c r="AT29" s="39">
        <v>1213852.75</v>
      </c>
      <c r="AU29" s="35">
        <v>6.9694857388401782E-2</v>
      </c>
      <c r="AV29" s="39">
        <v>1369000.75</v>
      </c>
      <c r="AW29" s="35">
        <v>8.3101803781633829E-2</v>
      </c>
      <c r="AX29" s="39">
        <v>1163156.75</v>
      </c>
      <c r="AY29" s="35">
        <v>8.1522848342659882E-2</v>
      </c>
      <c r="AZ29" s="39">
        <v>1278305.75</v>
      </c>
      <c r="BA29" s="35">
        <v>7.6113118840546917E-2</v>
      </c>
      <c r="BB29" s="39">
        <v>5024316</v>
      </c>
      <c r="BC29" s="35">
        <v>7.7352944273726479E-2</v>
      </c>
      <c r="BD29" s="336">
        <f t="shared" si="9"/>
        <v>0.26750000007450581</v>
      </c>
      <c r="BE29" s="4"/>
    </row>
    <row r="30" spans="1:57" ht="15.5">
      <c r="A30" s="196"/>
      <c r="B30" s="197" t="s">
        <v>34</v>
      </c>
      <c r="C30" s="164"/>
      <c r="D30" s="69"/>
      <c r="E30" s="199"/>
      <c r="F30" s="69"/>
      <c r="G30" s="198" t="e">
        <f>F30/F3</f>
        <v>#DIV/0!</v>
      </c>
      <c r="H30" s="200"/>
      <c r="I30" s="362">
        <v>0</v>
      </c>
      <c r="J30" s="73"/>
      <c r="K30" s="69">
        <f>+'[1]31 dec 2015'!M30</f>
        <v>261829</v>
      </c>
      <c r="L30" s="198">
        <f>K30/K3</f>
        <v>1.0690048250953954E-2</v>
      </c>
      <c r="M30" s="73"/>
      <c r="N30" s="69">
        <f>+'[1]31 dec 2015'!P30</f>
        <v>453752.83140000002</v>
      </c>
      <c r="O30" s="198">
        <f>N30/N3</f>
        <v>1.3625656715770275E-2</v>
      </c>
      <c r="P30" s="383"/>
      <c r="Q30" s="75"/>
      <c r="R30" s="76">
        <f t="shared" si="10"/>
        <v>0</v>
      </c>
      <c r="S30" s="364"/>
      <c r="T30" s="69">
        <f>+T24*0.5</f>
        <v>63268.566666666658</v>
      </c>
      <c r="U30" s="76">
        <f t="shared" si="11"/>
        <v>1.0567657702800512E-2</v>
      </c>
      <c r="V30" s="364"/>
      <c r="W30" s="69"/>
      <c r="X30" s="76" t="e">
        <f t="shared" si="12"/>
        <v>#DIV/0!</v>
      </c>
      <c r="Y30" s="77">
        <f t="shared" si="13"/>
        <v>778850.39806666668</v>
      </c>
      <c r="Z30" s="201">
        <f>Y30/Y3</f>
        <v>1.1990959298064161E-2</v>
      </c>
      <c r="AA30" s="79">
        <f>+'[1]31 dec 2015'!AA30</f>
        <v>756171</v>
      </c>
      <c r="AB30" s="201">
        <f>AA30/AA3</f>
        <v>1.3050593683263509E-2</v>
      </c>
      <c r="AC30" s="80">
        <f t="shared" si="22"/>
        <v>22679.398066666676</v>
      </c>
      <c r="AD30" s="81">
        <f t="shared" si="4"/>
        <v>2.999241979217224E-2</v>
      </c>
      <c r="AG30" s="356">
        <f t="shared" si="14"/>
        <v>63268.566666666658</v>
      </c>
      <c r="AH30" s="76">
        <f t="shared" si="15"/>
        <v>9.1680287880983417E-3</v>
      </c>
      <c r="AI30" s="39">
        <f t="shared" si="16"/>
        <v>15817.141666666665</v>
      </c>
      <c r="AJ30" s="76">
        <f t="shared" si="17"/>
        <v>8.6716785453216354E-3</v>
      </c>
      <c r="AK30" s="39">
        <f t="shared" si="16"/>
        <v>15817.141666666665</v>
      </c>
      <c r="AL30" s="76">
        <f t="shared" si="18"/>
        <v>8.7970754542083789E-3</v>
      </c>
      <c r="AM30" s="39">
        <f t="shared" si="16"/>
        <v>15817.141666666665</v>
      </c>
      <c r="AN30" s="76">
        <f t="shared" si="19"/>
        <v>1.0687257882882882E-2</v>
      </c>
      <c r="AO30" s="39">
        <f t="shared" si="16"/>
        <v>15817.141666666665</v>
      </c>
      <c r="AP30" s="74">
        <f t="shared" si="20"/>
        <v>8.7921854734111533E-3</v>
      </c>
      <c r="AQ30" s="336">
        <f t="shared" si="21"/>
        <v>63268.566666666658</v>
      </c>
      <c r="AS30" s="197" t="s">
        <v>34</v>
      </c>
      <c r="AT30" s="39">
        <v>196499.14166666666</v>
      </c>
      <c r="AU30" s="35">
        <v>1.1282241322435271E-2</v>
      </c>
      <c r="AV30" s="39">
        <v>208059.14166666666</v>
      </c>
      <c r="AW30" s="35">
        <v>1.2629715480987493E-2</v>
      </c>
      <c r="AX30" s="39">
        <v>192308.14166666666</v>
      </c>
      <c r="AY30" s="35">
        <v>1.3478413350694496E-2</v>
      </c>
      <c r="AZ30" s="39">
        <v>181984.14166666666</v>
      </c>
      <c r="BA30" s="35">
        <v>1.0835733627709902E-2</v>
      </c>
      <c r="BB30" s="39">
        <v>778850.56666666665</v>
      </c>
      <c r="BC30" s="35">
        <v>1.1990962447610174E-2</v>
      </c>
      <c r="BD30" s="336">
        <f t="shared" si="9"/>
        <v>-0.16859999997541308</v>
      </c>
    </row>
    <row r="31" spans="1:57" ht="15.5">
      <c r="A31" s="389"/>
      <c r="B31" s="390" t="s">
        <v>30</v>
      </c>
      <c r="C31" s="174"/>
      <c r="D31" s="121"/>
      <c r="E31" s="391"/>
      <c r="F31" s="121"/>
      <c r="G31" s="203" t="e">
        <f>F31/F3</f>
        <v>#DIV/0!</v>
      </c>
      <c r="H31" s="392"/>
      <c r="I31" s="371">
        <v>-39962</v>
      </c>
      <c r="J31" s="125"/>
      <c r="K31" s="121">
        <f>+'[1]31 dec 2015'!M31</f>
        <v>174929</v>
      </c>
      <c r="L31" s="122">
        <f>K31/K3</f>
        <v>7.1420639061796987E-3</v>
      </c>
      <c r="M31" s="125"/>
      <c r="N31" s="121">
        <f>+'[1]31 dec 2015'!P31</f>
        <v>247459.17505640001</v>
      </c>
      <c r="O31" s="122">
        <f>N31/N3</f>
        <v>7.4309040895302915E-3</v>
      </c>
      <c r="P31" s="384"/>
      <c r="Q31" s="127"/>
      <c r="R31" s="35">
        <f t="shared" si="10"/>
        <v>0</v>
      </c>
      <c r="S31" s="350"/>
      <c r="T31" s="121"/>
      <c r="U31" s="35">
        <f t="shared" si="11"/>
        <v>0</v>
      </c>
      <c r="V31" s="350"/>
      <c r="W31" s="121"/>
      <c r="X31" s="35" t="e">
        <f t="shared" si="12"/>
        <v>#DIV/0!</v>
      </c>
      <c r="Y31" s="128">
        <f t="shared" si="13"/>
        <v>382426.17505640001</v>
      </c>
      <c r="Z31" s="221">
        <f>Y31/Y3</f>
        <v>5.8877246657363033E-3</v>
      </c>
      <c r="AA31" s="130">
        <f>+'[1]31 dec 2015'!AA31</f>
        <v>436627</v>
      </c>
      <c r="AB31" s="221">
        <f>AA31/AA3</f>
        <v>7.5356520788846656E-3</v>
      </c>
      <c r="AC31" s="131">
        <f t="shared" si="22"/>
        <v>-54200.82494359999</v>
      </c>
      <c r="AD31" s="132">
        <f t="shared" si="4"/>
        <v>-0.12413530300141766</v>
      </c>
      <c r="AG31" s="356">
        <f t="shared" si="14"/>
        <v>0</v>
      </c>
      <c r="AH31" s="35">
        <f t="shared" si="15"/>
        <v>0</v>
      </c>
      <c r="AI31" s="39">
        <f t="shared" si="16"/>
        <v>0</v>
      </c>
      <c r="AJ31" s="35">
        <f t="shared" si="17"/>
        <v>0</v>
      </c>
      <c r="AK31" s="39">
        <f t="shared" si="16"/>
        <v>0</v>
      </c>
      <c r="AL31" s="35">
        <f t="shared" si="18"/>
        <v>0</v>
      </c>
      <c r="AM31" s="39">
        <f t="shared" si="16"/>
        <v>0</v>
      </c>
      <c r="AN31" s="35">
        <f t="shared" si="19"/>
        <v>0</v>
      </c>
      <c r="AO31" s="39">
        <f t="shared" si="16"/>
        <v>0</v>
      </c>
      <c r="AP31" s="38">
        <f t="shared" si="20"/>
        <v>0</v>
      </c>
      <c r="AQ31" s="336">
        <f t="shared" si="21"/>
        <v>0</v>
      </c>
      <c r="AS31" s="390" t="s">
        <v>30</v>
      </c>
      <c r="AT31" s="39">
        <v>90426.5</v>
      </c>
      <c r="AU31" s="35">
        <v>5.1919493708213896E-3</v>
      </c>
      <c r="AV31" s="39">
        <v>95963.5</v>
      </c>
      <c r="AW31" s="35">
        <v>5.8252268650684216E-3</v>
      </c>
      <c r="AX31" s="39">
        <v>93877.5</v>
      </c>
      <c r="AY31" s="35">
        <v>6.5796473220725007E-3</v>
      </c>
      <c r="AZ31" s="39">
        <v>102158.5</v>
      </c>
      <c r="BA31" s="35">
        <v>6.0827404172061434E-3</v>
      </c>
      <c r="BB31" s="39">
        <v>382426</v>
      </c>
      <c r="BC31" s="35">
        <v>5.8877222425548319E-3</v>
      </c>
      <c r="BD31" s="336">
        <f t="shared" si="9"/>
        <v>0.17505640001036227</v>
      </c>
    </row>
    <row r="32" spans="1:57" ht="15.75" hidden="1" customHeight="1">
      <c r="A32" s="222"/>
      <c r="B32" s="134" t="s">
        <v>31</v>
      </c>
      <c r="C32" s="141"/>
      <c r="D32" s="136"/>
      <c r="E32" s="223"/>
      <c r="F32" s="136"/>
      <c r="G32" s="137"/>
      <c r="H32" s="224"/>
      <c r="I32" s="139"/>
      <c r="J32" s="141"/>
      <c r="K32" s="136"/>
      <c r="L32" s="137"/>
      <c r="M32" s="141"/>
      <c r="N32" s="136"/>
      <c r="O32" s="137"/>
      <c r="P32" s="393"/>
      <c r="Q32" s="206"/>
      <c r="R32" s="144"/>
      <c r="S32" s="374"/>
      <c r="T32" s="136"/>
      <c r="U32" s="144"/>
      <c r="V32" s="374"/>
      <c r="W32" s="136"/>
      <c r="X32" s="144" t="e">
        <f t="shared" si="12"/>
        <v>#DIV/0!</v>
      </c>
      <c r="Y32" s="145">
        <f t="shared" si="13"/>
        <v>0</v>
      </c>
      <c r="Z32" s="207">
        <f>Y32/Y3</f>
        <v>0</v>
      </c>
      <c r="AA32" s="147">
        <v>0</v>
      </c>
      <c r="AB32" s="207">
        <f>AA32/AA3</f>
        <v>0</v>
      </c>
      <c r="AC32" s="148">
        <f t="shared" si="22"/>
        <v>0</v>
      </c>
      <c r="AD32" s="149" t="e">
        <f t="shared" si="4"/>
        <v>#DIV/0!</v>
      </c>
      <c r="AG32" s="356">
        <f t="shared" si="14"/>
        <v>0</v>
      </c>
      <c r="AH32" s="35">
        <f t="shared" si="15"/>
        <v>0</v>
      </c>
      <c r="AI32" s="39">
        <f t="shared" si="16"/>
        <v>0</v>
      </c>
      <c r="AJ32" s="35">
        <f t="shared" si="17"/>
        <v>0</v>
      </c>
      <c r="AK32" s="39">
        <f t="shared" si="16"/>
        <v>0</v>
      </c>
      <c r="AL32" s="35">
        <f t="shared" si="18"/>
        <v>0</v>
      </c>
      <c r="AM32" s="39">
        <f t="shared" si="16"/>
        <v>0</v>
      </c>
      <c r="AN32" s="35">
        <f t="shared" si="19"/>
        <v>0</v>
      </c>
      <c r="AO32" s="39">
        <f t="shared" si="16"/>
        <v>0</v>
      </c>
      <c r="AP32" s="38">
        <f t="shared" si="20"/>
        <v>0</v>
      </c>
      <c r="AQ32" s="336">
        <f t="shared" si="21"/>
        <v>0</v>
      </c>
      <c r="AS32" s="134" t="s">
        <v>31</v>
      </c>
      <c r="AT32" s="39">
        <v>0</v>
      </c>
      <c r="AU32" s="35">
        <v>0</v>
      </c>
      <c r="AV32" s="39">
        <v>0</v>
      </c>
      <c r="AW32" s="35">
        <v>0</v>
      </c>
      <c r="AX32" s="39">
        <v>0</v>
      </c>
      <c r="AY32" s="35">
        <v>0</v>
      </c>
      <c r="AZ32" s="39">
        <v>0</v>
      </c>
      <c r="BA32" s="35">
        <v>0</v>
      </c>
      <c r="BB32" s="39">
        <v>0</v>
      </c>
      <c r="BC32" s="35">
        <v>0</v>
      </c>
      <c r="BD32" s="336">
        <f t="shared" si="9"/>
        <v>0</v>
      </c>
    </row>
    <row r="33" spans="1:57" ht="15.5">
      <c r="A33" s="31"/>
      <c r="B33" s="225" t="s">
        <v>32</v>
      </c>
      <c r="C33" s="33"/>
      <c r="D33" s="34"/>
      <c r="E33" s="62"/>
      <c r="F33" s="34"/>
      <c r="G33" s="61" t="e">
        <f>F33/F3</f>
        <v>#DIV/0!</v>
      </c>
      <c r="H33" s="63"/>
      <c r="I33" s="354"/>
      <c r="J33" s="64"/>
      <c r="K33" s="34">
        <f>+'[1]31 dec 2015'!M33</f>
        <v>423727</v>
      </c>
      <c r="L33" s="61">
        <f>K33/K3</f>
        <v>1.7300077818851105E-2</v>
      </c>
      <c r="M33" s="64"/>
      <c r="N33" s="34">
        <f>+'[1]31 dec 2015'!P33</f>
        <v>423930</v>
      </c>
      <c r="O33" s="61">
        <f>N33/N3</f>
        <v>1.2730112633555E-2</v>
      </c>
      <c r="P33" s="361"/>
      <c r="Q33" s="111"/>
      <c r="R33" s="35">
        <f t="shared" si="10"/>
        <v>0</v>
      </c>
      <c r="S33" s="350"/>
      <c r="T33" s="34"/>
      <c r="U33" s="35">
        <f t="shared" si="11"/>
        <v>0</v>
      </c>
      <c r="V33" s="350"/>
      <c r="W33" s="34"/>
      <c r="X33" s="35" t="e">
        <f t="shared" si="12"/>
        <v>#DIV/0!</v>
      </c>
      <c r="Y33" s="40">
        <f t="shared" si="13"/>
        <v>847657</v>
      </c>
      <c r="Z33" s="41">
        <f>Y33/Y3</f>
        <v>1.305028617941228E-2</v>
      </c>
      <c r="AA33" s="42">
        <f>+'[1]31 dec 2015'!AA33</f>
        <v>866207</v>
      </c>
      <c r="AB33" s="41">
        <f>AA33/AA3</f>
        <v>1.4949681490825005E-2</v>
      </c>
      <c r="AC33" s="43">
        <f t="shared" si="22"/>
        <v>-18550</v>
      </c>
      <c r="AD33" s="44">
        <f t="shared" si="4"/>
        <v>-2.1415204448821126E-2</v>
      </c>
      <c r="AG33" s="356">
        <f t="shared" si="14"/>
        <v>0</v>
      </c>
      <c r="AH33" s="35">
        <f t="shared" si="15"/>
        <v>0</v>
      </c>
      <c r="AI33" s="39">
        <f t="shared" si="16"/>
        <v>0</v>
      </c>
      <c r="AJ33" s="35">
        <f t="shared" si="17"/>
        <v>0</v>
      </c>
      <c r="AK33" s="39">
        <f t="shared" si="16"/>
        <v>0</v>
      </c>
      <c r="AL33" s="35">
        <f t="shared" si="18"/>
        <v>0</v>
      </c>
      <c r="AM33" s="39">
        <f t="shared" si="16"/>
        <v>0</v>
      </c>
      <c r="AN33" s="35">
        <f t="shared" si="19"/>
        <v>0</v>
      </c>
      <c r="AO33" s="39">
        <f t="shared" si="16"/>
        <v>0</v>
      </c>
      <c r="AP33" s="38">
        <f t="shared" si="20"/>
        <v>0</v>
      </c>
      <c r="AQ33" s="336">
        <f t="shared" si="21"/>
        <v>0</v>
      </c>
      <c r="AS33" s="225" t="s">
        <v>32</v>
      </c>
      <c r="AT33" s="39">
        <v>201352</v>
      </c>
      <c r="AU33" s="35">
        <v>1.156087418747412E-2</v>
      </c>
      <c r="AV33" s="39">
        <v>238164</v>
      </c>
      <c r="AW33" s="35">
        <v>1.4457156430227698E-2</v>
      </c>
      <c r="AX33" s="39">
        <v>206575</v>
      </c>
      <c r="AY33" s="35">
        <v>1.4478343006121028E-2</v>
      </c>
      <c r="AZ33" s="39">
        <v>201566</v>
      </c>
      <c r="BA33" s="35">
        <v>1.200168028049133E-2</v>
      </c>
      <c r="BB33" s="39">
        <v>847657</v>
      </c>
      <c r="BC33" s="35">
        <v>1.3050286782167795E-2</v>
      </c>
      <c r="BD33" s="336">
        <f t="shared" si="9"/>
        <v>0</v>
      </c>
    </row>
    <row r="34" spans="1:57" ht="15.5">
      <c r="A34" s="31"/>
      <c r="B34" s="226" t="s">
        <v>33</v>
      </c>
      <c r="C34" s="209"/>
      <c r="D34" s="210"/>
      <c r="E34" s="212"/>
      <c r="F34" s="210"/>
      <c r="G34" s="211" t="e">
        <f>F34/F3</f>
        <v>#DIV/0!</v>
      </c>
      <c r="H34" s="213"/>
      <c r="I34" s="387">
        <v>-161701</v>
      </c>
      <c r="J34" s="213"/>
      <c r="K34" s="210">
        <v>0</v>
      </c>
      <c r="L34" s="211">
        <f>K34/K3</f>
        <v>0</v>
      </c>
      <c r="M34" s="213"/>
      <c r="N34" s="210">
        <f>+'[1]31 dec 2015'!P34</f>
        <v>161701</v>
      </c>
      <c r="O34" s="211"/>
      <c r="P34" s="388"/>
      <c r="Q34" s="214"/>
      <c r="R34" s="215">
        <f t="shared" si="10"/>
        <v>0</v>
      </c>
      <c r="S34" s="350"/>
      <c r="T34" s="210"/>
      <c r="U34" s="211"/>
      <c r="V34" s="350"/>
      <c r="W34" s="210"/>
      <c r="X34" s="215" t="e">
        <f t="shared" si="12"/>
        <v>#DIV/0!</v>
      </c>
      <c r="Y34" s="216">
        <f t="shared" si="13"/>
        <v>0</v>
      </c>
      <c r="Z34" s="217">
        <f>Y34/Y3</f>
        <v>0</v>
      </c>
      <c r="AA34" s="218">
        <f>+'[1]31 dec 2015'!AA34</f>
        <v>161701</v>
      </c>
      <c r="AB34" s="217">
        <f>AA34/AA3</f>
        <v>2.7907630009315256E-3</v>
      </c>
      <c r="AC34" s="219">
        <f t="shared" si="22"/>
        <v>-161701</v>
      </c>
      <c r="AD34" s="220">
        <f t="shared" si="4"/>
        <v>-1</v>
      </c>
      <c r="AG34" s="356">
        <f t="shared" si="14"/>
        <v>0</v>
      </c>
      <c r="AH34" s="35">
        <f t="shared" si="15"/>
        <v>0</v>
      </c>
      <c r="AI34" s="39">
        <f t="shared" si="16"/>
        <v>0</v>
      </c>
      <c r="AJ34" s="35">
        <f t="shared" si="17"/>
        <v>0</v>
      </c>
      <c r="AK34" s="39">
        <f t="shared" si="16"/>
        <v>0</v>
      </c>
      <c r="AL34" s="35">
        <f t="shared" si="18"/>
        <v>0</v>
      </c>
      <c r="AM34" s="39">
        <f t="shared" si="16"/>
        <v>0</v>
      </c>
      <c r="AN34" s="35">
        <f t="shared" si="19"/>
        <v>0</v>
      </c>
      <c r="AO34" s="39">
        <f t="shared" si="16"/>
        <v>0</v>
      </c>
      <c r="AP34" s="38">
        <f t="shared" si="20"/>
        <v>0</v>
      </c>
      <c r="AQ34" s="336">
        <f t="shared" si="21"/>
        <v>0</v>
      </c>
      <c r="AS34" s="226" t="s">
        <v>33</v>
      </c>
      <c r="AT34" s="39">
        <v>3674.75</v>
      </c>
      <c r="AU34" s="35">
        <v>2.109903175554279E-4</v>
      </c>
      <c r="AV34" s="39">
        <v>3674.75</v>
      </c>
      <c r="AW34" s="35">
        <v>2.2306660784996568E-4</v>
      </c>
      <c r="AX34" s="39">
        <v>3674.75</v>
      </c>
      <c r="AY34" s="35">
        <v>2.5755435537573883E-4</v>
      </c>
      <c r="AZ34" s="39">
        <v>-11025.25</v>
      </c>
      <c r="BA34" s="35">
        <v>-6.5646748713814351E-4</v>
      </c>
      <c r="BB34" s="39">
        <v>-1</v>
      </c>
      <c r="BC34" s="35">
        <v>-1.5395716406716154E-8</v>
      </c>
      <c r="BD34" s="336">
        <f t="shared" si="9"/>
        <v>1</v>
      </c>
    </row>
    <row r="35" spans="1:57" ht="15.75" hidden="1" customHeight="1">
      <c r="A35" s="31"/>
      <c r="B35" s="227"/>
      <c r="C35" s="228"/>
      <c r="D35" s="229"/>
      <c r="E35" s="231"/>
      <c r="F35" s="229"/>
      <c r="G35" s="230"/>
      <c r="H35" s="232"/>
      <c r="I35" s="394"/>
      <c r="J35" s="232"/>
      <c r="K35" s="229"/>
      <c r="L35" s="230"/>
      <c r="M35" s="232"/>
      <c r="N35" s="229"/>
      <c r="O35" s="230"/>
      <c r="P35" s="395"/>
      <c r="Q35" s="233"/>
      <c r="R35" s="230"/>
      <c r="S35" s="350"/>
      <c r="T35" s="229"/>
      <c r="U35" s="230"/>
      <c r="V35" s="350"/>
      <c r="W35" s="229"/>
      <c r="X35" s="230"/>
      <c r="Y35" s="40"/>
      <c r="Z35" s="234"/>
      <c r="AA35" s="235"/>
      <c r="AB35" s="234"/>
      <c r="AC35" s="90"/>
      <c r="AD35" s="44"/>
      <c r="AG35" s="356">
        <f t="shared" si="14"/>
        <v>0</v>
      </c>
      <c r="AH35" s="35"/>
      <c r="AI35" s="39">
        <f t="shared" si="16"/>
        <v>0</v>
      </c>
      <c r="AJ35" s="35"/>
      <c r="AK35" s="39">
        <f t="shared" si="16"/>
        <v>0</v>
      </c>
      <c r="AL35" s="35"/>
      <c r="AM35" s="39">
        <f t="shared" si="16"/>
        <v>0</v>
      </c>
      <c r="AN35" s="35"/>
      <c r="AO35" s="39">
        <f t="shared" si="16"/>
        <v>0</v>
      </c>
      <c r="AP35" s="38"/>
      <c r="AQ35" s="336">
        <f t="shared" si="21"/>
        <v>0</v>
      </c>
      <c r="AS35" s="227"/>
      <c r="AT35" s="39">
        <v>0</v>
      </c>
      <c r="AU35" s="35"/>
      <c r="AV35" s="39">
        <v>0</v>
      </c>
      <c r="AW35" s="35"/>
      <c r="AX35" s="39">
        <v>0</v>
      </c>
      <c r="AY35" s="35"/>
      <c r="AZ35" s="39">
        <v>0</v>
      </c>
      <c r="BA35" s="35"/>
      <c r="BB35" s="39">
        <v>0</v>
      </c>
      <c r="BC35" s="35"/>
      <c r="BD35" s="336">
        <f t="shared" si="9"/>
        <v>0</v>
      </c>
    </row>
    <row r="36" spans="1:57" s="15" customFormat="1" ht="31">
      <c r="A36" s="236"/>
      <c r="B36" s="237" t="s">
        <v>71</v>
      </c>
      <c r="C36" s="238"/>
      <c r="D36" s="239"/>
      <c r="E36" s="241"/>
      <c r="F36" s="239"/>
      <c r="G36" s="240" t="e">
        <f>F36/F3</f>
        <v>#DIV/0!</v>
      </c>
      <c r="H36" s="242"/>
      <c r="I36" s="396">
        <f>+'[3]cons groupe detail 31-12 av CR '!I36</f>
        <v>0</v>
      </c>
      <c r="J36" s="243"/>
      <c r="K36" s="239">
        <f>+'[1]31 dec 2015'!M36</f>
        <v>-55673</v>
      </c>
      <c r="L36" s="335">
        <f>K36/K3</f>
        <v>-2.2730371970842021E-3</v>
      </c>
      <c r="M36" s="252"/>
      <c r="N36" s="239">
        <f>+'[1]31 dec 2015'!P36</f>
        <v>-730680</v>
      </c>
      <c r="O36" s="335">
        <f>N36/N3</f>
        <v>-2.1941449529606229E-2</v>
      </c>
      <c r="P36" s="397"/>
      <c r="Q36" s="398"/>
      <c r="R36" s="247">
        <f t="shared" si="10"/>
        <v>0</v>
      </c>
      <c r="S36" s="399"/>
      <c r="T36" s="239"/>
      <c r="U36" s="247">
        <f t="shared" si="11"/>
        <v>0</v>
      </c>
      <c r="V36" s="399"/>
      <c r="W36" s="239"/>
      <c r="X36" s="247" t="e">
        <f t="shared" si="12"/>
        <v>#DIV/0!</v>
      </c>
      <c r="Y36" s="244">
        <f>+D36+F36+I36+K36+N36+Q36+T36+W36</f>
        <v>-786353</v>
      </c>
      <c r="Z36" s="245">
        <f>Y36/Y3</f>
        <v>-1.2106467224407259E-2</v>
      </c>
      <c r="AA36" s="246">
        <f>+'[1]31 dec 2015'!AA36</f>
        <v>-805766</v>
      </c>
      <c r="AB36" s="245">
        <f>AA36/AA3</f>
        <v>-1.3906543189025372E-2</v>
      </c>
      <c r="AC36" s="170">
        <f t="shared" si="22"/>
        <v>19413</v>
      </c>
      <c r="AD36" s="171">
        <f>AC36/AA36</f>
        <v>-2.4092602566998359E-2</v>
      </c>
      <c r="AF36" s="16"/>
      <c r="AG36" s="400">
        <f t="shared" si="14"/>
        <v>0</v>
      </c>
      <c r="AH36" s="247">
        <f>AG36/AG$3</f>
        <v>0</v>
      </c>
      <c r="AI36" s="111">
        <f t="shared" si="16"/>
        <v>0</v>
      </c>
      <c r="AJ36" s="247">
        <f>AI36/AI$3</f>
        <v>0</v>
      </c>
      <c r="AK36" s="111">
        <f t="shared" si="16"/>
        <v>0</v>
      </c>
      <c r="AL36" s="247">
        <f>AK36/AK$3</f>
        <v>0</v>
      </c>
      <c r="AM36" s="111">
        <f t="shared" si="16"/>
        <v>0</v>
      </c>
      <c r="AN36" s="247">
        <f>AM36/AM$3</f>
        <v>0</v>
      </c>
      <c r="AO36" s="111">
        <f t="shared" si="16"/>
        <v>0</v>
      </c>
      <c r="AP36" s="401">
        <f>AO36/AO$3</f>
        <v>0</v>
      </c>
      <c r="AQ36" s="402">
        <f t="shared" si="21"/>
        <v>0</v>
      </c>
      <c r="AS36" s="403" t="s">
        <v>71</v>
      </c>
      <c r="AT36" s="338">
        <v>-98092</v>
      </c>
      <c r="AU36" s="404">
        <v>-5.6320735368792533E-3</v>
      </c>
      <c r="AV36" s="338">
        <v>-406623</v>
      </c>
      <c r="AW36" s="404">
        <v>-2.4683043277441079E-2</v>
      </c>
      <c r="AX36" s="338">
        <v>-165638</v>
      </c>
      <c r="AY36" s="404">
        <v>-1.1609167512273387E-2</v>
      </c>
      <c r="AZ36" s="338">
        <v>-116000</v>
      </c>
      <c r="BA36" s="404">
        <v>-6.9068935859073173E-3</v>
      </c>
      <c r="BB36" s="338">
        <v>-786353</v>
      </c>
      <c r="BC36" s="404">
        <v>-1.2106467783570468E-2</v>
      </c>
      <c r="BD36" s="402">
        <f t="shared" si="9"/>
        <v>0</v>
      </c>
      <c r="BE36" s="347"/>
    </row>
    <row r="37" spans="1:57" s="15" customFormat="1" ht="24.75" hidden="1" customHeight="1">
      <c r="A37" s="248"/>
      <c r="B37" s="237"/>
      <c r="C37" s="249"/>
      <c r="D37" s="239"/>
      <c r="E37" s="250"/>
      <c r="F37" s="69"/>
      <c r="G37" s="240"/>
      <c r="H37" s="251"/>
      <c r="I37" s="396"/>
      <c r="J37" s="252"/>
      <c r="K37" s="69"/>
      <c r="L37" s="165"/>
      <c r="M37" s="252"/>
      <c r="N37" s="69"/>
      <c r="O37" s="165"/>
      <c r="P37" s="378"/>
      <c r="Q37" s="398"/>
      <c r="R37" s="247"/>
      <c r="S37" s="399"/>
      <c r="T37" s="69"/>
      <c r="U37" s="247"/>
      <c r="V37" s="399"/>
      <c r="W37" s="69"/>
      <c r="X37" s="247"/>
      <c r="Y37" s="253"/>
      <c r="Z37" s="245"/>
      <c r="AA37" s="246"/>
      <c r="AB37" s="245"/>
      <c r="AC37" s="170"/>
      <c r="AD37" s="171"/>
      <c r="AF37" s="16"/>
      <c r="AG37" s="405"/>
      <c r="AH37" s="247"/>
      <c r="AI37" s="254"/>
      <c r="AJ37" s="247"/>
      <c r="AK37" s="254"/>
      <c r="AL37" s="247"/>
      <c r="AM37" s="254"/>
      <c r="AN37" s="247"/>
      <c r="AO37" s="254"/>
      <c r="AP37" s="401"/>
      <c r="AS37" s="237"/>
      <c r="AT37" s="406"/>
      <c r="AU37" s="107"/>
      <c r="AV37" s="406"/>
      <c r="AW37" s="107"/>
      <c r="AX37" s="406"/>
      <c r="AY37" s="107"/>
      <c r="AZ37" s="406"/>
      <c r="BA37" s="107"/>
      <c r="BB37" s="406"/>
      <c r="BC37" s="107"/>
    </row>
    <row r="38" spans="1:57" ht="31.5" customHeight="1">
      <c r="A38" s="17"/>
      <c r="B38" s="255" t="s">
        <v>12</v>
      </c>
      <c r="C38" s="407"/>
      <c r="D38" s="256">
        <f>+D3-D7-D12-D17-D22</f>
        <v>0</v>
      </c>
      <c r="E38" s="194"/>
      <c r="F38" s="256">
        <f>+F3-F7-F12-F17-F22</f>
        <v>0</v>
      </c>
      <c r="G38" s="257" t="e">
        <f>F38/F3</f>
        <v>#DIV/0!</v>
      </c>
      <c r="H38" s="194"/>
      <c r="I38" s="408">
        <f>+I3-I7-I12-I17-I22+I36+I37</f>
        <v>1534233</v>
      </c>
      <c r="J38" s="64"/>
      <c r="K38" s="256">
        <f>+K3-K7-K12-K17-K22</f>
        <v>5238546</v>
      </c>
      <c r="L38" s="257">
        <f>K38/K3</f>
        <v>0.21388123357168928</v>
      </c>
      <c r="M38" s="64"/>
      <c r="N38" s="256">
        <f>+N3-N7-N12-N17-N22</f>
        <v>7008831.0678436011</v>
      </c>
      <c r="O38" s="258">
        <f>N38/N$3</f>
        <v>0.2104668434015253</v>
      </c>
      <c r="P38" s="409"/>
      <c r="Q38" s="410">
        <f>+Q3-Q7-Q12-Q17-Q22+Q37</f>
        <v>327855</v>
      </c>
      <c r="R38" s="259">
        <f t="shared" si="10"/>
        <v>0.35870350109409188</v>
      </c>
      <c r="S38" s="350"/>
      <c r="T38" s="256">
        <f>+T3-T7-T12-T17-T22</f>
        <v>1674985.2999999998</v>
      </c>
      <c r="U38" s="259">
        <f t="shared" si="11"/>
        <v>0.27977038583597791</v>
      </c>
      <c r="V38" s="350"/>
      <c r="W38" s="256">
        <f>+W3-W7-W12-W17-W22</f>
        <v>0</v>
      </c>
      <c r="X38" s="259" t="e">
        <f t="shared" si="12"/>
        <v>#DIV/0!</v>
      </c>
      <c r="Y38" s="256">
        <f>+Y3-Y7-Y12-Y17-Y22</f>
        <v>15784450.367843591</v>
      </c>
      <c r="Z38" s="260">
        <f>Y38/Y3</f>
        <v>0.24301291027513283</v>
      </c>
      <c r="AA38" s="256">
        <f>+AA3-AA7-AA12-AA17-AA22</f>
        <v>12788028</v>
      </c>
      <c r="AB38" s="260">
        <f>AA38/AA3</f>
        <v>0.22070584224758275</v>
      </c>
      <c r="AC38" s="256">
        <f>+AC3-AC7-AC12-AC17-AC22</f>
        <v>2996422.3678435986</v>
      </c>
      <c r="AD38" s="261">
        <f>AC38/AA38</f>
        <v>0.23431465491345488</v>
      </c>
      <c r="AG38" s="411">
        <f>+AG3-AG7-AG12-AG17-AG22</f>
        <v>2002840.2999999998</v>
      </c>
      <c r="AH38" s="259">
        <f>AG38/AG$3</f>
        <v>0.29022464860165192</v>
      </c>
      <c r="AI38" s="410">
        <f>+AI3-AI7-AI12-AI17-AI22</f>
        <v>584484.08872989425</v>
      </c>
      <c r="AJ38" s="259">
        <f>AI38/AI$3</f>
        <v>0.32044083811945956</v>
      </c>
      <c r="AK38" s="410">
        <f>+AK3-AK7-AK12-AK17-AK22</f>
        <v>562427.13321620063</v>
      </c>
      <c r="AL38" s="259">
        <f>AK38/AK$3</f>
        <v>0.31280708187775341</v>
      </c>
      <c r="AM38" s="410">
        <f>+AM3-AM7-AM12-AM17-AM22</f>
        <v>292653.60039487039</v>
      </c>
      <c r="AN38" s="259">
        <f>AM38/AM$3</f>
        <v>0.19773891918572323</v>
      </c>
      <c r="AO38" s="410">
        <f>+AO3-AO7-AO12-AO17-AO22</f>
        <v>563275.47765903478</v>
      </c>
      <c r="AP38" s="261">
        <f>AO38/AO$3</f>
        <v>0.31310476801502768</v>
      </c>
      <c r="AS38" s="255" t="s">
        <v>12</v>
      </c>
      <c r="AT38" s="256">
        <v>5116655.5335298935</v>
      </c>
      <c r="AU38" s="259">
        <v>0.29377910765118981</v>
      </c>
      <c r="AV38" s="256">
        <v>4057709.5230162004</v>
      </c>
      <c r="AW38" s="259">
        <v>0.24631321829776887</v>
      </c>
      <c r="AX38" s="256">
        <v>2554525.3897948703</v>
      </c>
      <c r="AY38" s="259">
        <v>0.17904051705818785</v>
      </c>
      <c r="AZ38" s="256">
        <v>4055572.5064590359</v>
      </c>
      <c r="BA38" s="259">
        <v>0.24147765286244807</v>
      </c>
      <c r="BB38" s="256">
        <v>15784462.952800002</v>
      </c>
      <c r="BC38" s="259">
        <v>0.24301311525362629</v>
      </c>
      <c r="BD38" s="336">
        <f t="shared" ref="BD38:BD50" si="23">+Y38-BB38</f>
        <v>-12.584956411272287</v>
      </c>
    </row>
    <row r="39" spans="1:57" ht="22.5" customHeight="1" thickBot="1">
      <c r="A39" s="31"/>
      <c r="B39" s="262" t="s">
        <v>13</v>
      </c>
      <c r="C39" s="33"/>
      <c r="D39" s="34"/>
      <c r="E39" s="62"/>
      <c r="F39" s="34"/>
      <c r="G39" s="61" t="e">
        <f>F39/F3</f>
        <v>#DIV/0!</v>
      </c>
      <c r="H39" s="194"/>
      <c r="I39" s="354"/>
      <c r="J39" s="64"/>
      <c r="K39" s="34">
        <v>480779</v>
      </c>
      <c r="L39" s="61">
        <f>K39/K3</f>
        <v>1.962941732216596E-2</v>
      </c>
      <c r="M39" s="64"/>
      <c r="N39" s="34">
        <v>558747</v>
      </c>
      <c r="O39" s="65">
        <f>N39/N3</f>
        <v>1.6778506460172565E-2</v>
      </c>
      <c r="P39" s="361"/>
      <c r="Q39" s="385">
        <v>5000</v>
      </c>
      <c r="R39" s="35">
        <f t="shared" si="10"/>
        <v>5.4704595185995622E-3</v>
      </c>
      <c r="S39" s="350"/>
      <c r="T39" s="34">
        <v>80000</v>
      </c>
      <c r="U39" s="35">
        <f t="shared" si="11"/>
        <v>1.3362284950726574E-2</v>
      </c>
      <c r="V39" s="350"/>
      <c r="W39" s="34"/>
      <c r="X39" s="35" t="e">
        <f t="shared" si="12"/>
        <v>#DIV/0!</v>
      </c>
      <c r="Y39" s="40">
        <f>+D39+F39+I39+K39+N39+Q39+T39+W39</f>
        <v>1124526</v>
      </c>
      <c r="Z39" s="46">
        <f>Y39/Y3</f>
        <v>1.7312882588346196E-2</v>
      </c>
      <c r="AA39" s="42">
        <f>+'[1]31 dec 2015'!AA39</f>
        <v>1236041.3600000001</v>
      </c>
      <c r="AB39" s="46">
        <f>AA39/AA3</f>
        <v>2.1332573670596253E-2</v>
      </c>
      <c r="AC39" s="43">
        <f>Y39-AA39</f>
        <v>-111515.3600000001</v>
      </c>
      <c r="AD39" s="44">
        <f>AC39/AA39</f>
        <v>-9.0219764167114996E-2</v>
      </c>
      <c r="AG39" s="356">
        <f>+T39+Q39</f>
        <v>85000</v>
      </c>
      <c r="AH39" s="35">
        <f>AG39/AG$3</f>
        <v>1.2317055499203014E-2</v>
      </c>
      <c r="AI39" s="39">
        <f t="shared" ref="AI39:AO40" si="24">+$AG39/4</f>
        <v>21250</v>
      </c>
      <c r="AJ39" s="35">
        <f>AI39/AI$3</f>
        <v>1.1650219298245614E-2</v>
      </c>
      <c r="AK39" s="39">
        <f t="shared" si="24"/>
        <v>21250</v>
      </c>
      <c r="AL39" s="35">
        <f>AK39/AK$3</f>
        <v>1.1818687430478309E-2</v>
      </c>
      <c r="AM39" s="39">
        <f t="shared" si="24"/>
        <v>21250</v>
      </c>
      <c r="AN39" s="35">
        <f>AM39/AM$3</f>
        <v>1.4358108108108109E-2</v>
      </c>
      <c r="AO39" s="39">
        <f t="shared" si="24"/>
        <v>21250</v>
      </c>
      <c r="AP39" s="38">
        <f>AO39/AO$3</f>
        <v>1.1812117843246248E-2</v>
      </c>
      <c r="AQ39" s="336">
        <f>+AO39+AM39+AK39+AI39</f>
        <v>85000</v>
      </c>
      <c r="AS39" s="262" t="s">
        <v>13</v>
      </c>
      <c r="AT39" s="39">
        <v>281132</v>
      </c>
      <c r="AU39" s="35">
        <v>1.6141541589221733E-2</v>
      </c>
      <c r="AV39" s="39">
        <v>281130.89849567798</v>
      </c>
      <c r="AW39" s="35">
        <v>1.7065355708345848E-2</v>
      </c>
      <c r="AX39" s="39">
        <v>281133</v>
      </c>
      <c r="AY39" s="35">
        <v>1.9703933217184187E-2</v>
      </c>
      <c r="AZ39" s="39">
        <v>281133</v>
      </c>
      <c r="BA39" s="35">
        <v>1.6739273400748982E-2</v>
      </c>
      <c r="BB39" s="39">
        <v>1124528.8984956779</v>
      </c>
      <c r="BC39" s="35">
        <v>1.7312928012396353E-2</v>
      </c>
      <c r="BD39" s="336">
        <f t="shared" si="23"/>
        <v>-2.8984956778585911</v>
      </c>
    </row>
    <row r="40" spans="1:57" ht="20.25" customHeight="1">
      <c r="A40" s="263"/>
      <c r="B40" s="264" t="s">
        <v>40</v>
      </c>
      <c r="C40" s="164"/>
      <c r="D40" s="69"/>
      <c r="E40" s="71"/>
      <c r="F40" s="69"/>
      <c r="G40" s="265" t="e">
        <f>F40/F3</f>
        <v>#DIV/0!</v>
      </c>
      <c r="H40" s="266"/>
      <c r="I40" s="362">
        <v>-473860</v>
      </c>
      <c r="J40" s="73"/>
      <c r="K40" s="69">
        <f>+'[1]31 dec 2015'!M40</f>
        <v>317600.9318561338</v>
      </c>
      <c r="L40" s="265">
        <f>K40/K3</f>
        <v>1.2967124673317353E-2</v>
      </c>
      <c r="M40" s="73"/>
      <c r="N40" s="69">
        <f>+'[1]31 dec 2015'!P40</f>
        <v>650642.76814386621</v>
      </c>
      <c r="O40" s="267"/>
      <c r="P40" s="412"/>
      <c r="Q40" s="75"/>
      <c r="R40" s="268"/>
      <c r="S40" s="350"/>
      <c r="T40" s="69"/>
      <c r="U40" s="269"/>
      <c r="V40" s="350"/>
      <c r="W40" s="69"/>
      <c r="X40" s="269"/>
      <c r="Y40" s="77">
        <f>+D40+F40+I40+K40+N40+Q40+T40+W40</f>
        <v>494383.7</v>
      </c>
      <c r="Z40" s="201">
        <f>Y40/Y3</f>
        <v>7.6113908897545903E-3</v>
      </c>
      <c r="AA40" s="79">
        <f>+'[1]31 dec 2015'!AA40</f>
        <v>968243.7</v>
      </c>
      <c r="AB40" s="201">
        <f>AA40/AA3</f>
        <v>1.6710711089263787E-2</v>
      </c>
      <c r="AC40" s="80">
        <f>Y40-AA40</f>
        <v>-473859.99999999994</v>
      </c>
      <c r="AD40" s="81"/>
      <c r="AG40" s="356">
        <f>+T40+Q40</f>
        <v>0</v>
      </c>
      <c r="AH40" s="35">
        <f>AG40/AG$3</f>
        <v>0</v>
      </c>
      <c r="AI40" s="39">
        <f t="shared" si="24"/>
        <v>0</v>
      </c>
      <c r="AJ40" s="35">
        <f>AI40/AI$3</f>
        <v>0</v>
      </c>
      <c r="AK40" s="39">
        <f t="shared" si="24"/>
        <v>0</v>
      </c>
      <c r="AL40" s="35">
        <f>AK40/AK$3</f>
        <v>0</v>
      </c>
      <c r="AM40" s="39">
        <f t="shared" si="24"/>
        <v>0</v>
      </c>
      <c r="AN40" s="35">
        <f>AM40/AM$3</f>
        <v>0</v>
      </c>
      <c r="AO40" s="39">
        <f t="shared" si="24"/>
        <v>0</v>
      </c>
      <c r="AP40" s="38">
        <f>AO40/AO$3</f>
        <v>0</v>
      </c>
      <c r="AQ40" s="336">
        <f>+AO40+AM40+AK40+AI40</f>
        <v>0</v>
      </c>
      <c r="AS40" s="264" t="s">
        <v>40</v>
      </c>
      <c r="AT40" s="39">
        <v>112307</v>
      </c>
      <c r="AU40" s="35">
        <v>6.4482453483087126E-3</v>
      </c>
      <c r="AV40" s="39">
        <v>112306.99999999997</v>
      </c>
      <c r="AW40" s="35">
        <v>6.8173186006683694E-3</v>
      </c>
      <c r="AX40" s="39">
        <v>148234</v>
      </c>
      <c r="AY40" s="35">
        <v>1.0389363171580998E-2</v>
      </c>
      <c r="AZ40" s="39">
        <v>121535</v>
      </c>
      <c r="BA40" s="35">
        <v>7.2364595858900498E-3</v>
      </c>
      <c r="BB40" s="39">
        <v>494383</v>
      </c>
      <c r="BC40" s="35">
        <v>7.6113804643015521E-3</v>
      </c>
      <c r="BD40" s="336">
        <f t="shared" si="23"/>
        <v>0.70000000001164153</v>
      </c>
    </row>
    <row r="41" spans="1:57" ht="18.75" customHeight="1">
      <c r="A41" s="66"/>
      <c r="B41" s="270" t="str">
        <f>+'[2]conso lcd'!A40</f>
        <v>RESULTAT EXPLOITATION</v>
      </c>
      <c r="C41" s="33"/>
      <c r="D41" s="271">
        <f>+D38-D39-D40</f>
        <v>0</v>
      </c>
      <c r="E41" s="194"/>
      <c r="F41" s="271">
        <f>+F38-F39-F40</f>
        <v>0</v>
      </c>
      <c r="G41" s="272" t="e">
        <f>F41/F3</f>
        <v>#DIV/0!</v>
      </c>
      <c r="H41" s="194"/>
      <c r="I41" s="271">
        <f>+I38-I39-I40</f>
        <v>2008093</v>
      </c>
      <c r="J41" s="64"/>
      <c r="K41" s="271">
        <f>+K38-K39-K40</f>
        <v>4440166.068143866</v>
      </c>
      <c r="L41" s="273">
        <f>K41/K3</f>
        <v>0.18128469157620597</v>
      </c>
      <c r="M41" s="64"/>
      <c r="N41" s="271">
        <f>+N38-N39-N40</f>
        <v>5799441.2996997349</v>
      </c>
      <c r="O41" s="274">
        <f>N41/N$3</f>
        <v>0.17415031009097784</v>
      </c>
      <c r="P41" s="413"/>
      <c r="Q41" s="275">
        <f>+Q38-Q39-Q40</f>
        <v>322855</v>
      </c>
      <c r="R41" s="276">
        <f t="shared" ref="R41:R46" si="25">Q41/Q$3</f>
        <v>0.35323304157549235</v>
      </c>
      <c r="S41" s="350"/>
      <c r="T41" s="271">
        <f>+T38-T39-T40</f>
        <v>1594985.2999999998</v>
      </c>
      <c r="U41" s="276">
        <f t="shared" ref="U41:U46" si="26">T41/T$3</f>
        <v>0.26640810088525135</v>
      </c>
      <c r="V41" s="350"/>
      <c r="W41" s="271">
        <f>+W38-W39-W40</f>
        <v>0</v>
      </c>
      <c r="X41" s="276" t="e">
        <f t="shared" ref="X41:X46" si="27">W41/W$3</f>
        <v>#DIV/0!</v>
      </c>
      <c r="Y41" s="277">
        <f>+Y38-Y39-Y40</f>
        <v>14165540.667843591</v>
      </c>
      <c r="Z41" s="278">
        <f>Y41/Y3</f>
        <v>0.21808863679703205</v>
      </c>
      <c r="AA41" s="279">
        <f>+AA38-AA39-AA40</f>
        <v>10583742.940000001</v>
      </c>
      <c r="AB41" s="278">
        <f>AA41/AA3</f>
        <v>0.18266255748772273</v>
      </c>
      <c r="AC41" s="279">
        <f>+AC38-AC39-AC40</f>
        <v>3581797.7278435985</v>
      </c>
      <c r="AD41" s="280">
        <f t="shared" ref="AD41:AD54" si="28">AC41/AA41</f>
        <v>0.33842448254356394</v>
      </c>
      <c r="AG41" s="351">
        <f>+AG38-AG39-AG40</f>
        <v>1917840.2999999998</v>
      </c>
      <c r="AH41" s="276">
        <f t="shared" ref="AH41:AH47" si="29">AG41/AG$3</f>
        <v>0.27790759310244889</v>
      </c>
      <c r="AI41" s="25">
        <f>+AI38-AI39-AI40</f>
        <v>563234.08872989425</v>
      </c>
      <c r="AJ41" s="276">
        <f t="shared" ref="AJ41:AJ47" si="30">AI41/AI$3</f>
        <v>0.30879061882121395</v>
      </c>
      <c r="AK41" s="25">
        <f>+AK38-AK39-AK40</f>
        <v>541177.13321620063</v>
      </c>
      <c r="AL41" s="276">
        <f t="shared" ref="AL41:AL47" si="31">AK41/AK$3</f>
        <v>0.3009883944472751</v>
      </c>
      <c r="AM41" s="25">
        <f>+AM38-AM39-AM40</f>
        <v>271403.60039487039</v>
      </c>
      <c r="AN41" s="276">
        <f t="shared" ref="AN41:AN47" si="32">AM41/AM$3</f>
        <v>0.18338081107761511</v>
      </c>
      <c r="AO41" s="25">
        <f>+AO38-AO39-AO40</f>
        <v>542025.47765903478</v>
      </c>
      <c r="AP41" s="274">
        <f t="shared" ref="AP41:AP47" si="33">AO41/AO$3</f>
        <v>0.30129265017178142</v>
      </c>
      <c r="AS41" s="270" t="s">
        <v>164</v>
      </c>
      <c r="AT41" s="275">
        <v>4723216.5335298935</v>
      </c>
      <c r="AU41" s="276">
        <v>0.27118932071365937</v>
      </c>
      <c r="AV41" s="275">
        <v>3664271.6245205225</v>
      </c>
      <c r="AW41" s="276">
        <v>0.22243054398875464</v>
      </c>
      <c r="AX41" s="275">
        <v>2125158.3897948703</v>
      </c>
      <c r="AY41" s="276">
        <v>0.14894722066942268</v>
      </c>
      <c r="AZ41" s="275">
        <v>3652904.5064590359</v>
      </c>
      <c r="BA41" s="276">
        <v>0.21750191987580905</v>
      </c>
      <c r="BB41" s="275">
        <v>14165551.054304324</v>
      </c>
      <c r="BC41" s="276">
        <v>0.21808880677692838</v>
      </c>
      <c r="BD41" s="336">
        <f t="shared" si="23"/>
        <v>-10.386460732668638</v>
      </c>
    </row>
    <row r="42" spans="1:57" ht="15.5">
      <c r="A42" s="66"/>
      <c r="B42" s="281" t="s">
        <v>14</v>
      </c>
      <c r="C42" s="33"/>
      <c r="D42" s="34"/>
      <c r="E42" s="62"/>
      <c r="F42" s="34"/>
      <c r="G42" s="61" t="e">
        <f>F42/F3</f>
        <v>#DIV/0!</v>
      </c>
      <c r="H42" s="63"/>
      <c r="I42" s="354"/>
      <c r="J42" s="64"/>
      <c r="K42" s="34"/>
      <c r="L42" s="61">
        <f>K42/K3</f>
        <v>0</v>
      </c>
      <c r="M42" s="64"/>
      <c r="N42" s="34"/>
      <c r="O42" s="282">
        <f>N42/N3</f>
        <v>0</v>
      </c>
      <c r="P42" s="414"/>
      <c r="Q42" s="385"/>
      <c r="R42" s="35">
        <f t="shared" si="25"/>
        <v>0</v>
      </c>
      <c r="S42" s="350"/>
      <c r="T42" s="34"/>
      <c r="U42" s="35">
        <f t="shared" si="26"/>
        <v>0</v>
      </c>
      <c r="V42" s="350"/>
      <c r="W42" s="34"/>
      <c r="X42" s="35" t="e">
        <f t="shared" si="27"/>
        <v>#DIV/0!</v>
      </c>
      <c r="Y42" s="40">
        <f>+D42+F42+I42+K42+N42+Q42+T42+W42</f>
        <v>0</v>
      </c>
      <c r="Z42" s="46">
        <f>Y42/Y3</f>
        <v>0</v>
      </c>
      <c r="AA42" s="42">
        <f>+'[1]31 dec 2015'!AA42</f>
        <v>92911</v>
      </c>
      <c r="AB42" s="46">
        <f>AA42/AA3</f>
        <v>1.6035310924456187E-3</v>
      </c>
      <c r="AC42" s="43">
        <f>Y42-AA42</f>
        <v>-92911</v>
      </c>
      <c r="AD42" s="44">
        <f t="shared" si="28"/>
        <v>-1</v>
      </c>
      <c r="AG42" s="356">
        <f>+T42+Q42</f>
        <v>0</v>
      </c>
      <c r="AH42" s="35">
        <f t="shared" si="29"/>
        <v>0</v>
      </c>
      <c r="AI42" s="39">
        <f t="shared" ref="AI42:AO43" si="34">+$AG42/4</f>
        <v>0</v>
      </c>
      <c r="AJ42" s="35">
        <f t="shared" si="30"/>
        <v>0</v>
      </c>
      <c r="AK42" s="39">
        <f t="shared" si="34"/>
        <v>0</v>
      </c>
      <c r="AL42" s="35">
        <f t="shared" si="31"/>
        <v>0</v>
      </c>
      <c r="AM42" s="39">
        <f t="shared" si="34"/>
        <v>0</v>
      </c>
      <c r="AN42" s="35">
        <f t="shared" si="32"/>
        <v>0</v>
      </c>
      <c r="AO42" s="39">
        <f t="shared" si="34"/>
        <v>0</v>
      </c>
      <c r="AP42" s="38">
        <f t="shared" si="33"/>
        <v>0</v>
      </c>
      <c r="AQ42" s="336">
        <f>+AO42+AM42+AK42+AI42</f>
        <v>0</v>
      </c>
      <c r="AS42" s="281" t="s">
        <v>14</v>
      </c>
      <c r="AT42" s="39">
        <v>0</v>
      </c>
      <c r="AU42" s="35">
        <v>0</v>
      </c>
      <c r="AV42" s="39">
        <v>0</v>
      </c>
      <c r="AW42" s="35">
        <v>0</v>
      </c>
      <c r="AX42" s="39">
        <v>0</v>
      </c>
      <c r="AY42" s="35">
        <v>0</v>
      </c>
      <c r="AZ42" s="39">
        <v>0</v>
      </c>
      <c r="BA42" s="35">
        <v>0</v>
      </c>
      <c r="BB42" s="39">
        <v>0</v>
      </c>
      <c r="BC42" s="35">
        <v>0</v>
      </c>
      <c r="BD42" s="336">
        <f t="shared" si="23"/>
        <v>0</v>
      </c>
    </row>
    <row r="43" spans="1:57" ht="15.5">
      <c r="A43" s="66"/>
      <c r="B43" s="283" t="s">
        <v>15</v>
      </c>
      <c r="C43" s="33"/>
      <c r="D43" s="34"/>
      <c r="E43" s="62"/>
      <c r="F43" s="34"/>
      <c r="G43" s="61" t="e">
        <f>F43/F3</f>
        <v>#DIV/0!</v>
      </c>
      <c r="H43" s="63"/>
      <c r="I43" s="354"/>
      <c r="J43" s="64"/>
      <c r="K43" s="34"/>
      <c r="L43" s="61">
        <f>K43/K3</f>
        <v>0</v>
      </c>
      <c r="M43" s="64"/>
      <c r="N43" s="34"/>
      <c r="O43" s="65">
        <f>N43/N3</f>
        <v>0</v>
      </c>
      <c r="P43" s="361"/>
      <c r="Q43" s="385"/>
      <c r="R43" s="35">
        <f t="shared" si="25"/>
        <v>0</v>
      </c>
      <c r="S43" s="350"/>
      <c r="T43" s="34"/>
      <c r="U43" s="35">
        <f t="shared" si="26"/>
        <v>0</v>
      </c>
      <c r="V43" s="350"/>
      <c r="W43" s="34"/>
      <c r="X43" s="35" t="e">
        <f t="shared" si="27"/>
        <v>#DIV/0!</v>
      </c>
      <c r="Y43" s="40">
        <f>+D43+F43+I43+K43+N43+Q43+T43+W43</f>
        <v>0</v>
      </c>
      <c r="Z43" s="46">
        <f>Y43/Y3</f>
        <v>0</v>
      </c>
      <c r="AA43" s="42">
        <f>+'[1]31 dec 2015'!AA43</f>
        <v>255829</v>
      </c>
      <c r="AB43" s="46">
        <f>AA43/AA3</f>
        <v>4.415298036284941E-3</v>
      </c>
      <c r="AC43" s="43">
        <f>Y43-AA43</f>
        <v>-255829</v>
      </c>
      <c r="AD43" s="44">
        <f t="shared" si="28"/>
        <v>-1</v>
      </c>
      <c r="AG43" s="356">
        <f>+T43+Q43</f>
        <v>0</v>
      </c>
      <c r="AH43" s="35">
        <f t="shared" si="29"/>
        <v>0</v>
      </c>
      <c r="AI43" s="39">
        <f t="shared" si="34"/>
        <v>0</v>
      </c>
      <c r="AJ43" s="35">
        <f t="shared" si="30"/>
        <v>0</v>
      </c>
      <c r="AK43" s="39">
        <f t="shared" si="34"/>
        <v>0</v>
      </c>
      <c r="AL43" s="35">
        <f t="shared" si="31"/>
        <v>0</v>
      </c>
      <c r="AM43" s="39">
        <f t="shared" si="34"/>
        <v>0</v>
      </c>
      <c r="AN43" s="35">
        <f t="shared" si="32"/>
        <v>0</v>
      </c>
      <c r="AO43" s="39">
        <f t="shared" si="34"/>
        <v>0</v>
      </c>
      <c r="AP43" s="38">
        <f t="shared" si="33"/>
        <v>0</v>
      </c>
      <c r="AQ43" s="336">
        <f>+AO43+AM43+AK43+AI43</f>
        <v>0</v>
      </c>
      <c r="AS43" s="283" t="s">
        <v>15</v>
      </c>
      <c r="AT43" s="39">
        <v>0</v>
      </c>
      <c r="AU43" s="35">
        <v>0</v>
      </c>
      <c r="AV43" s="39">
        <v>0</v>
      </c>
      <c r="AW43" s="35">
        <v>0</v>
      </c>
      <c r="AX43" s="39">
        <v>0</v>
      </c>
      <c r="AY43" s="35">
        <v>0</v>
      </c>
      <c r="AZ43" s="39">
        <v>0</v>
      </c>
      <c r="BA43" s="35">
        <v>0</v>
      </c>
      <c r="BB43" s="39">
        <v>0</v>
      </c>
      <c r="BC43" s="35">
        <v>0</v>
      </c>
      <c r="BD43" s="336">
        <f t="shared" si="23"/>
        <v>0</v>
      </c>
    </row>
    <row r="44" spans="1:57" ht="15.5">
      <c r="A44" s="66"/>
      <c r="B44" s="270" t="str">
        <f>+'[2]conso lcd'!A43</f>
        <v>RESULTAT FINANCIER</v>
      </c>
      <c r="C44" s="33"/>
      <c r="D44" s="284">
        <f>D45-D46-D47</f>
        <v>0</v>
      </c>
      <c r="E44" s="62"/>
      <c r="F44" s="285">
        <f>F45-F46-F47</f>
        <v>0</v>
      </c>
      <c r="G44" s="276" t="e">
        <f>F44/F3</f>
        <v>#DIV/0!</v>
      </c>
      <c r="H44" s="63"/>
      <c r="I44" s="285">
        <f>I45-I46-I47</f>
        <v>77140</v>
      </c>
      <c r="J44" s="64"/>
      <c r="K44" s="285">
        <f>K45-K46-K47</f>
        <v>-80144.337744021788</v>
      </c>
      <c r="L44" s="276">
        <f>K44/K3</f>
        <v>-3.2721617449722649E-3</v>
      </c>
      <c r="M44" s="64"/>
      <c r="N44" s="285">
        <f>N45-N46-N47</f>
        <v>-2483406.962255978</v>
      </c>
      <c r="O44" s="274">
        <f>N44/N3</f>
        <v>-7.4573751195889118E-2</v>
      </c>
      <c r="P44" s="413"/>
      <c r="Q44" s="60">
        <f>+Q45-Q46-Q47</f>
        <v>0</v>
      </c>
      <c r="R44" s="276">
        <f t="shared" si="25"/>
        <v>0</v>
      </c>
      <c r="S44" s="350"/>
      <c r="T44" s="285">
        <f>T45-T46-T47</f>
        <v>0</v>
      </c>
      <c r="U44" s="276">
        <f t="shared" si="26"/>
        <v>0</v>
      </c>
      <c r="V44" s="350"/>
      <c r="W44" s="285">
        <f>W45-W46-W47</f>
        <v>0</v>
      </c>
      <c r="X44" s="276" t="e">
        <f t="shared" si="27"/>
        <v>#DIV/0!</v>
      </c>
      <c r="Y44" s="286">
        <f>Y45-Y46-Y47</f>
        <v>-2486411.2999999998</v>
      </c>
      <c r="Z44" s="287">
        <f>Y44/Y3</f>
        <v>-3.8280081477206601E-2</v>
      </c>
      <c r="AA44" s="288">
        <f>+AA45-AA46-AA47</f>
        <v>-3188603.9399999995</v>
      </c>
      <c r="AB44" s="287">
        <f>AA44/AA3</f>
        <v>-5.5031433945222884E-2</v>
      </c>
      <c r="AC44" s="60">
        <f>+AC45-AC46-AC47</f>
        <v>702192.63999999966</v>
      </c>
      <c r="AD44" s="30">
        <f t="shared" si="28"/>
        <v>-0.22021946068347384</v>
      </c>
      <c r="AG44" s="58">
        <f>+AG45-AG46-AG47</f>
        <v>0</v>
      </c>
      <c r="AH44" s="276">
        <f t="shared" si="29"/>
        <v>0</v>
      </c>
      <c r="AI44" s="60">
        <f>+AI45-AI46-AI47</f>
        <v>0</v>
      </c>
      <c r="AJ44" s="276">
        <f t="shared" si="30"/>
        <v>0</v>
      </c>
      <c r="AK44" s="60">
        <f>+AK45-AK46-AK47</f>
        <v>0</v>
      </c>
      <c r="AL44" s="276">
        <f t="shared" si="31"/>
        <v>0</v>
      </c>
      <c r="AM44" s="60">
        <f>+AM45-AM46-AM47</f>
        <v>0</v>
      </c>
      <c r="AN44" s="276">
        <f t="shared" si="32"/>
        <v>0</v>
      </c>
      <c r="AO44" s="60">
        <f>+AO45-AO46-AO47</f>
        <v>0</v>
      </c>
      <c r="AP44" s="274">
        <f t="shared" si="33"/>
        <v>0</v>
      </c>
      <c r="AS44" s="270" t="s">
        <v>102</v>
      </c>
      <c r="AT44" s="60">
        <v>-621603</v>
      </c>
      <c r="AU44" s="276">
        <v>-3.5690105276115831E-2</v>
      </c>
      <c r="AV44" s="60">
        <v>-621603</v>
      </c>
      <c r="AW44" s="276">
        <v>-3.773287234216266E-2</v>
      </c>
      <c r="AX44" s="60">
        <v>-621603</v>
      </c>
      <c r="AY44" s="276">
        <v>-4.3566653504218081E-2</v>
      </c>
      <c r="AZ44" s="60">
        <v>-621603</v>
      </c>
      <c r="BA44" s="276">
        <v>-3.7011601497247811E-2</v>
      </c>
      <c r="BB44" s="60">
        <v>-2486412</v>
      </c>
      <c r="BC44" s="276">
        <v>-3.8280094022255927E-2</v>
      </c>
      <c r="BD44" s="336">
        <f t="shared" si="23"/>
        <v>0.70000000018626451</v>
      </c>
    </row>
    <row r="45" spans="1:57" ht="15.5">
      <c r="A45" s="31"/>
      <c r="B45" s="225" t="s">
        <v>16</v>
      </c>
      <c r="C45" s="33"/>
      <c r="D45" s="34"/>
      <c r="E45" s="62"/>
      <c r="F45" s="34"/>
      <c r="G45" s="61" t="e">
        <f>F45/F3</f>
        <v>#DIV/0!</v>
      </c>
      <c r="H45" s="63"/>
      <c r="I45" s="354"/>
      <c r="J45" s="64"/>
      <c r="K45" s="34"/>
      <c r="L45" s="61">
        <f>K45/K3</f>
        <v>0</v>
      </c>
      <c r="M45" s="64"/>
      <c r="N45" s="34"/>
      <c r="O45" s="65">
        <f>N45/N3</f>
        <v>0</v>
      </c>
      <c r="P45" s="361"/>
      <c r="Q45" s="385"/>
      <c r="R45" s="35">
        <f t="shared" si="25"/>
        <v>0</v>
      </c>
      <c r="S45" s="350"/>
      <c r="T45" s="34"/>
      <c r="U45" s="35">
        <f t="shared" si="26"/>
        <v>0</v>
      </c>
      <c r="V45" s="350"/>
      <c r="W45" s="34"/>
      <c r="X45" s="35" t="e">
        <f t="shared" si="27"/>
        <v>#DIV/0!</v>
      </c>
      <c r="Y45" s="40">
        <f>+D45+F45+I45+K45+N45+Q45+T45+W45</f>
        <v>0</v>
      </c>
      <c r="Z45" s="41">
        <f>Y45/Y3</f>
        <v>0</v>
      </c>
      <c r="AA45" s="42">
        <f>+'[1]31 dec 2015'!AA45</f>
        <v>336851</v>
      </c>
      <c r="AB45" s="41">
        <f>AA45/AA3</f>
        <v>5.8136394185984343E-3</v>
      </c>
      <c r="AC45" s="43">
        <f>Y45-AA45</f>
        <v>-336851</v>
      </c>
      <c r="AD45" s="44">
        <f t="shared" si="28"/>
        <v>-1</v>
      </c>
      <c r="AE45" s="4" t="s">
        <v>78</v>
      </c>
      <c r="AF45" s="9">
        <v>2492806</v>
      </c>
      <c r="AG45" s="356">
        <f>+T45+Q45</f>
        <v>0</v>
      </c>
      <c r="AH45" s="35">
        <f t="shared" si="29"/>
        <v>0</v>
      </c>
      <c r="AI45" s="39">
        <f t="shared" ref="AI45:AO47" si="35">+$AG45/4</f>
        <v>0</v>
      </c>
      <c r="AJ45" s="35">
        <f t="shared" si="30"/>
        <v>0</v>
      </c>
      <c r="AK45" s="39">
        <f t="shared" si="35"/>
        <v>0</v>
      </c>
      <c r="AL45" s="35">
        <f t="shared" si="31"/>
        <v>0</v>
      </c>
      <c r="AM45" s="39">
        <f t="shared" si="35"/>
        <v>0</v>
      </c>
      <c r="AN45" s="35">
        <f t="shared" si="32"/>
        <v>0</v>
      </c>
      <c r="AO45" s="39">
        <f t="shared" si="35"/>
        <v>0</v>
      </c>
      <c r="AP45" s="38">
        <f t="shared" si="33"/>
        <v>0</v>
      </c>
      <c r="AQ45" s="336">
        <f>+AO45+AM45+AK45+AI45</f>
        <v>0</v>
      </c>
      <c r="AS45" s="225" t="s">
        <v>16</v>
      </c>
      <c r="AT45" s="39">
        <v>0</v>
      </c>
      <c r="AU45" s="35">
        <v>0</v>
      </c>
      <c r="AV45" s="39">
        <v>0</v>
      </c>
      <c r="AW45" s="35">
        <v>0</v>
      </c>
      <c r="AX45" s="39">
        <v>0</v>
      </c>
      <c r="AY45" s="35">
        <v>0</v>
      </c>
      <c r="AZ45" s="39">
        <v>0</v>
      </c>
      <c r="BA45" s="35">
        <v>0</v>
      </c>
      <c r="BB45" s="39">
        <v>0</v>
      </c>
      <c r="BC45" s="35">
        <v>0</v>
      </c>
      <c r="BD45" s="336">
        <f t="shared" si="23"/>
        <v>0</v>
      </c>
    </row>
    <row r="46" spans="1:57" ht="15.5">
      <c r="A46" s="31"/>
      <c r="B46" s="225" t="s">
        <v>17</v>
      </c>
      <c r="C46" s="33"/>
      <c r="D46" s="34"/>
      <c r="E46" s="62"/>
      <c r="F46" s="34"/>
      <c r="G46" s="61" t="e">
        <f>F46/$F$3</f>
        <v>#DIV/0!</v>
      </c>
      <c r="H46" s="63"/>
      <c r="I46" s="354"/>
      <c r="J46" s="64"/>
      <c r="K46" s="34"/>
      <c r="L46" s="61">
        <f>K46/$K$3</f>
        <v>0</v>
      </c>
      <c r="M46" s="64"/>
      <c r="N46" s="34">
        <f>195000*12</f>
        <v>2340000</v>
      </c>
      <c r="O46" s="65">
        <f>N46/$N$3</f>
        <v>7.0267411040781977E-2</v>
      </c>
      <c r="P46" s="361"/>
      <c r="Q46" s="385"/>
      <c r="R46" s="35">
        <f t="shared" si="25"/>
        <v>0</v>
      </c>
      <c r="S46" s="350"/>
      <c r="T46" s="34"/>
      <c r="U46" s="35">
        <f t="shared" si="26"/>
        <v>0</v>
      </c>
      <c r="V46" s="350"/>
      <c r="W46" s="34"/>
      <c r="X46" s="35" t="e">
        <f t="shared" si="27"/>
        <v>#DIV/0!</v>
      </c>
      <c r="Y46" s="40">
        <f>+D46+F46+I46+K46+N46+Q46+T46+W46</f>
        <v>2340000</v>
      </c>
      <c r="Z46" s="46">
        <f>Y46/Y3</f>
        <v>3.6025974727778728E-2</v>
      </c>
      <c r="AA46" s="42">
        <f>+'[1]31 dec 2015'!AA46</f>
        <v>3301903.6399999997</v>
      </c>
      <c r="AB46" s="46">
        <f>AA46/AA3</f>
        <v>5.6986849253579927E-2</v>
      </c>
      <c r="AC46" s="43">
        <f>Y46-AA46</f>
        <v>-961903.63999999966</v>
      </c>
      <c r="AD46" s="44">
        <f t="shared" si="28"/>
        <v>-0.29131790169382404</v>
      </c>
      <c r="AE46" s="4" t="s">
        <v>79</v>
      </c>
      <c r="AF46" s="9">
        <v>152487</v>
      </c>
      <c r="AG46" s="356">
        <f>+T46+Q46</f>
        <v>0</v>
      </c>
      <c r="AH46" s="35">
        <f t="shared" si="29"/>
        <v>0</v>
      </c>
      <c r="AI46" s="39">
        <f t="shared" si="35"/>
        <v>0</v>
      </c>
      <c r="AJ46" s="35">
        <f t="shared" si="30"/>
        <v>0</v>
      </c>
      <c r="AK46" s="39">
        <f t="shared" si="35"/>
        <v>0</v>
      </c>
      <c r="AL46" s="35">
        <f t="shared" si="31"/>
        <v>0</v>
      </c>
      <c r="AM46" s="39">
        <f t="shared" si="35"/>
        <v>0</v>
      </c>
      <c r="AN46" s="35">
        <f t="shared" si="32"/>
        <v>0</v>
      </c>
      <c r="AO46" s="39">
        <f t="shared" si="35"/>
        <v>0</v>
      </c>
      <c r="AP46" s="38">
        <f t="shared" si="33"/>
        <v>0</v>
      </c>
      <c r="AQ46" s="336">
        <f>+AO46+AM46+AK46+AI46</f>
        <v>0</v>
      </c>
      <c r="AS46" s="225" t="s">
        <v>17</v>
      </c>
      <c r="AT46" s="39">
        <v>585000</v>
      </c>
      <c r="AU46" s="35">
        <v>3.3588498746833208E-2</v>
      </c>
      <c r="AV46" s="39">
        <v>585000</v>
      </c>
      <c r="AW46" s="35">
        <v>3.5510977778686968E-2</v>
      </c>
      <c r="AX46" s="39">
        <v>585000</v>
      </c>
      <c r="AY46" s="35">
        <v>4.100123760658745E-2</v>
      </c>
      <c r="AZ46" s="39">
        <v>585000</v>
      </c>
      <c r="BA46" s="35">
        <v>3.4832178859963626E-2</v>
      </c>
      <c r="BB46" s="39">
        <v>2340000</v>
      </c>
      <c r="BC46" s="35">
        <v>3.60259763917158E-2</v>
      </c>
      <c r="BD46" s="336">
        <f t="shared" si="23"/>
        <v>0</v>
      </c>
    </row>
    <row r="47" spans="1:57" ht="15.5">
      <c r="A47" s="263"/>
      <c r="B47" s="289" t="s">
        <v>41</v>
      </c>
      <c r="C47" s="164"/>
      <c r="D47" s="69"/>
      <c r="E47" s="71"/>
      <c r="F47" s="69"/>
      <c r="G47" s="265" t="e">
        <f>F47/$F$3</f>
        <v>#DIV/0!</v>
      </c>
      <c r="H47" s="72"/>
      <c r="I47" s="362">
        <v>-77140</v>
      </c>
      <c r="J47" s="73"/>
      <c r="K47" s="69">
        <f>+'[1]31 dec 2015'!M47</f>
        <v>80144.337744021788</v>
      </c>
      <c r="L47" s="265">
        <f>K47/$K$3</f>
        <v>3.2721617449722649E-3</v>
      </c>
      <c r="M47" s="73"/>
      <c r="N47" s="69">
        <f>+'[1]31 dec 2015'!P47</f>
        <v>143406.96225597823</v>
      </c>
      <c r="O47" s="267">
        <f>N47/$N$3</f>
        <v>4.306340155107149E-3</v>
      </c>
      <c r="P47" s="412"/>
      <c r="Q47" s="362"/>
      <c r="R47" s="268"/>
      <c r="S47" s="350"/>
      <c r="T47" s="69"/>
      <c r="U47" s="269"/>
      <c r="V47" s="350"/>
      <c r="W47" s="69"/>
      <c r="X47" s="269"/>
      <c r="Y47" s="77">
        <f>+D47+F47+I47+K47+N47+Q47+T47+W47</f>
        <v>146411.30000000002</v>
      </c>
      <c r="Z47" s="201">
        <f>Y47/Y4</f>
        <v>2.4429222890978057E-3</v>
      </c>
      <c r="AA47" s="79">
        <f>+'[1]31 dec 2015'!AA47</f>
        <v>223551.30000000002</v>
      </c>
      <c r="AB47" s="201">
        <f>AA47/AA4</f>
        <v>4.1918430490083328E-3</v>
      </c>
      <c r="AC47" s="80">
        <f>Y47-AA47</f>
        <v>-77140</v>
      </c>
      <c r="AD47" s="81">
        <f t="shared" si="28"/>
        <v>-0.34506621075341543</v>
      </c>
      <c r="AF47" s="9">
        <f>+AF46+AF45</f>
        <v>2645293</v>
      </c>
      <c r="AG47" s="356">
        <f>+T47+Q47</f>
        <v>0</v>
      </c>
      <c r="AH47" s="35">
        <f t="shared" si="29"/>
        <v>0</v>
      </c>
      <c r="AI47" s="39">
        <f t="shared" si="35"/>
        <v>0</v>
      </c>
      <c r="AJ47" s="35">
        <f t="shared" si="30"/>
        <v>0</v>
      </c>
      <c r="AK47" s="39">
        <f t="shared" si="35"/>
        <v>0</v>
      </c>
      <c r="AL47" s="35">
        <f t="shared" si="31"/>
        <v>0</v>
      </c>
      <c r="AM47" s="39">
        <f t="shared" si="35"/>
        <v>0</v>
      </c>
      <c r="AN47" s="35">
        <f t="shared" si="32"/>
        <v>0</v>
      </c>
      <c r="AO47" s="39">
        <f t="shared" si="35"/>
        <v>0</v>
      </c>
      <c r="AP47" s="38">
        <f t="shared" si="33"/>
        <v>0</v>
      </c>
      <c r="AQ47" s="336">
        <f>+AO47+AM47+AK47+AI47</f>
        <v>0</v>
      </c>
      <c r="AS47" s="289" t="s">
        <v>41</v>
      </c>
      <c r="AT47" s="39">
        <v>36603</v>
      </c>
      <c r="AU47" s="35">
        <v>2.1016065292826253E-3</v>
      </c>
      <c r="AV47" s="39">
        <v>36603</v>
      </c>
      <c r="AW47" s="35">
        <v>2.2218945634756909E-3</v>
      </c>
      <c r="AX47" s="39">
        <v>36603</v>
      </c>
      <c r="AY47" s="35">
        <v>2.5654158976306332E-3</v>
      </c>
      <c r="AZ47" s="39">
        <v>36603</v>
      </c>
      <c r="BA47" s="35">
        <v>2.1794226372841858E-3</v>
      </c>
      <c r="BB47" s="39">
        <v>146412</v>
      </c>
      <c r="BC47" s="35">
        <v>2.2541176305401252E-3</v>
      </c>
      <c r="BD47" s="336">
        <f t="shared" si="23"/>
        <v>-0.6999999999825377</v>
      </c>
    </row>
    <row r="48" spans="1:57" ht="15.5">
      <c r="A48" s="66"/>
      <c r="B48" s="290" t="str">
        <f>+'[2]conso lcd'!A46</f>
        <v>RESULTAT EXCEPTIONNEL</v>
      </c>
      <c r="C48" s="33"/>
      <c r="D48" s="291">
        <f>D49-D50</f>
        <v>0</v>
      </c>
      <c r="E48" s="62"/>
      <c r="F48" s="60">
        <f>F49-F50</f>
        <v>0</v>
      </c>
      <c r="G48" s="276" t="e">
        <f>F48/F3</f>
        <v>#DIV/0!</v>
      </c>
      <c r="H48" s="63"/>
      <c r="I48" s="415">
        <f>+I49-I50</f>
        <v>0</v>
      </c>
      <c r="J48" s="64"/>
      <c r="K48" s="60">
        <f>+K49-K50-K51</f>
        <v>-109000</v>
      </c>
      <c r="L48" s="276">
        <f>K48/K3</f>
        <v>-4.4502910653670185E-3</v>
      </c>
      <c r="M48" s="64"/>
      <c r="N48" s="60">
        <f>+N49-N50-N51</f>
        <v>0</v>
      </c>
      <c r="O48" s="292">
        <f>N48/N3</f>
        <v>0</v>
      </c>
      <c r="P48" s="413"/>
      <c r="Q48" s="293">
        <f>Q49-Q50</f>
        <v>0</v>
      </c>
      <c r="R48" s="276">
        <f>Q48/Q$3</f>
        <v>0</v>
      </c>
      <c r="S48" s="350"/>
      <c r="T48" s="60">
        <f>T49-T50</f>
        <v>0</v>
      </c>
      <c r="U48" s="276">
        <f>T48/T$3</f>
        <v>0</v>
      </c>
      <c r="V48" s="350"/>
      <c r="W48" s="60">
        <f>+W49-W50-W51</f>
        <v>0</v>
      </c>
      <c r="X48" s="276" t="e">
        <f>W48/W$3</f>
        <v>#DIV/0!</v>
      </c>
      <c r="Y48" s="294">
        <f>+Y49-Y50-Y51</f>
        <v>-109000</v>
      </c>
      <c r="Z48" s="287">
        <f>Y48/Y3</f>
        <v>-1.6781330108238809E-3</v>
      </c>
      <c r="AA48" s="295">
        <f>+AA49-AA50-AA51</f>
        <v>-5705116</v>
      </c>
      <c r="AB48" s="287">
        <f>AA48/AA3</f>
        <v>-9.8463377770220725E-2</v>
      </c>
      <c r="AC48" s="296">
        <f>+AC49-AC50-AC51</f>
        <v>5596116</v>
      </c>
      <c r="AD48" s="30">
        <f t="shared" si="28"/>
        <v>-0.98089434114924223</v>
      </c>
      <c r="AG48" s="291">
        <f>AG49-AG50</f>
        <v>0</v>
      </c>
      <c r="AH48" s="276">
        <f>AG48/AG$3</f>
        <v>0</v>
      </c>
      <c r="AI48" s="415">
        <f>AI49-AI50</f>
        <v>0</v>
      </c>
      <c r="AJ48" s="276">
        <f>AI48/AI$3</f>
        <v>0</v>
      </c>
      <c r="AK48" s="415">
        <f>AK49-AK50</f>
        <v>0</v>
      </c>
      <c r="AL48" s="276">
        <f>AK48/AK$3</f>
        <v>0</v>
      </c>
      <c r="AM48" s="415">
        <f>AM49-AM50</f>
        <v>0</v>
      </c>
      <c r="AN48" s="276">
        <f>AM48/AM$3</f>
        <v>0</v>
      </c>
      <c r="AO48" s="415">
        <f>AO49-AO50</f>
        <v>0</v>
      </c>
      <c r="AP48" s="274">
        <f>AO48/AO$3</f>
        <v>0</v>
      </c>
      <c r="AS48" s="270" t="s">
        <v>165</v>
      </c>
      <c r="AT48" s="416">
        <v>-109000</v>
      </c>
      <c r="AU48" s="276">
        <v>-6.2583698519740509E-3</v>
      </c>
      <c r="AV48" s="416">
        <v>0</v>
      </c>
      <c r="AW48" s="276">
        <v>0</v>
      </c>
      <c r="AX48" s="416">
        <v>0</v>
      </c>
      <c r="AY48" s="276">
        <v>0</v>
      </c>
      <c r="AZ48" s="416">
        <v>0</v>
      </c>
      <c r="BA48" s="276">
        <v>0</v>
      </c>
      <c r="BB48" s="416">
        <v>-109000</v>
      </c>
      <c r="BC48" s="276">
        <v>-1.6781330883320607E-3</v>
      </c>
      <c r="BD48" s="336">
        <f t="shared" si="23"/>
        <v>0</v>
      </c>
    </row>
    <row r="49" spans="1:56" ht="16" thickBot="1">
      <c r="A49" s="31"/>
      <c r="B49" s="262" t="s">
        <v>18</v>
      </c>
      <c r="C49" s="33"/>
      <c r="D49" s="34"/>
      <c r="E49" s="62"/>
      <c r="F49" s="34"/>
      <c r="G49" s="61" t="e">
        <f>F49/F3</f>
        <v>#DIV/0!</v>
      </c>
      <c r="H49" s="63"/>
      <c r="I49" s="354"/>
      <c r="J49" s="64"/>
      <c r="K49" s="34"/>
      <c r="L49" s="61">
        <f>K49/K3</f>
        <v>0</v>
      </c>
      <c r="M49" s="64"/>
      <c r="N49" s="34"/>
      <c r="O49" s="65">
        <f>N49/N3</f>
        <v>0</v>
      </c>
      <c r="P49" s="361"/>
      <c r="Q49" s="385"/>
      <c r="R49" s="35">
        <f>Q49/Q$3</f>
        <v>0</v>
      </c>
      <c r="S49" s="350"/>
      <c r="T49" s="34"/>
      <c r="U49" s="35">
        <f>T49/T$3</f>
        <v>0</v>
      </c>
      <c r="V49" s="350"/>
      <c r="W49" s="34"/>
      <c r="X49" s="35" t="e">
        <f>W49/W$3</f>
        <v>#DIV/0!</v>
      </c>
      <c r="Y49" s="40">
        <f>+D49+F49+I49+K49+N49+Q49+T49+W49</f>
        <v>0</v>
      </c>
      <c r="Z49" s="297">
        <f>Y49/Y3</f>
        <v>0</v>
      </c>
      <c r="AA49" s="42">
        <f>+'[1]31 dec 2015'!AA49</f>
        <v>540685</v>
      </c>
      <c r="AB49" s="297">
        <f>AA49/AA3</f>
        <v>9.3315668620395798E-3</v>
      </c>
      <c r="AC49" s="43">
        <f>Y49-AA49</f>
        <v>-540685</v>
      </c>
      <c r="AD49" s="44">
        <f t="shared" si="28"/>
        <v>-1</v>
      </c>
      <c r="AG49" s="356">
        <f>+T49+Q49</f>
        <v>0</v>
      </c>
      <c r="AH49" s="35">
        <f>AG49/AG$3</f>
        <v>0</v>
      </c>
      <c r="AI49" s="39">
        <f t="shared" ref="AI49:AO50" si="36">+$AG49/4</f>
        <v>0</v>
      </c>
      <c r="AJ49" s="35">
        <f>AI49/AI$3</f>
        <v>0</v>
      </c>
      <c r="AK49" s="39">
        <f t="shared" si="36"/>
        <v>0</v>
      </c>
      <c r="AL49" s="35">
        <f>AK49/AK$3</f>
        <v>0</v>
      </c>
      <c r="AM49" s="39">
        <f t="shared" si="36"/>
        <v>0</v>
      </c>
      <c r="AN49" s="35">
        <f>AM49/AM$3</f>
        <v>0</v>
      </c>
      <c r="AO49" s="39">
        <f t="shared" si="36"/>
        <v>0</v>
      </c>
      <c r="AP49" s="38">
        <f>AO49/AO$3</f>
        <v>0</v>
      </c>
      <c r="AQ49" s="336">
        <f>+AO49+AM49+AK49+AI49</f>
        <v>0</v>
      </c>
      <c r="AS49" s="262" t="s">
        <v>18</v>
      </c>
      <c r="AT49" s="39">
        <v>0</v>
      </c>
      <c r="AU49" s="35">
        <v>0</v>
      </c>
      <c r="AV49" s="39">
        <v>0</v>
      </c>
      <c r="AW49" s="35">
        <v>0</v>
      </c>
      <c r="AX49" s="39">
        <v>0</v>
      </c>
      <c r="AY49" s="35">
        <v>0</v>
      </c>
      <c r="AZ49" s="39">
        <v>0</v>
      </c>
      <c r="BA49" s="35">
        <v>0</v>
      </c>
      <c r="BB49" s="39">
        <v>0</v>
      </c>
      <c r="BC49" s="35">
        <v>0</v>
      </c>
      <c r="BD49" s="336">
        <f t="shared" si="23"/>
        <v>0</v>
      </c>
    </row>
    <row r="50" spans="1:56" ht="16" thickBot="1">
      <c r="A50" s="31"/>
      <c r="B50" s="298" t="s">
        <v>19</v>
      </c>
      <c r="C50" s="33"/>
      <c r="D50" s="34"/>
      <c r="E50" s="62"/>
      <c r="F50" s="34"/>
      <c r="G50" s="61" t="e">
        <f>F50/F3</f>
        <v>#DIV/0!</v>
      </c>
      <c r="H50" s="63"/>
      <c r="I50" s="354"/>
      <c r="J50" s="64"/>
      <c r="K50" s="417">
        <v>109000</v>
      </c>
      <c r="L50" s="61">
        <f>K50/K3</f>
        <v>4.4502910653670185E-3</v>
      </c>
      <c r="M50" s="64"/>
      <c r="N50" s="34"/>
      <c r="O50" s="65">
        <f>N50/N3</f>
        <v>0</v>
      </c>
      <c r="P50" s="361"/>
      <c r="Q50" s="385"/>
      <c r="R50" s="35">
        <f>Q50/Q$3</f>
        <v>0</v>
      </c>
      <c r="S50" s="350"/>
      <c r="T50" s="418"/>
      <c r="U50" s="35">
        <f>T50/T$3</f>
        <v>0</v>
      </c>
      <c r="V50" s="350"/>
      <c r="W50" s="34"/>
      <c r="X50" s="35" t="e">
        <f>W50/W$3</f>
        <v>#DIV/0!</v>
      </c>
      <c r="Y50" s="40">
        <f>+D50+F50+I50+K50+N50+Q50+T50+W50</f>
        <v>109000</v>
      </c>
      <c r="Z50" s="297">
        <f>Y50/Y3</f>
        <v>1.6781330108238809E-3</v>
      </c>
      <c r="AA50" s="42">
        <f>+'[1]31 dec 2015'!AA50</f>
        <v>6245801</v>
      </c>
      <c r="AB50" s="297">
        <f>AA50/AA3</f>
        <v>0.1077949446322603</v>
      </c>
      <c r="AC50" s="43">
        <f>Y50-AA50</f>
        <v>-6136801</v>
      </c>
      <c r="AD50" s="44">
        <f t="shared" si="28"/>
        <v>-0.98254827523323274</v>
      </c>
      <c r="AG50" s="356">
        <f>+T50+Q50</f>
        <v>0</v>
      </c>
      <c r="AH50" s="35">
        <f>AG50/AG$3</f>
        <v>0</v>
      </c>
      <c r="AI50" s="39">
        <f t="shared" si="36"/>
        <v>0</v>
      </c>
      <c r="AJ50" s="35">
        <f>AI50/AI$3</f>
        <v>0</v>
      </c>
      <c r="AK50" s="39">
        <f t="shared" si="36"/>
        <v>0</v>
      </c>
      <c r="AL50" s="35">
        <f>AK50/AK$3</f>
        <v>0</v>
      </c>
      <c r="AM50" s="39">
        <f t="shared" si="36"/>
        <v>0</v>
      </c>
      <c r="AN50" s="35">
        <f>AM50/AM$3</f>
        <v>0</v>
      </c>
      <c r="AO50" s="39">
        <f t="shared" si="36"/>
        <v>0</v>
      </c>
      <c r="AP50" s="38">
        <f>AO50/AO$3</f>
        <v>0</v>
      </c>
      <c r="AQ50" s="336">
        <f>+AO50+AM50+AK50+AI50</f>
        <v>0</v>
      </c>
      <c r="AS50" s="298" t="s">
        <v>19</v>
      </c>
      <c r="AT50" s="39">
        <v>109000</v>
      </c>
      <c r="AU50" s="35">
        <v>6.2583698519740509E-3</v>
      </c>
      <c r="AV50" s="39">
        <v>0</v>
      </c>
      <c r="AW50" s="35">
        <v>0</v>
      </c>
      <c r="AX50" s="39">
        <v>0</v>
      </c>
      <c r="AY50" s="35">
        <v>0</v>
      </c>
      <c r="AZ50" s="39">
        <v>0</v>
      </c>
      <c r="BA50" s="35">
        <v>0</v>
      </c>
      <c r="BB50" s="39">
        <v>109000</v>
      </c>
      <c r="BC50" s="35">
        <v>1.6781330883320607E-3</v>
      </c>
      <c r="BD50" s="336">
        <f t="shared" si="23"/>
        <v>0</v>
      </c>
    </row>
    <row r="51" spans="1:56" ht="15.75" hidden="1" customHeight="1">
      <c r="A51" s="31"/>
      <c r="B51" s="299"/>
      <c r="C51" s="33"/>
      <c r="D51" s="69"/>
      <c r="E51" s="62"/>
      <c r="F51" s="69"/>
      <c r="G51" s="61"/>
      <c r="H51" s="63"/>
      <c r="I51" s="419"/>
      <c r="J51" s="64"/>
      <c r="K51" s="69"/>
      <c r="L51" s="61"/>
      <c r="M51" s="64"/>
      <c r="N51" s="69"/>
      <c r="O51" s="65"/>
      <c r="P51" s="361"/>
      <c r="Q51" s="268"/>
      <c r="R51" s="268"/>
      <c r="S51" s="350"/>
      <c r="T51" s="268"/>
      <c r="U51" s="269"/>
      <c r="V51" s="350"/>
      <c r="W51" s="69"/>
      <c r="X51" s="269"/>
      <c r="Y51" s="40"/>
      <c r="Z51" s="297"/>
      <c r="AA51" s="79"/>
      <c r="AB51" s="297"/>
      <c r="AC51" s="43"/>
      <c r="AD51" s="81"/>
      <c r="AG51" s="420"/>
      <c r="AH51" s="61"/>
      <c r="AI51" s="61"/>
      <c r="AJ51" s="61"/>
      <c r="AK51" s="61"/>
      <c r="AL51" s="61"/>
      <c r="AM51" s="61"/>
      <c r="AN51" s="61"/>
      <c r="AO51" s="61"/>
      <c r="AP51" s="65"/>
      <c r="AS51" s="299"/>
      <c r="AT51" s="268"/>
      <c r="AU51" s="269"/>
      <c r="AV51" s="268"/>
      <c r="AW51" s="269"/>
      <c r="AX51" s="268"/>
      <c r="AY51" s="269"/>
      <c r="AZ51" s="268"/>
      <c r="BA51" s="269"/>
      <c r="BB51" s="268"/>
      <c r="BC51" s="269"/>
    </row>
    <row r="52" spans="1:56" ht="21.75" customHeight="1">
      <c r="A52" s="17"/>
      <c r="B52" s="300" t="s">
        <v>20</v>
      </c>
      <c r="C52" s="33"/>
      <c r="D52" s="301">
        <f>+D41+D42-D43+D44+D48</f>
        <v>0</v>
      </c>
      <c r="E52" s="62"/>
      <c r="F52" s="303">
        <f>+F41+F42-F43+F44+F48</f>
        <v>0</v>
      </c>
      <c r="G52" s="302" t="e">
        <f>F52/F3</f>
        <v>#DIV/0!</v>
      </c>
      <c r="H52" s="63"/>
      <c r="I52" s="303">
        <f>+I41+I42-I43+I44+I48</f>
        <v>2085233</v>
      </c>
      <c r="J52" s="64"/>
      <c r="K52" s="303">
        <f>+K41+K42-K43+K44+K48</f>
        <v>4251021.7303998442</v>
      </c>
      <c r="L52" s="302">
        <f>K52/K3</f>
        <v>0.17356223876586668</v>
      </c>
      <c r="M52" s="64"/>
      <c r="N52" s="303">
        <f>+N41+N42-N43+N44+N48</f>
        <v>3316034.3374437569</v>
      </c>
      <c r="O52" s="306">
        <f>N52/N$3</f>
        <v>9.9576558895088707E-2</v>
      </c>
      <c r="P52" s="421"/>
      <c r="Q52" s="303">
        <f>+Q41+Q42-Q43+Q44+Q48</f>
        <v>322855</v>
      </c>
      <c r="R52" s="304">
        <f>Q52/Q$3</f>
        <v>0.35323304157549235</v>
      </c>
      <c r="S52" s="350"/>
      <c r="T52" s="303">
        <f>+T41+T42-T43+T44+T48</f>
        <v>1594985.2999999998</v>
      </c>
      <c r="U52" s="304">
        <f>T52/T$3</f>
        <v>0.26640810088525135</v>
      </c>
      <c r="V52" s="350"/>
      <c r="W52" s="303">
        <f>+W41+W42-W43+W44+W48</f>
        <v>0</v>
      </c>
      <c r="X52" s="302" t="e">
        <f>W52/W$3</f>
        <v>#DIV/0!</v>
      </c>
      <c r="Y52" s="301">
        <f>+Y41+Y42-Y43+Y44+Y48</f>
        <v>11570129.367843591</v>
      </c>
      <c r="Z52" s="305">
        <f>Y52/Y3</f>
        <v>0.17813042230900156</v>
      </c>
      <c r="AA52" s="303">
        <f>+AA41+AA42-AA43+AA44+AA48</f>
        <v>1527105.0000000019</v>
      </c>
      <c r="AB52" s="305">
        <f>AA52/AA3</f>
        <v>2.6355978828439791E-2</v>
      </c>
      <c r="AC52" s="303">
        <f>+AC41+AC42-AC43+AC44+AC48</f>
        <v>10043024.367843598</v>
      </c>
      <c r="AD52" s="306">
        <f t="shared" si="28"/>
        <v>6.5765120066030729</v>
      </c>
      <c r="AG52" s="301">
        <f>+AG41+AG42-AG43+AG44+AG48</f>
        <v>1917840.2999999998</v>
      </c>
      <c r="AH52" s="302">
        <f>AG52/AG$3</f>
        <v>0.27790759310244889</v>
      </c>
      <c r="AI52" s="303">
        <f>+AI41+AI42-AI43+AI44+AI48</f>
        <v>563234.08872989425</v>
      </c>
      <c r="AJ52" s="302">
        <f>AI52/AI$3</f>
        <v>0.30879061882121395</v>
      </c>
      <c r="AK52" s="303">
        <f>+AK41+AK42-AK43+AK44+AK48</f>
        <v>541177.13321620063</v>
      </c>
      <c r="AL52" s="307">
        <f>AK52/AK$3</f>
        <v>0.3009883944472751</v>
      </c>
      <c r="AM52" s="303">
        <f>+AM41+AM42-AM43+AM44+AM48</f>
        <v>271403.60039487039</v>
      </c>
      <c r="AN52" s="302">
        <f>AM52/AM$3</f>
        <v>0.18338081107761511</v>
      </c>
      <c r="AO52" s="303">
        <f>+AO41+AO42-AO43+AO44+AO48</f>
        <v>542025.47765903478</v>
      </c>
      <c r="AP52" s="306">
        <f>AO52/AO$3</f>
        <v>0.30129265017178142</v>
      </c>
      <c r="AS52" s="300" t="s">
        <v>20</v>
      </c>
      <c r="AT52" s="303">
        <v>3992613.5335298935</v>
      </c>
      <c r="AU52" s="302">
        <v>0.22924084558556945</v>
      </c>
      <c r="AV52" s="303">
        <v>3042668.6245205225</v>
      </c>
      <c r="AW52" s="302">
        <v>0.18469767164659198</v>
      </c>
      <c r="AX52" s="303">
        <v>1503555.3897948703</v>
      </c>
      <c r="AY52" s="302">
        <v>0.10538056716520459</v>
      </c>
      <c r="AZ52" s="303">
        <v>3031301.5064590359</v>
      </c>
      <c r="BA52" s="302">
        <v>0.18049031837856125</v>
      </c>
      <c r="BB52" s="303">
        <v>11570139.054304324</v>
      </c>
      <c r="BC52" s="302">
        <v>0.17813057966634041</v>
      </c>
      <c r="BD52" s="336">
        <f>+Y52-BB52</f>
        <v>-9.6864607334136963</v>
      </c>
    </row>
    <row r="53" spans="1:56" ht="22.5" customHeight="1" thickBot="1">
      <c r="A53" s="308"/>
      <c r="B53" s="309" t="s">
        <v>21</v>
      </c>
      <c r="C53" s="310"/>
      <c r="D53" s="325">
        <f t="shared" ref="D53:I53" si="37">-D52*0.3333</f>
        <v>0</v>
      </c>
      <c r="E53" s="325">
        <f t="shared" si="37"/>
        <v>0</v>
      </c>
      <c r="F53" s="325">
        <f t="shared" si="37"/>
        <v>0</v>
      </c>
      <c r="G53" s="325" t="e">
        <f t="shared" si="37"/>
        <v>#DIV/0!</v>
      </c>
      <c r="H53" s="325">
        <f t="shared" si="37"/>
        <v>0</v>
      </c>
      <c r="I53" s="325">
        <f t="shared" si="37"/>
        <v>-695008.15889999992</v>
      </c>
      <c r="J53" s="313"/>
      <c r="K53" s="325">
        <f>-K52*0.3333</f>
        <v>-1416865.5427422679</v>
      </c>
      <c r="L53" s="326">
        <f>K53/K3</f>
        <v>-5.7848294180663361E-2</v>
      </c>
      <c r="M53" s="313"/>
      <c r="N53" s="325">
        <f>-(N52)*0.3333</f>
        <v>-1105234.2446700041</v>
      </c>
      <c r="O53" s="326">
        <f>N53/N3</f>
        <v>-3.3188867079733064E-2</v>
      </c>
      <c r="P53" s="422"/>
      <c r="Q53" s="423">
        <f>-Q52*33.333%</f>
        <v>-107617.25714999999</v>
      </c>
      <c r="R53" s="424">
        <f>Q53/Q$3</f>
        <v>-0.11774316974835886</v>
      </c>
      <c r="S53" s="314"/>
      <c r="T53" s="311">
        <f>-T52*0.3333</f>
        <v>-531608.60048999987</v>
      </c>
      <c r="U53" s="312">
        <f>T53/T$3</f>
        <v>-8.879382002505426E-2</v>
      </c>
      <c r="V53" s="314"/>
      <c r="W53" s="311">
        <f>-W52*0.3333</f>
        <v>0</v>
      </c>
      <c r="X53" s="312" t="e">
        <f>W53/W$3</f>
        <v>#DIV/0!</v>
      </c>
      <c r="Y53" s="315">
        <f>D53+F53+I53+K53+N53+Q53+T53+W53</f>
        <v>-3856333.8039522721</v>
      </c>
      <c r="Z53" s="316">
        <f>Y53/Y3</f>
        <v>-5.9371018873104003E-2</v>
      </c>
      <c r="AA53" s="317">
        <f>+'[1]31 dec 2015'!AA53</f>
        <v>-1672116.9387000001</v>
      </c>
      <c r="AB53" s="316">
        <f>AA53/AA3</f>
        <v>-2.8858708887111693E-2</v>
      </c>
      <c r="AC53" s="160">
        <f>Y53-AA53</f>
        <v>-2184216.8652522722</v>
      </c>
      <c r="AD53" s="161">
        <f t="shared" si="28"/>
        <v>1.3062584408423061</v>
      </c>
      <c r="AG53" s="356">
        <f>+T53+Q53</f>
        <v>-639225.85763999983</v>
      </c>
      <c r="AH53" s="424">
        <f>AG53/AG$3</f>
        <v>-9.2628004295029681E-2</v>
      </c>
      <c r="AI53" s="39">
        <f>+$AG53/4</f>
        <v>-159806.46440999996</v>
      </c>
      <c r="AJ53" s="424">
        <f>AI53/AI$3</f>
        <v>-8.7613193207236817E-2</v>
      </c>
      <c r="AK53" s="39">
        <f>+$AG53/4</f>
        <v>-159806.46440999996</v>
      </c>
      <c r="AL53" s="424">
        <f>AK53/AK$3</f>
        <v>-8.8880124810900976E-2</v>
      </c>
      <c r="AM53" s="39">
        <f>+$AG53/4</f>
        <v>-159806.46440999996</v>
      </c>
      <c r="AN53" s="424">
        <f>AM53/AM$3</f>
        <v>-0.10797734081756753</v>
      </c>
      <c r="AO53" s="39">
        <f>+$AG53/4</f>
        <v>-159806.46440999996</v>
      </c>
      <c r="AP53" s="425">
        <f>AO53/AO$3</f>
        <v>-8.8830719516397968E-2</v>
      </c>
      <c r="AS53" s="309" t="s">
        <v>21</v>
      </c>
      <c r="AT53" s="338">
        <v>-1302881.4404813198</v>
      </c>
      <c r="AU53" s="312">
        <v>-7.4806549796374452E-2</v>
      </c>
      <c r="AV53" s="338">
        <v>-993553.57846173039</v>
      </c>
      <c r="AW53" s="312">
        <v>-6.0311212045622953E-2</v>
      </c>
      <c r="AX53" s="338">
        <v>-570416.65581701999</v>
      </c>
      <c r="AY53" s="312">
        <v>-3.9979126222066064E-2</v>
      </c>
      <c r="AZ53" s="338">
        <v>-989482.16480903979</v>
      </c>
      <c r="BA53" s="312">
        <v>-5.8915931185252103E-2</v>
      </c>
      <c r="BB53" s="338">
        <v>-3856333.8395691104</v>
      </c>
      <c r="BC53" s="312">
        <v>-5.9371022163628849E-2</v>
      </c>
      <c r="BD53" s="336">
        <f>+Y53-BB53</f>
        <v>3.5616838373243809E-2</v>
      </c>
    </row>
    <row r="54" spans="1:56" ht="24.75" customHeight="1" thickBot="1">
      <c r="A54" s="17"/>
      <c r="B54" s="327" t="s">
        <v>22</v>
      </c>
      <c r="C54" s="328"/>
      <c r="D54" s="329">
        <f>+D52+D53</f>
        <v>0</v>
      </c>
      <c r="E54" s="331"/>
      <c r="F54" s="426">
        <f>+F52+F53</f>
        <v>0</v>
      </c>
      <c r="G54" s="330" t="e">
        <f>F54/F3</f>
        <v>#DIV/0!</v>
      </c>
      <c r="H54" s="331"/>
      <c r="I54" s="426">
        <f>+I52+I53</f>
        <v>1390224.8411000001</v>
      </c>
      <c r="J54" s="332"/>
      <c r="K54" s="426">
        <f>+K52+K53</f>
        <v>2834156.1876575761</v>
      </c>
      <c r="L54" s="330">
        <f>K54/K3</f>
        <v>0.11571394458520332</v>
      </c>
      <c r="M54" s="332"/>
      <c r="N54" s="426">
        <f>+N52+N53</f>
        <v>2210800.0927737528</v>
      </c>
      <c r="O54" s="333">
        <f>N54/N$3</f>
        <v>6.6387691815355643E-2</v>
      </c>
      <c r="P54" s="427"/>
      <c r="Q54" s="318">
        <f>+Q52+Q53</f>
        <v>215237.74285000001</v>
      </c>
      <c r="R54" s="319">
        <f>Q54/Q$3</f>
        <v>0.23548987182713349</v>
      </c>
      <c r="S54" s="428"/>
      <c r="T54" s="318">
        <f>+T52+T53</f>
        <v>1063376.6995099999</v>
      </c>
      <c r="U54" s="319">
        <f>T54/T$3</f>
        <v>0.17761428086019709</v>
      </c>
      <c r="V54" s="428"/>
      <c r="W54" s="23">
        <f>+W52+W53</f>
        <v>0</v>
      </c>
      <c r="X54" s="319" t="e">
        <f>W54/W$3</f>
        <v>#DIV/0!</v>
      </c>
      <c r="Y54" s="320">
        <f>+Y52+Y53</f>
        <v>7713795.5638913186</v>
      </c>
      <c r="Z54" s="321">
        <f>Y54/Y3</f>
        <v>0.11875940343589757</v>
      </c>
      <c r="AA54" s="318">
        <f>+AA52+AA53</f>
        <v>-145011.93869999819</v>
      </c>
      <c r="AB54" s="321">
        <f>AA54/AA3</f>
        <v>-2.5027300586719032E-3</v>
      </c>
      <c r="AC54" s="318">
        <f>+AC52+AC53</f>
        <v>7858807.5025913259</v>
      </c>
      <c r="AD54" s="30">
        <f t="shared" si="28"/>
        <v>-54.194210304640414</v>
      </c>
      <c r="AG54" s="429">
        <f>+AG52+AG53</f>
        <v>1278614.44236</v>
      </c>
      <c r="AH54" s="319">
        <f>AG54/AG$3</f>
        <v>0.18527958880741921</v>
      </c>
      <c r="AI54" s="318">
        <f>+AI52+AI53</f>
        <v>403427.6243198943</v>
      </c>
      <c r="AJ54" s="319">
        <f>AI54/AI$3</f>
        <v>0.22117742561397713</v>
      </c>
      <c r="AK54" s="318">
        <f>+AK52+AK53</f>
        <v>381370.66880620067</v>
      </c>
      <c r="AL54" s="319">
        <f>AK54/AK$3</f>
        <v>0.21210826963637414</v>
      </c>
      <c r="AM54" s="318">
        <f>+AM52+AM53</f>
        <v>111597.13598487043</v>
      </c>
      <c r="AN54" s="319">
        <f>AM54/AM$3</f>
        <v>7.5403470260047595E-2</v>
      </c>
      <c r="AO54" s="318">
        <f>+AO52+AO53</f>
        <v>382219.01324903482</v>
      </c>
      <c r="AP54" s="430">
        <f>AO54/AO$3</f>
        <v>0.21246193065538344</v>
      </c>
      <c r="AQ54" s="336">
        <f>+AO54+AM54+AK54+AI54</f>
        <v>1278614.4423600002</v>
      </c>
      <c r="AS54" s="327" t="s">
        <v>22</v>
      </c>
      <c r="AT54" s="318">
        <v>2689732.0930485735</v>
      </c>
      <c r="AU54" s="319">
        <v>0.15443429578919499</v>
      </c>
      <c r="AV54" s="318">
        <v>2049115.0460587922</v>
      </c>
      <c r="AW54" s="319">
        <v>0.12438645960096904</v>
      </c>
      <c r="AX54" s="318">
        <v>933138.73397785029</v>
      </c>
      <c r="AY54" s="319">
        <v>6.5401440943138517E-2</v>
      </c>
      <c r="AZ54" s="318">
        <v>2041819.3416499961</v>
      </c>
      <c r="BA54" s="319">
        <v>0.12157438719330914</v>
      </c>
      <c r="BB54" s="318">
        <v>7713805.2147352137</v>
      </c>
      <c r="BC54" s="319">
        <v>0.11875955750271155</v>
      </c>
      <c r="BD54" s="336">
        <f>+Y54-BB54</f>
        <v>-9.6508438950404525</v>
      </c>
    </row>
    <row r="55" spans="1:56">
      <c r="Y55" s="47">
        <f>+T54+Q54+N54+K54+I54+D54</f>
        <v>7713795.5638913289</v>
      </c>
      <c r="AC55" s="47">
        <f>+Y54-AA54</f>
        <v>7858807.5025913166</v>
      </c>
      <c r="AG55" s="9">
        <f>+T54+Q54</f>
        <v>1278614.44236</v>
      </c>
      <c r="AQ55" s="47">
        <f>+AO54+AM54+AK54+AI54</f>
        <v>1278614.4423600002</v>
      </c>
      <c r="AS55" s="4" t="s">
        <v>56</v>
      </c>
      <c r="AT55" s="9">
        <f>+AT54-'[1]1 trim 2016'!AA54</f>
        <v>0</v>
      </c>
      <c r="AU55" s="9"/>
      <c r="AV55" s="47">
        <f>+AV54-'[1]2 trim 2016'!AA54</f>
        <v>0</v>
      </c>
      <c r="AX55" s="47">
        <f>+AX54-'[1]3 trim 2016'!AA54</f>
        <v>0</v>
      </c>
      <c r="AZ55" s="47">
        <f>+AZ54-'[1]4 trim 2016'!AA54</f>
        <v>0</v>
      </c>
      <c r="BB55" s="47">
        <f>+AZ54+AX54+AV54+AT54</f>
        <v>7713805.2147352127</v>
      </c>
    </row>
  </sheetData>
  <sheetProtection password="DAA7" sheet="1"/>
  <mergeCells count="27">
    <mergeCell ref="AA2:AB2"/>
    <mergeCell ref="W1:X1"/>
    <mergeCell ref="T1:U1"/>
    <mergeCell ref="AZ1:BA2"/>
    <mergeCell ref="BB1:BC2"/>
    <mergeCell ref="T2:U2"/>
    <mergeCell ref="W2:X2"/>
    <mergeCell ref="Y2:Z2"/>
    <mergeCell ref="AX1:AY2"/>
    <mergeCell ref="B1:B2"/>
    <mergeCell ref="F1:G1"/>
    <mergeCell ref="K1:L1"/>
    <mergeCell ref="N1:O1"/>
    <mergeCell ref="Q1:R1"/>
    <mergeCell ref="F2:G2"/>
    <mergeCell ref="K2:L2"/>
    <mergeCell ref="N2:O2"/>
    <mergeCell ref="Q2:R2"/>
    <mergeCell ref="AT1:AU2"/>
    <mergeCell ref="AV1:AW2"/>
    <mergeCell ref="AO2:AP2"/>
    <mergeCell ref="AG2:AH2"/>
    <mergeCell ref="AI2:AJ2"/>
    <mergeCell ref="AK2:AL2"/>
    <mergeCell ref="AM2:AN2"/>
    <mergeCell ref="AG1:AP1"/>
    <mergeCell ref="AS1:AS2"/>
  </mergeCells>
  <printOptions horizontalCentered="1" verticalCentered="1"/>
  <pageMargins left="0.11811023622047245" right="0.11811023622047245" top="0.15748031496062992" bottom="0.15748031496062992" header="0.19685039370078741" footer="0.19685039370078741"/>
  <pageSetup paperSize="8" scale="77" fitToWidth="2" orientation="landscape" cellComments="asDisplayed" r:id="rId1"/>
  <colBreaks count="2" manualBreakCount="2">
    <brk id="30" max="56" man="1"/>
    <brk id="44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I585"/>
  <sheetViews>
    <sheetView tabSelected="1" topLeftCell="C1" zoomScaleSheetLayoutView="80" workbookViewId="0">
      <pane ySplit="5" topLeftCell="A6" activePane="bottomLeft" state="frozen"/>
      <selection activeCell="B1" sqref="B1"/>
      <selection pane="bottomLeft" activeCell="J14" sqref="J14"/>
    </sheetView>
  </sheetViews>
  <sheetFormatPr baseColWidth="10" defaultRowHeight="15.5"/>
  <cols>
    <col min="1" max="1" width="2.1796875" style="431" hidden="1" customWidth="1"/>
    <col min="2" max="2" width="7.81640625" style="770" hidden="1" customWidth="1"/>
    <col min="3" max="3" width="7.81640625" style="778" customWidth="1"/>
    <col min="4" max="4" width="33.7265625" style="781" bestFit="1" customWidth="1"/>
    <col min="5" max="5" width="41.453125" style="472" customWidth="1"/>
    <col min="6" max="6" width="20.81640625" style="875" customWidth="1"/>
    <col min="7" max="7" width="1.453125" style="773" customWidth="1"/>
    <col min="8" max="8" width="6.26953125" style="773" customWidth="1"/>
    <col min="9" max="9" width="16.1796875" style="431" customWidth="1"/>
  </cols>
  <sheetData>
    <row r="1" spans="1:9">
      <c r="C1" s="787"/>
      <c r="D1" s="840" t="s">
        <v>177</v>
      </c>
      <c r="E1" s="841"/>
      <c r="F1" s="841"/>
      <c r="G1" s="841"/>
      <c r="H1" s="841"/>
      <c r="I1" s="841"/>
    </row>
    <row r="2" spans="1:9">
      <c r="A2" s="640"/>
      <c r="B2" s="771"/>
      <c r="C2" s="788"/>
      <c r="D2" s="789"/>
      <c r="E2" s="790"/>
      <c r="F2" s="872"/>
      <c r="G2" s="791"/>
      <c r="H2" s="791"/>
      <c r="I2" s="790"/>
    </row>
    <row r="3" spans="1:9">
      <c r="A3" s="547"/>
      <c r="B3" s="548"/>
      <c r="C3" s="792"/>
      <c r="D3" s="842" t="s">
        <v>178</v>
      </c>
      <c r="E3" s="832" t="s">
        <v>230</v>
      </c>
      <c r="F3" s="835" t="s">
        <v>110</v>
      </c>
      <c r="G3" s="836"/>
      <c r="H3" s="836"/>
      <c r="I3" s="837"/>
    </row>
    <row r="4" spans="1:9">
      <c r="A4" s="547"/>
      <c r="B4" s="548"/>
      <c r="C4" s="792"/>
      <c r="D4" s="843"/>
      <c r="E4" s="833"/>
      <c r="F4" s="873" t="s">
        <v>139</v>
      </c>
      <c r="G4" s="793"/>
      <c r="H4" s="838" t="s">
        <v>140</v>
      </c>
      <c r="I4" s="839"/>
    </row>
    <row r="5" spans="1:9">
      <c r="A5" s="554"/>
      <c r="B5" s="548"/>
      <c r="C5" s="792"/>
      <c r="D5" s="844"/>
      <c r="E5" s="834"/>
      <c r="F5" s="794">
        <v>42613</v>
      </c>
      <c r="G5" s="795"/>
      <c r="H5" s="796" t="s">
        <v>163</v>
      </c>
      <c r="I5" s="797">
        <v>42643</v>
      </c>
    </row>
    <row r="6" spans="1:9" ht="13.5" customHeight="1">
      <c r="A6" s="575"/>
      <c r="B6" s="548">
        <v>7061</v>
      </c>
      <c r="C6" s="779"/>
      <c r="D6" s="871">
        <f t="array" aca="1" ref="D6" ca="1">IFERROR(OFFSET(extraction!A$2,MATCH(0,COUNTIF('BIOLAM LCD'!D$5:D5,numeros),0),),"")</f>
        <v>20500000</v>
      </c>
      <c r="E6" s="871" t="str">
        <f t="array" aca="1" ref="E6" ca="1">IFERROR(OFFSET(extraction!B$2,MATCH(0,COUNTIF('BIOLAM LCD'!E$5:E5,intit),0),),"")</f>
        <v>CONCESSIONS ET DROITS SIMILAIRES</v>
      </c>
      <c r="F6" s="874">
        <f ca="1">IF(D6="","",SUMPRODUCT((numeros=D6)*(montant)))</f>
        <v>-3756</v>
      </c>
      <c r="G6"/>
      <c r="H6"/>
      <c r="I6"/>
    </row>
    <row r="7" spans="1:9" ht="13.5" customHeight="1">
      <c r="B7" s="770">
        <v>708</v>
      </c>
      <c r="C7" s="779"/>
      <c r="D7" s="871">
        <f t="array" aca="1" ref="D7" ca="1">IFERROR(OFFSET(extraction!A$2,MATCH(0,COUNTIF('BIOLAM LCD'!D$5:D6,numeros),0),),"")</f>
        <v>20600000</v>
      </c>
      <c r="E7" s="871" t="str">
        <f t="array" aca="1" ref="E7" ca="1">IFERROR(OFFSET(extraction!B$2,MATCH(0,COUNTIF('BIOLAM LCD'!E$5:E6,intit),0),),"")</f>
        <v>DROIT AU BAIL</v>
      </c>
      <c r="F7" s="874">
        <f ca="1">IF(D7="","",SUMPRODUCT((numeros=D7)*(montant)))</f>
        <v>-18000</v>
      </c>
      <c r="G7"/>
      <c r="H7"/>
      <c r="I7"/>
    </row>
    <row r="8" spans="1:9" ht="13.5" customHeight="1">
      <c r="A8" s="769"/>
      <c r="B8" s="772"/>
      <c r="C8" s="779"/>
      <c r="D8" s="871">
        <f t="array" aca="1" ref="D8" ca="1">IFERROR(OFFSET(extraction!A$2,MATCH(0,COUNTIF('BIOLAM LCD'!D$5:D7,numeros),0),),"")</f>
        <v>20700000</v>
      </c>
      <c r="E8" s="871" t="str">
        <f t="array" aca="1" ref="E8" ca="1">IFERROR(OFFSET(extraction!B$2,MATCH(0,COUNTIF('BIOLAM LCD'!E$5:E7,intit),0),),"")</f>
        <v>FONDS COMMERCIAL</v>
      </c>
      <c r="F8" s="874">
        <f ca="1">IF(D8="","",SUMPRODUCT((numeros=D8)*(montant)))</f>
        <v>240.4</v>
      </c>
      <c r="G8"/>
      <c r="H8"/>
      <c r="I8"/>
    </row>
    <row r="9" spans="1:9" ht="13.5" customHeight="1">
      <c r="B9" s="770" t="s">
        <v>154</v>
      </c>
      <c r="C9" s="779"/>
      <c r="D9" s="871">
        <f t="array" aca="1" ref="D9" ca="1">IFERROR(OFFSET(extraction!A$2,MATCH(0,COUNTIF('BIOLAM LCD'!D$5:D8,numeros),0),),"")</f>
        <v>21540000</v>
      </c>
      <c r="E9" s="871" t="str">
        <f t="array" aca="1" ref="E9" ca="1">IFERROR(OFFSET(extraction!B$2,MATCH(0,COUNTIF('BIOLAM LCD'!E$5:E8,intit),0),),"")</f>
        <v>MATÉRIEL MÉDICAL</v>
      </c>
      <c r="F9" s="874">
        <f ca="1">IF(D9="","",SUMPRODUCT((numeros=D9)*(montant)))</f>
        <v>-40940.620000000003</v>
      </c>
      <c r="G9"/>
      <c r="H9"/>
      <c r="I9"/>
    </row>
    <row r="10" spans="1:9" ht="13.5" customHeight="1">
      <c r="B10" s="770">
        <v>604</v>
      </c>
      <c r="C10" s="779"/>
      <c r="D10" s="871">
        <f t="array" aca="1" ref="D10" ca="1">IFERROR(OFFSET(extraction!A$2,MATCH(0,COUNTIF('BIOLAM LCD'!D$5:D9,numeros),0),),"")</f>
        <v>21810000</v>
      </c>
      <c r="E10" s="871" t="str">
        <f t="array" aca="1" ref="E10" ca="1">IFERROR(OFFSET(extraction!B$2,MATCH(0,COUNTIF('BIOLAM LCD'!E$5:E9,intit),0),),"")</f>
        <v>INSTAL.GALES, AGENCT, AMENAGT.DIV.</v>
      </c>
      <c r="F10" s="874">
        <f ca="1">IF(D10="","",SUMPRODUCT((numeros=D10)*(montant)))</f>
        <v>-65679.099999999991</v>
      </c>
      <c r="G10"/>
      <c r="H10"/>
      <c r="I10"/>
    </row>
    <row r="11" spans="1:9" ht="13.5" customHeight="1">
      <c r="B11" s="770">
        <v>604</v>
      </c>
      <c r="C11" s="779"/>
      <c r="D11" s="871">
        <f t="array" aca="1" ref="D11" ca="1">IFERROR(OFFSET(extraction!A$2,MATCH(0,COUNTIF('BIOLAM LCD'!D$5:D10,numeros),0),),"")</f>
        <v>21820000</v>
      </c>
      <c r="E11" s="871" t="str">
        <f t="array" aca="1" ref="E11" ca="1">IFERROR(OFFSET(extraction!B$2,MATCH(0,COUNTIF('BIOLAM LCD'!E$5:E10,intit),0),),"")</f>
        <v>MATERIEL DE TRANSPORT</v>
      </c>
      <c r="F11" s="874">
        <f ca="1">IF(D11="","",SUMPRODUCT((numeros=D11)*(montant)))</f>
        <v>-13050</v>
      </c>
      <c r="G11"/>
      <c r="H11"/>
      <c r="I11"/>
    </row>
    <row r="12" spans="1:9" ht="13.5" customHeight="1">
      <c r="A12" s="769"/>
      <c r="B12" s="772"/>
      <c r="C12" s="779"/>
      <c r="D12" s="871">
        <f t="array" aca="1" ref="D12" ca="1">IFERROR(OFFSET(extraction!A$2,MATCH(0,COUNTIF('BIOLAM LCD'!D$5:D11,numeros),0),),"")</f>
        <v>21830000</v>
      </c>
      <c r="E12" s="871" t="str">
        <f t="array" aca="1" ref="E12" ca="1">IFERROR(OFFSET(extraction!B$2,MATCH(0,COUNTIF('BIOLAM LCD'!E$5:E11,intit),0),),"")</f>
        <v>MAT.INFORM.BUREAU</v>
      </c>
      <c r="F12" s="874">
        <f ca="1">IF(D12="","",SUMPRODUCT((numeros=D12)*(montant)))</f>
        <v>-11030.26</v>
      </c>
      <c r="G12"/>
      <c r="H12"/>
      <c r="I12"/>
    </row>
    <row r="13" spans="1:9" ht="13.5" customHeight="1">
      <c r="A13" s="769"/>
      <c r="B13" s="772"/>
      <c r="C13" s="779"/>
      <c r="D13" s="871">
        <f t="array" aca="1" ref="D13" ca="1">IFERROR(OFFSET(extraction!A$2,MATCH(0,COUNTIF('BIOLAM LCD'!D$5:D12,numeros),0),),"")</f>
        <v>21840000</v>
      </c>
      <c r="E13" s="871" t="str">
        <f t="array" aca="1" ref="E13" ca="1">IFERROR(OFFSET(extraction!B$2,MATCH(0,COUNTIF('BIOLAM LCD'!E$5:E12,intit),0),),"")</f>
        <v>MOBILIER</v>
      </c>
      <c r="F13" s="874">
        <f ca="1">IF(D13="","",SUMPRODUCT((numeros=D13)*(montant)))</f>
        <v>-10238.780000000001</v>
      </c>
      <c r="G13"/>
      <c r="H13"/>
      <c r="I13"/>
    </row>
    <row r="14" spans="1:9" ht="13.5" customHeight="1">
      <c r="B14" s="770">
        <v>628</v>
      </c>
      <c r="C14" s="779"/>
      <c r="D14" s="871">
        <f t="array" aca="1" ref="D14" ca="1">IFERROR(OFFSET(extraction!A$2,MATCH(0,COUNTIF('BIOLAM LCD'!D$5:D13,numeros),0),),"")</f>
        <v>26100070</v>
      </c>
      <c r="E14" s="871" t="str">
        <f t="array" aca="1" ref="E14" ca="1">IFERROR(OFFSET(extraction!B$2,MATCH(0,COUNTIF('BIOLAM LCD'!E$5:E13,intit),0),),"")</f>
        <v>TITRES DE PARTICIPATION SELAS EX</v>
      </c>
      <c r="F14" s="874">
        <f ca="1">IF(D14="","",SUMPRODUCT((numeros=D14)*(montant)))</f>
        <v>-9718664.4499999993</v>
      </c>
      <c r="G14"/>
      <c r="H14"/>
      <c r="I14"/>
    </row>
    <row r="15" spans="1:9" ht="13.5" customHeight="1">
      <c r="A15" s="769"/>
      <c r="B15" s="772"/>
      <c r="C15" s="779"/>
      <c r="D15" s="871">
        <f t="array" aca="1" ref="D15" ca="1">IFERROR(OFFSET(extraction!A$2,MATCH(0,COUNTIF('BIOLAM LCD'!D$5:D14,numeros),0),),"")</f>
        <v>26180000</v>
      </c>
      <c r="E15" s="871" t="str">
        <f t="array" aca="1" ref="E15" ca="1">IFERROR(OFFSET(extraction!B$2,MATCH(0,COUNTIF('BIOLAM LCD'!E$5:E14,intit),0),),"")</f>
        <v>CAPITAL SCM BIOGROUP</v>
      </c>
      <c r="F15" s="874">
        <f ca="1">IF(D15="","",SUMPRODUCT((numeros=D15)*(montant)))</f>
        <v>-107625</v>
      </c>
      <c r="G15"/>
      <c r="H15"/>
      <c r="I15"/>
    </row>
    <row r="16" spans="1:9" ht="13.5" customHeight="1">
      <c r="C16" s="779"/>
      <c r="D16" s="871">
        <f t="array" aca="1" ref="D16" ca="1">IFERROR(OFFSET(extraction!A$2,MATCH(0,COUNTIF('BIOLAM LCD'!D$5:D15,numeros),0),),"")</f>
        <v>27500000</v>
      </c>
      <c r="E16" s="871" t="str">
        <f t="array" aca="1" ref="E16" ca="1">IFERROR(OFFSET(extraction!B$2,MATCH(0,COUNTIF('BIOLAM LCD'!E$5:E15,intit),0),),"")</f>
        <v>DEPÔT GARANTIE LOYERS</v>
      </c>
      <c r="F16" s="874">
        <f ca="1">IF(D16="","",SUMPRODUCT((numeros=D16)*(montant)))</f>
        <v>2515.0500000000002</v>
      </c>
      <c r="G16"/>
      <c r="H16"/>
      <c r="I16"/>
    </row>
    <row r="17" spans="1:9" ht="13.5" customHeight="1">
      <c r="C17" s="779"/>
      <c r="D17" s="871">
        <f t="array" aca="1" ref="D17" ca="1">IFERROR(OFFSET(extraction!A$2,MATCH(0,COUNTIF('BIOLAM LCD'!D$5:D16,numeros),0),),"")</f>
        <v>27610000</v>
      </c>
      <c r="E17" s="871" t="str">
        <f t="array" aca="1" ref="E17" ca="1">IFERROR(OFFSET(extraction!B$2,MATCH(0,COUNTIF('BIOLAM LCD'!E$5:E16,intit),0),),"")</f>
        <v>DEPOTS INTERFIMO</v>
      </c>
      <c r="F17" s="874">
        <f ca="1">IF(D17="","",SUMPRODUCT((numeros=D17)*(montant)))</f>
        <v>7315.04</v>
      </c>
      <c r="G17"/>
      <c r="H17"/>
      <c r="I17"/>
    </row>
    <row r="18" spans="1:9" ht="13.5" customHeight="1">
      <c r="B18" s="770">
        <v>624</v>
      </c>
      <c r="C18" s="779"/>
      <c r="D18" s="871" t="str">
        <f t="array" aca="1" ref="D18" ca="1">IFERROR(OFFSET(extraction!A$2,MATCH(0,COUNTIF('BIOLAM LCD'!D$5:D17,numeros),0),),"")</f>
        <v/>
      </c>
      <c r="E18" s="871" t="str">
        <f t="array" aca="1" ref="E18" ca="1">IFERROR(OFFSET(extraction!B$2,MATCH(0,COUNTIF('BIOLAM LCD'!E$5:E17,intit),0),),"")</f>
        <v/>
      </c>
      <c r="F18" s="874" t="str">
        <f ca="1">IF(D18="","",SUMPRODUCT((numeros=D18)*(montant)))</f>
        <v/>
      </c>
      <c r="G18"/>
      <c r="H18"/>
      <c r="I18"/>
    </row>
    <row r="19" spans="1:9" ht="13.5" customHeight="1">
      <c r="A19" s="769"/>
      <c r="B19" s="772"/>
      <c r="C19" s="779"/>
      <c r="D19" s="871" t="str">
        <f t="array" aca="1" ref="D19" ca="1">IFERROR(OFFSET(extraction!A$2,MATCH(0,COUNTIF('BIOLAM LCD'!D$5:D18,numeros),0),),"")</f>
        <v/>
      </c>
      <c r="E19" s="871" t="str">
        <f t="array" aca="1" ref="E19" ca="1">IFERROR(OFFSET(extraction!B$2,MATCH(0,COUNTIF('BIOLAM LCD'!E$5:E18,intit),0),),"")</f>
        <v/>
      </c>
      <c r="F19" s="874" t="str">
        <f ca="1">IF(D19="","",SUMPRODUCT((numeros=D19)*(montant)))</f>
        <v/>
      </c>
      <c r="G19"/>
      <c r="H19"/>
      <c r="I19"/>
    </row>
    <row r="20" spans="1:9" ht="13.5" customHeight="1">
      <c r="B20" s="770">
        <v>63</v>
      </c>
      <c r="C20" s="779"/>
      <c r="D20" s="871" t="str">
        <f t="array" aca="1" ref="D20" ca="1">IFERROR(OFFSET(extraction!A$2,MATCH(0,COUNTIF('BIOLAM LCD'!D$5:D19,numeros),0),),"")</f>
        <v/>
      </c>
      <c r="E20" s="871" t="str">
        <f t="array" aca="1" ref="E20" ca="1">IFERROR(OFFSET(extraction!B$2,MATCH(0,COUNTIF('BIOLAM LCD'!E$5:E19,intit),0),),"")</f>
        <v/>
      </c>
      <c r="F20" s="874" t="str">
        <f ca="1">IF(D20="","",SUMPRODUCT((numeros=D20)*(montant)))</f>
        <v/>
      </c>
      <c r="G20"/>
      <c r="H20"/>
      <c r="I20"/>
    </row>
    <row r="21" spans="1:9" ht="13.5" customHeight="1">
      <c r="A21" s="769"/>
      <c r="B21" s="772"/>
      <c r="C21" s="779"/>
      <c r="D21" s="871" t="str">
        <f t="array" aca="1" ref="D21" ca="1">IFERROR(OFFSET(extraction!A$2,MATCH(0,COUNTIF('BIOLAM LCD'!D$5:D20,numeros),0),),"")</f>
        <v/>
      </c>
      <c r="E21" s="871" t="str">
        <f t="array" aca="1" ref="E21" ca="1">IFERROR(OFFSET(extraction!B$2,MATCH(0,COUNTIF('BIOLAM LCD'!E$5:E20,intit),0),),"")</f>
        <v/>
      </c>
      <c r="F21" s="874" t="str">
        <f ca="1">IF(D21="","",SUMPRODUCT((numeros=D21)*(montant)))</f>
        <v/>
      </c>
      <c r="G21"/>
      <c r="H21"/>
      <c r="I21"/>
    </row>
    <row r="22" spans="1:9" ht="13.5" customHeight="1">
      <c r="B22" s="770">
        <v>641</v>
      </c>
      <c r="C22" s="779"/>
      <c r="D22" s="871" t="str">
        <f t="array" aca="1" ref="D22" ca="1">IFERROR(OFFSET(extraction!A$2,MATCH(0,COUNTIF('BIOLAM LCD'!D$5:D21,numeros),0),),"")</f>
        <v/>
      </c>
      <c r="E22" s="871" t="str">
        <f t="array" aca="1" ref="E22" ca="1">IFERROR(OFFSET(extraction!B$2,MATCH(0,COUNTIF('BIOLAM LCD'!E$5:E21,intit),0),),"")</f>
        <v/>
      </c>
      <c r="F22" s="874" t="str">
        <f ca="1">IF(D22="","",SUMPRODUCT((numeros=D22)*(montant)))</f>
        <v/>
      </c>
      <c r="G22"/>
      <c r="H22"/>
      <c r="I22"/>
    </row>
    <row r="23" spans="1:9" ht="13.5" customHeight="1">
      <c r="A23" s="575"/>
      <c r="B23" s="548">
        <v>644</v>
      </c>
      <c r="C23" s="779"/>
      <c r="D23" s="871" t="str">
        <f t="array" aca="1" ref="D23" ca="1">IFERROR(OFFSET(extraction!A$2,MATCH(0,COUNTIF('BIOLAM LCD'!D$5:D22,numeros),0),),"")</f>
        <v/>
      </c>
      <c r="E23" s="871" t="str">
        <f t="array" aca="1" ref="E23" ca="1">IFERROR(OFFSET(extraction!B$2,MATCH(0,COUNTIF('BIOLAM LCD'!E$5:E22,intit),0),),"")</f>
        <v/>
      </c>
      <c r="F23" s="874" t="str">
        <f ca="1">IF(D23="","",SUMPRODUCT((numeros=D23)*(montant)))</f>
        <v/>
      </c>
      <c r="G23"/>
      <c r="H23"/>
      <c r="I23"/>
    </row>
    <row r="24" spans="1:9" ht="13.5" customHeight="1">
      <c r="A24" s="575"/>
      <c r="B24" s="548">
        <v>645</v>
      </c>
      <c r="C24" s="779"/>
      <c r="D24" s="871" t="str">
        <f t="array" aca="1" ref="D24" ca="1">IFERROR(OFFSET(extraction!A$2,MATCH(0,COUNTIF('BIOLAM LCD'!D$5:D23,numeros),0),),"")</f>
        <v/>
      </c>
      <c r="E24" s="871" t="str">
        <f t="array" aca="1" ref="E24" ca="1">IFERROR(OFFSET(extraction!B$2,MATCH(0,COUNTIF('BIOLAM LCD'!E$5:E23,intit),0),),"")</f>
        <v/>
      </c>
      <c r="F24" s="874" t="str">
        <f ca="1">IF(D24="","",SUMPRODUCT((numeros=D24)*(montant)))</f>
        <v/>
      </c>
      <c r="G24"/>
      <c r="H24"/>
      <c r="I24"/>
    </row>
    <row r="25" spans="1:9" ht="13.5" customHeight="1">
      <c r="A25" s="575"/>
      <c r="B25" s="548">
        <v>646</v>
      </c>
      <c r="C25" s="779"/>
      <c r="D25" s="871" t="str">
        <f t="array" aca="1" ref="D25" ca="1">IFERROR(OFFSET(extraction!A$2,MATCH(0,COUNTIF('BIOLAM LCD'!D$5:D24,numeros),0),),"")</f>
        <v/>
      </c>
      <c r="E25" s="871" t="str">
        <f t="array" aca="1" ref="E25" ca="1">IFERROR(OFFSET(extraction!B$2,MATCH(0,COUNTIF('BIOLAM LCD'!E$5:E24,intit),0),),"")</f>
        <v/>
      </c>
      <c r="F25" s="874" t="str">
        <f ca="1">IF(D25="","",SUMPRODUCT((numeros=D25)*(montant)))</f>
        <v/>
      </c>
      <c r="G25"/>
      <c r="H25"/>
      <c r="I25"/>
    </row>
    <row r="26" spans="1:9" ht="13.5" customHeight="1">
      <c r="C26" s="779"/>
      <c r="D26" s="871" t="str">
        <f t="array" aca="1" ref="D26" ca="1">IFERROR(OFFSET(extraction!A$2,MATCH(0,COUNTIF('BIOLAM LCD'!D$5:D25,numeros),0),),"")</f>
        <v/>
      </c>
      <c r="E26" s="871" t="str">
        <f t="array" aca="1" ref="E26" ca="1">IFERROR(OFFSET(extraction!B$2,MATCH(0,COUNTIF('BIOLAM LCD'!E$5:E25,intit),0),),"")</f>
        <v/>
      </c>
      <c r="F26" s="874" t="str">
        <f ca="1">IF(D26="","",SUMPRODUCT((numeros=D26)*(montant)))</f>
        <v/>
      </c>
      <c r="G26"/>
      <c r="H26"/>
      <c r="I26"/>
    </row>
    <row r="27" spans="1:9" ht="13.5" customHeight="1">
      <c r="C27" s="779"/>
      <c r="D27" s="871" t="str">
        <f t="array" aca="1" ref="D27" ca="1">IFERROR(OFFSET(extraction!A$2,MATCH(0,COUNTIF('BIOLAM LCD'!D$5:D26,numeros),0),),"")</f>
        <v/>
      </c>
      <c r="E27" s="871" t="str">
        <f t="array" aca="1" ref="E27" ca="1">IFERROR(OFFSET(extraction!B$2,MATCH(0,COUNTIF('BIOLAM LCD'!E$5:E26,intit),0),),"")</f>
        <v/>
      </c>
      <c r="F27" s="874" t="str">
        <f ca="1">IF(D27="","",SUMPRODUCT((numeros=D27)*(montant)))</f>
        <v/>
      </c>
      <c r="G27"/>
      <c r="H27"/>
      <c r="I27"/>
    </row>
    <row r="28" spans="1:9" ht="13.5" customHeight="1">
      <c r="A28" s="662"/>
      <c r="B28" s="566"/>
      <c r="C28" s="779"/>
      <c r="D28" s="871" t="str">
        <f t="array" aca="1" ref="D28" ca="1">IFERROR(OFFSET(extraction!A$2,MATCH(0,COUNTIF('BIOLAM LCD'!D$5:D27,numeros),0),),"")</f>
        <v/>
      </c>
      <c r="E28" s="871" t="str">
        <f t="array" aca="1" ref="E28" ca="1">IFERROR(OFFSET(extraction!B$2,MATCH(0,COUNTIF('BIOLAM LCD'!E$5:E27,intit),0),),"")</f>
        <v/>
      </c>
      <c r="F28" s="874" t="str">
        <f ca="1">IF(D28="","",SUMPRODUCT((numeros=D28)*(montant)))</f>
        <v/>
      </c>
      <c r="G28"/>
      <c r="H28"/>
      <c r="I28"/>
    </row>
    <row r="29" spans="1:9" ht="13.5" customHeight="1">
      <c r="A29" s="662"/>
      <c r="B29" s="566"/>
      <c r="C29" s="779"/>
      <c r="D29" s="871" t="str">
        <f t="array" aca="1" ref="D29" ca="1">IFERROR(OFFSET(extraction!A$2,MATCH(0,COUNTIF('BIOLAM LCD'!D$5:D28,numeros),0),),"")</f>
        <v/>
      </c>
      <c r="E29" s="871" t="str">
        <f t="array" aca="1" ref="E29" ca="1">IFERROR(OFFSET(extraction!B$2,MATCH(0,COUNTIF('BIOLAM LCD'!E$5:E28,intit),0),),"")</f>
        <v/>
      </c>
      <c r="F29" s="874" t="str">
        <f ca="1">IF(D29="","",SUMPRODUCT((numeros=D29)*(montant)))</f>
        <v/>
      </c>
      <c r="G29"/>
      <c r="H29"/>
      <c r="I29"/>
    </row>
    <row r="30" spans="1:9" ht="13.5" customHeight="1">
      <c r="C30" s="779"/>
      <c r="D30" s="871" t="str">
        <f t="array" aca="1" ref="D30" ca="1">IFERROR(OFFSET(extraction!A$2,MATCH(0,COUNTIF('BIOLAM LCD'!D$5:D29,numeros),0),),"")</f>
        <v/>
      </c>
      <c r="E30" s="871" t="str">
        <f t="array" aca="1" ref="E30" ca="1">IFERROR(OFFSET(extraction!B$2,MATCH(0,COUNTIF('BIOLAM LCD'!E$5:E29,intit),0),),"")</f>
        <v/>
      </c>
      <c r="F30" s="874" t="str">
        <f ca="1">IF(D30="","",SUMPRODUCT((numeros=D30)*(montant)))</f>
        <v/>
      </c>
      <c r="G30"/>
      <c r="H30"/>
      <c r="I30"/>
    </row>
    <row r="31" spans="1:9" ht="13.5" customHeight="1">
      <c r="A31" s="575"/>
      <c r="B31" s="548"/>
      <c r="C31" s="779"/>
      <c r="D31" s="871" t="str">
        <f t="array" aca="1" ref="D31" ca="1">IFERROR(OFFSET(extraction!A$2,MATCH(0,COUNTIF('BIOLAM LCD'!D$5:D30,numeros),0),),"")</f>
        <v/>
      </c>
      <c r="E31" s="871" t="str">
        <f t="array" aca="1" ref="E31" ca="1">IFERROR(OFFSET(extraction!B$2,MATCH(0,COUNTIF('BIOLAM LCD'!E$5:E30,intit),0),),"")</f>
        <v/>
      </c>
      <c r="F31" s="874" t="str">
        <f ca="1">IF(D31="","",SUMPRODUCT((numeros=D31)*(montant)))</f>
        <v/>
      </c>
      <c r="G31"/>
      <c r="H31"/>
      <c r="I31"/>
    </row>
    <row r="32" spans="1:9" ht="13.5" customHeight="1">
      <c r="A32" s="575"/>
      <c r="B32" s="548"/>
      <c r="C32" s="779"/>
      <c r="D32" s="871" t="str">
        <f t="array" aca="1" ref="D32" ca="1">IFERROR(OFFSET(extraction!A$2,MATCH(0,COUNTIF('BIOLAM LCD'!D$5:D31,numeros),0),),"")</f>
        <v/>
      </c>
      <c r="E32" s="871" t="str">
        <f t="array" aca="1" ref="E32" ca="1">IFERROR(OFFSET(extraction!B$2,MATCH(0,COUNTIF('BIOLAM LCD'!E$5:E31,intit),0),),"")</f>
        <v/>
      </c>
      <c r="F32" s="874" t="str">
        <f ca="1">IF(D32="","",SUMPRODUCT((numeros=D32)*(montant)))</f>
        <v/>
      </c>
      <c r="G32"/>
      <c r="H32"/>
      <c r="I32"/>
    </row>
    <row r="33" spans="1:9" ht="13.5" customHeight="1">
      <c r="A33" s="575"/>
      <c r="B33" s="548"/>
      <c r="C33" s="779"/>
      <c r="D33" s="871" t="str">
        <f t="array" aca="1" ref="D33" ca="1">IFERROR(OFFSET(extraction!A$2,MATCH(0,COUNTIF('BIOLAM LCD'!D$5:D32,numeros),0),),"")</f>
        <v/>
      </c>
      <c r="E33" s="871" t="str">
        <f t="array" aca="1" ref="E33" ca="1">IFERROR(OFFSET(extraction!B$2,MATCH(0,COUNTIF('BIOLAM LCD'!E$5:E32,intit),0),),"")</f>
        <v/>
      </c>
      <c r="F33" s="874" t="str">
        <f ca="1">IF(D33="","",SUMPRODUCT((numeros=D33)*(montant)))</f>
        <v/>
      </c>
      <c r="G33"/>
      <c r="H33"/>
      <c r="I33"/>
    </row>
    <row r="34" spans="1:9" ht="13.5" customHeight="1">
      <c r="A34" s="565"/>
      <c r="B34" s="566"/>
      <c r="C34" s="779"/>
      <c r="D34" s="871" t="str">
        <f t="array" aca="1" ref="D34" ca="1">IFERROR(OFFSET(extraction!A$2,MATCH(0,COUNTIF('BIOLAM LCD'!D$5:D33,numeros),0),),"")</f>
        <v/>
      </c>
      <c r="E34" s="871" t="str">
        <f t="array" aca="1" ref="E34" ca="1">IFERROR(OFFSET(extraction!B$2,MATCH(0,COUNTIF('BIOLAM LCD'!E$5:E33,intit),0),),"")</f>
        <v/>
      </c>
      <c r="F34" s="874" t="str">
        <f ca="1">IF(D34="","",SUMPRODUCT((numeros=D34)*(montant)))</f>
        <v/>
      </c>
      <c r="G34"/>
      <c r="H34"/>
      <c r="I34"/>
    </row>
    <row r="35" spans="1:9" ht="13.5" customHeight="1">
      <c r="C35" s="779"/>
      <c r="D35" s="871" t="str">
        <f t="array" aca="1" ref="D35" ca="1">IFERROR(OFFSET(extraction!A$2,MATCH(0,COUNTIF('BIOLAM LCD'!D$5:D34,numeros),0),),"")</f>
        <v/>
      </c>
      <c r="E35" s="871" t="str">
        <f t="array" aca="1" ref="E35" ca="1">IFERROR(OFFSET(extraction!B$2,MATCH(0,COUNTIF('BIOLAM LCD'!E$5:E34,intit),0),),"")</f>
        <v/>
      </c>
      <c r="F35" s="874" t="str">
        <f ca="1">IF(D35="","",SUMPRODUCT((numeros=D35)*(montant)))</f>
        <v/>
      </c>
      <c r="G35"/>
      <c r="H35"/>
      <c r="I35"/>
    </row>
    <row r="36" spans="1:9" ht="13.5" customHeight="1">
      <c r="C36" s="779"/>
      <c r="D36" s="871" t="str">
        <f t="array" aca="1" ref="D36" ca="1">IFERROR(OFFSET(extraction!A$2,MATCH(0,COUNTIF('BIOLAM LCD'!D$5:D35,numeros),0),),"")</f>
        <v/>
      </c>
      <c r="E36" s="871" t="str">
        <f t="array" aca="1" ref="E36" ca="1">IFERROR(OFFSET(extraction!B$2,MATCH(0,COUNTIF('BIOLAM LCD'!E$5:E35,intit),0),),"")</f>
        <v/>
      </c>
      <c r="F36" s="874" t="str">
        <f ca="1">IF(D36="","",SUMPRODUCT((numeros=D36)*(montant)))</f>
        <v/>
      </c>
      <c r="G36"/>
      <c r="H36"/>
      <c r="I36"/>
    </row>
    <row r="37" spans="1:9" ht="13.5" customHeight="1">
      <c r="C37" s="779"/>
      <c r="D37" s="871" t="str">
        <f t="array" aca="1" ref="D37" ca="1">IFERROR(OFFSET(extraction!A$2,MATCH(0,COUNTIF('BIOLAM LCD'!D$5:D36,numeros),0),),"")</f>
        <v/>
      </c>
      <c r="E37" s="871" t="str">
        <f t="array" aca="1" ref="E37" ca="1">IFERROR(OFFSET(extraction!B$2,MATCH(0,COUNTIF('BIOLAM LCD'!E$5:E36,intit),0),),"")</f>
        <v/>
      </c>
      <c r="F37" s="874" t="str">
        <f ca="1">IF(D37="","",SUMPRODUCT((numeros=D37)*(montant)))</f>
        <v/>
      </c>
      <c r="G37"/>
      <c r="H37"/>
      <c r="I37"/>
    </row>
    <row r="38" spans="1:9" ht="13.5" customHeight="1">
      <c r="C38" s="779"/>
      <c r="D38" s="871" t="str">
        <f t="array" aca="1" ref="D38" ca="1">IFERROR(OFFSET(extraction!A$2,MATCH(0,COUNTIF('BIOLAM LCD'!D$5:D37,numeros),0),),"")</f>
        <v/>
      </c>
      <c r="E38" s="871" t="str">
        <f t="array" aca="1" ref="E38" ca="1">IFERROR(OFFSET(extraction!B$2,MATCH(0,COUNTIF('BIOLAM LCD'!E$5:E37,intit),0),),"")</f>
        <v/>
      </c>
      <c r="F38" s="874" t="str">
        <f ca="1">IF(D38="","",SUMPRODUCT((numeros=D38)*(montant)))</f>
        <v/>
      </c>
      <c r="G38" s="777"/>
      <c r="H38"/>
      <c r="I38"/>
    </row>
    <row r="39" spans="1:9" ht="13.5" customHeight="1">
      <c r="C39" s="779"/>
      <c r="D39" s="871" t="str">
        <f t="array" aca="1" ref="D39" ca="1">IFERROR(OFFSET(extraction!A$2,MATCH(0,COUNTIF('BIOLAM LCD'!D$5:D38,numeros),0),),"")</f>
        <v/>
      </c>
      <c r="E39" s="871" t="str">
        <f t="array" aca="1" ref="E39" ca="1">IFERROR(OFFSET(extraction!B$2,MATCH(0,COUNTIF('BIOLAM LCD'!E$5:E38,intit),0),),"")</f>
        <v/>
      </c>
      <c r="F39" s="874" t="str">
        <f ca="1">IF(D39="","",SUMPRODUCT((numeros=D39)*(montant)))</f>
        <v/>
      </c>
      <c r="G39" s="777"/>
      <c r="H39"/>
      <c r="I39"/>
    </row>
    <row r="40" spans="1:9" ht="13.5" customHeight="1">
      <c r="C40" s="779"/>
      <c r="D40" s="871" t="str">
        <f t="array" aca="1" ref="D40" ca="1">IFERROR(OFFSET(extraction!A$2,MATCH(0,COUNTIF('BIOLAM LCD'!D$5:D39,numeros),0),),"")</f>
        <v/>
      </c>
      <c r="E40" s="871" t="str">
        <f t="array" aca="1" ref="E40" ca="1">IFERROR(OFFSET(extraction!B$2,MATCH(0,COUNTIF('BIOLAM LCD'!E$5:E39,intit),0),),"")</f>
        <v/>
      </c>
      <c r="F40" s="874" t="str">
        <f ca="1">IF(D40="","",SUMPRODUCT((numeros=D40)*(montant)))</f>
        <v/>
      </c>
      <c r="G40" s="777"/>
      <c r="H40"/>
      <c r="I40"/>
    </row>
    <row r="41" spans="1:9" ht="13.5" customHeight="1">
      <c r="C41" s="779"/>
      <c r="D41" s="871" t="str">
        <f t="array" aca="1" ref="D41" ca="1">IFERROR(OFFSET(extraction!A$2,MATCH(0,COUNTIF('BIOLAM LCD'!D$5:D40,numeros),0),),"")</f>
        <v/>
      </c>
      <c r="E41" s="871" t="str">
        <f t="array" aca="1" ref="E41" ca="1">IFERROR(OFFSET(extraction!B$2,MATCH(0,COUNTIF('BIOLAM LCD'!E$5:E40,intit),0),),"")</f>
        <v/>
      </c>
      <c r="F41" s="874" t="str">
        <f ca="1">IF(D41="","",SUMPRODUCT((numeros=D41)*(montant)))</f>
        <v/>
      </c>
      <c r="G41" s="777"/>
      <c r="H41"/>
      <c r="I41"/>
    </row>
    <row r="42" spans="1:9" ht="13.5" customHeight="1">
      <c r="C42" s="779"/>
      <c r="D42" s="871" t="str">
        <f t="array" aca="1" ref="D42" ca="1">IFERROR(OFFSET(extraction!A$2,MATCH(0,COUNTIF('BIOLAM LCD'!D$5:D41,numeros),0),),"")</f>
        <v/>
      </c>
      <c r="E42" s="871" t="str">
        <f t="array" aca="1" ref="E42" ca="1">IFERROR(OFFSET(extraction!B$2,MATCH(0,COUNTIF('BIOLAM LCD'!E$5:E41,intit),0),),"")</f>
        <v/>
      </c>
      <c r="F42" s="874" t="str">
        <f ca="1">IF(D42="","",SUMPRODUCT((numeros=D42)*(montant)))</f>
        <v/>
      </c>
      <c r="G42" s="777"/>
      <c r="H42"/>
      <c r="I42"/>
    </row>
    <row r="43" spans="1:9" ht="13.5" customHeight="1">
      <c r="C43" s="779"/>
      <c r="D43" s="871" t="str">
        <f t="array" aca="1" ref="D43" ca="1">IFERROR(OFFSET(extraction!A$2,MATCH(0,COUNTIF('BIOLAM LCD'!D$5:D42,numeros),0),),"")</f>
        <v/>
      </c>
      <c r="E43" s="871" t="str">
        <f t="array" aca="1" ref="E43" ca="1">IFERROR(OFFSET(extraction!B$2,MATCH(0,COUNTIF('BIOLAM LCD'!E$5:E42,intit),0),),"")</f>
        <v/>
      </c>
      <c r="F43" s="874" t="str">
        <f ca="1">IF(D43="","",SUMPRODUCT((numeros=D43)*(montant)))</f>
        <v/>
      </c>
      <c r="G43" s="777"/>
      <c r="H43"/>
      <c r="I43"/>
    </row>
    <row r="44" spans="1:9" ht="13.5" customHeight="1">
      <c r="C44" s="779"/>
      <c r="D44" s="871" t="str">
        <f t="array" aca="1" ref="D44" ca="1">IFERROR(OFFSET(extraction!A$2,MATCH(0,COUNTIF('BIOLAM LCD'!D$5:D43,numeros),0),),"")</f>
        <v/>
      </c>
      <c r="E44" s="871" t="str">
        <f t="array" aca="1" ref="E44" ca="1">IFERROR(OFFSET(extraction!B$2,MATCH(0,COUNTIF('BIOLAM LCD'!E$5:E43,intit),0),),"")</f>
        <v/>
      </c>
      <c r="F44" s="874" t="str">
        <f ca="1">IF(D44="","",SUMPRODUCT((numeros=D44)*(montant)))</f>
        <v/>
      </c>
      <c r="G44" s="777"/>
      <c r="H44"/>
      <c r="I44"/>
    </row>
    <row r="45" spans="1:9" ht="13.5" customHeight="1">
      <c r="C45" s="779"/>
      <c r="D45" s="871" t="str">
        <f t="array" aca="1" ref="D45" ca="1">IFERROR(OFFSET(extraction!A$2,MATCH(0,COUNTIF('BIOLAM LCD'!D$5:D44,numeros),0),),"")</f>
        <v/>
      </c>
      <c r="E45" s="871" t="str">
        <f t="array" aca="1" ref="E45" ca="1">IFERROR(OFFSET(extraction!B$2,MATCH(0,COUNTIF('BIOLAM LCD'!E$5:E44,intit),0),),"")</f>
        <v/>
      </c>
      <c r="F45" s="874" t="str">
        <f ca="1">IF(D45="","",SUMPRODUCT((numeros=D45)*(montant)))</f>
        <v/>
      </c>
      <c r="G45" s="777"/>
      <c r="H45"/>
      <c r="I45"/>
    </row>
    <row r="46" spans="1:9" ht="13.5" customHeight="1">
      <c r="C46" s="779"/>
      <c r="D46" s="871" t="str">
        <f t="array" aca="1" ref="D46" ca="1">IFERROR(OFFSET(extraction!A$2,MATCH(0,COUNTIF('BIOLAM LCD'!D$5:D45,numeros),0),),"")</f>
        <v/>
      </c>
      <c r="E46" s="871" t="str">
        <f t="array" aca="1" ref="E46" ca="1">IFERROR(OFFSET(extraction!B$2,MATCH(0,COUNTIF('BIOLAM LCD'!E$5:E45,intit),0),),"")</f>
        <v/>
      </c>
      <c r="F46" s="874" t="str">
        <f ca="1">IF(D46="","",SUMPRODUCT((numeros=D46)*(montant)))</f>
        <v/>
      </c>
      <c r="G46" s="777"/>
      <c r="H46"/>
      <c r="I46"/>
    </row>
    <row r="47" spans="1:9" ht="13.5" customHeight="1">
      <c r="C47" s="779"/>
      <c r="D47" s="871" t="str">
        <f t="array" aca="1" ref="D47" ca="1">IFERROR(OFFSET(extraction!A$2,MATCH(0,COUNTIF('BIOLAM LCD'!D$5:D46,numeros),0),),"")</f>
        <v/>
      </c>
      <c r="E47" s="871" t="str">
        <f t="array" aca="1" ref="E47" ca="1">IFERROR(OFFSET(extraction!B$2,MATCH(0,COUNTIF('BIOLAM LCD'!E$5:E46,intit),0),),"")</f>
        <v/>
      </c>
      <c r="F47" s="874" t="str">
        <f ca="1">IF(D47="","",SUMPRODUCT((numeros=D47)*(montant)))</f>
        <v/>
      </c>
      <c r="G47" s="777"/>
      <c r="H47"/>
      <c r="I47"/>
    </row>
    <row r="48" spans="1:9" ht="13.5" customHeight="1">
      <c r="C48" s="779"/>
      <c r="D48" s="871" t="str">
        <f t="array" aca="1" ref="D48" ca="1">IFERROR(OFFSET(extraction!A$2,MATCH(0,COUNTIF('BIOLAM LCD'!D$5:D47,numeros),0),),"")</f>
        <v/>
      </c>
      <c r="E48" s="871" t="str">
        <f t="array" aca="1" ref="E48" ca="1">IFERROR(OFFSET(extraction!B$2,MATCH(0,COUNTIF('BIOLAM LCD'!E$5:E47,intit),0),),"")</f>
        <v/>
      </c>
      <c r="F48" s="874" t="str">
        <f ca="1">IF(D48="","",SUMPRODUCT((numeros=D48)*(montant)))</f>
        <v/>
      </c>
      <c r="G48" s="777"/>
      <c r="H48"/>
      <c r="I48"/>
    </row>
    <row r="49" spans="3:9" ht="13.5" customHeight="1">
      <c r="C49" s="779"/>
      <c r="D49" s="871" t="str">
        <f t="array" aca="1" ref="D49" ca="1">IFERROR(OFFSET(extraction!A$2,MATCH(0,COUNTIF('BIOLAM LCD'!D$5:D48,numeros),0),),"")</f>
        <v/>
      </c>
      <c r="E49" s="871" t="str">
        <f t="array" aca="1" ref="E49" ca="1">IFERROR(OFFSET(extraction!B$2,MATCH(0,COUNTIF('BIOLAM LCD'!E$5:E48,intit),0),),"")</f>
        <v/>
      </c>
      <c r="F49" s="874" t="str">
        <f ca="1">IF(D49="","",SUMPRODUCT((numeros=D49)*(montant)))</f>
        <v/>
      </c>
      <c r="G49" s="777"/>
      <c r="H49"/>
      <c r="I49"/>
    </row>
    <row r="50" spans="3:9" ht="13.5" customHeight="1">
      <c r="C50" s="779"/>
      <c r="D50" s="871" t="str">
        <f t="array" aca="1" ref="D50" ca="1">IFERROR(OFFSET(extraction!A$2,MATCH(0,COUNTIF('BIOLAM LCD'!D$5:D49,numeros),0),),"")</f>
        <v/>
      </c>
      <c r="E50" s="871" t="str">
        <f t="array" aca="1" ref="E50" ca="1">IFERROR(OFFSET(extraction!B$2,MATCH(0,COUNTIF('BIOLAM LCD'!E$5:E49,intit),0),),"")</f>
        <v/>
      </c>
      <c r="F50" s="874" t="str">
        <f ca="1">IF(D50="","",SUMPRODUCT((numeros=D50)*(montant)))</f>
        <v/>
      </c>
      <c r="G50" s="777"/>
      <c r="H50"/>
      <c r="I50"/>
    </row>
    <row r="51" spans="3:9" ht="13.5" customHeight="1">
      <c r="C51" s="779"/>
      <c r="D51" s="871" t="str">
        <f t="array" aca="1" ref="D51" ca="1">IFERROR(OFFSET(extraction!A$2,MATCH(0,COUNTIF('BIOLAM LCD'!D$5:D50,numeros),0),),"")</f>
        <v/>
      </c>
      <c r="E51" s="871" t="str">
        <f t="array" aca="1" ref="E51" ca="1">IFERROR(OFFSET(extraction!B$2,MATCH(0,COUNTIF('BIOLAM LCD'!E$5:E50,intit),0),),"")</f>
        <v/>
      </c>
      <c r="F51" s="874" t="str">
        <f ca="1">IF(D51="","",SUMPRODUCT((numeros=D51)*(montant)))</f>
        <v/>
      </c>
      <c r="G51" s="777"/>
      <c r="H51"/>
      <c r="I51"/>
    </row>
    <row r="52" spans="3:9" ht="13.5" customHeight="1">
      <c r="C52" s="779"/>
      <c r="D52" s="871" t="str">
        <f t="array" aca="1" ref="D52" ca="1">IFERROR(OFFSET(extraction!A$2,MATCH(0,COUNTIF('BIOLAM LCD'!D$5:D51,numeros),0),),"")</f>
        <v/>
      </c>
      <c r="E52" s="871" t="str">
        <f t="array" aca="1" ref="E52" ca="1">IFERROR(OFFSET(extraction!B$2,MATCH(0,COUNTIF('BIOLAM LCD'!E$5:E51,intit),0),),"")</f>
        <v/>
      </c>
      <c r="F52" s="874" t="str">
        <f ca="1">IF(D52="","",SUMPRODUCT((numeros=D52)*(montant)))</f>
        <v/>
      </c>
      <c r="G52" s="777"/>
      <c r="H52"/>
      <c r="I52"/>
    </row>
    <row r="53" spans="3:9" ht="13.5" customHeight="1">
      <c r="C53" s="779"/>
      <c r="D53" s="871" t="str">
        <f t="array" aca="1" ref="D53" ca="1">IFERROR(OFFSET(extraction!A$2,MATCH(0,COUNTIF('BIOLAM LCD'!D$5:D52,numeros),0),),"")</f>
        <v/>
      </c>
      <c r="E53" s="871" t="str">
        <f t="array" aca="1" ref="E53" ca="1">IFERROR(OFFSET(extraction!B$2,MATCH(0,COUNTIF('BIOLAM LCD'!E$5:E52,intit),0),),"")</f>
        <v/>
      </c>
      <c r="F53" s="874" t="str">
        <f ca="1">IF(D53="","",SUMPRODUCT((numeros=D53)*(montant)))</f>
        <v/>
      </c>
      <c r="G53" s="777"/>
      <c r="H53"/>
      <c r="I53"/>
    </row>
    <row r="54" spans="3:9" ht="13.5" customHeight="1">
      <c r="C54" s="779"/>
      <c r="D54" s="871" t="str">
        <f t="array" aca="1" ref="D54" ca="1">IFERROR(OFFSET(extraction!A$2,MATCH(0,COUNTIF('BIOLAM LCD'!D$5:D53,numeros),0),),"")</f>
        <v/>
      </c>
      <c r="E54" s="871" t="str">
        <f t="array" aca="1" ref="E54" ca="1">IFERROR(OFFSET(extraction!B$2,MATCH(0,COUNTIF('BIOLAM LCD'!E$5:E53,intit),0),),"")</f>
        <v/>
      </c>
      <c r="F54" s="874" t="str">
        <f ca="1">IF(D54="","",SUMPRODUCT((numeros=D54)*(montant)))</f>
        <v/>
      </c>
      <c r="G54" s="777"/>
      <c r="H54"/>
      <c r="I54"/>
    </row>
    <row r="55" spans="3:9" ht="13.5" customHeight="1">
      <c r="C55" s="779"/>
      <c r="D55" s="871" t="str">
        <f t="array" aca="1" ref="D55" ca="1">IFERROR(OFFSET(extraction!A$2,MATCH(0,COUNTIF('BIOLAM LCD'!D$5:D54,numeros),0),),"")</f>
        <v/>
      </c>
      <c r="E55" s="871" t="str">
        <f t="array" aca="1" ref="E55" ca="1">IFERROR(OFFSET(extraction!B$2,MATCH(0,COUNTIF('BIOLAM LCD'!E$5:E54,intit),0),),"")</f>
        <v/>
      </c>
      <c r="F55" s="874" t="str">
        <f ca="1">IF(D55="","",SUMPRODUCT((numeros=D55)*(montant)))</f>
        <v/>
      </c>
      <c r="G55" s="777"/>
      <c r="H55"/>
      <c r="I55"/>
    </row>
    <row r="56" spans="3:9" ht="13.5" customHeight="1">
      <c r="C56" s="779"/>
      <c r="D56" s="871" t="str">
        <f t="array" aca="1" ref="D56" ca="1">IFERROR(OFFSET(extraction!A$2,MATCH(0,COUNTIF('BIOLAM LCD'!D$5:D55,numeros),0),),"")</f>
        <v/>
      </c>
      <c r="E56" s="871" t="str">
        <f t="array" aca="1" ref="E56" ca="1">IFERROR(OFFSET(extraction!B$2,MATCH(0,COUNTIF('BIOLAM LCD'!E$5:E55,intit),0),),"")</f>
        <v/>
      </c>
      <c r="F56" s="874" t="str">
        <f ca="1">IF(D56="","",SUMPRODUCT((numeros=D56)*(montant)))</f>
        <v/>
      </c>
      <c r="G56" s="777"/>
      <c r="H56"/>
      <c r="I56"/>
    </row>
    <row r="57" spans="3:9" ht="13.5" customHeight="1">
      <c r="C57" s="779"/>
      <c r="D57" s="871" t="str">
        <f t="array" aca="1" ref="D57" ca="1">IFERROR(OFFSET(extraction!A$2,MATCH(0,COUNTIF('BIOLAM LCD'!D$5:D56,numeros),0),),"")</f>
        <v/>
      </c>
      <c r="E57" s="871" t="str">
        <f t="array" aca="1" ref="E57" ca="1">IFERROR(OFFSET(extraction!B$2,MATCH(0,COUNTIF('BIOLAM LCD'!E$5:E56,intit),0),),"")</f>
        <v/>
      </c>
      <c r="F57" s="874" t="str">
        <f ca="1">IF(D57="","",SUMPRODUCT((numeros=D57)*(montant)))</f>
        <v/>
      </c>
      <c r="G57" s="777"/>
      <c r="H57"/>
      <c r="I57"/>
    </row>
    <row r="58" spans="3:9" ht="13.5" customHeight="1">
      <c r="C58" s="779"/>
      <c r="D58" s="871" t="str">
        <f t="array" aca="1" ref="D58" ca="1">IFERROR(OFFSET(extraction!A$2,MATCH(0,COUNTIF('BIOLAM LCD'!D$5:D57,numeros),0),),"")</f>
        <v/>
      </c>
      <c r="E58" s="871" t="str">
        <f t="array" aca="1" ref="E58" ca="1">IFERROR(OFFSET(extraction!B$2,MATCH(0,COUNTIF('BIOLAM LCD'!E$5:E57,intit),0),),"")</f>
        <v/>
      </c>
      <c r="F58" s="874" t="str">
        <f ca="1">IF(D58="","",SUMPRODUCT((numeros=D58)*(montant)))</f>
        <v/>
      </c>
      <c r="G58" s="777"/>
      <c r="H58"/>
      <c r="I58"/>
    </row>
    <row r="59" spans="3:9" ht="13.5" customHeight="1">
      <c r="C59" s="779"/>
      <c r="D59" s="871" t="str">
        <f t="array" aca="1" ref="D59" ca="1">IFERROR(OFFSET(extraction!A$2,MATCH(0,COUNTIF('BIOLAM LCD'!D$5:D58,numeros),0),),"")</f>
        <v/>
      </c>
      <c r="E59" s="871" t="str">
        <f t="array" aca="1" ref="E59" ca="1">IFERROR(OFFSET(extraction!B$2,MATCH(0,COUNTIF('BIOLAM LCD'!E$5:E58,intit),0),),"")</f>
        <v/>
      </c>
      <c r="F59" s="874" t="str">
        <f ca="1">IF(D59="","",SUMPRODUCT((numeros=D59)*(montant)))</f>
        <v/>
      </c>
      <c r="G59" s="777"/>
      <c r="H59"/>
      <c r="I59"/>
    </row>
    <row r="60" spans="3:9" ht="13.5" customHeight="1">
      <c r="C60" s="779"/>
      <c r="D60" s="871" t="str">
        <f t="array" aca="1" ref="D60" ca="1">IFERROR(OFFSET(extraction!A$2,MATCH(0,COUNTIF('BIOLAM LCD'!D$5:D59,numeros),0),),"")</f>
        <v/>
      </c>
      <c r="E60" s="871" t="str">
        <f t="array" aca="1" ref="E60" ca="1">IFERROR(OFFSET(extraction!B$2,MATCH(0,COUNTIF('BIOLAM LCD'!E$5:E59,intit),0),),"")</f>
        <v/>
      </c>
      <c r="F60" s="874" t="str">
        <f ca="1">IF(D60="","",SUMPRODUCT((numeros=D60)*(montant)))</f>
        <v/>
      </c>
      <c r="G60" s="777"/>
      <c r="H60"/>
      <c r="I60"/>
    </row>
    <row r="61" spans="3:9" ht="13.5" customHeight="1">
      <c r="C61" s="779"/>
      <c r="D61" s="871" t="str">
        <f t="array" aca="1" ref="D61" ca="1">IFERROR(OFFSET(extraction!A$2,MATCH(0,COUNTIF('BIOLAM LCD'!D$5:D60,numeros),0),),"")</f>
        <v/>
      </c>
      <c r="E61" s="871" t="str">
        <f t="array" aca="1" ref="E61" ca="1">IFERROR(OFFSET(extraction!B$2,MATCH(0,COUNTIF('BIOLAM LCD'!E$5:E60,intit),0),),"")</f>
        <v/>
      </c>
      <c r="F61" s="874" t="str">
        <f ca="1">IF(D61="","",SUMPRODUCT((numeros=D61)*(montant)))</f>
        <v/>
      </c>
      <c r="G61" s="777"/>
      <c r="H61"/>
      <c r="I61"/>
    </row>
    <row r="62" spans="3:9" ht="13.5" customHeight="1">
      <c r="C62" s="779"/>
      <c r="D62" s="871" t="str">
        <f t="array" aca="1" ref="D62" ca="1">IFERROR(OFFSET(extraction!A$2,MATCH(0,COUNTIF('BIOLAM LCD'!D$5:D61,numeros),0),),"")</f>
        <v/>
      </c>
      <c r="E62" s="871" t="str">
        <f t="array" aca="1" ref="E62" ca="1">IFERROR(OFFSET(extraction!B$2,MATCH(0,COUNTIF('BIOLAM LCD'!E$5:E61,intit),0),),"")</f>
        <v/>
      </c>
      <c r="F62" s="874" t="str">
        <f ca="1">IF(D62="","",SUMPRODUCT((numeros=D62)*(montant)))</f>
        <v/>
      </c>
      <c r="G62" s="777"/>
      <c r="H62"/>
      <c r="I62"/>
    </row>
    <row r="63" spans="3:9" ht="13.5" customHeight="1">
      <c r="C63" s="779"/>
      <c r="D63" s="871" t="str">
        <f t="array" aca="1" ref="D63" ca="1">IFERROR(OFFSET(extraction!A$2,MATCH(0,COUNTIF('BIOLAM LCD'!D$5:D62,numeros),0),),"")</f>
        <v/>
      </c>
      <c r="E63" s="871" t="str">
        <f t="array" aca="1" ref="E63" ca="1">IFERROR(OFFSET(extraction!B$2,MATCH(0,COUNTIF('BIOLAM LCD'!E$5:E62,intit),0),),"")</f>
        <v/>
      </c>
      <c r="F63" s="874" t="str">
        <f ca="1">IF(D63="","",SUMPRODUCT((numeros=D63)*(montant)))</f>
        <v/>
      </c>
      <c r="G63" s="777"/>
      <c r="H63"/>
      <c r="I63"/>
    </row>
    <row r="64" spans="3:9" ht="13.5" customHeight="1">
      <c r="C64" s="779"/>
      <c r="D64" s="871" t="str">
        <f t="array" aca="1" ref="D64" ca="1">IFERROR(OFFSET(extraction!A$2,MATCH(0,COUNTIF('BIOLAM LCD'!D$5:D63,numeros),0),),"")</f>
        <v/>
      </c>
      <c r="E64" s="871" t="str">
        <f t="array" aca="1" ref="E64" ca="1">IFERROR(OFFSET(extraction!B$2,MATCH(0,COUNTIF('BIOLAM LCD'!E$5:E63,intit),0),),"")</f>
        <v/>
      </c>
      <c r="F64" s="874" t="str">
        <f ca="1">IF(D64="","",SUMPRODUCT((numeros=D64)*(montant)))</f>
        <v/>
      </c>
      <c r="G64" s="777"/>
      <c r="H64"/>
      <c r="I64"/>
    </row>
    <row r="65" spans="3:9" ht="13.5" customHeight="1">
      <c r="C65" s="779"/>
      <c r="D65" s="871" t="str">
        <f t="array" aca="1" ref="D65" ca="1">IFERROR(OFFSET(extraction!A$2,MATCH(0,COUNTIF('BIOLAM LCD'!D$5:D64,numeros),0),),"")</f>
        <v/>
      </c>
      <c r="E65" s="871" t="str">
        <f t="array" aca="1" ref="E65" ca="1">IFERROR(OFFSET(extraction!B$2,MATCH(0,COUNTIF('BIOLAM LCD'!E$5:E64,intit),0),),"")</f>
        <v/>
      </c>
      <c r="F65" s="874" t="str">
        <f ca="1">IF(D65="","",SUMPRODUCT((numeros=D65)*(montant)))</f>
        <v/>
      </c>
      <c r="G65" s="777"/>
      <c r="H65"/>
      <c r="I65"/>
    </row>
    <row r="66" spans="3:9" ht="13.5" customHeight="1">
      <c r="C66" s="779"/>
      <c r="D66" s="871" t="str">
        <f t="array" aca="1" ref="D66" ca="1">IFERROR(OFFSET(extraction!A$2,MATCH(0,COUNTIF('BIOLAM LCD'!D$5:D65,numeros),0),),"")</f>
        <v/>
      </c>
      <c r="E66" s="871" t="str">
        <f t="array" aca="1" ref="E66" ca="1">IFERROR(OFFSET(extraction!B$2,MATCH(0,COUNTIF('BIOLAM LCD'!E$5:E65,intit),0),),"")</f>
        <v/>
      </c>
      <c r="F66" s="874" t="str">
        <f ca="1">IF(D66="","",SUMPRODUCT((numeros=D66)*(montant)))</f>
        <v/>
      </c>
      <c r="G66" s="777"/>
      <c r="H66"/>
      <c r="I66"/>
    </row>
    <row r="67" spans="3:9" ht="13.5" customHeight="1">
      <c r="C67" s="779"/>
      <c r="D67" s="871" t="str">
        <f t="array" aca="1" ref="D67" ca="1">IFERROR(OFFSET(extraction!A$2,MATCH(0,COUNTIF('BIOLAM LCD'!D$5:D66,numeros),0),),"")</f>
        <v/>
      </c>
      <c r="E67" s="871" t="str">
        <f t="array" aca="1" ref="E67" ca="1">IFERROR(OFFSET(extraction!B$2,MATCH(0,COUNTIF('BIOLAM LCD'!E$5:E66,intit),0),),"")</f>
        <v/>
      </c>
      <c r="F67" s="874" t="str">
        <f ca="1">IF(D67="","",SUMPRODUCT((numeros=D67)*(montant)))</f>
        <v/>
      </c>
      <c r="G67" s="777"/>
      <c r="H67"/>
      <c r="I67"/>
    </row>
    <row r="68" spans="3:9" ht="13.5" customHeight="1">
      <c r="C68" s="779"/>
      <c r="D68" s="871" t="str">
        <f t="array" aca="1" ref="D68" ca="1">IFERROR(OFFSET(extraction!A$2,MATCH(0,COUNTIF('BIOLAM LCD'!D$5:D67,numeros),0),),"")</f>
        <v/>
      </c>
      <c r="E68" s="871" t="str">
        <f t="array" aca="1" ref="E68" ca="1">IFERROR(OFFSET(extraction!B$2,MATCH(0,COUNTIF('BIOLAM LCD'!E$5:E67,intit),0),),"")</f>
        <v/>
      </c>
      <c r="F68" s="874" t="str">
        <f ca="1">IF(D68="","",SUMPRODUCT((numeros=D68)*(montant)))</f>
        <v/>
      </c>
      <c r="G68" s="777"/>
      <c r="H68"/>
      <c r="I68"/>
    </row>
    <row r="69" spans="3:9" ht="13.5" customHeight="1">
      <c r="C69" s="779"/>
      <c r="D69" s="871" t="str">
        <f t="array" aca="1" ref="D69" ca="1">IFERROR(OFFSET(extraction!A$2,MATCH(0,COUNTIF('BIOLAM LCD'!D$5:D68,numeros),0),),"")</f>
        <v/>
      </c>
      <c r="E69" s="871" t="str">
        <f t="array" aca="1" ref="E69" ca="1">IFERROR(OFFSET(extraction!B$2,MATCH(0,COUNTIF('BIOLAM LCD'!E$5:E68,intit),0),),"")</f>
        <v/>
      </c>
      <c r="F69" s="874" t="str">
        <f ca="1">IF(D69="","",SUMPRODUCT((numeros=D69)*(montant)))</f>
        <v/>
      </c>
      <c r="G69" s="777"/>
      <c r="H69"/>
      <c r="I69"/>
    </row>
    <row r="70" spans="3:9" ht="13.5" customHeight="1">
      <c r="C70" s="779"/>
      <c r="D70" s="871" t="str">
        <f t="array" aca="1" ref="D70" ca="1">IFERROR(OFFSET(extraction!A$2,MATCH(0,COUNTIF('BIOLAM LCD'!D$5:D69,numeros),0),),"")</f>
        <v/>
      </c>
      <c r="E70" s="871" t="str">
        <f t="array" aca="1" ref="E70" ca="1">IFERROR(OFFSET(extraction!B$2,MATCH(0,COUNTIF('BIOLAM LCD'!E$5:E69,intit),0),),"")</f>
        <v/>
      </c>
      <c r="F70" s="874" t="str">
        <f ca="1">IF(D70="","",SUMPRODUCT((numeros=D70)*(montant)))</f>
        <v/>
      </c>
      <c r="G70" s="777"/>
      <c r="H70"/>
      <c r="I70"/>
    </row>
    <row r="71" spans="3:9" ht="13.5" customHeight="1">
      <c r="C71" s="779"/>
      <c r="D71" s="871" t="str">
        <f t="array" aca="1" ref="D71" ca="1">IFERROR(OFFSET(extraction!A$2,MATCH(0,COUNTIF('BIOLAM LCD'!D$5:D70,numeros),0),),"")</f>
        <v/>
      </c>
      <c r="E71" s="871" t="str">
        <f t="array" aca="1" ref="E71" ca="1">IFERROR(OFFSET(extraction!B$2,MATCH(0,COUNTIF('BIOLAM LCD'!E$5:E70,intit),0),),"")</f>
        <v/>
      </c>
      <c r="F71" s="874" t="str">
        <f ca="1">IF(D71="","",SUMPRODUCT((numeros=D71)*(montant)))</f>
        <v/>
      </c>
      <c r="G71" s="777"/>
      <c r="H71"/>
      <c r="I71"/>
    </row>
    <row r="72" spans="3:9" ht="13.5" customHeight="1">
      <c r="D72" s="871" t="str">
        <f t="array" aca="1" ref="D72" ca="1">IFERROR(OFFSET(extraction!A$2,MATCH(0,COUNTIF('BIOLAM LCD'!D$5:D71,numeros),0),),"")</f>
        <v/>
      </c>
      <c r="E72" s="871" t="str">
        <f t="array" aca="1" ref="E72" ca="1">IFERROR(OFFSET(extraction!B$2,MATCH(0,COUNTIF('BIOLAM LCD'!E$5:E71,intit),0),),"")</f>
        <v/>
      </c>
      <c r="F72" s="874" t="str">
        <f ca="1">IF(D72="","",SUMPRODUCT((numeros=D72)*(montant)))</f>
        <v/>
      </c>
      <c r="H72"/>
      <c r="I72"/>
    </row>
    <row r="73" spans="3:9">
      <c r="D73" s="871" t="str">
        <f t="array" aca="1" ref="D73" ca="1">IFERROR(OFFSET(extraction!A$2,MATCH(0,COUNTIF('BIOLAM LCD'!D$5:D72,numeros),0),),"")</f>
        <v/>
      </c>
      <c r="E73" s="871" t="str">
        <f t="array" aca="1" ref="E73" ca="1">IFERROR(OFFSET(extraction!B$2,MATCH(0,COUNTIF('BIOLAM LCD'!E$5:E72,intit),0),),"")</f>
        <v/>
      </c>
      <c r="F73" s="874" t="str">
        <f ca="1">IF(D73="","",SUMPRODUCT((numeros=D73)*(montant)))</f>
        <v/>
      </c>
      <c r="H73"/>
      <c r="I73"/>
    </row>
    <row r="74" spans="3:9">
      <c r="D74" s="871" t="str">
        <f t="array" aca="1" ref="D74" ca="1">IFERROR(OFFSET(extraction!A$2,MATCH(0,COUNTIF('BIOLAM LCD'!D$5:D73,numeros),0),),"")</f>
        <v/>
      </c>
      <c r="E74" s="871" t="str">
        <f t="array" aca="1" ref="E74" ca="1">IFERROR(OFFSET(extraction!B$2,MATCH(0,COUNTIF('BIOLAM LCD'!E$5:E73,intit),0),),"")</f>
        <v/>
      </c>
      <c r="F74" s="874" t="str">
        <f ca="1">IF(D74="","",SUMPRODUCT((numeros=D74)*(montant)))</f>
        <v/>
      </c>
      <c r="H74"/>
      <c r="I74"/>
    </row>
    <row r="75" spans="3:9">
      <c r="D75" s="871" t="str">
        <f t="array" aca="1" ref="D75" ca="1">IFERROR(OFFSET(extraction!A$2,MATCH(0,COUNTIF('BIOLAM LCD'!D$5:D74,numeros),0),),"")</f>
        <v/>
      </c>
      <c r="E75" s="871" t="str">
        <f t="array" aca="1" ref="E75" ca="1">IFERROR(OFFSET(extraction!B$2,MATCH(0,COUNTIF('BIOLAM LCD'!E$5:E74,intit),0),),"")</f>
        <v/>
      </c>
      <c r="F75" s="874" t="str">
        <f ca="1">IF(D75="","",SUMPRODUCT((numeros=D75)*(montant)))</f>
        <v/>
      </c>
      <c r="H75"/>
      <c r="I75"/>
    </row>
    <row r="76" spans="3:9">
      <c r="D76" s="871" t="str">
        <f t="array" aca="1" ref="D76" ca="1">IFERROR(OFFSET(extraction!A$2,MATCH(0,COUNTIF('BIOLAM LCD'!D$5:D75,numeros),0),),"")</f>
        <v/>
      </c>
      <c r="E76" s="871" t="str">
        <f t="array" aca="1" ref="E76" ca="1">IFERROR(OFFSET(extraction!B$2,MATCH(0,COUNTIF('BIOLAM LCD'!E$5:E75,intit),0),),"")</f>
        <v/>
      </c>
      <c r="F76" s="874" t="str">
        <f ca="1">IF(D76="","",SUMPRODUCT((numeros=D76)*(montant)))</f>
        <v/>
      </c>
      <c r="H76"/>
      <c r="I76"/>
    </row>
    <row r="77" spans="3:9">
      <c r="D77" s="871" t="str">
        <f t="array" aca="1" ref="D77" ca="1">IFERROR(OFFSET(extraction!A$2,MATCH(0,COUNTIF('BIOLAM LCD'!D$5:D76,numeros),0),),"")</f>
        <v/>
      </c>
      <c r="E77" s="871" t="str">
        <f t="array" aca="1" ref="E77" ca="1">IFERROR(OFFSET(extraction!B$2,MATCH(0,COUNTIF('BIOLAM LCD'!E$5:E76,intit),0),),"")</f>
        <v/>
      </c>
      <c r="F77" s="874" t="str">
        <f ca="1">IF(D77="","",SUMPRODUCT((numeros=D77)*(montant)))</f>
        <v/>
      </c>
      <c r="H77"/>
      <c r="I77"/>
    </row>
    <row r="78" spans="3:9">
      <c r="D78" s="871" t="str">
        <f t="array" aca="1" ref="D78" ca="1">IFERROR(OFFSET(extraction!A$2,MATCH(0,COUNTIF('BIOLAM LCD'!D$5:D77,numeros),0),),"")</f>
        <v/>
      </c>
      <c r="E78" s="871" t="str">
        <f t="array" aca="1" ref="E78" ca="1">IFERROR(OFFSET(extraction!B$2,MATCH(0,COUNTIF('BIOLAM LCD'!E$5:E77,intit),0),),"")</f>
        <v/>
      </c>
      <c r="F78" s="874" t="str">
        <f ca="1">IF(D78="","",SUMPRODUCT((numeros=D78)*(montant)))</f>
        <v/>
      </c>
      <c r="H78"/>
      <c r="I78"/>
    </row>
    <row r="79" spans="3:9">
      <c r="D79" s="871" t="str">
        <f t="array" aca="1" ref="D79" ca="1">IFERROR(OFFSET(extraction!A$2,MATCH(0,COUNTIF('BIOLAM LCD'!D$5:D78,numeros),0),),"")</f>
        <v/>
      </c>
      <c r="E79" s="871" t="str">
        <f t="array" aca="1" ref="E79" ca="1">IFERROR(OFFSET(extraction!B$2,MATCH(0,COUNTIF('BIOLAM LCD'!E$5:E78,intit),0),),"")</f>
        <v/>
      </c>
      <c r="F79" s="874" t="str">
        <f ca="1">IF(D79="","",SUMPRODUCT((numeros=D79)*(montant)))</f>
        <v/>
      </c>
      <c r="H79"/>
      <c r="I79"/>
    </row>
    <row r="80" spans="3:9">
      <c r="D80" s="871" t="str">
        <f t="array" aca="1" ref="D80" ca="1">IFERROR(OFFSET(extraction!A$2,MATCH(0,COUNTIF('BIOLAM LCD'!D$5:D79,numeros),0),),"")</f>
        <v/>
      </c>
      <c r="E80" s="871" t="str">
        <f t="array" aca="1" ref="E80" ca="1">IFERROR(OFFSET(extraction!B$2,MATCH(0,COUNTIF('BIOLAM LCD'!E$5:E79,intit),0),),"")</f>
        <v/>
      </c>
      <c r="F80" s="874" t="str">
        <f ca="1">IF(D80="","",SUMPRODUCT((numeros=D80)*(montant)))</f>
        <v/>
      </c>
      <c r="H80"/>
      <c r="I80"/>
    </row>
    <row r="81" spans="4:9">
      <c r="D81" s="871" t="str">
        <f t="array" aca="1" ref="D81" ca="1">IFERROR(OFFSET(extraction!A$2,MATCH(0,COUNTIF('BIOLAM LCD'!D$5:D80,numeros),0),),"")</f>
        <v/>
      </c>
      <c r="E81" s="871" t="str">
        <f t="array" aca="1" ref="E81" ca="1">IFERROR(OFFSET(extraction!B$2,MATCH(0,COUNTIF('BIOLAM LCD'!E$5:E80,intit),0),),"")</f>
        <v/>
      </c>
      <c r="F81" s="874" t="str">
        <f ca="1">IF(D81="","",SUMPRODUCT((numeros=D81)*(montant)))</f>
        <v/>
      </c>
      <c r="H81"/>
      <c r="I81"/>
    </row>
    <row r="82" spans="4:9">
      <c r="D82" s="871" t="str">
        <f t="array" aca="1" ref="D82" ca="1">IFERROR(OFFSET(extraction!A$2,MATCH(0,COUNTIF('BIOLAM LCD'!D$5:D81,numeros),0),),"")</f>
        <v/>
      </c>
      <c r="E82" s="871" t="str">
        <f t="array" aca="1" ref="E82" ca="1">IFERROR(OFFSET(extraction!B$2,MATCH(0,COUNTIF('BIOLAM LCD'!E$5:E81,intit),0),),"")</f>
        <v/>
      </c>
      <c r="F82" s="874" t="str">
        <f ca="1">IF(D82="","",SUMPRODUCT((numeros=D82)*(montant)))</f>
        <v/>
      </c>
      <c r="H82"/>
      <c r="I82"/>
    </row>
    <row r="83" spans="4:9">
      <c r="D83" s="871" t="str">
        <f t="array" aca="1" ref="D83" ca="1">IFERROR(OFFSET(extraction!A$2,MATCH(0,COUNTIF('BIOLAM LCD'!D$5:D82,numeros),0),),"")</f>
        <v/>
      </c>
      <c r="E83" s="871" t="str">
        <f t="array" aca="1" ref="E83" ca="1">IFERROR(OFFSET(extraction!B$2,MATCH(0,COUNTIF('BIOLAM LCD'!E$5:E82,intit),0),),"")</f>
        <v/>
      </c>
      <c r="F83" s="874" t="str">
        <f ca="1">IF(D83="","",SUMPRODUCT((numeros=D83)*(montant)))</f>
        <v/>
      </c>
      <c r="H83"/>
      <c r="I83"/>
    </row>
    <row r="84" spans="4:9">
      <c r="D84" s="871" t="str">
        <f t="array" aca="1" ref="D84" ca="1">IFERROR(OFFSET(extraction!A$2,MATCH(0,COUNTIF('BIOLAM LCD'!D$5:D83,numeros),0),),"")</f>
        <v/>
      </c>
      <c r="E84" s="871" t="str">
        <f t="array" aca="1" ref="E84" ca="1">IFERROR(OFFSET(extraction!B$2,MATCH(0,COUNTIF('BIOLAM LCD'!E$5:E83,intit),0),),"")</f>
        <v/>
      </c>
      <c r="F84" s="874" t="str">
        <f ca="1">IF(D84="","",SUMPRODUCT((numeros=D84)*(montant)))</f>
        <v/>
      </c>
      <c r="H84"/>
      <c r="I84"/>
    </row>
    <row r="85" spans="4:9">
      <c r="D85" s="871" t="str">
        <f t="array" aca="1" ref="D85" ca="1">IFERROR(OFFSET(extraction!A$2,MATCH(0,COUNTIF('BIOLAM LCD'!D$5:D84,numeros),0),),"")</f>
        <v/>
      </c>
      <c r="E85" s="871" t="str">
        <f t="array" aca="1" ref="E85" ca="1">IFERROR(OFFSET(extraction!B$2,MATCH(0,COUNTIF('BIOLAM LCD'!E$5:E84,intit),0),),"")</f>
        <v/>
      </c>
      <c r="F85" s="874" t="str">
        <f ca="1">IF(D85="","",SUMPRODUCT((numeros=D85)*(montant)))</f>
        <v/>
      </c>
      <c r="H85"/>
      <c r="I85"/>
    </row>
    <row r="86" spans="4:9">
      <c r="D86" s="871" t="str">
        <f t="array" aca="1" ref="D86" ca="1">IFERROR(OFFSET(extraction!A$2,MATCH(0,COUNTIF('BIOLAM LCD'!D$5:D85,numeros),0),),"")</f>
        <v/>
      </c>
      <c r="E86" s="871" t="str">
        <f t="array" aca="1" ref="E86" ca="1">IFERROR(OFFSET(extraction!B$2,MATCH(0,COUNTIF('BIOLAM LCD'!E$5:E85,intit),0),),"")</f>
        <v/>
      </c>
      <c r="F86" s="874" t="str">
        <f ca="1">IF(D86="","",SUMPRODUCT((numeros=D86)*(montant)))</f>
        <v/>
      </c>
      <c r="H86"/>
      <c r="I86"/>
    </row>
    <row r="87" spans="4:9">
      <c r="D87" s="871" t="str">
        <f t="array" aca="1" ref="D87" ca="1">IFERROR(OFFSET(extraction!A$2,MATCH(0,COUNTIF('BIOLAM LCD'!D$5:D86,numeros),0),),"")</f>
        <v/>
      </c>
      <c r="E87" s="871" t="str">
        <f t="array" aca="1" ref="E87" ca="1">IFERROR(OFFSET(extraction!B$2,MATCH(0,COUNTIF('BIOLAM LCD'!E$5:E86,intit),0),),"")</f>
        <v/>
      </c>
      <c r="F87" s="874" t="str">
        <f ca="1">IF(D87="","",SUMPRODUCT((numeros=D87)*(montant)))</f>
        <v/>
      </c>
      <c r="H87"/>
      <c r="I87"/>
    </row>
    <row r="88" spans="4:9">
      <c r="D88" s="871" t="str">
        <f t="array" aca="1" ref="D88" ca="1">IFERROR(OFFSET(extraction!A$2,MATCH(0,COUNTIF('BIOLAM LCD'!D$5:D87,numeros),0),),"")</f>
        <v/>
      </c>
      <c r="E88" s="871" t="str">
        <f t="array" aca="1" ref="E88" ca="1">IFERROR(OFFSET(extraction!B$2,MATCH(0,COUNTIF('BIOLAM LCD'!E$5:E87,intit),0),),"")</f>
        <v/>
      </c>
      <c r="F88" s="874" t="str">
        <f ca="1">IF(D88="","",SUMPRODUCT((numeros=D88)*(montant)))</f>
        <v/>
      </c>
      <c r="H88"/>
      <c r="I88"/>
    </row>
    <row r="89" spans="4:9">
      <c r="D89" s="871" t="str">
        <f t="array" aca="1" ref="D89" ca="1">IFERROR(OFFSET(extraction!A$2,MATCH(0,COUNTIF('BIOLAM LCD'!D$5:D88,numeros),0),),"")</f>
        <v/>
      </c>
      <c r="E89" s="871" t="str">
        <f t="array" aca="1" ref="E89" ca="1">IFERROR(OFFSET(extraction!B$2,MATCH(0,COUNTIF('BIOLAM LCD'!E$5:E88,intit),0),),"")</f>
        <v/>
      </c>
      <c r="F89" s="874" t="str">
        <f ca="1">IF(D89="","",SUMPRODUCT((numeros=D89)*(montant)))</f>
        <v/>
      </c>
      <c r="H89"/>
      <c r="I89"/>
    </row>
    <row r="90" spans="4:9">
      <c r="D90" s="871" t="str">
        <f t="array" aca="1" ref="D90" ca="1">IFERROR(OFFSET(extraction!A$2,MATCH(0,COUNTIF('BIOLAM LCD'!D$5:D89,numeros),0),),"")</f>
        <v/>
      </c>
      <c r="E90" s="871" t="str">
        <f t="array" aca="1" ref="E90" ca="1">IFERROR(OFFSET(extraction!B$2,MATCH(0,COUNTIF('BIOLAM LCD'!E$5:E89,intit),0),),"")</f>
        <v/>
      </c>
      <c r="F90" s="874" t="str">
        <f ca="1">IF(D90="","",SUMPRODUCT((numeros=D90)*(montant)))</f>
        <v/>
      </c>
      <c r="H90"/>
      <c r="I90"/>
    </row>
    <row r="91" spans="4:9">
      <c r="D91" s="871" t="str">
        <f t="array" aca="1" ref="D91" ca="1">IFERROR(OFFSET(extraction!A$2,MATCH(0,COUNTIF('BIOLAM LCD'!D$5:D90,numeros),0),),"")</f>
        <v/>
      </c>
      <c r="E91" s="871" t="str">
        <f t="array" aca="1" ref="E91" ca="1">IFERROR(OFFSET(extraction!B$2,MATCH(0,COUNTIF('BIOLAM LCD'!E$5:E90,intit),0),),"")</f>
        <v/>
      </c>
      <c r="F91" s="874" t="str">
        <f ca="1">IF(D91="","",SUMPRODUCT((numeros=D91)*(montant)))</f>
        <v/>
      </c>
      <c r="H91"/>
      <c r="I91"/>
    </row>
    <row r="92" spans="4:9">
      <c r="D92" s="871" t="str">
        <f t="array" aca="1" ref="D92" ca="1">IFERROR(OFFSET(extraction!A$2,MATCH(0,COUNTIF('BIOLAM LCD'!D$5:D91,numeros),0),),"")</f>
        <v/>
      </c>
      <c r="E92" s="871" t="str">
        <f t="array" aca="1" ref="E92" ca="1">IFERROR(OFFSET(extraction!B$2,MATCH(0,COUNTIF('BIOLAM LCD'!E$5:E91,intit),0),),"")</f>
        <v/>
      </c>
      <c r="F92" s="874" t="str">
        <f ca="1">IF(D92="","",SUMPRODUCT((numeros=D92)*(montant)))</f>
        <v/>
      </c>
      <c r="H92"/>
      <c r="I92"/>
    </row>
    <row r="93" spans="4:9">
      <c r="D93" s="871" t="str">
        <f t="array" aca="1" ref="D93" ca="1">IFERROR(OFFSET(extraction!A$2,MATCH(0,COUNTIF('BIOLAM LCD'!D$5:D92,numeros),0),),"")</f>
        <v/>
      </c>
      <c r="E93" s="871" t="str">
        <f t="array" aca="1" ref="E93" ca="1">IFERROR(OFFSET(extraction!B$2,MATCH(0,COUNTIF('BIOLAM LCD'!E$5:E92,intit),0),),"")</f>
        <v/>
      </c>
      <c r="F93" s="874" t="str">
        <f ca="1">IF(D93="","",SUMPRODUCT((numeros=D93)*(montant)))</f>
        <v/>
      </c>
      <c r="H93"/>
      <c r="I93"/>
    </row>
    <row r="94" spans="4:9">
      <c r="D94" s="871" t="str">
        <f t="array" aca="1" ref="D94" ca="1">IFERROR(OFFSET(extraction!A$2,MATCH(0,COUNTIF('BIOLAM LCD'!D$5:D93,numeros),0),),"")</f>
        <v/>
      </c>
      <c r="E94" s="871" t="str">
        <f t="array" aca="1" ref="E94" ca="1">IFERROR(OFFSET(extraction!B$2,MATCH(0,COUNTIF('BIOLAM LCD'!E$5:E93,intit),0),),"")</f>
        <v/>
      </c>
      <c r="F94" s="874" t="str">
        <f ca="1">IF(D94="","",SUMPRODUCT((numeros=D94)*(montant)))</f>
        <v/>
      </c>
      <c r="H94"/>
      <c r="I94"/>
    </row>
    <row r="95" spans="4:9">
      <c r="D95" s="871" t="str">
        <f t="array" aca="1" ref="D95" ca="1">IFERROR(OFFSET(extraction!A$2,MATCH(0,COUNTIF('BIOLAM LCD'!D$5:D94,numeros),0),),"")</f>
        <v/>
      </c>
      <c r="E95" s="871" t="str">
        <f t="array" aca="1" ref="E95" ca="1">IFERROR(OFFSET(extraction!B$2,MATCH(0,COUNTIF('BIOLAM LCD'!E$5:E94,intit),0),),"")</f>
        <v/>
      </c>
      <c r="F95" s="874" t="str">
        <f ca="1">IF(D95="","",SUMPRODUCT((numeros=D95)*(montant)))</f>
        <v/>
      </c>
      <c r="H95"/>
      <c r="I95"/>
    </row>
    <row r="96" spans="4:9">
      <c r="D96" s="871" t="str">
        <f t="array" aca="1" ref="D96" ca="1">IFERROR(OFFSET(extraction!A$2,MATCH(0,COUNTIF('BIOLAM LCD'!D$5:D95,numeros),0),),"")</f>
        <v/>
      </c>
      <c r="E96" s="871" t="str">
        <f t="array" aca="1" ref="E96" ca="1">IFERROR(OFFSET(extraction!B$2,MATCH(0,COUNTIF('BIOLAM LCD'!E$5:E95,intit),0),),"")</f>
        <v/>
      </c>
      <c r="F96" s="874" t="str">
        <f ca="1">IF(D96="","",SUMPRODUCT((numeros=D96)*(montant)))</f>
        <v/>
      </c>
      <c r="H96"/>
      <c r="I96"/>
    </row>
    <row r="97" spans="4:9">
      <c r="D97" s="871" t="str">
        <f t="array" aca="1" ref="D97" ca="1">IFERROR(OFFSET(extraction!A$2,MATCH(0,COUNTIF('BIOLAM LCD'!D$5:D96,numeros),0),),"")</f>
        <v/>
      </c>
      <c r="E97" s="871" t="str">
        <f t="array" aca="1" ref="E97" ca="1">IFERROR(OFFSET(extraction!B$2,MATCH(0,COUNTIF('BIOLAM LCD'!E$5:E96,intit),0),),"")</f>
        <v/>
      </c>
      <c r="F97" s="874" t="str">
        <f ca="1">IF(D97="","",SUMPRODUCT((numeros=D97)*(montant)))</f>
        <v/>
      </c>
      <c r="H97"/>
      <c r="I97"/>
    </row>
    <row r="98" spans="4:9">
      <c r="D98" s="871" t="str">
        <f t="array" aca="1" ref="D98" ca="1">IFERROR(OFFSET(extraction!A$2,MATCH(0,COUNTIF('BIOLAM LCD'!D$5:D97,numeros),0),),"")</f>
        <v/>
      </c>
      <c r="E98" s="871" t="str">
        <f t="array" aca="1" ref="E98" ca="1">IFERROR(OFFSET(extraction!B$2,MATCH(0,COUNTIF('BIOLAM LCD'!E$5:E97,intit),0),),"")</f>
        <v/>
      </c>
      <c r="F98" s="874" t="str">
        <f ca="1">IF(D98="","",SUMPRODUCT((numeros=D98)*(montant)))</f>
        <v/>
      </c>
      <c r="H98"/>
      <c r="I98"/>
    </row>
    <row r="99" spans="4:9">
      <c r="D99" s="871" t="str">
        <f t="array" aca="1" ref="D99" ca="1">IFERROR(OFFSET(extraction!A$2,MATCH(0,COUNTIF('BIOLAM LCD'!D$5:D98,numeros),0),),"")</f>
        <v/>
      </c>
      <c r="E99" s="871" t="str">
        <f t="array" aca="1" ref="E99" ca="1">IFERROR(OFFSET(extraction!B$2,MATCH(0,COUNTIF('BIOLAM LCD'!E$5:E98,intit),0),),"")</f>
        <v/>
      </c>
      <c r="F99" s="874" t="str">
        <f ca="1">IF(D99="","",SUMPRODUCT((numeros=D99)*(montant)))</f>
        <v/>
      </c>
      <c r="H99"/>
      <c r="I99"/>
    </row>
    <row r="100" spans="4:9">
      <c r="D100" s="871" t="str">
        <f t="array" aca="1" ref="D100" ca="1">IFERROR(OFFSET(extraction!A$2,MATCH(0,COUNTIF('BIOLAM LCD'!D$5:D99,numeros),0),),"")</f>
        <v/>
      </c>
      <c r="E100" s="871" t="str">
        <f t="array" aca="1" ref="E100" ca="1">IFERROR(OFFSET(extraction!B$2,MATCH(0,COUNTIF('BIOLAM LCD'!E$5:E99,intit),0),),"")</f>
        <v/>
      </c>
      <c r="F100" s="874" t="str">
        <f ca="1">IF(D100="","",SUMPRODUCT((numeros=D100)*(montant)))</f>
        <v/>
      </c>
      <c r="H100"/>
      <c r="I100"/>
    </row>
    <row r="101" spans="4:9">
      <c r="D101" s="871" t="str">
        <f t="array" aca="1" ref="D101" ca="1">IFERROR(OFFSET(extraction!A$2,MATCH(0,COUNTIF('BIOLAM LCD'!D$5:D100,numeros),0),),"")</f>
        <v/>
      </c>
      <c r="E101" s="871" t="str">
        <f t="array" aca="1" ref="E101" ca="1">IFERROR(OFFSET(extraction!B$2,MATCH(0,COUNTIF('BIOLAM LCD'!E$5:E100,intit),0),),"")</f>
        <v/>
      </c>
      <c r="F101" s="874" t="str">
        <f ca="1">IF(D101="","",SUMPRODUCT((numeros=D101)*(montant)))</f>
        <v/>
      </c>
      <c r="H101"/>
      <c r="I101"/>
    </row>
    <row r="102" spans="4:9">
      <c r="D102" s="871" t="str">
        <f t="array" aca="1" ref="D102" ca="1">IFERROR(OFFSET(extraction!A$2,MATCH(0,COUNTIF('BIOLAM LCD'!D$5:D101,numeros),0),),"")</f>
        <v/>
      </c>
      <c r="E102" s="871" t="str">
        <f t="array" aca="1" ref="E102" ca="1">IFERROR(OFFSET(extraction!B$2,MATCH(0,COUNTIF('BIOLAM LCD'!E$5:E101,intit),0),),"")</f>
        <v/>
      </c>
      <c r="F102" s="874" t="str">
        <f ca="1">IF(D102="","",SUMPRODUCT((numeros=D102)*(montant)))</f>
        <v/>
      </c>
      <c r="H102"/>
      <c r="I102"/>
    </row>
    <row r="103" spans="4:9">
      <c r="D103" s="871" t="str">
        <f t="array" aca="1" ref="D103" ca="1">IFERROR(OFFSET(extraction!A$2,MATCH(0,COUNTIF('BIOLAM LCD'!D$5:D102,numeros),0),),"")</f>
        <v/>
      </c>
      <c r="E103" s="871" t="str">
        <f t="array" aca="1" ref="E103" ca="1">IFERROR(OFFSET(extraction!B$2,MATCH(0,COUNTIF('BIOLAM LCD'!E$5:E102,intit),0),),"")</f>
        <v/>
      </c>
      <c r="F103" s="874" t="str">
        <f ca="1">IF(D103="","",SUMPRODUCT((numeros=D103)*(montant)))</f>
        <v/>
      </c>
      <c r="H103"/>
      <c r="I103"/>
    </row>
    <row r="104" spans="4:9">
      <c r="D104" s="871" t="str">
        <f t="array" aca="1" ref="D104" ca="1">IFERROR(OFFSET(extraction!A$2,MATCH(0,COUNTIF('BIOLAM LCD'!D$5:D103,numeros),0),),"")</f>
        <v/>
      </c>
      <c r="E104" s="871" t="str">
        <f t="array" aca="1" ref="E104" ca="1">IFERROR(OFFSET(extraction!B$2,MATCH(0,COUNTIF('BIOLAM LCD'!E$5:E103,intit),0),),"")</f>
        <v/>
      </c>
      <c r="F104" s="874" t="str">
        <f ca="1">IF(D104="","",SUMPRODUCT((numeros=D104)*(montant)))</f>
        <v/>
      </c>
      <c r="H104"/>
      <c r="I104"/>
    </row>
    <row r="105" spans="4:9">
      <c r="D105" s="871" t="str">
        <f t="array" aca="1" ref="D105" ca="1">IFERROR(OFFSET(extraction!A$2,MATCH(0,COUNTIF('BIOLAM LCD'!D$5:D104,numeros),0),),"")</f>
        <v/>
      </c>
      <c r="E105" s="871" t="str">
        <f t="array" aca="1" ref="E105" ca="1">IFERROR(OFFSET(extraction!B$2,MATCH(0,COUNTIF('BIOLAM LCD'!E$5:E104,intit),0),),"")</f>
        <v/>
      </c>
      <c r="F105" s="874" t="str">
        <f ca="1">IF(D105="","",SUMPRODUCT((numeros=D105)*(montant)))</f>
        <v/>
      </c>
      <c r="H105"/>
      <c r="I105"/>
    </row>
    <row r="106" spans="4:9">
      <c r="D106" s="871" t="str">
        <f t="array" aca="1" ref="D106" ca="1">IFERROR(OFFSET(extraction!A$2,MATCH(0,COUNTIF('BIOLAM LCD'!D$5:D105,numeros),0),),"")</f>
        <v/>
      </c>
      <c r="E106" s="871" t="str">
        <f t="array" aca="1" ref="E106" ca="1">IFERROR(OFFSET(extraction!B$2,MATCH(0,COUNTIF('BIOLAM LCD'!E$5:E105,intit),0),),"")</f>
        <v/>
      </c>
      <c r="F106" s="874" t="str">
        <f ca="1">IF(D106="","",SUMPRODUCT((numeros=D106)*(montant)))</f>
        <v/>
      </c>
      <c r="H106"/>
      <c r="I106"/>
    </row>
    <row r="107" spans="4:9">
      <c r="D107" s="871" t="str">
        <f t="array" aca="1" ref="D107" ca="1">IFERROR(OFFSET(extraction!A$2,MATCH(0,COUNTIF('BIOLAM LCD'!D$5:D106,numeros),0),),"")</f>
        <v/>
      </c>
      <c r="E107" s="871" t="str">
        <f t="array" aca="1" ref="E107" ca="1">IFERROR(OFFSET(extraction!B$2,MATCH(0,COUNTIF('BIOLAM LCD'!E$5:E106,intit),0),),"")</f>
        <v/>
      </c>
      <c r="F107" s="874" t="str">
        <f ca="1">IF(D107="","",SUMPRODUCT((numeros=D107)*(montant)))</f>
        <v/>
      </c>
      <c r="H107"/>
      <c r="I107"/>
    </row>
    <row r="108" spans="4:9">
      <c r="D108" s="871" t="str">
        <f t="array" aca="1" ref="D108" ca="1">IFERROR(OFFSET(extraction!A$2,MATCH(0,COUNTIF('BIOLAM LCD'!D$5:D107,numeros),0),),"")</f>
        <v/>
      </c>
      <c r="E108" s="871" t="str">
        <f t="array" aca="1" ref="E108" ca="1">IFERROR(OFFSET(extraction!B$2,MATCH(0,COUNTIF('BIOLAM LCD'!E$5:E107,intit),0),),"")</f>
        <v/>
      </c>
      <c r="F108" s="874" t="str">
        <f ca="1">IF(D108="","",SUMPRODUCT((numeros=D108)*(montant)))</f>
        <v/>
      </c>
      <c r="H108"/>
      <c r="I108"/>
    </row>
    <row r="109" spans="4:9">
      <c r="D109" s="871" t="str">
        <f t="array" aca="1" ref="D109" ca="1">IFERROR(OFFSET(extraction!A$2,MATCH(0,COUNTIF('BIOLAM LCD'!D$5:D108,numeros),0),),"")</f>
        <v/>
      </c>
      <c r="E109" s="871" t="str">
        <f t="array" aca="1" ref="E109" ca="1">IFERROR(OFFSET(extraction!B$2,MATCH(0,COUNTIF('BIOLAM LCD'!E$5:E108,intit),0),),"")</f>
        <v/>
      </c>
      <c r="F109" s="874" t="str">
        <f ca="1">IF(D109="","",SUMPRODUCT((numeros=D109)*(montant)))</f>
        <v/>
      </c>
      <c r="H109"/>
      <c r="I109"/>
    </row>
    <row r="110" spans="4:9">
      <c r="D110" s="871" t="str">
        <f t="array" aca="1" ref="D110" ca="1">IFERROR(OFFSET(extraction!A$2,MATCH(0,COUNTIF('BIOLAM LCD'!D$5:D109,numeros),0),),"")</f>
        <v/>
      </c>
      <c r="E110" s="871" t="str">
        <f t="array" aca="1" ref="E110" ca="1">IFERROR(OFFSET(extraction!B$2,MATCH(0,COUNTIF('BIOLAM LCD'!E$5:E109,intit),0),),"")</f>
        <v/>
      </c>
      <c r="F110" s="874" t="str">
        <f ca="1">IF(D110="","",SUMPRODUCT((numeros=D110)*(montant)))</f>
        <v/>
      </c>
      <c r="H110"/>
      <c r="I110"/>
    </row>
    <row r="111" spans="4:9">
      <c r="D111" s="871" t="str">
        <f t="array" aca="1" ref="D111" ca="1">IFERROR(OFFSET(extraction!A$2,MATCH(0,COUNTIF('BIOLAM LCD'!D$5:D110,numeros),0),),"")</f>
        <v/>
      </c>
      <c r="E111" s="871" t="str">
        <f t="array" aca="1" ref="E111" ca="1">IFERROR(OFFSET(extraction!B$2,MATCH(0,COUNTIF('BIOLAM LCD'!E$5:E110,intit),0),),"")</f>
        <v/>
      </c>
      <c r="F111" s="874" t="str">
        <f ca="1">IF(D111="","",SUMPRODUCT((numeros=D111)*(montant)))</f>
        <v/>
      </c>
      <c r="H111"/>
      <c r="I111"/>
    </row>
    <row r="112" spans="4:9">
      <c r="D112" s="871" t="str">
        <f t="array" aca="1" ref="D112" ca="1">IFERROR(OFFSET(extraction!A$2,MATCH(0,COUNTIF('BIOLAM LCD'!D$5:D111,numeros),0),),"")</f>
        <v/>
      </c>
      <c r="E112" s="871" t="str">
        <f t="array" aca="1" ref="E112" ca="1">IFERROR(OFFSET(extraction!B$2,MATCH(0,COUNTIF('BIOLAM LCD'!E$5:E111,intit),0),),"")</f>
        <v/>
      </c>
      <c r="F112" s="874" t="str">
        <f ca="1">IF(D112="","",SUMPRODUCT((numeros=D112)*(montant)))</f>
        <v/>
      </c>
      <c r="H112"/>
      <c r="I112"/>
    </row>
    <row r="113" spans="4:9">
      <c r="D113" s="871" t="str">
        <f t="array" aca="1" ref="D113" ca="1">IFERROR(OFFSET(extraction!A$2,MATCH(0,COUNTIF('BIOLAM LCD'!D$5:D112,numeros),0),),"")</f>
        <v/>
      </c>
      <c r="E113" s="871" t="str">
        <f t="array" aca="1" ref="E113" ca="1">IFERROR(OFFSET(extraction!B$2,MATCH(0,COUNTIF('BIOLAM LCD'!E$5:E112,intit),0),),"")</f>
        <v/>
      </c>
      <c r="F113" s="874" t="str">
        <f ca="1">IF(D113="","",SUMPRODUCT((numeros=D113)*(montant)))</f>
        <v/>
      </c>
      <c r="H113"/>
      <c r="I113"/>
    </row>
    <row r="114" spans="4:9">
      <c r="D114" s="871" t="str">
        <f t="array" aca="1" ref="D114" ca="1">IFERROR(OFFSET(extraction!A$2,MATCH(0,COUNTIF('BIOLAM LCD'!D$5:D113,numeros),0),),"")</f>
        <v/>
      </c>
      <c r="E114" s="871" t="str">
        <f t="array" aca="1" ref="E114" ca="1">IFERROR(OFFSET(extraction!B$2,MATCH(0,COUNTIF('BIOLAM LCD'!E$5:E113,intit),0),),"")</f>
        <v/>
      </c>
      <c r="F114" s="874" t="str">
        <f ca="1">IF(D114="","",SUMPRODUCT((numeros=D114)*(montant)))</f>
        <v/>
      </c>
      <c r="H114"/>
      <c r="I114"/>
    </row>
    <row r="115" spans="4:9">
      <c r="D115" s="871" t="str">
        <f t="array" aca="1" ref="D115" ca="1">IFERROR(OFFSET(extraction!A$2,MATCH(0,COUNTIF('BIOLAM LCD'!D$5:D114,numeros),0),),"")</f>
        <v/>
      </c>
      <c r="E115" s="871" t="str">
        <f t="array" aca="1" ref="E115" ca="1">IFERROR(OFFSET(extraction!B$2,MATCH(0,COUNTIF('BIOLAM LCD'!E$5:E114,intit),0),),"")</f>
        <v/>
      </c>
      <c r="F115" s="874" t="str">
        <f ca="1">IF(D115="","",SUMPRODUCT((numeros=D115)*(montant)))</f>
        <v/>
      </c>
      <c r="H115"/>
      <c r="I115"/>
    </row>
    <row r="116" spans="4:9">
      <c r="D116" s="871" t="str">
        <f t="array" aca="1" ref="D116" ca="1">IFERROR(OFFSET(extraction!A$2,MATCH(0,COUNTIF('BIOLAM LCD'!D$5:D115,numeros),0),),"")</f>
        <v/>
      </c>
      <c r="E116" s="871" t="str">
        <f t="array" aca="1" ref="E116" ca="1">IFERROR(OFFSET(extraction!B$2,MATCH(0,COUNTIF('BIOLAM LCD'!E$5:E115,intit),0),),"")</f>
        <v/>
      </c>
      <c r="F116" s="874" t="str">
        <f ca="1">IF(D116="","",SUMPRODUCT((numeros=D116)*(montant)))</f>
        <v/>
      </c>
      <c r="H116"/>
      <c r="I116"/>
    </row>
    <row r="117" spans="4:9">
      <c r="D117" s="871" t="str">
        <f t="array" aca="1" ref="D117" ca="1">IFERROR(OFFSET(extraction!A$2,MATCH(0,COUNTIF('BIOLAM LCD'!D$5:D116,numeros),0),),"")</f>
        <v/>
      </c>
      <c r="E117" s="871" t="str">
        <f t="array" aca="1" ref="E117" ca="1">IFERROR(OFFSET(extraction!B$2,MATCH(0,COUNTIF('BIOLAM LCD'!E$5:E116,intit),0),),"")</f>
        <v/>
      </c>
      <c r="F117" s="874" t="str">
        <f ca="1">IF(D117="","",SUMPRODUCT((numeros=D117)*(montant)))</f>
        <v/>
      </c>
      <c r="H117"/>
      <c r="I117"/>
    </row>
    <row r="118" spans="4:9">
      <c r="D118" s="871" t="str">
        <f t="array" aca="1" ref="D118" ca="1">IFERROR(OFFSET(extraction!A$2,MATCH(0,COUNTIF('BIOLAM LCD'!D$5:D117,numeros),0),),"")</f>
        <v/>
      </c>
      <c r="E118" s="871" t="str">
        <f t="array" aca="1" ref="E118" ca="1">IFERROR(OFFSET(extraction!B$2,MATCH(0,COUNTIF('BIOLAM LCD'!E$5:E117,intit),0),),"")</f>
        <v/>
      </c>
      <c r="F118" s="874" t="str">
        <f ca="1">IF(D118="","",SUMPRODUCT((numeros=D118)*(montant)))</f>
        <v/>
      </c>
      <c r="H118"/>
      <c r="I118"/>
    </row>
    <row r="119" spans="4:9">
      <c r="D119" s="871" t="str">
        <f t="array" aca="1" ref="D119" ca="1">IFERROR(OFFSET(extraction!A$2,MATCH(0,COUNTIF('BIOLAM LCD'!D$5:D118,numeros),0),),"")</f>
        <v/>
      </c>
      <c r="E119" s="871" t="str">
        <f t="array" aca="1" ref="E119" ca="1">IFERROR(OFFSET(extraction!B$2,MATCH(0,COUNTIF('BIOLAM LCD'!E$5:E118,intit),0),),"")</f>
        <v/>
      </c>
      <c r="F119" s="874" t="str">
        <f ca="1">IF(D119="","",SUMPRODUCT((numeros=D119)*(montant)))</f>
        <v/>
      </c>
      <c r="H119"/>
      <c r="I119"/>
    </row>
    <row r="120" spans="4:9">
      <c r="D120" s="871" t="str">
        <f t="array" aca="1" ref="D120" ca="1">IFERROR(OFFSET(extraction!A$2,MATCH(0,COUNTIF('BIOLAM LCD'!D$5:D119,numeros),0),),"")</f>
        <v/>
      </c>
      <c r="E120" s="871" t="str">
        <f t="array" aca="1" ref="E120" ca="1">IFERROR(OFFSET(extraction!B$2,MATCH(0,COUNTIF('BIOLAM LCD'!E$5:E119,intit),0),),"")</f>
        <v/>
      </c>
      <c r="F120" s="874" t="str">
        <f ca="1">IF(D120="","",SUMPRODUCT((numeros=D120)*(montant)))</f>
        <v/>
      </c>
      <c r="H120"/>
      <c r="I120"/>
    </row>
    <row r="121" spans="4:9">
      <c r="D121" s="871" t="str">
        <f t="array" aca="1" ref="D121" ca="1">IFERROR(OFFSET(extraction!A$2,MATCH(0,COUNTIF('BIOLAM LCD'!D$5:D120,numeros),0),),"")</f>
        <v/>
      </c>
      <c r="E121" s="871" t="str">
        <f t="array" aca="1" ref="E121" ca="1">IFERROR(OFFSET(extraction!B$2,MATCH(0,COUNTIF('BIOLAM LCD'!E$5:E120,intit),0),),"")</f>
        <v/>
      </c>
      <c r="F121" s="874" t="str">
        <f ca="1">IF(D121="","",SUMPRODUCT((numeros=D121)*(montant)))</f>
        <v/>
      </c>
      <c r="H121"/>
      <c r="I121"/>
    </row>
    <row r="122" spans="4:9">
      <c r="D122" s="871" t="str">
        <f t="array" aca="1" ref="D122" ca="1">IFERROR(OFFSET(extraction!A$2,MATCH(0,COUNTIF('BIOLAM LCD'!D$5:D121,numeros),0),),"")</f>
        <v/>
      </c>
      <c r="E122" s="871" t="str">
        <f t="array" aca="1" ref="E122" ca="1">IFERROR(OFFSET(extraction!B$2,MATCH(0,COUNTIF('BIOLAM LCD'!E$5:E121,intit),0),),"")</f>
        <v/>
      </c>
      <c r="F122" s="874" t="str">
        <f ca="1">IF(D122="","",SUMPRODUCT((numeros=D122)*(montant)))</f>
        <v/>
      </c>
      <c r="H122"/>
      <c r="I122"/>
    </row>
    <row r="123" spans="4:9">
      <c r="D123" s="871" t="str">
        <f t="array" aca="1" ref="D123" ca="1">IFERROR(OFFSET(extraction!A$2,MATCH(0,COUNTIF('BIOLAM LCD'!D$5:D122,numeros),0),),"")</f>
        <v/>
      </c>
      <c r="E123" s="871" t="str">
        <f t="array" aca="1" ref="E123" ca="1">IFERROR(OFFSET(extraction!B$2,MATCH(0,COUNTIF('BIOLAM LCD'!E$5:E122,intit),0),),"")</f>
        <v/>
      </c>
      <c r="F123" s="874" t="str">
        <f ca="1">IF(D123="","",SUMPRODUCT((numeros=D123)*(montant)))</f>
        <v/>
      </c>
      <c r="H123"/>
      <c r="I123"/>
    </row>
    <row r="124" spans="4:9">
      <c r="D124" s="871" t="str">
        <f t="array" aca="1" ref="D124" ca="1">IFERROR(OFFSET(extraction!A$2,MATCH(0,COUNTIF('BIOLAM LCD'!D$5:D123,numeros),0),),"")</f>
        <v/>
      </c>
      <c r="E124" s="871" t="str">
        <f t="array" aca="1" ref="E124" ca="1">IFERROR(OFFSET(extraction!B$2,MATCH(0,COUNTIF('BIOLAM LCD'!E$5:E123,intit),0),),"")</f>
        <v/>
      </c>
      <c r="F124" s="874" t="str">
        <f ca="1">IF(D124="","",SUMPRODUCT((numeros=D124)*(montant)))</f>
        <v/>
      </c>
      <c r="H124"/>
      <c r="I124"/>
    </row>
    <row r="125" spans="4:9">
      <c r="D125" s="871" t="str">
        <f t="array" aca="1" ref="D125" ca="1">IFERROR(OFFSET(extraction!A$2,MATCH(0,COUNTIF('BIOLAM LCD'!D$5:D124,numeros),0),),"")</f>
        <v/>
      </c>
      <c r="E125" s="871" t="str">
        <f t="array" aca="1" ref="E125" ca="1">IFERROR(OFFSET(extraction!B$2,MATCH(0,COUNTIF('BIOLAM LCD'!E$5:E124,intit),0),),"")</f>
        <v/>
      </c>
      <c r="F125" s="874" t="str">
        <f ca="1">IF(D125="","",SUMPRODUCT((numeros=D125)*(montant)))</f>
        <v/>
      </c>
      <c r="H125"/>
      <c r="I125"/>
    </row>
    <row r="126" spans="4:9">
      <c r="D126" s="871" t="str">
        <f t="array" aca="1" ref="D126" ca="1">IFERROR(OFFSET(extraction!A$2,MATCH(0,COUNTIF('BIOLAM LCD'!D$5:D125,numeros),0),),"")</f>
        <v/>
      </c>
      <c r="E126" s="871" t="str">
        <f t="array" aca="1" ref="E126" ca="1">IFERROR(OFFSET(extraction!B$2,MATCH(0,COUNTIF('BIOLAM LCD'!E$5:E125,intit),0),),"")</f>
        <v/>
      </c>
      <c r="F126" s="874" t="str">
        <f ca="1">IF(D126="","",SUMPRODUCT((numeros=D126)*(montant)))</f>
        <v/>
      </c>
      <c r="H126"/>
      <c r="I126"/>
    </row>
    <row r="127" spans="4:9">
      <c r="D127" s="871" t="str">
        <f t="array" aca="1" ref="D127" ca="1">IFERROR(OFFSET(extraction!A$2,MATCH(0,COUNTIF('BIOLAM LCD'!D$5:D126,numeros),0),),"")</f>
        <v/>
      </c>
      <c r="E127" s="871" t="str">
        <f t="array" aca="1" ref="E127" ca="1">IFERROR(OFFSET(extraction!B$2,MATCH(0,COUNTIF('BIOLAM LCD'!E$5:E126,intit),0),),"")</f>
        <v/>
      </c>
      <c r="F127" s="874" t="str">
        <f ca="1">IF(D127="","",SUMPRODUCT((numeros=D127)*(montant)))</f>
        <v/>
      </c>
      <c r="H127"/>
      <c r="I127"/>
    </row>
    <row r="128" spans="4:9">
      <c r="D128" s="871" t="str">
        <f t="array" aca="1" ref="D128" ca="1">IFERROR(OFFSET(extraction!A$2,MATCH(0,COUNTIF('BIOLAM LCD'!D$5:D127,numeros),0),),"")</f>
        <v/>
      </c>
      <c r="E128" s="871" t="str">
        <f t="array" aca="1" ref="E128" ca="1">IFERROR(OFFSET(extraction!B$2,MATCH(0,COUNTIF('BIOLAM LCD'!E$5:E127,intit),0),),"")</f>
        <v/>
      </c>
      <c r="F128" s="874" t="str">
        <f ca="1">IF(D128="","",SUMPRODUCT((numeros=D128)*(montant)))</f>
        <v/>
      </c>
      <c r="H128"/>
      <c r="I128"/>
    </row>
    <row r="129" spans="4:9">
      <c r="D129" s="871" t="str">
        <f t="array" aca="1" ref="D129" ca="1">IFERROR(OFFSET(extraction!A$2,MATCH(0,COUNTIF('BIOLAM LCD'!D$5:D128,numeros),0),),"")</f>
        <v/>
      </c>
      <c r="E129" s="871" t="str">
        <f t="array" aca="1" ref="E129" ca="1">IFERROR(OFFSET(extraction!B$2,MATCH(0,COUNTIF('BIOLAM LCD'!E$5:E128,intit),0),),"")</f>
        <v/>
      </c>
      <c r="F129" s="874" t="str">
        <f ca="1">IF(D129="","",SUMPRODUCT((numeros=D129)*(montant)))</f>
        <v/>
      </c>
      <c r="H129"/>
      <c r="I129"/>
    </row>
    <row r="130" spans="4:9">
      <c r="D130" s="871" t="str">
        <f t="array" aca="1" ref="D130" ca="1">IFERROR(OFFSET(extraction!A$2,MATCH(0,COUNTIF('BIOLAM LCD'!D$5:D129,numeros),0),),"")</f>
        <v/>
      </c>
      <c r="E130" s="871" t="str">
        <f t="array" aca="1" ref="E130" ca="1">IFERROR(OFFSET(extraction!B$2,MATCH(0,COUNTIF('BIOLAM LCD'!E$5:E129,intit),0),),"")</f>
        <v/>
      </c>
      <c r="F130" s="874" t="str">
        <f ca="1">IF(D130="","",SUMPRODUCT((numeros=D130)*(montant)))</f>
        <v/>
      </c>
      <c r="H130"/>
      <c r="I130"/>
    </row>
    <row r="131" spans="4:9">
      <c r="D131" s="871" t="str">
        <f t="array" aca="1" ref="D131" ca="1">IFERROR(OFFSET(extraction!A$2,MATCH(0,COUNTIF('BIOLAM LCD'!D$5:D130,numeros),0),),"")</f>
        <v/>
      </c>
      <c r="E131" s="871" t="str">
        <f t="array" aca="1" ref="E131" ca="1">IFERROR(OFFSET(extraction!B$2,MATCH(0,COUNTIF('BIOLAM LCD'!E$5:E130,intit),0),),"")</f>
        <v/>
      </c>
      <c r="F131" s="874" t="str">
        <f ca="1">IF(D131="","",SUMPRODUCT((numeros=D131)*(montant)))</f>
        <v/>
      </c>
      <c r="H131"/>
      <c r="I131"/>
    </row>
    <row r="132" spans="4:9">
      <c r="D132" s="871" t="str">
        <f t="array" aca="1" ref="D132" ca="1">IFERROR(OFFSET(extraction!A$2,MATCH(0,COUNTIF('BIOLAM LCD'!D$5:D131,numeros),0),),"")</f>
        <v/>
      </c>
      <c r="E132" s="871" t="str">
        <f t="array" aca="1" ref="E132" ca="1">IFERROR(OFFSET(extraction!B$2,MATCH(0,COUNTIF('BIOLAM LCD'!E$5:E131,intit),0),),"")</f>
        <v/>
      </c>
      <c r="F132" s="874" t="str">
        <f ca="1">IF(D132="","",SUMPRODUCT((numeros=D132)*(montant)))</f>
        <v/>
      </c>
      <c r="H132"/>
      <c r="I132"/>
    </row>
    <row r="133" spans="4:9">
      <c r="D133" s="871" t="str">
        <f t="array" aca="1" ref="D133" ca="1">IFERROR(OFFSET(extraction!A$2,MATCH(0,COUNTIF('BIOLAM LCD'!D$5:D132,numeros),0),),"")</f>
        <v/>
      </c>
      <c r="E133" s="871" t="str">
        <f t="array" aca="1" ref="E133" ca="1">IFERROR(OFFSET(extraction!B$2,MATCH(0,COUNTIF('BIOLAM LCD'!E$5:E132,intit),0),),"")</f>
        <v/>
      </c>
      <c r="F133" s="874" t="str">
        <f ca="1">IF(D133="","",SUMPRODUCT((numeros=D133)*(montant)))</f>
        <v/>
      </c>
      <c r="H133"/>
      <c r="I133"/>
    </row>
    <row r="134" spans="4:9">
      <c r="D134" s="871" t="str">
        <f t="array" aca="1" ref="D134" ca="1">IFERROR(OFFSET(extraction!A$2,MATCH(0,COUNTIF('BIOLAM LCD'!D$5:D133,numeros),0),),"")</f>
        <v/>
      </c>
      <c r="E134" s="871" t="str">
        <f t="array" aca="1" ref="E134" ca="1">IFERROR(OFFSET(extraction!B$2,MATCH(0,COUNTIF('BIOLAM LCD'!E$5:E133,intit),0),),"")</f>
        <v/>
      </c>
      <c r="F134" s="874" t="str">
        <f ca="1">IF(D134="","",SUMPRODUCT((numeros=D134)*(montant)))</f>
        <v/>
      </c>
      <c r="H134"/>
      <c r="I134"/>
    </row>
    <row r="135" spans="4:9">
      <c r="D135" s="871" t="str">
        <f t="array" aca="1" ref="D135" ca="1">IFERROR(OFFSET(extraction!A$2,MATCH(0,COUNTIF('BIOLAM LCD'!D$5:D134,numeros),0),),"")</f>
        <v/>
      </c>
      <c r="E135" s="871" t="str">
        <f t="array" aca="1" ref="E135" ca="1">IFERROR(OFFSET(extraction!B$2,MATCH(0,COUNTIF('BIOLAM LCD'!E$5:E134,intit),0),),"")</f>
        <v/>
      </c>
      <c r="F135" s="874" t="str">
        <f ca="1">IF(D135="","",SUMPRODUCT((numeros=D135)*(montant)))</f>
        <v/>
      </c>
      <c r="H135"/>
      <c r="I135"/>
    </row>
    <row r="136" spans="4:9">
      <c r="D136" s="871" t="str">
        <f t="array" aca="1" ref="D136" ca="1">IFERROR(OFFSET(extraction!A$2,MATCH(0,COUNTIF('BIOLAM LCD'!D$5:D135,numeros),0),),"")</f>
        <v/>
      </c>
      <c r="E136" s="871" t="str">
        <f t="array" aca="1" ref="E136" ca="1">IFERROR(OFFSET(extraction!B$2,MATCH(0,COUNTIF('BIOLAM LCD'!E$5:E135,intit),0),),"")</f>
        <v/>
      </c>
      <c r="F136" s="874" t="str">
        <f ca="1">IF(D136="","",SUMPRODUCT((numeros=D136)*(montant)))</f>
        <v/>
      </c>
      <c r="H136"/>
      <c r="I136"/>
    </row>
    <row r="137" spans="4:9">
      <c r="D137" s="871" t="str">
        <f t="array" aca="1" ref="D137" ca="1">IFERROR(OFFSET(extraction!A$2,MATCH(0,COUNTIF('BIOLAM LCD'!D$5:D136,numeros),0),),"")</f>
        <v/>
      </c>
      <c r="E137" s="871" t="str">
        <f t="array" aca="1" ref="E137" ca="1">IFERROR(OFFSET(extraction!B$2,MATCH(0,COUNTIF('BIOLAM LCD'!E$5:E136,intit),0),),"")</f>
        <v/>
      </c>
      <c r="F137" s="874" t="str">
        <f ca="1">IF(D137="","",SUMPRODUCT((numeros=D137)*(montant)))</f>
        <v/>
      </c>
      <c r="H137"/>
      <c r="I137"/>
    </row>
    <row r="138" spans="4:9">
      <c r="D138" s="871" t="str">
        <f t="array" aca="1" ref="D138" ca="1">IFERROR(OFFSET(extraction!A$2,MATCH(0,COUNTIF('BIOLAM LCD'!D$5:D137,numeros),0),),"")</f>
        <v/>
      </c>
      <c r="E138" s="871" t="str">
        <f t="array" aca="1" ref="E138" ca="1">IFERROR(OFFSET(extraction!B$2,MATCH(0,COUNTIF('BIOLAM LCD'!E$5:E137,intit),0),),"")</f>
        <v/>
      </c>
      <c r="F138" s="874" t="str">
        <f ca="1">IF(D138="","",SUMPRODUCT((numeros=D138)*(montant)))</f>
        <v/>
      </c>
      <c r="H138"/>
      <c r="I138"/>
    </row>
    <row r="139" spans="4:9">
      <c r="D139" s="871" t="str">
        <f t="array" aca="1" ref="D139" ca="1">IFERROR(OFFSET(extraction!A$2,MATCH(0,COUNTIF('BIOLAM LCD'!D$5:D138,numeros),0),),"")</f>
        <v/>
      </c>
      <c r="E139" s="871" t="str">
        <f t="array" aca="1" ref="E139" ca="1">IFERROR(OFFSET(extraction!B$2,MATCH(0,COUNTIF('BIOLAM LCD'!E$5:E138,intit),0),),"")</f>
        <v/>
      </c>
      <c r="F139" s="874" t="str">
        <f ca="1">IF(D139="","",SUMPRODUCT((numeros=D139)*(montant)))</f>
        <v/>
      </c>
      <c r="H139"/>
      <c r="I139"/>
    </row>
    <row r="140" spans="4:9">
      <c r="D140" s="871" t="str">
        <f t="array" aca="1" ref="D140" ca="1">IFERROR(OFFSET(extraction!A$2,MATCH(0,COUNTIF('BIOLAM LCD'!D$5:D139,numeros),0),),"")</f>
        <v/>
      </c>
      <c r="E140" s="871" t="str">
        <f t="array" aca="1" ref="E140" ca="1">IFERROR(OFFSET(extraction!B$2,MATCH(0,COUNTIF('BIOLAM LCD'!E$5:E139,intit),0),),"")</f>
        <v/>
      </c>
      <c r="F140" s="874" t="str">
        <f ca="1">IF(D140="","",SUMPRODUCT((numeros=D140)*(montant)))</f>
        <v/>
      </c>
      <c r="H140"/>
      <c r="I140"/>
    </row>
    <row r="141" spans="4:9">
      <c r="D141" s="871" t="str">
        <f t="array" aca="1" ref="D141" ca="1">IFERROR(OFFSET(extraction!A$2,MATCH(0,COUNTIF('BIOLAM LCD'!D$5:D140,numeros),0),),"")</f>
        <v/>
      </c>
      <c r="E141" s="871" t="str">
        <f t="array" aca="1" ref="E141" ca="1">IFERROR(OFFSET(extraction!B$2,MATCH(0,COUNTIF('BIOLAM LCD'!E$5:E140,intit),0),),"")</f>
        <v/>
      </c>
      <c r="F141" s="874" t="str">
        <f ca="1">IF(D141="","",SUMPRODUCT((numeros=D141)*(montant)))</f>
        <v/>
      </c>
      <c r="H141"/>
      <c r="I141"/>
    </row>
    <row r="142" spans="4:9">
      <c r="D142" s="871" t="str">
        <f t="array" aca="1" ref="D142" ca="1">IFERROR(OFFSET(extraction!A$2,MATCH(0,COUNTIF('BIOLAM LCD'!D$5:D141,numeros),0),),"")</f>
        <v/>
      </c>
      <c r="E142" s="871" t="str">
        <f t="array" aca="1" ref="E142" ca="1">IFERROR(OFFSET(extraction!B$2,MATCH(0,COUNTIF('BIOLAM LCD'!E$5:E141,intit),0),),"")</f>
        <v/>
      </c>
      <c r="F142" s="874" t="str">
        <f ca="1">IF(D142="","",SUMPRODUCT((numeros=D142)*(montant)))</f>
        <v/>
      </c>
      <c r="H142"/>
      <c r="I142"/>
    </row>
    <row r="143" spans="4:9">
      <c r="D143" s="871" t="str">
        <f t="array" aca="1" ref="D143" ca="1">IFERROR(OFFSET(extraction!A$2,MATCH(0,COUNTIF('BIOLAM LCD'!D$5:D142,numeros),0),),"")</f>
        <v/>
      </c>
      <c r="E143" s="871" t="str">
        <f t="array" aca="1" ref="E143" ca="1">IFERROR(OFFSET(extraction!B$2,MATCH(0,COUNTIF('BIOLAM LCD'!E$5:E142,intit),0),),"")</f>
        <v/>
      </c>
      <c r="F143" s="874" t="str">
        <f ca="1">IF(D143="","",SUMPRODUCT((numeros=D143)*(montant)))</f>
        <v/>
      </c>
      <c r="H143"/>
      <c r="I143"/>
    </row>
    <row r="144" spans="4:9">
      <c r="D144" s="871" t="str">
        <f t="array" aca="1" ref="D144" ca="1">IFERROR(OFFSET(extraction!A$2,MATCH(0,COUNTIF('BIOLAM LCD'!D$5:D143,numeros),0),),"")</f>
        <v/>
      </c>
      <c r="E144" s="871" t="str">
        <f t="array" aca="1" ref="E144" ca="1">IFERROR(OFFSET(extraction!B$2,MATCH(0,COUNTIF('BIOLAM LCD'!E$5:E143,intit),0),),"")</f>
        <v/>
      </c>
      <c r="F144" s="874" t="str">
        <f ca="1">IF(D144="","",SUMPRODUCT((numeros=D144)*(montant)))</f>
        <v/>
      </c>
      <c r="H144"/>
      <c r="I144"/>
    </row>
    <row r="145" spans="4:9">
      <c r="D145" s="871" t="str">
        <f t="array" aca="1" ref="D145" ca="1">IFERROR(OFFSET(extraction!A$2,MATCH(0,COUNTIF('BIOLAM LCD'!D$5:D144,numeros),0),),"")</f>
        <v/>
      </c>
      <c r="E145" s="871" t="str">
        <f t="array" aca="1" ref="E145" ca="1">IFERROR(OFFSET(extraction!B$2,MATCH(0,COUNTIF('BIOLAM LCD'!E$5:E144,intit),0),),"")</f>
        <v/>
      </c>
      <c r="F145" s="874" t="str">
        <f ca="1">IF(D145="","",SUMPRODUCT((numeros=D145)*(montant)))</f>
        <v/>
      </c>
      <c r="H145"/>
      <c r="I145"/>
    </row>
    <row r="146" spans="4:9">
      <c r="D146" s="871" t="str">
        <f t="array" aca="1" ref="D146" ca="1">IFERROR(OFFSET(extraction!A$2,MATCH(0,COUNTIF('BIOLAM LCD'!D$5:D145,numeros),0),),"")</f>
        <v/>
      </c>
      <c r="E146" s="871" t="str">
        <f t="array" aca="1" ref="E146" ca="1">IFERROR(OFFSET(extraction!B$2,MATCH(0,COUNTIF('BIOLAM LCD'!E$5:E145,intit),0),),"")</f>
        <v/>
      </c>
      <c r="F146" s="874" t="str">
        <f ca="1">IF(D146="","",SUMPRODUCT((numeros=D146)*(montant)))</f>
        <v/>
      </c>
      <c r="H146"/>
      <c r="I146"/>
    </row>
    <row r="147" spans="4:9">
      <c r="D147" s="871" t="str">
        <f t="array" aca="1" ref="D147" ca="1">IFERROR(OFFSET(extraction!A$2,MATCH(0,COUNTIF('BIOLAM LCD'!D$5:D146,numeros),0),),"")</f>
        <v/>
      </c>
      <c r="E147" s="871" t="str">
        <f t="array" aca="1" ref="E147" ca="1">IFERROR(OFFSET(extraction!B$2,MATCH(0,COUNTIF('BIOLAM LCD'!E$5:E146,intit),0),),"")</f>
        <v/>
      </c>
      <c r="F147" s="874" t="str">
        <f ca="1">IF(D147="","",SUMPRODUCT((numeros=D147)*(montant)))</f>
        <v/>
      </c>
      <c r="H147"/>
      <c r="I147"/>
    </row>
    <row r="148" spans="4:9">
      <c r="D148" s="871" t="str">
        <f t="array" aca="1" ref="D148" ca="1">IFERROR(OFFSET(extraction!A$2,MATCH(0,COUNTIF('BIOLAM LCD'!D$5:D147,numeros),0),),"")</f>
        <v/>
      </c>
      <c r="E148" s="871" t="str">
        <f t="array" aca="1" ref="E148" ca="1">IFERROR(OFFSET(extraction!B$2,MATCH(0,COUNTIF('BIOLAM LCD'!E$5:E147,intit),0),),"")</f>
        <v/>
      </c>
      <c r="F148" s="874" t="str">
        <f ca="1">IF(D148="","",SUMPRODUCT((numeros=D148)*(montant)))</f>
        <v/>
      </c>
      <c r="H148"/>
      <c r="I148"/>
    </row>
    <row r="149" spans="4:9">
      <c r="D149" s="871" t="str">
        <f t="array" aca="1" ref="D149" ca="1">IFERROR(OFFSET(extraction!A$2,MATCH(0,COUNTIF('BIOLAM LCD'!D$5:D148,numeros),0),),"")</f>
        <v/>
      </c>
      <c r="E149" s="871" t="str">
        <f t="array" aca="1" ref="E149" ca="1">IFERROR(OFFSET(extraction!B$2,MATCH(0,COUNTIF('BIOLAM LCD'!E$5:E148,intit),0),),"")</f>
        <v/>
      </c>
      <c r="F149" s="874" t="str">
        <f ca="1">IF(D149="","",SUMPRODUCT((numeros=D149)*(montant)))</f>
        <v/>
      </c>
      <c r="H149"/>
      <c r="I149"/>
    </row>
    <row r="150" spans="4:9">
      <c r="D150" s="871" t="str">
        <f t="array" aca="1" ref="D150" ca="1">IFERROR(OFFSET(extraction!A$2,MATCH(0,COUNTIF('BIOLAM LCD'!D$5:D149,numeros),0),),"")</f>
        <v/>
      </c>
      <c r="E150" s="871" t="str">
        <f t="array" aca="1" ref="E150" ca="1">IFERROR(OFFSET(extraction!B$2,MATCH(0,COUNTIF('BIOLAM LCD'!E$5:E149,intit),0),),"")</f>
        <v/>
      </c>
      <c r="F150" s="874" t="str">
        <f ca="1">IF(D150="","",SUMPRODUCT((numeros=D150)*(montant)))</f>
        <v/>
      </c>
      <c r="H150"/>
      <c r="I150"/>
    </row>
    <row r="151" spans="4:9">
      <c r="D151" s="871" t="str">
        <f t="array" aca="1" ref="D151" ca="1">IFERROR(OFFSET(extraction!A$2,MATCH(0,COUNTIF('BIOLAM LCD'!D$5:D150,numeros),0),),"")</f>
        <v/>
      </c>
      <c r="E151" s="871" t="str">
        <f t="array" aca="1" ref="E151" ca="1">IFERROR(OFFSET(extraction!B$2,MATCH(0,COUNTIF('BIOLAM LCD'!E$5:E150,intit),0),),"")</f>
        <v/>
      </c>
      <c r="F151" s="874" t="str">
        <f ca="1">IF(D151="","",SUMPRODUCT((numeros=D151)*(montant)))</f>
        <v/>
      </c>
      <c r="H151"/>
      <c r="I151"/>
    </row>
    <row r="152" spans="4:9">
      <c r="D152" s="871" t="str">
        <f t="array" aca="1" ref="D152" ca="1">IFERROR(OFFSET(extraction!A$2,MATCH(0,COUNTIF('BIOLAM LCD'!D$5:D151,numeros),0),),"")</f>
        <v/>
      </c>
      <c r="E152" s="871" t="str">
        <f t="array" aca="1" ref="E152" ca="1">IFERROR(OFFSET(extraction!B$2,MATCH(0,COUNTIF('BIOLAM LCD'!E$5:E151,intit),0),),"")</f>
        <v/>
      </c>
      <c r="F152" s="874" t="str">
        <f ca="1">IF(D152="","",SUMPRODUCT((numeros=D152)*(montant)))</f>
        <v/>
      </c>
      <c r="H152"/>
      <c r="I152"/>
    </row>
    <row r="153" spans="4:9">
      <c r="D153" s="871" t="str">
        <f t="array" aca="1" ref="D153" ca="1">IFERROR(OFFSET(extraction!A$2,MATCH(0,COUNTIF('BIOLAM LCD'!D$5:D152,numeros),0),),"")</f>
        <v/>
      </c>
      <c r="E153" s="871" t="str">
        <f t="array" aca="1" ref="E153" ca="1">IFERROR(OFFSET(extraction!B$2,MATCH(0,COUNTIF('BIOLAM LCD'!E$5:E152,intit),0),),"")</f>
        <v/>
      </c>
      <c r="F153" s="874" t="str">
        <f ca="1">IF(D153="","",SUMPRODUCT((numeros=D153)*(montant)))</f>
        <v/>
      </c>
      <c r="H153"/>
      <c r="I153"/>
    </row>
    <row r="154" spans="4:9">
      <c r="D154" s="871" t="str">
        <f t="array" aca="1" ref="D154" ca="1">IFERROR(OFFSET(extraction!A$2,MATCH(0,COUNTIF('BIOLAM LCD'!D$5:D153,numeros),0),),"")</f>
        <v/>
      </c>
      <c r="E154" s="871" t="str">
        <f t="array" aca="1" ref="E154" ca="1">IFERROR(OFFSET(extraction!B$2,MATCH(0,COUNTIF('BIOLAM LCD'!E$5:E153,intit),0),),"")</f>
        <v/>
      </c>
      <c r="F154" s="874" t="str">
        <f ca="1">IF(D154="","",SUMPRODUCT((numeros=D154)*(montant)))</f>
        <v/>
      </c>
      <c r="H154"/>
      <c r="I154"/>
    </row>
    <row r="155" spans="4:9">
      <c r="D155" s="871" t="str">
        <f t="array" aca="1" ref="D155" ca="1">IFERROR(OFFSET(extraction!A$2,MATCH(0,COUNTIF('BIOLAM LCD'!D$5:D154,numeros),0),),"")</f>
        <v/>
      </c>
      <c r="E155" s="871" t="str">
        <f t="array" aca="1" ref="E155" ca="1">IFERROR(OFFSET(extraction!B$2,MATCH(0,COUNTIF('BIOLAM LCD'!E$5:E154,intit),0),),"")</f>
        <v/>
      </c>
      <c r="F155" s="874" t="str">
        <f ca="1">IF(D155="","",SUMPRODUCT((numeros=D155)*(montant)))</f>
        <v/>
      </c>
      <c r="H155"/>
      <c r="I155"/>
    </row>
    <row r="156" spans="4:9">
      <c r="D156" s="871" t="str">
        <f t="array" aca="1" ref="D156" ca="1">IFERROR(OFFSET(extraction!A$2,MATCH(0,COUNTIF('BIOLAM LCD'!D$5:D155,numeros),0),),"")</f>
        <v/>
      </c>
      <c r="E156" s="871" t="str">
        <f t="array" aca="1" ref="E156" ca="1">IFERROR(OFFSET(extraction!B$2,MATCH(0,COUNTIF('BIOLAM LCD'!E$5:E155,intit),0),),"")</f>
        <v/>
      </c>
      <c r="F156" s="874" t="str">
        <f ca="1">IF(D156="","",SUMPRODUCT((numeros=D156)*(montant)))</f>
        <v/>
      </c>
      <c r="H156"/>
      <c r="I156"/>
    </row>
    <row r="157" spans="4:9">
      <c r="D157" s="871" t="str">
        <f t="array" aca="1" ref="D157" ca="1">IFERROR(OFFSET(extraction!A$2,MATCH(0,COUNTIF('BIOLAM LCD'!D$5:D156,numeros),0),),"")</f>
        <v/>
      </c>
      <c r="E157" s="871" t="str">
        <f t="array" aca="1" ref="E157" ca="1">IFERROR(OFFSET(extraction!B$2,MATCH(0,COUNTIF('BIOLAM LCD'!E$5:E156,intit),0),),"")</f>
        <v/>
      </c>
      <c r="F157" s="874" t="str">
        <f ca="1">IF(D157="","",SUMPRODUCT((numeros=D157)*(montant)))</f>
        <v/>
      </c>
      <c r="H157"/>
      <c r="I157"/>
    </row>
    <row r="158" spans="4:9">
      <c r="D158" s="871" t="str">
        <f t="array" aca="1" ref="D158" ca="1">IFERROR(OFFSET(extraction!A$2,MATCH(0,COUNTIF('BIOLAM LCD'!D$5:D157,numeros),0),),"")</f>
        <v/>
      </c>
      <c r="E158" s="871" t="str">
        <f t="array" aca="1" ref="E158" ca="1">IFERROR(OFFSET(extraction!B$2,MATCH(0,COUNTIF('BIOLAM LCD'!E$5:E157,intit),0),),"")</f>
        <v/>
      </c>
      <c r="F158" s="874" t="str">
        <f ca="1">IF(D158="","",SUMPRODUCT((numeros=D158)*(montant)))</f>
        <v/>
      </c>
      <c r="H158"/>
      <c r="I158"/>
    </row>
    <row r="159" spans="4:9">
      <c r="D159" s="871" t="str">
        <f t="array" aca="1" ref="D159" ca="1">IFERROR(OFFSET(extraction!A$2,MATCH(0,COUNTIF('BIOLAM LCD'!D$5:D158,numeros),0),),"")</f>
        <v/>
      </c>
      <c r="E159" s="871" t="str">
        <f t="array" aca="1" ref="E159" ca="1">IFERROR(OFFSET(extraction!B$2,MATCH(0,COUNTIF('BIOLAM LCD'!E$5:E158,intit),0),),"")</f>
        <v/>
      </c>
      <c r="F159" s="874" t="str">
        <f ca="1">IF(D159="","",SUMPRODUCT((numeros=D159)*(montant)))</f>
        <v/>
      </c>
      <c r="H159"/>
      <c r="I159"/>
    </row>
    <row r="160" spans="4:9">
      <c r="D160" s="871" t="str">
        <f t="array" aca="1" ref="D160" ca="1">IFERROR(OFFSET(extraction!A$2,MATCH(0,COUNTIF('BIOLAM LCD'!D$5:D159,numeros),0),),"")</f>
        <v/>
      </c>
      <c r="E160" s="871" t="str">
        <f t="array" aca="1" ref="E160" ca="1">IFERROR(OFFSET(extraction!B$2,MATCH(0,COUNTIF('BIOLAM LCD'!E$5:E159,intit),0),),"")</f>
        <v/>
      </c>
      <c r="F160" s="874" t="str">
        <f ca="1">IF(D160="","",SUMPRODUCT((numeros=D160)*(montant)))</f>
        <v/>
      </c>
      <c r="H160"/>
      <c r="I160"/>
    </row>
    <row r="161" spans="4:9">
      <c r="D161" s="871" t="str">
        <f t="array" aca="1" ref="D161" ca="1">IFERROR(OFFSET(extraction!A$2,MATCH(0,COUNTIF('BIOLAM LCD'!D$5:D160,numeros),0),),"")</f>
        <v/>
      </c>
      <c r="E161" s="871" t="str">
        <f t="array" aca="1" ref="E161" ca="1">IFERROR(OFFSET(extraction!B$2,MATCH(0,COUNTIF('BIOLAM LCD'!E$5:E160,intit),0),),"")</f>
        <v/>
      </c>
      <c r="F161" s="874" t="str">
        <f ca="1">IF(D161="","",SUMPRODUCT((numeros=D161)*(montant)))</f>
        <v/>
      </c>
      <c r="H161"/>
      <c r="I161"/>
    </row>
    <row r="162" spans="4:9">
      <c r="D162" s="871" t="str">
        <f t="array" aca="1" ref="D162" ca="1">IFERROR(OFFSET(extraction!A$2,MATCH(0,COUNTIF('BIOLAM LCD'!D$5:D161,numeros),0),),"")</f>
        <v/>
      </c>
      <c r="E162" s="871" t="str">
        <f t="array" aca="1" ref="E162" ca="1">IFERROR(OFFSET(extraction!B$2,MATCH(0,COUNTIF('BIOLAM LCD'!E$5:E161,intit),0),),"")</f>
        <v/>
      </c>
      <c r="F162" s="874" t="str">
        <f ca="1">IF(D162="","",SUMPRODUCT((numeros=D162)*(montant)))</f>
        <v/>
      </c>
      <c r="H162"/>
      <c r="I162"/>
    </row>
    <row r="163" spans="4:9">
      <c r="D163" s="871" t="str">
        <f t="array" aca="1" ref="D163" ca="1">IFERROR(OFFSET(extraction!A$2,MATCH(0,COUNTIF('BIOLAM LCD'!D$5:D162,numeros),0),),"")</f>
        <v/>
      </c>
      <c r="E163" s="871" t="str">
        <f t="array" aca="1" ref="E163" ca="1">IFERROR(OFFSET(extraction!B$2,MATCH(0,COUNTIF('BIOLAM LCD'!E$5:E162,intit),0),),"")</f>
        <v/>
      </c>
      <c r="F163" s="874" t="str">
        <f ca="1">IF(D163="","",SUMPRODUCT((numeros=D163)*(montant)))</f>
        <v/>
      </c>
      <c r="H163"/>
      <c r="I163"/>
    </row>
    <row r="164" spans="4:9">
      <c r="D164" s="871" t="str">
        <f t="array" aca="1" ref="D164" ca="1">IFERROR(OFFSET(extraction!A$2,MATCH(0,COUNTIF('BIOLAM LCD'!D$5:D163,numeros),0),),"")</f>
        <v/>
      </c>
      <c r="E164" s="871" t="str">
        <f t="array" aca="1" ref="E164" ca="1">IFERROR(OFFSET(extraction!B$2,MATCH(0,COUNTIF('BIOLAM LCD'!E$5:E163,intit),0),),"")</f>
        <v/>
      </c>
      <c r="F164" s="874" t="str">
        <f ca="1">IF(D164="","",SUMPRODUCT((numeros=D164)*(montant)))</f>
        <v/>
      </c>
      <c r="H164"/>
      <c r="I164"/>
    </row>
    <row r="165" spans="4:9">
      <c r="D165" s="871" t="str">
        <f t="array" aca="1" ref="D165" ca="1">IFERROR(OFFSET(extraction!A$2,MATCH(0,COUNTIF('BIOLAM LCD'!D$5:D164,numeros),0),),"")</f>
        <v/>
      </c>
      <c r="E165" s="871" t="str">
        <f t="array" aca="1" ref="E165" ca="1">IFERROR(OFFSET(extraction!B$2,MATCH(0,COUNTIF('BIOLAM LCD'!E$5:E164,intit),0),),"")</f>
        <v/>
      </c>
      <c r="F165" s="874" t="str">
        <f ca="1">IF(D165="","",SUMPRODUCT((numeros=D165)*(montant)))</f>
        <v/>
      </c>
      <c r="H165"/>
      <c r="I165"/>
    </row>
    <row r="166" spans="4:9">
      <c r="D166" s="871" t="str">
        <f t="array" aca="1" ref="D166" ca="1">IFERROR(OFFSET(extraction!A$2,MATCH(0,COUNTIF('BIOLAM LCD'!D$5:D165,numeros),0),),"")</f>
        <v/>
      </c>
      <c r="E166" s="871" t="str">
        <f t="array" aca="1" ref="E166" ca="1">IFERROR(OFFSET(extraction!B$2,MATCH(0,COUNTIF('BIOLAM LCD'!E$5:E165,intit),0),),"")</f>
        <v/>
      </c>
      <c r="F166" s="874" t="str">
        <f ca="1">IF(D166="","",SUMPRODUCT((numeros=D166)*(montant)))</f>
        <v/>
      </c>
      <c r="H166"/>
      <c r="I166"/>
    </row>
    <row r="167" spans="4:9">
      <c r="D167" s="871" t="str">
        <f t="array" aca="1" ref="D167" ca="1">IFERROR(OFFSET(extraction!A$2,MATCH(0,COUNTIF('BIOLAM LCD'!D$5:D166,numeros),0),),"")</f>
        <v/>
      </c>
      <c r="E167" s="871" t="str">
        <f t="array" aca="1" ref="E167" ca="1">IFERROR(OFFSET(extraction!B$2,MATCH(0,COUNTIF('BIOLAM LCD'!E$5:E166,intit),0),),"")</f>
        <v/>
      </c>
      <c r="F167" s="874" t="str">
        <f ca="1">IF(D167="","",SUMPRODUCT((numeros=D167)*(montant)))</f>
        <v/>
      </c>
      <c r="H167"/>
      <c r="I167"/>
    </row>
    <row r="168" spans="4:9">
      <c r="D168" s="871" t="str">
        <f t="array" aca="1" ref="D168" ca="1">IFERROR(OFFSET(extraction!A$2,MATCH(0,COUNTIF('BIOLAM LCD'!D$5:D167,numeros),0),),"")</f>
        <v/>
      </c>
      <c r="E168" s="871" t="str">
        <f t="array" aca="1" ref="E168" ca="1">IFERROR(OFFSET(extraction!B$2,MATCH(0,COUNTIF('BIOLAM LCD'!E$5:E167,intit),0),),"")</f>
        <v/>
      </c>
      <c r="F168" s="874" t="str">
        <f ca="1">IF(D168="","",SUMPRODUCT((numeros=D168)*(montant)))</f>
        <v/>
      </c>
      <c r="H168"/>
      <c r="I168"/>
    </row>
    <row r="169" spans="4:9">
      <c r="D169" s="871" t="str">
        <f t="array" aca="1" ref="D169" ca="1">IFERROR(OFFSET(extraction!A$2,MATCH(0,COUNTIF('BIOLAM LCD'!D$5:D168,numeros),0),),"")</f>
        <v/>
      </c>
      <c r="E169" s="871" t="str">
        <f t="array" aca="1" ref="E169" ca="1">IFERROR(OFFSET(extraction!B$2,MATCH(0,COUNTIF('BIOLAM LCD'!E$5:E168,intit),0),),"")</f>
        <v/>
      </c>
      <c r="F169" s="874" t="str">
        <f ca="1">IF(D169="","",SUMPRODUCT((numeros=D169)*(montant)))</f>
        <v/>
      </c>
      <c r="H169"/>
      <c r="I169"/>
    </row>
    <row r="170" spans="4:9">
      <c r="D170" s="871" t="str">
        <f t="array" aca="1" ref="D170" ca="1">IFERROR(OFFSET(extraction!A$2,MATCH(0,COUNTIF('BIOLAM LCD'!D$5:D169,numeros),0),),"")</f>
        <v/>
      </c>
      <c r="E170" s="871" t="str">
        <f t="array" aca="1" ref="E170" ca="1">IFERROR(OFFSET(extraction!B$2,MATCH(0,COUNTIF('BIOLAM LCD'!E$5:E169,intit),0),),"")</f>
        <v/>
      </c>
      <c r="F170" s="874" t="str">
        <f ca="1">IF(D170="","",SUMPRODUCT((numeros=D170)*(montant)))</f>
        <v/>
      </c>
      <c r="H170"/>
      <c r="I170"/>
    </row>
    <row r="171" spans="4:9">
      <c r="D171" s="871" t="str">
        <f t="array" aca="1" ref="D171" ca="1">IFERROR(OFFSET(extraction!A$2,MATCH(0,COUNTIF('BIOLAM LCD'!D$5:D170,numeros),0),),"")</f>
        <v/>
      </c>
      <c r="E171" s="871" t="str">
        <f t="array" aca="1" ref="E171" ca="1">IFERROR(OFFSET(extraction!B$2,MATCH(0,COUNTIF('BIOLAM LCD'!E$5:E170,intit),0),),"")</f>
        <v/>
      </c>
      <c r="F171" s="874" t="str">
        <f ca="1">IF(D171="","",SUMPRODUCT((numeros=D171)*(montant)))</f>
        <v/>
      </c>
      <c r="H171"/>
      <c r="I171"/>
    </row>
    <row r="172" spans="4:9">
      <c r="D172" s="871" t="str">
        <f t="array" aca="1" ref="D172" ca="1">IFERROR(OFFSET(extraction!A$2,MATCH(0,COUNTIF('BIOLAM LCD'!D$5:D171,numeros),0),),"")</f>
        <v/>
      </c>
      <c r="E172" s="871" t="str">
        <f t="array" aca="1" ref="E172" ca="1">IFERROR(OFFSET(extraction!B$2,MATCH(0,COUNTIF('BIOLAM LCD'!E$5:E171,intit),0),),"")</f>
        <v/>
      </c>
      <c r="F172" s="874" t="str">
        <f ca="1">IF(D172="","",SUMPRODUCT((numeros=D172)*(montant)))</f>
        <v/>
      </c>
      <c r="H172"/>
      <c r="I172"/>
    </row>
    <row r="173" spans="4:9">
      <c r="D173" s="871" t="str">
        <f t="array" aca="1" ref="D173" ca="1">IFERROR(OFFSET(extraction!A$2,MATCH(0,COUNTIF('BIOLAM LCD'!D$5:D172,numeros),0),),"")</f>
        <v/>
      </c>
      <c r="E173" s="871" t="str">
        <f t="array" aca="1" ref="E173" ca="1">IFERROR(OFFSET(extraction!B$2,MATCH(0,COUNTIF('BIOLAM LCD'!E$5:E172,intit),0),),"")</f>
        <v/>
      </c>
      <c r="F173" s="874" t="str">
        <f ca="1">IF(D173="","",SUMPRODUCT((numeros=D173)*(montant)))</f>
        <v/>
      </c>
      <c r="H173"/>
      <c r="I173"/>
    </row>
    <row r="174" spans="4:9">
      <c r="D174" s="871" t="str">
        <f t="array" aca="1" ref="D174" ca="1">IFERROR(OFFSET(extraction!A$2,MATCH(0,COUNTIF('BIOLAM LCD'!D$5:D173,numeros),0),),"")</f>
        <v/>
      </c>
      <c r="E174" s="871" t="str">
        <f t="array" aca="1" ref="E174" ca="1">IFERROR(OFFSET(extraction!B$2,MATCH(0,COUNTIF('BIOLAM LCD'!E$5:E173,intit),0),),"")</f>
        <v/>
      </c>
      <c r="F174" s="874" t="str">
        <f ca="1">IF(D174="","",SUMPRODUCT((numeros=D174)*(montant)))</f>
        <v/>
      </c>
      <c r="H174"/>
      <c r="I174"/>
    </row>
    <row r="175" spans="4:9">
      <c r="D175" s="871" t="str">
        <f t="array" aca="1" ref="D175" ca="1">IFERROR(OFFSET(extraction!A$2,MATCH(0,COUNTIF('BIOLAM LCD'!D$5:D174,numeros),0),),"")</f>
        <v/>
      </c>
      <c r="E175" s="871" t="str">
        <f t="array" aca="1" ref="E175" ca="1">IFERROR(OFFSET(extraction!B$2,MATCH(0,COUNTIF('BIOLAM LCD'!E$5:E174,intit),0),),"")</f>
        <v/>
      </c>
      <c r="F175" s="874" t="str">
        <f ca="1">IF(D175="","",SUMPRODUCT((numeros=D175)*(montant)))</f>
        <v/>
      </c>
      <c r="H175"/>
      <c r="I175"/>
    </row>
    <row r="176" spans="4:9">
      <c r="D176" s="871" t="str">
        <f t="array" aca="1" ref="D176" ca="1">IFERROR(OFFSET(extraction!A$2,MATCH(0,COUNTIF('BIOLAM LCD'!D$5:D175,numeros),0),),"")</f>
        <v/>
      </c>
      <c r="E176" s="871" t="str">
        <f t="array" aca="1" ref="E176" ca="1">IFERROR(OFFSET(extraction!B$2,MATCH(0,COUNTIF('BIOLAM LCD'!E$5:E175,intit),0),),"")</f>
        <v/>
      </c>
      <c r="F176" s="874" t="str">
        <f ca="1">IF(D176="","",SUMPRODUCT((numeros=D176)*(montant)))</f>
        <v/>
      </c>
      <c r="H176"/>
      <c r="I176"/>
    </row>
    <row r="177" spans="4:9">
      <c r="D177" s="871" t="str">
        <f t="array" aca="1" ref="D177" ca="1">IFERROR(OFFSET(extraction!A$2,MATCH(0,COUNTIF('BIOLAM LCD'!D$5:D176,numeros),0),),"")</f>
        <v/>
      </c>
      <c r="E177" s="871" t="str">
        <f t="array" aca="1" ref="E177" ca="1">IFERROR(OFFSET(extraction!B$2,MATCH(0,COUNTIF('BIOLAM LCD'!E$5:E176,intit),0),),"")</f>
        <v/>
      </c>
      <c r="F177" s="874" t="str">
        <f ca="1">IF(D177="","",SUMPRODUCT((numeros=D177)*(montant)))</f>
        <v/>
      </c>
      <c r="H177"/>
      <c r="I177"/>
    </row>
    <row r="178" spans="4:9">
      <c r="D178" s="871" t="str">
        <f t="array" aca="1" ref="D178" ca="1">IFERROR(OFFSET(extraction!A$2,MATCH(0,COUNTIF('BIOLAM LCD'!D$5:D177,numeros),0),),"")</f>
        <v/>
      </c>
      <c r="E178" s="871" t="str">
        <f t="array" aca="1" ref="E178" ca="1">IFERROR(OFFSET(extraction!B$2,MATCH(0,COUNTIF('BIOLAM LCD'!E$5:E177,intit),0),),"")</f>
        <v/>
      </c>
      <c r="F178" s="874" t="str">
        <f ca="1">IF(D178="","",SUMPRODUCT((numeros=D178)*(montant)))</f>
        <v/>
      </c>
      <c r="H178"/>
      <c r="I178"/>
    </row>
    <row r="179" spans="4:9">
      <c r="D179" s="871" t="str">
        <f t="array" aca="1" ref="D179" ca="1">IFERROR(OFFSET(extraction!A$2,MATCH(0,COUNTIF('BIOLAM LCD'!D$5:D178,numeros),0),),"")</f>
        <v/>
      </c>
      <c r="E179" s="871" t="str">
        <f t="array" aca="1" ref="E179" ca="1">IFERROR(OFFSET(extraction!B$2,MATCH(0,COUNTIF('BIOLAM LCD'!E$5:E178,intit),0),),"")</f>
        <v/>
      </c>
      <c r="F179" s="874" t="str">
        <f ca="1">IF(D179="","",SUMPRODUCT((numeros=D179)*(montant)))</f>
        <v/>
      </c>
      <c r="H179"/>
      <c r="I179"/>
    </row>
    <row r="180" spans="4:9">
      <c r="D180" s="871" t="str">
        <f t="array" aca="1" ref="D180" ca="1">IFERROR(OFFSET(extraction!A$2,MATCH(0,COUNTIF('BIOLAM LCD'!D$5:D179,numeros),0),),"")</f>
        <v/>
      </c>
      <c r="E180" s="871" t="str">
        <f t="array" aca="1" ref="E180" ca="1">IFERROR(OFFSET(extraction!B$2,MATCH(0,COUNTIF('BIOLAM LCD'!E$5:E179,intit),0),),"")</f>
        <v/>
      </c>
      <c r="F180" s="874" t="str">
        <f ca="1">IF(D180="","",SUMPRODUCT((numeros=D180)*(montant)))</f>
        <v/>
      </c>
      <c r="H180"/>
      <c r="I180"/>
    </row>
    <row r="181" spans="4:9">
      <c r="D181" s="871" t="str">
        <f t="array" aca="1" ref="D181" ca="1">IFERROR(OFFSET(extraction!A$2,MATCH(0,COUNTIF('BIOLAM LCD'!D$5:D180,numeros),0),),"")</f>
        <v/>
      </c>
      <c r="E181" s="871" t="str">
        <f t="array" aca="1" ref="E181" ca="1">IFERROR(OFFSET(extraction!B$2,MATCH(0,COUNTIF('BIOLAM LCD'!E$5:E180,intit),0),),"")</f>
        <v/>
      </c>
      <c r="F181" s="874" t="str">
        <f ca="1">IF(D181="","",SUMPRODUCT((numeros=D181)*(montant)))</f>
        <v/>
      </c>
      <c r="H181"/>
      <c r="I181"/>
    </row>
    <row r="182" spans="4:9">
      <c r="D182" s="871" t="str">
        <f t="array" aca="1" ref="D182" ca="1">IFERROR(OFFSET(extraction!A$2,MATCH(0,COUNTIF('BIOLAM LCD'!D$5:D181,numeros),0),),"")</f>
        <v/>
      </c>
      <c r="E182" s="871" t="str">
        <f t="array" aca="1" ref="E182" ca="1">IFERROR(OFFSET(extraction!B$2,MATCH(0,COUNTIF('BIOLAM LCD'!E$5:E181,intit),0),),"")</f>
        <v/>
      </c>
      <c r="F182" s="874" t="str">
        <f ca="1">IF(D182="","",SUMPRODUCT((numeros=D182)*(montant)))</f>
        <v/>
      </c>
      <c r="H182"/>
      <c r="I182"/>
    </row>
    <row r="183" spans="4:9">
      <c r="D183" s="871" t="str">
        <f t="array" aca="1" ref="D183" ca="1">IFERROR(OFFSET(extraction!A$2,MATCH(0,COUNTIF('BIOLAM LCD'!D$5:D182,numeros),0),),"")</f>
        <v/>
      </c>
      <c r="E183" s="871" t="str">
        <f t="array" aca="1" ref="E183" ca="1">IFERROR(OFFSET(extraction!B$2,MATCH(0,COUNTIF('BIOLAM LCD'!E$5:E182,intit),0),),"")</f>
        <v/>
      </c>
      <c r="F183" s="874" t="str">
        <f ca="1">IF(D183="","",SUMPRODUCT((numeros=D183)*(montant)))</f>
        <v/>
      </c>
      <c r="H183"/>
      <c r="I183"/>
    </row>
    <row r="184" spans="4:9">
      <c r="D184" s="871" t="str">
        <f t="array" aca="1" ref="D184" ca="1">IFERROR(OFFSET(extraction!A$2,MATCH(0,COUNTIF('BIOLAM LCD'!D$5:D183,numeros),0),),"")</f>
        <v/>
      </c>
      <c r="E184" s="871" t="str">
        <f t="array" aca="1" ref="E184" ca="1">IFERROR(OFFSET(extraction!B$2,MATCH(0,COUNTIF('BIOLAM LCD'!E$5:E183,intit),0),),"")</f>
        <v/>
      </c>
      <c r="F184" s="874" t="str">
        <f ca="1">IF(D184="","",SUMPRODUCT((numeros=D184)*(montant)))</f>
        <v/>
      </c>
      <c r="H184"/>
      <c r="I184"/>
    </row>
    <row r="185" spans="4:9">
      <c r="D185" s="871" t="str">
        <f t="array" aca="1" ref="D185" ca="1">IFERROR(OFFSET(extraction!A$2,MATCH(0,COUNTIF('BIOLAM LCD'!D$5:D184,numeros),0),),"")</f>
        <v/>
      </c>
      <c r="E185" s="871" t="str">
        <f t="array" aca="1" ref="E185" ca="1">IFERROR(OFFSET(extraction!B$2,MATCH(0,COUNTIF('BIOLAM LCD'!E$5:E184,intit),0),),"")</f>
        <v/>
      </c>
      <c r="F185" s="874" t="str">
        <f ca="1">IF(D185="","",SUMPRODUCT((numeros=D185)*(montant)))</f>
        <v/>
      </c>
      <c r="H185"/>
      <c r="I185"/>
    </row>
    <row r="186" spans="4:9">
      <c r="D186" s="871" t="str">
        <f t="array" aca="1" ref="D186" ca="1">IFERROR(OFFSET(extraction!A$2,MATCH(0,COUNTIF('BIOLAM LCD'!D$5:D185,numeros),0),),"")</f>
        <v/>
      </c>
      <c r="E186" s="871" t="str">
        <f t="array" aca="1" ref="E186" ca="1">IFERROR(OFFSET(extraction!B$2,MATCH(0,COUNTIF('BIOLAM LCD'!E$5:E185,intit),0),),"")</f>
        <v/>
      </c>
      <c r="F186" s="874" t="str">
        <f ca="1">IF(D186="","",SUMPRODUCT((numeros=D186)*(montant)))</f>
        <v/>
      </c>
      <c r="H186"/>
      <c r="I186"/>
    </row>
    <row r="187" spans="4:9">
      <c r="D187" s="871" t="str">
        <f t="array" aca="1" ref="D187" ca="1">IFERROR(OFFSET(extraction!A$2,MATCH(0,COUNTIF('BIOLAM LCD'!D$5:D186,numeros),0),),"")</f>
        <v/>
      </c>
      <c r="E187" s="871" t="str">
        <f t="array" aca="1" ref="E187" ca="1">IFERROR(OFFSET(extraction!B$2,MATCH(0,COUNTIF('BIOLAM LCD'!E$5:E186,intit),0),),"")</f>
        <v/>
      </c>
      <c r="F187" s="874" t="str">
        <f ca="1">IF(D187="","",SUMPRODUCT((numeros=D187)*(montant)))</f>
        <v/>
      </c>
      <c r="H187"/>
      <c r="I187"/>
    </row>
    <row r="188" spans="4:9">
      <c r="D188" s="871" t="str">
        <f t="array" aca="1" ref="D188" ca="1">IFERROR(OFFSET(extraction!A$2,MATCH(0,COUNTIF('BIOLAM LCD'!D$5:D187,numeros),0),),"")</f>
        <v/>
      </c>
      <c r="E188" s="871" t="str">
        <f t="array" aca="1" ref="E188" ca="1">IFERROR(OFFSET(extraction!B$2,MATCH(0,COUNTIF('BIOLAM LCD'!E$5:E187,intit),0),),"")</f>
        <v/>
      </c>
      <c r="F188" s="874" t="str">
        <f ca="1">IF(D188="","",SUMPRODUCT((numeros=D188)*(montant)))</f>
        <v/>
      </c>
      <c r="H188"/>
      <c r="I188"/>
    </row>
    <row r="189" spans="4:9">
      <c r="D189" s="871" t="str">
        <f t="array" aca="1" ref="D189" ca="1">IFERROR(OFFSET(extraction!A$2,MATCH(0,COUNTIF('BIOLAM LCD'!D$5:D188,numeros),0),),"")</f>
        <v/>
      </c>
      <c r="E189" s="871" t="str">
        <f t="array" aca="1" ref="E189" ca="1">IFERROR(OFFSET(extraction!B$2,MATCH(0,COUNTIF('BIOLAM LCD'!E$5:E188,intit),0),),"")</f>
        <v/>
      </c>
      <c r="F189" s="874" t="str">
        <f ca="1">IF(D189="","",SUMPRODUCT((numeros=D189)*(montant)))</f>
        <v/>
      </c>
      <c r="H189"/>
      <c r="I189"/>
    </row>
    <row r="190" spans="4:9">
      <c r="D190" s="871" t="str">
        <f t="array" aca="1" ref="D190" ca="1">IFERROR(OFFSET(extraction!A$2,MATCH(0,COUNTIF('BIOLAM LCD'!D$5:D189,numeros),0),),"")</f>
        <v/>
      </c>
      <c r="E190" s="871" t="str">
        <f t="array" aca="1" ref="E190" ca="1">IFERROR(OFFSET(extraction!B$2,MATCH(0,COUNTIF('BIOLAM LCD'!E$5:E189,intit),0),),"")</f>
        <v/>
      </c>
      <c r="F190" s="874" t="str">
        <f ca="1">IF(D190="","",SUMPRODUCT((numeros=D190)*(montant)))</f>
        <v/>
      </c>
      <c r="H190"/>
      <c r="I190"/>
    </row>
    <row r="191" spans="4:9">
      <c r="D191" s="871" t="str">
        <f t="array" aca="1" ref="D191" ca="1">IFERROR(OFFSET(extraction!A$2,MATCH(0,COUNTIF('BIOLAM LCD'!D$5:D190,numeros),0),),"")</f>
        <v/>
      </c>
      <c r="E191" s="871" t="str">
        <f t="array" aca="1" ref="E191" ca="1">IFERROR(OFFSET(extraction!B$2,MATCH(0,COUNTIF('BIOLAM LCD'!E$5:E190,intit),0),),"")</f>
        <v/>
      </c>
      <c r="F191" s="874" t="str">
        <f ca="1">IF(D191="","",SUMPRODUCT((numeros=D191)*(montant)))</f>
        <v/>
      </c>
      <c r="H191"/>
      <c r="I191"/>
    </row>
    <row r="192" spans="4:9">
      <c r="D192" s="871" t="str">
        <f t="array" aca="1" ref="D192" ca="1">IFERROR(OFFSET(extraction!A$2,MATCH(0,COUNTIF('BIOLAM LCD'!D$5:D191,numeros),0),),"")</f>
        <v/>
      </c>
      <c r="E192" s="871" t="str">
        <f t="array" aca="1" ref="E192" ca="1">IFERROR(OFFSET(extraction!B$2,MATCH(0,COUNTIF('BIOLAM LCD'!E$5:E191,intit),0),),"")</f>
        <v/>
      </c>
      <c r="F192" s="874" t="str">
        <f ca="1">IF(D192="","",SUMPRODUCT((numeros=D192)*(montant)))</f>
        <v/>
      </c>
      <c r="H192"/>
      <c r="I192"/>
    </row>
    <row r="193" spans="4:9">
      <c r="D193" s="871" t="str">
        <f t="array" aca="1" ref="D193" ca="1">IFERROR(OFFSET(extraction!A$2,MATCH(0,COUNTIF('BIOLAM LCD'!D$5:D192,numeros),0),),"")</f>
        <v/>
      </c>
      <c r="E193" s="871" t="str">
        <f t="array" aca="1" ref="E193" ca="1">IFERROR(OFFSET(extraction!B$2,MATCH(0,COUNTIF('BIOLAM LCD'!E$5:E192,intit),0),),"")</f>
        <v/>
      </c>
      <c r="F193" s="874" t="str">
        <f ca="1">IF(D193="","",SUMPRODUCT((numeros=D193)*(montant)))</f>
        <v/>
      </c>
      <c r="H193"/>
      <c r="I193"/>
    </row>
    <row r="194" spans="4:9">
      <c r="D194" s="871" t="str">
        <f t="array" aca="1" ref="D194" ca="1">IFERROR(OFFSET(extraction!A$2,MATCH(0,COUNTIF('BIOLAM LCD'!D$5:D193,numeros),0),),"")</f>
        <v/>
      </c>
      <c r="E194" s="871" t="str">
        <f t="array" aca="1" ref="E194" ca="1">IFERROR(OFFSET(extraction!B$2,MATCH(0,COUNTIF('BIOLAM LCD'!E$5:E193,intit),0),),"")</f>
        <v/>
      </c>
      <c r="F194" s="874" t="str">
        <f ca="1">IF(D194="","",SUMPRODUCT((numeros=D194)*(montant)))</f>
        <v/>
      </c>
      <c r="H194"/>
      <c r="I194"/>
    </row>
    <row r="195" spans="4:9">
      <c r="D195" s="871" t="str">
        <f t="array" aca="1" ref="D195" ca="1">IFERROR(OFFSET(extraction!A$2,MATCH(0,COUNTIF('BIOLAM LCD'!D$5:D194,numeros),0),),"")</f>
        <v/>
      </c>
      <c r="E195" s="871" t="str">
        <f t="array" aca="1" ref="E195" ca="1">IFERROR(OFFSET(extraction!B$2,MATCH(0,COUNTIF('BIOLAM LCD'!E$5:E194,intit),0),),"")</f>
        <v/>
      </c>
      <c r="F195" s="874" t="str">
        <f ca="1">IF(D195="","",SUMPRODUCT((numeros=D195)*(montant)))</f>
        <v/>
      </c>
      <c r="H195"/>
      <c r="I195"/>
    </row>
    <row r="196" spans="4:9">
      <c r="D196" s="871" t="str">
        <f t="array" aca="1" ref="D196" ca="1">IFERROR(OFFSET(extraction!A$2,MATCH(0,COUNTIF('BIOLAM LCD'!D$5:D195,numeros),0),),"")</f>
        <v/>
      </c>
      <c r="E196" s="871" t="str">
        <f t="array" aca="1" ref="E196" ca="1">IFERROR(OFFSET(extraction!B$2,MATCH(0,COUNTIF('BIOLAM LCD'!E$5:E195,intit),0),),"")</f>
        <v/>
      </c>
      <c r="F196" s="874" t="str">
        <f ca="1">IF(D196="","",SUMPRODUCT((numeros=D196)*(montant)))</f>
        <v/>
      </c>
      <c r="H196"/>
      <c r="I196"/>
    </row>
    <row r="197" spans="4:9">
      <c r="D197" s="871" t="str">
        <f t="array" aca="1" ref="D197" ca="1">IFERROR(OFFSET(extraction!A$2,MATCH(0,COUNTIF('BIOLAM LCD'!D$5:D196,numeros),0),),"")</f>
        <v/>
      </c>
      <c r="E197" s="871" t="str">
        <f t="array" aca="1" ref="E197" ca="1">IFERROR(OFFSET(extraction!B$2,MATCH(0,COUNTIF('BIOLAM LCD'!E$5:E196,intit),0),),"")</f>
        <v/>
      </c>
      <c r="F197" s="874" t="str">
        <f ca="1">IF(D197="","",SUMPRODUCT((numeros=D197)*(montant)))</f>
        <v/>
      </c>
      <c r="H197"/>
      <c r="I197"/>
    </row>
    <row r="198" spans="4:9">
      <c r="D198" s="871" t="str">
        <f t="array" aca="1" ref="D198" ca="1">IFERROR(OFFSET(extraction!A$2,MATCH(0,COUNTIF('BIOLAM LCD'!D$5:D197,numeros),0),),"")</f>
        <v/>
      </c>
      <c r="E198" s="871" t="str">
        <f t="array" aca="1" ref="E198" ca="1">IFERROR(OFFSET(extraction!B$2,MATCH(0,COUNTIF('BIOLAM LCD'!E$5:E197,intit),0),),"")</f>
        <v/>
      </c>
      <c r="F198" s="874" t="str">
        <f ca="1">IF(D198="","",SUMPRODUCT((numeros=D198)*(montant)))</f>
        <v/>
      </c>
      <c r="H198"/>
      <c r="I198"/>
    </row>
    <row r="199" spans="4:9">
      <c r="D199" s="871" t="str">
        <f t="array" aca="1" ref="D199" ca="1">IFERROR(OFFSET(extraction!A$2,MATCH(0,COUNTIF('BIOLAM LCD'!D$5:D198,numeros),0),),"")</f>
        <v/>
      </c>
      <c r="E199" s="871" t="str">
        <f t="array" aca="1" ref="E199" ca="1">IFERROR(OFFSET(extraction!B$2,MATCH(0,COUNTIF('BIOLAM LCD'!E$5:E198,intit),0),),"")</f>
        <v/>
      </c>
      <c r="F199" s="874" t="str">
        <f ca="1">IF(D199="","",SUMPRODUCT((numeros=D199)*(montant)))</f>
        <v/>
      </c>
      <c r="H199"/>
      <c r="I199"/>
    </row>
    <row r="200" spans="4:9">
      <c r="D200" s="871" t="str">
        <f t="array" aca="1" ref="D200" ca="1">IFERROR(OFFSET(extraction!A$2,MATCH(0,COUNTIF('BIOLAM LCD'!D$5:D199,numeros),0),),"")</f>
        <v/>
      </c>
      <c r="E200" s="871" t="str">
        <f t="array" aca="1" ref="E200" ca="1">IFERROR(OFFSET(extraction!B$2,MATCH(0,COUNTIF('BIOLAM LCD'!E$5:E199,intit),0),),"")</f>
        <v/>
      </c>
      <c r="F200" s="874" t="str">
        <f ca="1">IF(D200="","",SUMPRODUCT((numeros=D200)*(montant)))</f>
        <v/>
      </c>
      <c r="H200"/>
      <c r="I200"/>
    </row>
    <row r="201" spans="4:9">
      <c r="D201" s="871" t="str">
        <f t="array" aca="1" ref="D201" ca="1">IFERROR(OFFSET(extraction!A$2,MATCH(0,COUNTIF('BIOLAM LCD'!D$5:D200,numeros),0),),"")</f>
        <v/>
      </c>
      <c r="E201" s="871" t="str">
        <f t="array" aca="1" ref="E201" ca="1">IFERROR(OFFSET(extraction!B$2,MATCH(0,COUNTIF('BIOLAM LCD'!E$5:E200,intit),0),),"")</f>
        <v/>
      </c>
      <c r="F201" s="874" t="str">
        <f ca="1">IF(D201="","",SUMPRODUCT((numeros=D201)*(montant)))</f>
        <v/>
      </c>
      <c r="H201"/>
      <c r="I201"/>
    </row>
    <row r="202" spans="4:9">
      <c r="D202" s="871" t="str">
        <f t="array" aca="1" ref="D202" ca="1">IFERROR(OFFSET(extraction!A$2,MATCH(0,COUNTIF('BIOLAM LCD'!D$5:D201,numeros),0),),"")</f>
        <v/>
      </c>
      <c r="E202" s="871" t="str">
        <f t="array" aca="1" ref="E202" ca="1">IFERROR(OFFSET(extraction!B$2,MATCH(0,COUNTIF('BIOLAM LCD'!E$5:E201,intit),0),),"")</f>
        <v/>
      </c>
      <c r="F202" s="874" t="str">
        <f ca="1">IF(D202="","",SUMPRODUCT((numeros=D202)*(montant)))</f>
        <v/>
      </c>
      <c r="H202"/>
      <c r="I202"/>
    </row>
    <row r="203" spans="4:9">
      <c r="D203" s="871" t="str">
        <f t="array" aca="1" ref="D203" ca="1">IFERROR(OFFSET(extraction!A$2,MATCH(0,COUNTIF('BIOLAM LCD'!D$5:D202,numeros),0),),"")</f>
        <v/>
      </c>
      <c r="E203" s="871" t="str">
        <f t="array" aca="1" ref="E203" ca="1">IFERROR(OFFSET(extraction!B$2,MATCH(0,COUNTIF('BIOLAM LCD'!E$5:E202,intit),0),),"")</f>
        <v/>
      </c>
      <c r="F203" s="874" t="str">
        <f ca="1">IF(D203="","",SUMPRODUCT((numeros=D203)*(montant)))</f>
        <v/>
      </c>
      <c r="H203"/>
      <c r="I203"/>
    </row>
    <row r="204" spans="4:9">
      <c r="D204" s="871" t="str">
        <f t="array" aca="1" ref="D204" ca="1">IFERROR(OFFSET(extraction!A$2,MATCH(0,COUNTIF('BIOLAM LCD'!D$5:D203,numeros),0),),"")</f>
        <v/>
      </c>
      <c r="E204" s="871" t="str">
        <f t="array" aca="1" ref="E204" ca="1">IFERROR(OFFSET(extraction!B$2,MATCH(0,COUNTIF('BIOLAM LCD'!E$5:E203,intit),0),),"")</f>
        <v/>
      </c>
      <c r="F204" s="874" t="str">
        <f ca="1">IF(D204="","",SUMPRODUCT((numeros=D204)*(montant)))</f>
        <v/>
      </c>
      <c r="H204"/>
      <c r="I204"/>
    </row>
    <row r="205" spans="4:9">
      <c r="D205" s="871" t="str">
        <f t="array" aca="1" ref="D205" ca="1">IFERROR(OFFSET(extraction!A$2,MATCH(0,COUNTIF('BIOLAM LCD'!D$5:D204,numeros),0),),"")</f>
        <v/>
      </c>
      <c r="E205" s="871" t="str">
        <f t="array" aca="1" ref="E205" ca="1">IFERROR(OFFSET(extraction!B$2,MATCH(0,COUNTIF('BIOLAM LCD'!E$5:E204,intit),0),),"")</f>
        <v/>
      </c>
      <c r="F205" s="874" t="str">
        <f ca="1">IF(D205="","",SUMPRODUCT((numeros=D205)*(montant)))</f>
        <v/>
      </c>
      <c r="H205"/>
      <c r="I205"/>
    </row>
    <row r="206" spans="4:9">
      <c r="D206" s="871" t="str">
        <f t="array" aca="1" ref="D206" ca="1">IFERROR(OFFSET(extraction!A$2,MATCH(0,COUNTIF('BIOLAM LCD'!D$5:D205,numeros),0),),"")</f>
        <v/>
      </c>
      <c r="E206" s="871" t="str">
        <f t="array" aca="1" ref="E206" ca="1">IFERROR(OFFSET(extraction!B$2,MATCH(0,COUNTIF('BIOLAM LCD'!E$5:E205,intit),0),),"")</f>
        <v/>
      </c>
      <c r="F206" s="874" t="str">
        <f ca="1">IF(D206="","",SUMPRODUCT((numeros=D206)*(montant)))</f>
        <v/>
      </c>
      <c r="H206"/>
      <c r="I206"/>
    </row>
    <row r="207" spans="4:9">
      <c r="H207"/>
      <c r="I207"/>
    </row>
    <row r="208" spans="4:9">
      <c r="H208"/>
      <c r="I208"/>
    </row>
    <row r="209" spans="8:9">
      <c r="H209"/>
      <c r="I209"/>
    </row>
    <row r="210" spans="8:9">
      <c r="H210"/>
      <c r="I210"/>
    </row>
    <row r="211" spans="8:9">
      <c r="H211"/>
      <c r="I211"/>
    </row>
    <row r="212" spans="8:9">
      <c r="H212"/>
      <c r="I212"/>
    </row>
    <row r="213" spans="8:9">
      <c r="H213"/>
      <c r="I213"/>
    </row>
    <row r="214" spans="8:9">
      <c r="H214"/>
      <c r="I214"/>
    </row>
    <row r="215" spans="8:9">
      <c r="H215"/>
      <c r="I215"/>
    </row>
    <row r="216" spans="8:9">
      <c r="H216"/>
      <c r="I216"/>
    </row>
    <row r="217" spans="8:9">
      <c r="H217"/>
      <c r="I217"/>
    </row>
    <row r="218" spans="8:9">
      <c r="H218"/>
      <c r="I218"/>
    </row>
    <row r="219" spans="8:9">
      <c r="H219"/>
      <c r="I219"/>
    </row>
    <row r="220" spans="8:9">
      <c r="H220"/>
      <c r="I220"/>
    </row>
    <row r="221" spans="8:9">
      <c r="H221"/>
      <c r="I221"/>
    </row>
    <row r="222" spans="8:9">
      <c r="H222"/>
      <c r="I222"/>
    </row>
    <row r="223" spans="8:9">
      <c r="H223"/>
      <c r="I223"/>
    </row>
    <row r="224" spans="8:9">
      <c r="H224"/>
      <c r="I224"/>
    </row>
    <row r="225" spans="8:9">
      <c r="H225"/>
      <c r="I225"/>
    </row>
    <row r="226" spans="8:9">
      <c r="H226"/>
      <c r="I226"/>
    </row>
    <row r="227" spans="8:9">
      <c r="H227"/>
      <c r="I227"/>
    </row>
    <row r="228" spans="8:9">
      <c r="H228"/>
      <c r="I228"/>
    </row>
    <row r="229" spans="8:9">
      <c r="H229"/>
      <c r="I229"/>
    </row>
    <row r="230" spans="8:9">
      <c r="H230"/>
      <c r="I230"/>
    </row>
    <row r="231" spans="8:9">
      <c r="H231"/>
      <c r="I231"/>
    </row>
    <row r="232" spans="8:9">
      <c r="H232"/>
      <c r="I232"/>
    </row>
    <row r="233" spans="8:9">
      <c r="H233"/>
      <c r="I233"/>
    </row>
    <row r="234" spans="8:9">
      <c r="H234"/>
      <c r="I234"/>
    </row>
    <row r="235" spans="8:9">
      <c r="H235"/>
      <c r="I235"/>
    </row>
    <row r="236" spans="8:9">
      <c r="H236"/>
      <c r="I236"/>
    </row>
    <row r="237" spans="8:9">
      <c r="H237"/>
      <c r="I237"/>
    </row>
    <row r="238" spans="8:9">
      <c r="H238"/>
      <c r="I238"/>
    </row>
    <row r="239" spans="8:9">
      <c r="H239"/>
      <c r="I239"/>
    </row>
    <row r="240" spans="8:9">
      <c r="H240"/>
      <c r="I240"/>
    </row>
    <row r="241" spans="8:9">
      <c r="H241"/>
      <c r="I241"/>
    </row>
    <row r="242" spans="8:9">
      <c r="H242"/>
      <c r="I242"/>
    </row>
    <row r="243" spans="8:9">
      <c r="H243"/>
      <c r="I243"/>
    </row>
    <row r="244" spans="8:9">
      <c r="H244"/>
      <c r="I244"/>
    </row>
    <row r="245" spans="8:9">
      <c r="H245"/>
      <c r="I245"/>
    </row>
    <row r="246" spans="8:9">
      <c r="H246"/>
      <c r="I246"/>
    </row>
    <row r="247" spans="8:9">
      <c r="H247"/>
      <c r="I247"/>
    </row>
    <row r="248" spans="8:9">
      <c r="H248"/>
      <c r="I248"/>
    </row>
    <row r="249" spans="8:9">
      <c r="H249"/>
      <c r="I249"/>
    </row>
    <row r="250" spans="8:9">
      <c r="H250"/>
      <c r="I250"/>
    </row>
    <row r="251" spans="8:9">
      <c r="H251"/>
      <c r="I251"/>
    </row>
    <row r="252" spans="8:9">
      <c r="H252"/>
      <c r="I252"/>
    </row>
    <row r="253" spans="8:9">
      <c r="H253"/>
      <c r="I253"/>
    </row>
    <row r="254" spans="8:9">
      <c r="H254"/>
      <c r="I254"/>
    </row>
    <row r="255" spans="8:9">
      <c r="H255"/>
      <c r="I255"/>
    </row>
    <row r="256" spans="8:9">
      <c r="H256"/>
      <c r="I256"/>
    </row>
    <row r="257" spans="8:9">
      <c r="H257"/>
      <c r="I257"/>
    </row>
    <row r="258" spans="8:9">
      <c r="H258"/>
      <c r="I258"/>
    </row>
    <row r="259" spans="8:9">
      <c r="H259"/>
      <c r="I259"/>
    </row>
    <row r="260" spans="8:9">
      <c r="H260"/>
      <c r="I260"/>
    </row>
    <row r="261" spans="8:9">
      <c r="H261"/>
      <c r="I261"/>
    </row>
    <row r="262" spans="8:9">
      <c r="H262"/>
      <c r="I262"/>
    </row>
    <row r="263" spans="8:9">
      <c r="H263"/>
      <c r="I263"/>
    </row>
    <row r="264" spans="8:9">
      <c r="H264"/>
      <c r="I264"/>
    </row>
    <row r="265" spans="8:9">
      <c r="H265"/>
      <c r="I265"/>
    </row>
    <row r="266" spans="8:9">
      <c r="H266"/>
      <c r="I266"/>
    </row>
    <row r="267" spans="8:9">
      <c r="H267"/>
      <c r="I267"/>
    </row>
    <row r="268" spans="8:9">
      <c r="H268"/>
      <c r="I268"/>
    </row>
    <row r="269" spans="8:9">
      <c r="H269"/>
      <c r="I269"/>
    </row>
    <row r="270" spans="8:9">
      <c r="H270"/>
      <c r="I270"/>
    </row>
    <row r="271" spans="8:9">
      <c r="H271"/>
      <c r="I271"/>
    </row>
    <row r="272" spans="8:9">
      <c r="H272"/>
      <c r="I272"/>
    </row>
    <row r="273" spans="8:9">
      <c r="H273"/>
      <c r="I273"/>
    </row>
    <row r="274" spans="8:9">
      <c r="H274"/>
      <c r="I274"/>
    </row>
    <row r="275" spans="8:9">
      <c r="H275"/>
      <c r="I275"/>
    </row>
    <row r="276" spans="8:9">
      <c r="H276"/>
      <c r="I276"/>
    </row>
    <row r="277" spans="8:9">
      <c r="H277"/>
      <c r="I277"/>
    </row>
    <row r="278" spans="8:9">
      <c r="H278"/>
      <c r="I278"/>
    </row>
    <row r="279" spans="8:9">
      <c r="H279"/>
      <c r="I279"/>
    </row>
    <row r="280" spans="8:9">
      <c r="H280"/>
      <c r="I280"/>
    </row>
    <row r="281" spans="8:9">
      <c r="H281"/>
      <c r="I281"/>
    </row>
    <row r="282" spans="8:9">
      <c r="H282"/>
      <c r="I282"/>
    </row>
    <row r="283" spans="8:9">
      <c r="H283"/>
      <c r="I283"/>
    </row>
    <row r="284" spans="8:9">
      <c r="H284"/>
      <c r="I284"/>
    </row>
    <row r="285" spans="8:9">
      <c r="H285"/>
      <c r="I285"/>
    </row>
    <row r="286" spans="8:9">
      <c r="H286"/>
      <c r="I286"/>
    </row>
    <row r="287" spans="8:9">
      <c r="H287"/>
      <c r="I287"/>
    </row>
    <row r="288" spans="8:9">
      <c r="H288"/>
      <c r="I288"/>
    </row>
    <row r="289" spans="8:9">
      <c r="H289"/>
      <c r="I289"/>
    </row>
    <row r="290" spans="8:9">
      <c r="H290"/>
      <c r="I290"/>
    </row>
    <row r="291" spans="8:9">
      <c r="H291"/>
      <c r="I291"/>
    </row>
    <row r="292" spans="8:9">
      <c r="H292"/>
      <c r="I292"/>
    </row>
    <row r="293" spans="8:9">
      <c r="H293"/>
      <c r="I293"/>
    </row>
    <row r="294" spans="8:9">
      <c r="H294"/>
      <c r="I294"/>
    </row>
    <row r="295" spans="8:9">
      <c r="H295"/>
      <c r="I295"/>
    </row>
    <row r="296" spans="8:9">
      <c r="H296"/>
      <c r="I296"/>
    </row>
    <row r="297" spans="8:9">
      <c r="H297"/>
      <c r="I297"/>
    </row>
    <row r="298" spans="8:9">
      <c r="H298"/>
      <c r="I298"/>
    </row>
    <row r="299" spans="8:9">
      <c r="H299"/>
      <c r="I299"/>
    </row>
    <row r="300" spans="8:9">
      <c r="H300"/>
      <c r="I300"/>
    </row>
    <row r="301" spans="8:9">
      <c r="H301"/>
      <c r="I301"/>
    </row>
    <row r="302" spans="8:9">
      <c r="H302"/>
      <c r="I302"/>
    </row>
    <row r="303" spans="8:9">
      <c r="H303"/>
      <c r="I303"/>
    </row>
    <row r="304" spans="8:9">
      <c r="H304"/>
      <c r="I304"/>
    </row>
    <row r="305" spans="8:9">
      <c r="H305"/>
      <c r="I305"/>
    </row>
    <row r="306" spans="8:9">
      <c r="H306"/>
      <c r="I306"/>
    </row>
    <row r="307" spans="8:9">
      <c r="H307"/>
      <c r="I307"/>
    </row>
    <row r="308" spans="8:9">
      <c r="H308"/>
      <c r="I308"/>
    </row>
    <row r="309" spans="8:9">
      <c r="H309"/>
      <c r="I309"/>
    </row>
    <row r="310" spans="8:9">
      <c r="H310"/>
      <c r="I310"/>
    </row>
    <row r="311" spans="8:9">
      <c r="H311"/>
      <c r="I311"/>
    </row>
    <row r="312" spans="8:9">
      <c r="H312"/>
      <c r="I312"/>
    </row>
    <row r="313" spans="8:9">
      <c r="H313"/>
      <c r="I313"/>
    </row>
    <row r="314" spans="8:9">
      <c r="H314"/>
      <c r="I314"/>
    </row>
    <row r="315" spans="8:9">
      <c r="H315"/>
      <c r="I315"/>
    </row>
    <row r="316" spans="8:9">
      <c r="H316"/>
      <c r="I316"/>
    </row>
    <row r="317" spans="8:9">
      <c r="H317"/>
      <c r="I317"/>
    </row>
    <row r="318" spans="8:9">
      <c r="H318"/>
      <c r="I318"/>
    </row>
    <row r="319" spans="8:9">
      <c r="H319"/>
      <c r="I319"/>
    </row>
    <row r="320" spans="8:9">
      <c r="H320"/>
      <c r="I320"/>
    </row>
    <row r="321" spans="8:9">
      <c r="H321"/>
      <c r="I321"/>
    </row>
    <row r="322" spans="8:9">
      <c r="H322"/>
      <c r="I322"/>
    </row>
    <row r="323" spans="8:9">
      <c r="H323"/>
      <c r="I323"/>
    </row>
    <row r="324" spans="8:9">
      <c r="H324"/>
      <c r="I324"/>
    </row>
    <row r="325" spans="8:9">
      <c r="H325"/>
      <c r="I325"/>
    </row>
    <row r="326" spans="8:9">
      <c r="H326"/>
      <c r="I326"/>
    </row>
    <row r="327" spans="8:9">
      <c r="H327"/>
      <c r="I327"/>
    </row>
    <row r="328" spans="8:9">
      <c r="H328"/>
      <c r="I328"/>
    </row>
    <row r="329" spans="8:9">
      <c r="H329"/>
      <c r="I329"/>
    </row>
    <row r="330" spans="8:9">
      <c r="H330"/>
      <c r="I330"/>
    </row>
    <row r="331" spans="8:9">
      <c r="H331"/>
      <c r="I331"/>
    </row>
    <row r="332" spans="8:9">
      <c r="H332"/>
      <c r="I332"/>
    </row>
    <row r="333" spans="8:9">
      <c r="H333"/>
      <c r="I333"/>
    </row>
    <row r="334" spans="8:9">
      <c r="H334"/>
      <c r="I334"/>
    </row>
    <row r="335" spans="8:9">
      <c r="H335"/>
      <c r="I335"/>
    </row>
    <row r="336" spans="8:9">
      <c r="H336"/>
      <c r="I336"/>
    </row>
    <row r="337" spans="8:9">
      <c r="H337"/>
      <c r="I337"/>
    </row>
    <row r="338" spans="8:9">
      <c r="H338"/>
      <c r="I338"/>
    </row>
    <row r="339" spans="8:9">
      <c r="H339"/>
      <c r="I339"/>
    </row>
    <row r="340" spans="8:9">
      <c r="H340"/>
      <c r="I340"/>
    </row>
    <row r="341" spans="8:9">
      <c r="H341"/>
      <c r="I341"/>
    </row>
    <row r="342" spans="8:9">
      <c r="H342"/>
      <c r="I342"/>
    </row>
    <row r="343" spans="8:9">
      <c r="H343"/>
      <c r="I343"/>
    </row>
    <row r="344" spans="8:9">
      <c r="H344"/>
      <c r="I344"/>
    </row>
    <row r="345" spans="8:9">
      <c r="H345"/>
      <c r="I345"/>
    </row>
    <row r="346" spans="8:9">
      <c r="H346"/>
      <c r="I346"/>
    </row>
    <row r="347" spans="8:9">
      <c r="H347"/>
      <c r="I347"/>
    </row>
    <row r="348" spans="8:9">
      <c r="H348"/>
      <c r="I348"/>
    </row>
    <row r="349" spans="8:9">
      <c r="H349"/>
      <c r="I349"/>
    </row>
    <row r="350" spans="8:9">
      <c r="H350"/>
      <c r="I350"/>
    </row>
    <row r="351" spans="8:9">
      <c r="H351"/>
      <c r="I351"/>
    </row>
    <row r="352" spans="8:9">
      <c r="H352"/>
      <c r="I352"/>
    </row>
    <row r="353" spans="8:9">
      <c r="H353"/>
      <c r="I353"/>
    </row>
    <row r="354" spans="8:9">
      <c r="H354"/>
      <c r="I354"/>
    </row>
    <row r="355" spans="8:9">
      <c r="H355"/>
      <c r="I355"/>
    </row>
    <row r="356" spans="8:9">
      <c r="H356"/>
      <c r="I356"/>
    </row>
    <row r="357" spans="8:9">
      <c r="H357"/>
      <c r="I357"/>
    </row>
    <row r="358" spans="8:9">
      <c r="H358"/>
      <c r="I358"/>
    </row>
    <row r="359" spans="8:9">
      <c r="H359"/>
      <c r="I359"/>
    </row>
    <row r="360" spans="8:9">
      <c r="H360"/>
      <c r="I360"/>
    </row>
    <row r="361" spans="8:9">
      <c r="H361"/>
      <c r="I361"/>
    </row>
    <row r="362" spans="8:9">
      <c r="H362"/>
      <c r="I362"/>
    </row>
    <row r="363" spans="8:9">
      <c r="H363"/>
      <c r="I363"/>
    </row>
    <row r="364" spans="8:9">
      <c r="H364"/>
      <c r="I364"/>
    </row>
    <row r="365" spans="8:9">
      <c r="H365"/>
      <c r="I365"/>
    </row>
    <row r="366" spans="8:9">
      <c r="H366"/>
      <c r="I366"/>
    </row>
    <row r="367" spans="8:9">
      <c r="H367"/>
      <c r="I367"/>
    </row>
    <row r="368" spans="8:9">
      <c r="H368"/>
      <c r="I368"/>
    </row>
    <row r="369" spans="8:9">
      <c r="H369"/>
      <c r="I369"/>
    </row>
    <row r="370" spans="8:9">
      <c r="H370"/>
      <c r="I370"/>
    </row>
    <row r="371" spans="8:9">
      <c r="H371"/>
      <c r="I371"/>
    </row>
    <row r="372" spans="8:9">
      <c r="H372"/>
      <c r="I372"/>
    </row>
    <row r="373" spans="8:9">
      <c r="H373"/>
      <c r="I373"/>
    </row>
    <row r="374" spans="8:9">
      <c r="H374"/>
      <c r="I374"/>
    </row>
    <row r="375" spans="8:9">
      <c r="H375"/>
      <c r="I375"/>
    </row>
    <row r="376" spans="8:9">
      <c r="H376"/>
      <c r="I376"/>
    </row>
    <row r="377" spans="8:9">
      <c r="H377"/>
      <c r="I377"/>
    </row>
    <row r="378" spans="8:9">
      <c r="H378"/>
      <c r="I378"/>
    </row>
    <row r="379" spans="8:9">
      <c r="H379"/>
      <c r="I379"/>
    </row>
    <row r="380" spans="8:9">
      <c r="H380"/>
      <c r="I380"/>
    </row>
    <row r="381" spans="8:9">
      <c r="H381"/>
      <c r="I381"/>
    </row>
    <row r="382" spans="8:9">
      <c r="H382"/>
      <c r="I382"/>
    </row>
    <row r="383" spans="8:9">
      <c r="H383"/>
      <c r="I383"/>
    </row>
    <row r="384" spans="8:9">
      <c r="H384"/>
      <c r="I384"/>
    </row>
    <row r="385" spans="8:9">
      <c r="H385"/>
      <c r="I385"/>
    </row>
    <row r="386" spans="8:9">
      <c r="H386"/>
      <c r="I386"/>
    </row>
    <row r="387" spans="8:9">
      <c r="H387"/>
      <c r="I387"/>
    </row>
    <row r="388" spans="8:9">
      <c r="H388"/>
      <c r="I388"/>
    </row>
    <row r="389" spans="8:9">
      <c r="H389"/>
      <c r="I389"/>
    </row>
    <row r="390" spans="8:9">
      <c r="H390"/>
      <c r="I390"/>
    </row>
    <row r="391" spans="8:9">
      <c r="H391"/>
      <c r="I391"/>
    </row>
    <row r="392" spans="8:9">
      <c r="H392"/>
      <c r="I392"/>
    </row>
    <row r="393" spans="8:9">
      <c r="H393"/>
      <c r="I393"/>
    </row>
    <row r="394" spans="8:9">
      <c r="H394"/>
      <c r="I394"/>
    </row>
    <row r="395" spans="8:9">
      <c r="H395"/>
      <c r="I395"/>
    </row>
    <row r="396" spans="8:9">
      <c r="H396"/>
      <c r="I396"/>
    </row>
    <row r="397" spans="8:9">
      <c r="H397"/>
      <c r="I397"/>
    </row>
    <row r="398" spans="8:9">
      <c r="H398"/>
      <c r="I398"/>
    </row>
    <row r="399" spans="8:9">
      <c r="H399"/>
      <c r="I399"/>
    </row>
    <row r="400" spans="8:9">
      <c r="H400"/>
      <c r="I400"/>
    </row>
    <row r="401" spans="8:9">
      <c r="H401"/>
      <c r="I401"/>
    </row>
    <row r="402" spans="8:9">
      <c r="H402"/>
      <c r="I402"/>
    </row>
    <row r="403" spans="8:9">
      <c r="H403"/>
      <c r="I403"/>
    </row>
    <row r="404" spans="8:9">
      <c r="H404"/>
      <c r="I404"/>
    </row>
    <row r="405" spans="8:9">
      <c r="H405"/>
      <c r="I405"/>
    </row>
    <row r="406" spans="8:9">
      <c r="H406"/>
      <c r="I406"/>
    </row>
    <row r="407" spans="8:9">
      <c r="H407"/>
      <c r="I407"/>
    </row>
    <row r="408" spans="8:9">
      <c r="H408"/>
      <c r="I408"/>
    </row>
    <row r="409" spans="8:9">
      <c r="H409"/>
      <c r="I409"/>
    </row>
    <row r="410" spans="8:9">
      <c r="H410"/>
      <c r="I410"/>
    </row>
    <row r="411" spans="8:9">
      <c r="H411"/>
      <c r="I411"/>
    </row>
    <row r="412" spans="8:9">
      <c r="H412"/>
      <c r="I412"/>
    </row>
    <row r="413" spans="8:9">
      <c r="H413"/>
      <c r="I413"/>
    </row>
    <row r="414" spans="8:9">
      <c r="H414"/>
      <c r="I414"/>
    </row>
    <row r="415" spans="8:9">
      <c r="H415"/>
      <c r="I415"/>
    </row>
    <row r="416" spans="8:9">
      <c r="H416"/>
      <c r="I416"/>
    </row>
    <row r="417" spans="8:9">
      <c r="H417"/>
      <c r="I417"/>
    </row>
    <row r="418" spans="8:9">
      <c r="H418"/>
      <c r="I418"/>
    </row>
    <row r="419" spans="8:9">
      <c r="H419"/>
      <c r="I419"/>
    </row>
    <row r="420" spans="8:9">
      <c r="H420"/>
      <c r="I420"/>
    </row>
    <row r="421" spans="8:9">
      <c r="H421"/>
      <c r="I421"/>
    </row>
    <row r="422" spans="8:9">
      <c r="H422"/>
      <c r="I422"/>
    </row>
    <row r="423" spans="8:9">
      <c r="H423"/>
      <c r="I423"/>
    </row>
    <row r="424" spans="8:9">
      <c r="H424"/>
      <c r="I424"/>
    </row>
    <row r="425" spans="8:9">
      <c r="H425"/>
      <c r="I425"/>
    </row>
    <row r="426" spans="8:9">
      <c r="H426"/>
      <c r="I426"/>
    </row>
    <row r="427" spans="8:9">
      <c r="H427"/>
      <c r="I427"/>
    </row>
    <row r="428" spans="8:9">
      <c r="H428"/>
      <c r="I428"/>
    </row>
    <row r="429" spans="8:9">
      <c r="H429"/>
      <c r="I429"/>
    </row>
    <row r="430" spans="8:9">
      <c r="H430"/>
      <c r="I430"/>
    </row>
    <row r="431" spans="8:9">
      <c r="H431"/>
      <c r="I431"/>
    </row>
    <row r="432" spans="8:9">
      <c r="H432"/>
      <c r="I432"/>
    </row>
    <row r="433" spans="8:9">
      <c r="H433"/>
      <c r="I433"/>
    </row>
    <row r="434" spans="8:9">
      <c r="H434"/>
      <c r="I434"/>
    </row>
    <row r="435" spans="8:9">
      <c r="H435"/>
      <c r="I435"/>
    </row>
    <row r="436" spans="8:9">
      <c r="H436"/>
      <c r="I436"/>
    </row>
    <row r="437" spans="8:9">
      <c r="H437"/>
      <c r="I437"/>
    </row>
    <row r="438" spans="8:9">
      <c r="H438"/>
      <c r="I438"/>
    </row>
    <row r="439" spans="8:9">
      <c r="H439"/>
      <c r="I439"/>
    </row>
    <row r="440" spans="8:9">
      <c r="H440"/>
      <c r="I440"/>
    </row>
    <row r="441" spans="8:9">
      <c r="H441"/>
      <c r="I441"/>
    </row>
    <row r="442" spans="8:9">
      <c r="H442"/>
      <c r="I442"/>
    </row>
    <row r="443" spans="8:9">
      <c r="H443"/>
      <c r="I443"/>
    </row>
    <row r="444" spans="8:9">
      <c r="H444"/>
      <c r="I444"/>
    </row>
    <row r="445" spans="8:9">
      <c r="H445"/>
      <c r="I445"/>
    </row>
    <row r="446" spans="8:9">
      <c r="H446"/>
      <c r="I446"/>
    </row>
    <row r="447" spans="8:9">
      <c r="H447"/>
      <c r="I447"/>
    </row>
    <row r="448" spans="8:9">
      <c r="H448"/>
      <c r="I448"/>
    </row>
    <row r="449" spans="8:9">
      <c r="H449"/>
      <c r="I449"/>
    </row>
    <row r="450" spans="8:9">
      <c r="H450"/>
      <c r="I450"/>
    </row>
    <row r="451" spans="8:9">
      <c r="H451"/>
      <c r="I451"/>
    </row>
    <row r="452" spans="8:9">
      <c r="H452"/>
      <c r="I452"/>
    </row>
    <row r="453" spans="8:9">
      <c r="H453"/>
      <c r="I453"/>
    </row>
    <row r="454" spans="8:9">
      <c r="H454"/>
      <c r="I454"/>
    </row>
    <row r="455" spans="8:9">
      <c r="H455"/>
      <c r="I455"/>
    </row>
    <row r="456" spans="8:9">
      <c r="H456"/>
      <c r="I456"/>
    </row>
    <row r="457" spans="8:9">
      <c r="H457"/>
      <c r="I457"/>
    </row>
    <row r="458" spans="8:9">
      <c r="H458"/>
      <c r="I458"/>
    </row>
    <row r="459" spans="8:9">
      <c r="H459"/>
      <c r="I459"/>
    </row>
    <row r="460" spans="8:9">
      <c r="H460"/>
      <c r="I460"/>
    </row>
    <row r="461" spans="8:9">
      <c r="H461"/>
      <c r="I461"/>
    </row>
    <row r="462" spans="8:9">
      <c r="H462"/>
      <c r="I462"/>
    </row>
    <row r="463" spans="8:9">
      <c r="H463"/>
      <c r="I463"/>
    </row>
    <row r="464" spans="8:9">
      <c r="H464"/>
      <c r="I464"/>
    </row>
    <row r="465" spans="8:9">
      <c r="H465"/>
      <c r="I465"/>
    </row>
    <row r="466" spans="8:9">
      <c r="H466"/>
      <c r="I466"/>
    </row>
    <row r="467" spans="8:9">
      <c r="H467"/>
      <c r="I467"/>
    </row>
    <row r="468" spans="8:9">
      <c r="H468"/>
      <c r="I468"/>
    </row>
    <row r="469" spans="8:9">
      <c r="H469"/>
      <c r="I469"/>
    </row>
    <row r="470" spans="8:9">
      <c r="H470"/>
      <c r="I470"/>
    </row>
    <row r="471" spans="8:9">
      <c r="H471"/>
      <c r="I471"/>
    </row>
    <row r="472" spans="8:9">
      <c r="H472"/>
      <c r="I472"/>
    </row>
    <row r="473" spans="8:9">
      <c r="H473"/>
      <c r="I473"/>
    </row>
    <row r="474" spans="8:9">
      <c r="H474"/>
      <c r="I474"/>
    </row>
    <row r="475" spans="8:9">
      <c r="H475"/>
      <c r="I475"/>
    </row>
    <row r="476" spans="8:9">
      <c r="H476"/>
      <c r="I476"/>
    </row>
    <row r="477" spans="8:9">
      <c r="H477"/>
      <c r="I477"/>
    </row>
    <row r="478" spans="8:9">
      <c r="H478"/>
      <c r="I478"/>
    </row>
    <row r="479" spans="8:9">
      <c r="H479"/>
      <c r="I479"/>
    </row>
    <row r="480" spans="8:9">
      <c r="H480"/>
      <c r="I480"/>
    </row>
    <row r="481" spans="8:9">
      <c r="H481"/>
      <c r="I481"/>
    </row>
    <row r="482" spans="8:9">
      <c r="H482"/>
      <c r="I482"/>
    </row>
    <row r="483" spans="8:9">
      <c r="H483"/>
      <c r="I483"/>
    </row>
    <row r="484" spans="8:9">
      <c r="H484"/>
      <c r="I484"/>
    </row>
    <row r="485" spans="8:9">
      <c r="H485"/>
      <c r="I485"/>
    </row>
    <row r="486" spans="8:9">
      <c r="H486"/>
      <c r="I486"/>
    </row>
    <row r="487" spans="8:9">
      <c r="H487"/>
      <c r="I487"/>
    </row>
    <row r="488" spans="8:9">
      <c r="H488"/>
      <c r="I488"/>
    </row>
    <row r="489" spans="8:9">
      <c r="H489"/>
      <c r="I489"/>
    </row>
    <row r="490" spans="8:9">
      <c r="H490"/>
      <c r="I490"/>
    </row>
    <row r="491" spans="8:9">
      <c r="H491"/>
      <c r="I491"/>
    </row>
    <row r="492" spans="8:9">
      <c r="H492"/>
      <c r="I492"/>
    </row>
    <row r="493" spans="8:9">
      <c r="H493"/>
      <c r="I493"/>
    </row>
    <row r="494" spans="8:9">
      <c r="H494"/>
      <c r="I494"/>
    </row>
    <row r="495" spans="8:9">
      <c r="H495"/>
      <c r="I495"/>
    </row>
    <row r="496" spans="8:9">
      <c r="H496"/>
      <c r="I496"/>
    </row>
    <row r="497" spans="8:9">
      <c r="H497"/>
      <c r="I497"/>
    </row>
    <row r="498" spans="8:9">
      <c r="H498"/>
      <c r="I498"/>
    </row>
    <row r="499" spans="8:9">
      <c r="H499"/>
      <c r="I499"/>
    </row>
    <row r="500" spans="8:9">
      <c r="H500"/>
      <c r="I500"/>
    </row>
    <row r="501" spans="8:9">
      <c r="H501"/>
      <c r="I501"/>
    </row>
    <row r="502" spans="8:9">
      <c r="H502"/>
      <c r="I502"/>
    </row>
    <row r="503" spans="8:9">
      <c r="H503"/>
      <c r="I503"/>
    </row>
    <row r="504" spans="8:9">
      <c r="H504"/>
      <c r="I504"/>
    </row>
    <row r="505" spans="8:9">
      <c r="H505"/>
      <c r="I505"/>
    </row>
    <row r="506" spans="8:9">
      <c r="H506"/>
      <c r="I506"/>
    </row>
    <row r="507" spans="8:9">
      <c r="H507"/>
      <c r="I507"/>
    </row>
    <row r="508" spans="8:9">
      <c r="H508"/>
      <c r="I508"/>
    </row>
    <row r="509" spans="8:9">
      <c r="H509"/>
      <c r="I509"/>
    </row>
    <row r="510" spans="8:9">
      <c r="H510"/>
      <c r="I510"/>
    </row>
    <row r="511" spans="8:9">
      <c r="H511"/>
      <c r="I511"/>
    </row>
    <row r="512" spans="8:9">
      <c r="H512"/>
      <c r="I512"/>
    </row>
    <row r="513" spans="8:9">
      <c r="H513"/>
      <c r="I513"/>
    </row>
    <row r="514" spans="8:9">
      <c r="H514"/>
      <c r="I514"/>
    </row>
    <row r="515" spans="8:9">
      <c r="H515"/>
      <c r="I515"/>
    </row>
    <row r="516" spans="8:9">
      <c r="H516"/>
      <c r="I516"/>
    </row>
    <row r="517" spans="8:9">
      <c r="H517"/>
      <c r="I517"/>
    </row>
    <row r="518" spans="8:9">
      <c r="H518"/>
      <c r="I518"/>
    </row>
    <row r="519" spans="8:9">
      <c r="H519"/>
      <c r="I519"/>
    </row>
    <row r="520" spans="8:9">
      <c r="H520"/>
      <c r="I520"/>
    </row>
    <row r="521" spans="8:9">
      <c r="H521"/>
      <c r="I521"/>
    </row>
    <row r="522" spans="8:9">
      <c r="H522"/>
      <c r="I522"/>
    </row>
    <row r="523" spans="8:9">
      <c r="H523"/>
      <c r="I523"/>
    </row>
    <row r="524" spans="8:9">
      <c r="H524"/>
      <c r="I524"/>
    </row>
    <row r="525" spans="8:9">
      <c r="H525"/>
      <c r="I525"/>
    </row>
    <row r="526" spans="8:9">
      <c r="H526"/>
      <c r="I526"/>
    </row>
    <row r="527" spans="8:9">
      <c r="H527"/>
      <c r="I527"/>
    </row>
    <row r="528" spans="8:9">
      <c r="H528"/>
      <c r="I528"/>
    </row>
    <row r="529" spans="8:9">
      <c r="H529"/>
      <c r="I529"/>
    </row>
    <row r="530" spans="8:9">
      <c r="H530"/>
      <c r="I530"/>
    </row>
    <row r="531" spans="8:9">
      <c r="H531"/>
      <c r="I531"/>
    </row>
    <row r="532" spans="8:9">
      <c r="H532"/>
      <c r="I532"/>
    </row>
    <row r="533" spans="8:9">
      <c r="H533"/>
      <c r="I533"/>
    </row>
    <row r="534" spans="8:9">
      <c r="H534"/>
      <c r="I534"/>
    </row>
    <row r="535" spans="8:9">
      <c r="H535"/>
      <c r="I535"/>
    </row>
    <row r="536" spans="8:9">
      <c r="H536"/>
      <c r="I536"/>
    </row>
    <row r="537" spans="8:9">
      <c r="H537"/>
      <c r="I537"/>
    </row>
    <row r="538" spans="8:9">
      <c r="H538"/>
      <c r="I538"/>
    </row>
    <row r="539" spans="8:9">
      <c r="H539"/>
      <c r="I539"/>
    </row>
    <row r="540" spans="8:9">
      <c r="H540"/>
      <c r="I540"/>
    </row>
    <row r="541" spans="8:9">
      <c r="H541"/>
      <c r="I541"/>
    </row>
    <row r="542" spans="8:9">
      <c r="H542"/>
      <c r="I542"/>
    </row>
    <row r="543" spans="8:9">
      <c r="H543"/>
      <c r="I543"/>
    </row>
    <row r="544" spans="8:9">
      <c r="H544"/>
      <c r="I544"/>
    </row>
    <row r="545" spans="8:9">
      <c r="H545"/>
      <c r="I545"/>
    </row>
    <row r="546" spans="8:9">
      <c r="H546"/>
      <c r="I546"/>
    </row>
    <row r="547" spans="8:9">
      <c r="H547"/>
      <c r="I547"/>
    </row>
    <row r="548" spans="8:9">
      <c r="H548"/>
      <c r="I548"/>
    </row>
    <row r="549" spans="8:9">
      <c r="H549"/>
      <c r="I549"/>
    </row>
    <row r="550" spans="8:9">
      <c r="H550"/>
      <c r="I550"/>
    </row>
    <row r="551" spans="8:9">
      <c r="H551"/>
      <c r="I551"/>
    </row>
    <row r="552" spans="8:9">
      <c r="H552"/>
      <c r="I552"/>
    </row>
    <row r="553" spans="8:9">
      <c r="H553"/>
      <c r="I553"/>
    </row>
    <row r="554" spans="8:9">
      <c r="H554"/>
      <c r="I554"/>
    </row>
    <row r="555" spans="8:9">
      <c r="H555"/>
      <c r="I555"/>
    </row>
    <row r="556" spans="8:9">
      <c r="H556"/>
      <c r="I556"/>
    </row>
    <row r="557" spans="8:9">
      <c r="H557"/>
      <c r="I557"/>
    </row>
    <row r="558" spans="8:9">
      <c r="H558"/>
      <c r="I558"/>
    </row>
    <row r="559" spans="8:9">
      <c r="H559"/>
      <c r="I559"/>
    </row>
    <row r="560" spans="8:9">
      <c r="H560"/>
      <c r="I560"/>
    </row>
    <row r="561" spans="8:9">
      <c r="H561"/>
      <c r="I561"/>
    </row>
    <row r="562" spans="8:9">
      <c r="H562"/>
      <c r="I562"/>
    </row>
    <row r="563" spans="8:9">
      <c r="H563"/>
      <c r="I563"/>
    </row>
    <row r="564" spans="8:9">
      <c r="H564"/>
      <c r="I564"/>
    </row>
    <row r="565" spans="8:9">
      <c r="H565"/>
      <c r="I565"/>
    </row>
    <row r="566" spans="8:9">
      <c r="H566"/>
      <c r="I566"/>
    </row>
    <row r="567" spans="8:9">
      <c r="H567"/>
      <c r="I567"/>
    </row>
    <row r="568" spans="8:9">
      <c r="H568"/>
      <c r="I568"/>
    </row>
    <row r="569" spans="8:9">
      <c r="H569"/>
      <c r="I569"/>
    </row>
    <row r="570" spans="8:9">
      <c r="H570"/>
      <c r="I570"/>
    </row>
    <row r="571" spans="8:9">
      <c r="H571"/>
      <c r="I571"/>
    </row>
    <row r="572" spans="8:9">
      <c r="H572"/>
      <c r="I572"/>
    </row>
    <row r="573" spans="8:9">
      <c r="H573"/>
      <c r="I573"/>
    </row>
    <row r="574" spans="8:9">
      <c r="H574"/>
      <c r="I574"/>
    </row>
    <row r="575" spans="8:9">
      <c r="H575"/>
      <c r="I575"/>
    </row>
    <row r="576" spans="8:9">
      <c r="H576"/>
      <c r="I576"/>
    </row>
    <row r="577" spans="8:9">
      <c r="H577"/>
      <c r="I577"/>
    </row>
    <row r="578" spans="8:9">
      <c r="H578"/>
      <c r="I578"/>
    </row>
    <row r="579" spans="8:9">
      <c r="H579"/>
      <c r="I579"/>
    </row>
    <row r="580" spans="8:9">
      <c r="H580"/>
      <c r="I580"/>
    </row>
    <row r="581" spans="8:9">
      <c r="H581"/>
      <c r="I581"/>
    </row>
    <row r="582" spans="8:9">
      <c r="H582"/>
      <c r="I582"/>
    </row>
    <row r="583" spans="8:9">
      <c r="H583"/>
      <c r="I583"/>
    </row>
    <row r="584" spans="8:9">
      <c r="H584"/>
      <c r="I584"/>
    </row>
    <row r="585" spans="8:9">
      <c r="H585"/>
      <c r="I585"/>
    </row>
  </sheetData>
  <sheetProtection formatCells="0"/>
  <mergeCells count="5">
    <mergeCell ref="E3:E5"/>
    <mergeCell ref="F3:I3"/>
    <mergeCell ref="H4:I4"/>
    <mergeCell ref="D1:I1"/>
    <mergeCell ref="D3:D5"/>
  </mergeCells>
  <printOptions horizontalCentered="1"/>
  <pageMargins left="0.11811023622047245" right="0.11811023622047245" top="0.35433070866141736" bottom="0.39370078740157483" header="0.19685039370078741" footer="0.19685039370078741"/>
  <pageSetup paperSize="8" scale="10" fitToWidth="2" orientation="landscape" cellComments="asDisplayed" r:id="rId1"/>
  <headerFooter>
    <oddFooter>&amp;R&amp;D&amp;T&amp;Z&amp;F&amp;A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41"/>
  <sheetViews>
    <sheetView workbookViewId="0">
      <selection activeCell="B3" sqref="B3"/>
    </sheetView>
  </sheetViews>
  <sheetFormatPr baseColWidth="10" defaultRowHeight="12.5"/>
  <cols>
    <col min="1" max="1" width="20.81640625" style="780" bestFit="1" customWidth="1"/>
    <col min="2" max="2" width="45.81640625" bestFit="1" customWidth="1"/>
    <col min="3" max="3" width="14.54296875" style="780" bestFit="1" customWidth="1"/>
    <col min="4" max="4" width="17.26953125" style="780" bestFit="1" customWidth="1"/>
    <col min="5" max="5" width="11.81640625" style="780" bestFit="1" customWidth="1"/>
    <col min="6" max="6" width="42.81640625" bestFit="1" customWidth="1"/>
    <col min="7" max="7" width="14" bestFit="1" customWidth="1"/>
  </cols>
  <sheetData>
    <row r="1" spans="1:7" ht="15.5">
      <c r="A1" s="782" t="s">
        <v>179</v>
      </c>
      <c r="B1" s="774"/>
      <c r="C1" s="782"/>
      <c r="D1" s="782"/>
      <c r="E1" s="783"/>
      <c r="F1" s="1"/>
      <c r="G1" s="1"/>
    </row>
    <row r="2" spans="1:7" ht="15.5">
      <c r="A2" s="784" t="s">
        <v>180</v>
      </c>
      <c r="B2" s="775" t="s">
        <v>231</v>
      </c>
      <c r="C2" s="784" t="s">
        <v>181</v>
      </c>
      <c r="D2" s="784" t="s">
        <v>183</v>
      </c>
      <c r="E2" s="783" t="s">
        <v>182</v>
      </c>
      <c r="F2" s="1" t="s">
        <v>184</v>
      </c>
      <c r="G2" s="1" t="s">
        <v>185</v>
      </c>
    </row>
    <row r="3" spans="1:7" ht="15.5">
      <c r="A3" s="782">
        <v>20500000</v>
      </c>
      <c r="B3" s="774" t="s">
        <v>232</v>
      </c>
      <c r="C3" s="782" t="s">
        <v>186</v>
      </c>
      <c r="D3" s="782">
        <v>229804</v>
      </c>
      <c r="E3" s="785">
        <v>42643</v>
      </c>
      <c r="F3" s="1" t="s">
        <v>187</v>
      </c>
      <c r="G3" s="1">
        <v>-3756</v>
      </c>
    </row>
    <row r="4" spans="1:7" ht="15.5">
      <c r="A4" s="782">
        <v>20600000</v>
      </c>
      <c r="B4" s="774" t="s">
        <v>233</v>
      </c>
      <c r="C4" s="782" t="s">
        <v>188</v>
      </c>
      <c r="D4" s="782">
        <v>180082</v>
      </c>
      <c r="E4" s="785">
        <v>42474</v>
      </c>
      <c r="F4" s="1" t="s">
        <v>189</v>
      </c>
      <c r="G4" s="1">
        <v>-18000</v>
      </c>
    </row>
    <row r="5" spans="1:7" ht="15.5">
      <c r="A5" s="782">
        <v>20700000</v>
      </c>
      <c r="B5" s="774" t="s">
        <v>234</v>
      </c>
      <c r="C5" s="782" t="s">
        <v>190</v>
      </c>
      <c r="D5" s="782">
        <v>210481</v>
      </c>
      <c r="E5" s="785">
        <v>42490</v>
      </c>
      <c r="F5" s="1" t="s">
        <v>191</v>
      </c>
      <c r="G5" s="1">
        <v>240.4</v>
      </c>
    </row>
    <row r="6" spans="1:7" ht="15.5">
      <c r="A6" s="786">
        <v>21540000</v>
      </c>
      <c r="B6" s="776" t="s">
        <v>235</v>
      </c>
      <c r="C6" s="786" t="s">
        <v>186</v>
      </c>
      <c r="D6" s="786">
        <v>216206</v>
      </c>
      <c r="E6" s="785">
        <v>42613</v>
      </c>
      <c r="F6" s="1" t="s">
        <v>194</v>
      </c>
      <c r="G6" s="1">
        <v>-22141.32</v>
      </c>
    </row>
    <row r="7" spans="1:7" ht="15.5">
      <c r="A7" s="786">
        <v>21540000</v>
      </c>
      <c r="B7" s="776" t="s">
        <v>235</v>
      </c>
      <c r="C7" s="786" t="s">
        <v>186</v>
      </c>
      <c r="D7" s="786">
        <v>229325</v>
      </c>
      <c r="E7" s="785">
        <v>42628</v>
      </c>
      <c r="F7" s="1" t="s">
        <v>195</v>
      </c>
      <c r="G7" s="1">
        <v>-6633.36</v>
      </c>
    </row>
    <row r="8" spans="1:7" ht="15.5">
      <c r="A8" s="782">
        <v>21540000</v>
      </c>
      <c r="B8" s="774" t="s">
        <v>235</v>
      </c>
      <c r="C8" s="782" t="s">
        <v>186</v>
      </c>
      <c r="D8" s="782">
        <v>9821</v>
      </c>
      <c r="E8" s="785">
        <v>42461</v>
      </c>
      <c r="F8" s="1" t="s">
        <v>192</v>
      </c>
      <c r="G8" s="1">
        <v>-6633.36</v>
      </c>
    </row>
    <row r="9" spans="1:7" ht="15.5">
      <c r="A9" s="786">
        <v>21540000</v>
      </c>
      <c r="B9" s="776" t="s">
        <v>235</v>
      </c>
      <c r="C9" s="786" t="s">
        <v>186</v>
      </c>
      <c r="D9" s="786">
        <v>9964</v>
      </c>
      <c r="E9" s="785">
        <v>42461</v>
      </c>
      <c r="F9" s="1" t="s">
        <v>193</v>
      </c>
      <c r="G9" s="1">
        <v>-5532.58</v>
      </c>
    </row>
    <row r="10" spans="1:7" ht="15.5">
      <c r="A10" s="782">
        <v>21810000</v>
      </c>
      <c r="B10" s="774" t="s">
        <v>236</v>
      </c>
      <c r="C10" s="782" t="s">
        <v>186</v>
      </c>
      <c r="D10" s="782">
        <v>10028</v>
      </c>
      <c r="E10" s="785">
        <v>42496</v>
      </c>
      <c r="F10" s="1" t="s">
        <v>198</v>
      </c>
      <c r="G10" s="1">
        <v>-21701.41</v>
      </c>
    </row>
    <row r="11" spans="1:7" ht="15.5">
      <c r="A11" s="782">
        <v>21810000</v>
      </c>
      <c r="B11" s="774" t="s">
        <v>236</v>
      </c>
      <c r="C11" s="782" t="s">
        <v>186</v>
      </c>
      <c r="D11" s="782">
        <v>9408</v>
      </c>
      <c r="E11" s="785">
        <v>42473</v>
      </c>
      <c r="F11" s="1" t="s">
        <v>196</v>
      </c>
      <c r="G11" s="1">
        <v>-56310.28</v>
      </c>
    </row>
    <row r="12" spans="1:7" ht="15.5">
      <c r="A12" s="782">
        <v>21810000</v>
      </c>
      <c r="B12" s="774" t="s">
        <v>236</v>
      </c>
      <c r="C12" s="782" t="s">
        <v>186</v>
      </c>
      <c r="D12" s="782">
        <v>9996</v>
      </c>
      <c r="E12" s="785">
        <v>42494</v>
      </c>
      <c r="F12" s="1" t="s">
        <v>197</v>
      </c>
      <c r="G12" s="1">
        <v>-2858.4</v>
      </c>
    </row>
    <row r="13" spans="1:7" ht="15.5">
      <c r="A13" s="782">
        <v>21810000</v>
      </c>
      <c r="B13" s="774" t="s">
        <v>236</v>
      </c>
      <c r="C13" s="782" t="s">
        <v>190</v>
      </c>
      <c r="D13" s="782">
        <v>238543</v>
      </c>
      <c r="E13" s="785">
        <v>42614</v>
      </c>
      <c r="F13" s="1" t="s">
        <v>199</v>
      </c>
      <c r="G13" s="1">
        <v>15190.99</v>
      </c>
    </row>
    <row r="14" spans="1:7" ht="15.5">
      <c r="A14" s="782">
        <v>21820000</v>
      </c>
      <c r="B14" s="774" t="s">
        <v>237</v>
      </c>
      <c r="C14" s="782" t="s">
        <v>200</v>
      </c>
      <c r="D14" s="782">
        <v>7195</v>
      </c>
      <c r="E14" s="785">
        <v>42467</v>
      </c>
      <c r="F14" s="1" t="s">
        <v>201</v>
      </c>
      <c r="G14" s="1">
        <v>-4600</v>
      </c>
    </row>
    <row r="15" spans="1:7" ht="15.5">
      <c r="A15" s="782">
        <v>21820000</v>
      </c>
      <c r="B15" s="774" t="s">
        <v>237</v>
      </c>
      <c r="C15" s="782" t="s">
        <v>186</v>
      </c>
      <c r="D15" s="782">
        <v>9348</v>
      </c>
      <c r="E15" s="785">
        <v>42467</v>
      </c>
      <c r="F15" s="1" t="s">
        <v>202</v>
      </c>
      <c r="G15" s="1">
        <v>-4600</v>
      </c>
    </row>
    <row r="16" spans="1:7" ht="15.5">
      <c r="A16" s="782">
        <v>21820000</v>
      </c>
      <c r="B16" s="774" t="s">
        <v>237</v>
      </c>
      <c r="C16" s="782" t="s">
        <v>186</v>
      </c>
      <c r="D16" s="782">
        <v>9401</v>
      </c>
      <c r="E16" s="785">
        <v>42472</v>
      </c>
      <c r="F16" s="1" t="s">
        <v>203</v>
      </c>
      <c r="G16" s="1">
        <v>-3850</v>
      </c>
    </row>
    <row r="17" spans="1:7" ht="15.5">
      <c r="A17" s="782">
        <v>21830000</v>
      </c>
      <c r="B17" s="774" t="s">
        <v>238</v>
      </c>
      <c r="C17" s="782" t="s">
        <v>200</v>
      </c>
      <c r="D17" s="782">
        <v>6896</v>
      </c>
      <c r="E17" s="785">
        <v>42460</v>
      </c>
      <c r="F17" s="1" t="s">
        <v>204</v>
      </c>
      <c r="G17" s="1">
        <v>-9493.56</v>
      </c>
    </row>
    <row r="18" spans="1:7" ht="15.5">
      <c r="A18" s="782">
        <v>21830000</v>
      </c>
      <c r="B18" s="774" t="s">
        <v>238</v>
      </c>
      <c r="C18" s="782" t="s">
        <v>186</v>
      </c>
      <c r="D18" s="782">
        <v>229498</v>
      </c>
      <c r="E18" s="785">
        <v>42635</v>
      </c>
      <c r="F18" s="1" t="s">
        <v>205</v>
      </c>
      <c r="G18" s="1">
        <v>-1536.7</v>
      </c>
    </row>
    <row r="19" spans="1:7" ht="15.5">
      <c r="A19" s="782">
        <v>21840000</v>
      </c>
      <c r="B19" s="774" t="s">
        <v>239</v>
      </c>
      <c r="C19" s="782" t="s">
        <v>186</v>
      </c>
      <c r="D19" s="782">
        <v>9440</v>
      </c>
      <c r="E19" s="785">
        <v>42471</v>
      </c>
      <c r="F19" s="1" t="s">
        <v>206</v>
      </c>
      <c r="G19" s="1">
        <v>-10238.780000000001</v>
      </c>
    </row>
    <row r="20" spans="1:7" ht="15.5">
      <c r="A20" s="782">
        <v>26100070</v>
      </c>
      <c r="B20" s="774" t="s">
        <v>240</v>
      </c>
      <c r="C20" s="782" t="s">
        <v>207</v>
      </c>
      <c r="D20" s="782">
        <v>254176</v>
      </c>
      <c r="E20" s="785">
        <v>42643</v>
      </c>
      <c r="F20" s="1" t="s">
        <v>208</v>
      </c>
      <c r="G20" s="1">
        <v>-1491000</v>
      </c>
    </row>
    <row r="21" spans="1:7" ht="15.5">
      <c r="A21" s="782">
        <v>26100070</v>
      </c>
      <c r="B21" s="774" t="s">
        <v>240</v>
      </c>
      <c r="C21" s="782" t="s">
        <v>207</v>
      </c>
      <c r="D21" s="782">
        <v>254177</v>
      </c>
      <c r="E21" s="785">
        <v>42643</v>
      </c>
      <c r="F21" s="1" t="s">
        <v>209</v>
      </c>
      <c r="G21" s="1">
        <v>-197095.06</v>
      </c>
    </row>
    <row r="22" spans="1:7" ht="15.5">
      <c r="A22" s="782">
        <v>26100070</v>
      </c>
      <c r="B22" s="774" t="s">
        <v>240</v>
      </c>
      <c r="C22" s="782" t="s">
        <v>207</v>
      </c>
      <c r="D22" s="782">
        <v>254178</v>
      </c>
      <c r="E22" s="785">
        <v>42643</v>
      </c>
      <c r="F22" s="1" t="s">
        <v>210</v>
      </c>
      <c r="G22" s="1">
        <v>-2141378.5099999998</v>
      </c>
    </row>
    <row r="23" spans="1:7" ht="15.5">
      <c r="A23" s="782">
        <v>26100070</v>
      </c>
      <c r="B23" s="774" t="s">
        <v>240</v>
      </c>
      <c r="C23" s="782" t="s">
        <v>207</v>
      </c>
      <c r="D23" s="782">
        <v>254179</v>
      </c>
      <c r="E23" s="785">
        <v>42643</v>
      </c>
      <c r="F23" s="1" t="s">
        <v>211</v>
      </c>
      <c r="G23" s="1">
        <v>-259497.46</v>
      </c>
    </row>
    <row r="24" spans="1:7" ht="15.5">
      <c r="A24" s="782">
        <v>26100070</v>
      </c>
      <c r="B24" s="774" t="s">
        <v>240</v>
      </c>
      <c r="C24" s="782" t="s">
        <v>207</v>
      </c>
      <c r="D24" s="782">
        <v>254180</v>
      </c>
      <c r="E24" s="785">
        <v>42643</v>
      </c>
      <c r="F24" s="1" t="s">
        <v>212</v>
      </c>
      <c r="G24" s="1">
        <v>-1407424.25</v>
      </c>
    </row>
    <row r="25" spans="1:7" ht="15.5">
      <c r="A25" s="782">
        <v>26100070</v>
      </c>
      <c r="B25" s="774" t="s">
        <v>240</v>
      </c>
      <c r="C25" s="782" t="s">
        <v>207</v>
      </c>
      <c r="D25" s="782">
        <v>254181</v>
      </c>
      <c r="E25" s="785">
        <v>42643</v>
      </c>
      <c r="F25" s="1" t="s">
        <v>213</v>
      </c>
      <c r="G25" s="1">
        <v>-4222269.17</v>
      </c>
    </row>
    <row r="26" spans="1:7" ht="15.5">
      <c r="A26" s="782">
        <v>26180000</v>
      </c>
      <c r="B26" s="774" t="s">
        <v>241</v>
      </c>
      <c r="C26" s="782" t="s">
        <v>190</v>
      </c>
      <c r="D26" s="782">
        <v>210498</v>
      </c>
      <c r="E26" s="785">
        <v>42551</v>
      </c>
      <c r="F26" s="1" t="s">
        <v>214</v>
      </c>
      <c r="G26" s="1">
        <v>-107625</v>
      </c>
    </row>
    <row r="27" spans="1:7" ht="15.5">
      <c r="A27" s="782">
        <v>27500000</v>
      </c>
      <c r="B27" s="774" t="s">
        <v>242</v>
      </c>
      <c r="C27" s="782" t="s">
        <v>186</v>
      </c>
      <c r="D27" s="782">
        <v>10555</v>
      </c>
      <c r="E27" s="785">
        <v>42522</v>
      </c>
      <c r="F27" s="1" t="s">
        <v>221</v>
      </c>
      <c r="G27" s="1">
        <v>-47.97</v>
      </c>
    </row>
    <row r="28" spans="1:7" ht="15.5">
      <c r="A28" s="782">
        <v>27500000</v>
      </c>
      <c r="B28" s="774" t="s">
        <v>242</v>
      </c>
      <c r="C28" s="782" t="s">
        <v>186</v>
      </c>
      <c r="D28" s="782">
        <v>10959</v>
      </c>
      <c r="E28" s="785">
        <v>42522</v>
      </c>
      <c r="F28" s="1" t="s">
        <v>222</v>
      </c>
      <c r="G28" s="1">
        <v>489.08</v>
      </c>
    </row>
    <row r="29" spans="1:7" ht="15.5">
      <c r="A29" s="782">
        <v>27500000</v>
      </c>
      <c r="B29" s="774" t="s">
        <v>242</v>
      </c>
      <c r="C29" s="782" t="s">
        <v>186</v>
      </c>
      <c r="D29" s="782">
        <v>11485</v>
      </c>
      <c r="E29" s="785">
        <v>42552</v>
      </c>
      <c r="F29" s="1" t="s">
        <v>223</v>
      </c>
      <c r="G29" s="1">
        <v>82.29</v>
      </c>
    </row>
    <row r="30" spans="1:7" ht="15.5">
      <c r="A30" s="782">
        <v>27500000</v>
      </c>
      <c r="B30" s="774" t="s">
        <v>242</v>
      </c>
      <c r="C30" s="782" t="s">
        <v>186</v>
      </c>
      <c r="D30" s="782">
        <v>12685</v>
      </c>
      <c r="E30" s="785">
        <v>42613</v>
      </c>
      <c r="F30" s="1" t="s">
        <v>224</v>
      </c>
      <c r="G30" s="1">
        <v>-22.16</v>
      </c>
    </row>
    <row r="31" spans="1:7" ht="15.5">
      <c r="A31" s="782">
        <v>27500000</v>
      </c>
      <c r="B31" s="774" t="s">
        <v>242</v>
      </c>
      <c r="C31" s="782" t="s">
        <v>186</v>
      </c>
      <c r="D31" s="782">
        <v>229355</v>
      </c>
      <c r="E31" s="785">
        <v>42629</v>
      </c>
      <c r="F31" s="1" t="s">
        <v>226</v>
      </c>
      <c r="G31" s="1">
        <v>147</v>
      </c>
    </row>
    <row r="32" spans="1:7" ht="15.5">
      <c r="A32" s="782">
        <v>27500000</v>
      </c>
      <c r="B32" s="774" t="s">
        <v>242</v>
      </c>
      <c r="C32" s="782" t="s">
        <v>186</v>
      </c>
      <c r="D32" s="782">
        <v>229528</v>
      </c>
      <c r="E32" s="785">
        <v>42626</v>
      </c>
      <c r="F32" s="1" t="s">
        <v>225</v>
      </c>
      <c r="G32" s="1">
        <v>-3790.87</v>
      </c>
    </row>
    <row r="33" spans="1:7" ht="15.5">
      <c r="A33" s="782">
        <v>27500000</v>
      </c>
      <c r="B33" s="774" t="s">
        <v>242</v>
      </c>
      <c r="C33" s="782" t="s">
        <v>186</v>
      </c>
      <c r="D33" s="782">
        <v>7604</v>
      </c>
      <c r="E33" s="785">
        <v>42381</v>
      </c>
      <c r="F33" s="1" t="s">
        <v>217</v>
      </c>
      <c r="G33" s="1">
        <v>72.61</v>
      </c>
    </row>
    <row r="34" spans="1:7" ht="15.5">
      <c r="A34" s="782">
        <v>27500000</v>
      </c>
      <c r="B34" s="774" t="s">
        <v>242</v>
      </c>
      <c r="C34" s="782" t="s">
        <v>186</v>
      </c>
      <c r="D34" s="782">
        <v>8097</v>
      </c>
      <c r="E34" s="785">
        <v>42370</v>
      </c>
      <c r="F34" s="1" t="s">
        <v>215</v>
      </c>
      <c r="G34" s="1">
        <v>3761.46</v>
      </c>
    </row>
    <row r="35" spans="1:7" ht="15.5">
      <c r="A35" s="782">
        <v>27500000</v>
      </c>
      <c r="B35" s="774" t="s">
        <v>242</v>
      </c>
      <c r="C35" s="782" t="s">
        <v>186</v>
      </c>
      <c r="D35" s="782">
        <v>8101</v>
      </c>
      <c r="E35" s="785">
        <v>42370</v>
      </c>
      <c r="F35" s="1" t="s">
        <v>216</v>
      </c>
      <c r="G35" s="1">
        <v>-695.24</v>
      </c>
    </row>
    <row r="36" spans="1:7" ht="15.5">
      <c r="A36" s="782">
        <v>27500000</v>
      </c>
      <c r="B36" s="774" t="s">
        <v>242</v>
      </c>
      <c r="C36" s="782" t="s">
        <v>186</v>
      </c>
      <c r="D36" s="782">
        <v>8153</v>
      </c>
      <c r="E36" s="785">
        <v>42401</v>
      </c>
      <c r="F36" s="1" t="s">
        <v>218</v>
      </c>
      <c r="G36" s="1">
        <v>97.87</v>
      </c>
    </row>
    <row r="37" spans="1:7" ht="15.5">
      <c r="A37" s="782">
        <v>27500000</v>
      </c>
      <c r="B37" s="774" t="s">
        <v>242</v>
      </c>
      <c r="C37" s="782" t="s">
        <v>186</v>
      </c>
      <c r="D37" s="782">
        <v>9556</v>
      </c>
      <c r="E37" s="785">
        <v>42461</v>
      </c>
      <c r="F37" s="1" t="s">
        <v>219</v>
      </c>
      <c r="G37" s="1">
        <v>31.06</v>
      </c>
    </row>
    <row r="38" spans="1:7" ht="15.5">
      <c r="A38" s="782">
        <v>27500000</v>
      </c>
      <c r="B38" s="774" t="s">
        <v>242</v>
      </c>
      <c r="C38" s="782" t="s">
        <v>186</v>
      </c>
      <c r="D38" s="782">
        <v>9990</v>
      </c>
      <c r="E38" s="785">
        <v>42491</v>
      </c>
      <c r="F38" s="1" t="s">
        <v>220</v>
      </c>
      <c r="G38" s="1">
        <v>-5.62</v>
      </c>
    </row>
    <row r="39" spans="1:7" ht="15.5">
      <c r="A39" s="782">
        <v>27500000</v>
      </c>
      <c r="B39" s="774" t="s">
        <v>242</v>
      </c>
      <c r="C39" s="782" t="s">
        <v>188</v>
      </c>
      <c r="D39" s="782">
        <v>229191</v>
      </c>
      <c r="E39" s="785">
        <v>42643</v>
      </c>
      <c r="F39" s="1" t="s">
        <v>227</v>
      </c>
      <c r="G39" s="1">
        <v>-1310</v>
      </c>
    </row>
    <row r="40" spans="1:7">
      <c r="A40" s="783">
        <v>27500000</v>
      </c>
      <c r="B40" s="1" t="s">
        <v>242</v>
      </c>
      <c r="C40" s="783" t="s">
        <v>190</v>
      </c>
      <c r="D40" s="783">
        <v>253879</v>
      </c>
      <c r="E40" s="785">
        <v>42643</v>
      </c>
      <c r="F40" s="1" t="s">
        <v>228</v>
      </c>
      <c r="G40" s="1">
        <v>3705.54</v>
      </c>
    </row>
    <row r="41" spans="1:7">
      <c r="A41" s="783">
        <v>27610000</v>
      </c>
      <c r="B41" s="1" t="s">
        <v>243</v>
      </c>
      <c r="C41" s="783" t="s">
        <v>188</v>
      </c>
      <c r="D41" s="783">
        <v>181313</v>
      </c>
      <c r="E41" s="785">
        <v>42566</v>
      </c>
      <c r="F41" s="1" t="s">
        <v>229</v>
      </c>
      <c r="G41" s="1">
        <v>7315.04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BC78"/>
  <sheetViews>
    <sheetView topLeftCell="AC1" zoomScale="70" zoomScaleNormal="70" zoomScaleSheetLayoutView="80" workbookViewId="0">
      <selection activeCell="AU12" sqref="AU12"/>
    </sheetView>
  </sheetViews>
  <sheetFormatPr baseColWidth="10" defaultColWidth="11.453125" defaultRowHeight="12.5"/>
  <cols>
    <col min="1" max="1" width="2.1796875" style="431" hidden="1" customWidth="1"/>
    <col min="2" max="2" width="7.81640625" style="542" customWidth="1"/>
    <col min="3" max="3" width="48.453125" style="431" customWidth="1"/>
    <col min="4" max="4" width="2.7265625" style="431" customWidth="1"/>
    <col min="5" max="5" width="47" style="472" customWidth="1"/>
    <col min="6" max="6" width="2.1796875" style="640" customWidth="1"/>
    <col min="7" max="7" width="20.81640625" style="431" bestFit="1" customWidth="1"/>
    <col min="8" max="8" width="13.26953125" style="431" customWidth="1"/>
    <col min="9" max="9" width="1.54296875" style="431" customWidth="1"/>
    <col min="10" max="10" width="20.81640625" style="431" bestFit="1" customWidth="1"/>
    <col min="11" max="11" width="15.7265625" style="725" customWidth="1"/>
    <col min="12" max="12" width="1.81640625" style="725" customWidth="1"/>
    <col min="13" max="13" width="18.54296875" style="431" customWidth="1"/>
    <col min="14" max="14" width="17.54296875" style="431" customWidth="1"/>
    <col min="15" max="15" width="2" style="431" customWidth="1"/>
    <col min="16" max="16" width="38.26953125" style="431" hidden="1" customWidth="1"/>
    <col min="17" max="17" width="19.81640625" style="431" hidden="1" customWidth="1"/>
    <col min="18" max="18" width="0" style="431" hidden="1" customWidth="1"/>
    <col min="19" max="19" width="19.453125" style="431" hidden="1" customWidth="1"/>
    <col min="20" max="20" width="0" style="431" hidden="1" customWidth="1"/>
    <col min="21" max="21" width="19.81640625" style="431" hidden="1" customWidth="1"/>
    <col min="22" max="22" width="0" style="431" hidden="1" customWidth="1"/>
    <col min="23" max="23" width="19.453125" style="431" hidden="1" customWidth="1"/>
    <col min="24" max="24" width="0" style="431" hidden="1" customWidth="1"/>
    <col min="25" max="25" width="20.453125" style="431" hidden="1" customWidth="1"/>
    <col min="26" max="26" width="0" style="431" hidden="1" customWidth="1"/>
    <col min="27" max="27" width="15.453125" style="431" hidden="1" customWidth="1"/>
    <col min="28" max="28" width="18.453125" style="431" bestFit="1" customWidth="1"/>
    <col min="29" max="29" width="14.81640625" style="431" customWidth="1"/>
    <col min="30" max="30" width="22.1796875" style="431" customWidth="1"/>
    <col min="31" max="31" width="15" style="431" customWidth="1"/>
    <col min="32" max="32" width="2" style="431" customWidth="1"/>
    <col min="33" max="33" width="21.7265625" style="431" customWidth="1"/>
    <col min="34" max="34" width="15.54296875" style="431" customWidth="1"/>
    <col min="35" max="35" width="4.1796875" style="431" customWidth="1"/>
    <col min="36" max="36" width="18.54296875" style="431" customWidth="1"/>
    <col min="37" max="37" width="11.453125" style="431" customWidth="1"/>
    <col min="38" max="38" width="11.81640625" style="431" customWidth="1"/>
    <col min="39" max="39" width="42.81640625" style="472" customWidth="1"/>
    <col min="40" max="40" width="12.81640625" style="431" customWidth="1"/>
    <col min="41" max="41" width="13.453125" style="431" customWidth="1"/>
    <col min="42" max="47" width="11.453125" style="431" customWidth="1"/>
    <col min="48" max="48" width="12.1796875" style="431" customWidth="1"/>
    <col min="49" max="52" width="11.453125" style="431" customWidth="1"/>
    <col min="53" max="53" width="12.81640625" style="431" customWidth="1"/>
    <col min="54" max="54" width="20" style="431" customWidth="1"/>
    <col min="55" max="55" width="68.54296875" style="431" customWidth="1"/>
    <col min="56" max="16384" width="11.453125" style="431"/>
  </cols>
  <sheetData>
    <row r="1" spans="1:55" ht="40.5" customHeight="1">
      <c r="C1" s="846" t="s">
        <v>80</v>
      </c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  <c r="O1" s="847"/>
      <c r="P1" s="847"/>
      <c r="Q1" s="847"/>
      <c r="R1" s="847"/>
      <c r="S1" s="847"/>
      <c r="T1" s="847"/>
      <c r="U1" s="847"/>
      <c r="V1" s="847"/>
      <c r="W1" s="847"/>
      <c r="X1" s="847"/>
      <c r="Y1" s="847"/>
      <c r="Z1" s="847"/>
      <c r="AA1" s="847"/>
      <c r="AB1" s="847"/>
      <c r="AC1" s="847"/>
      <c r="AD1" s="847"/>
      <c r="AE1" s="847"/>
      <c r="AF1" s="847"/>
      <c r="AG1" s="847"/>
      <c r="AH1" s="848"/>
      <c r="AM1" s="431"/>
    </row>
    <row r="2" spans="1:55" ht="51" customHeight="1">
      <c r="C2" s="846" t="s">
        <v>119</v>
      </c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7"/>
      <c r="P2" s="847"/>
      <c r="Q2" s="847"/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8"/>
      <c r="AM2" s="431"/>
      <c r="BB2" s="768" t="s">
        <v>174</v>
      </c>
    </row>
    <row r="3" spans="1:55" ht="16.5" customHeight="1">
      <c r="C3" s="543"/>
      <c r="D3" s="432"/>
      <c r="E3" s="432"/>
      <c r="F3" s="432"/>
      <c r="G3" s="544"/>
      <c r="H3" s="544"/>
      <c r="I3" s="544"/>
      <c r="J3" s="544"/>
      <c r="K3" s="545"/>
      <c r="L3" s="545"/>
      <c r="M3" s="544"/>
      <c r="N3" s="544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544"/>
      <c r="AC3" s="544"/>
      <c r="AD3" s="544"/>
      <c r="AE3" s="544"/>
      <c r="AF3" s="544"/>
      <c r="AG3" s="544"/>
      <c r="AH3" s="546"/>
      <c r="AM3" s="432"/>
    </row>
    <row r="4" spans="1:55" s="433" customFormat="1" ht="49.5" customHeight="1">
      <c r="A4" s="547"/>
      <c r="B4" s="548"/>
      <c r="C4" s="849" t="s">
        <v>120</v>
      </c>
      <c r="D4" s="549"/>
      <c r="E4" s="849" t="s">
        <v>121</v>
      </c>
      <c r="F4" s="550"/>
      <c r="G4" s="852" t="s">
        <v>167</v>
      </c>
      <c r="H4" s="853"/>
      <c r="I4" s="853"/>
      <c r="J4" s="853"/>
      <c r="K4" s="853"/>
      <c r="L4" s="853"/>
      <c r="M4" s="853"/>
      <c r="N4" s="854"/>
      <c r="O4" s="551"/>
      <c r="P4" s="855" t="s">
        <v>50</v>
      </c>
      <c r="Q4" s="857" t="s">
        <v>52</v>
      </c>
      <c r="R4" s="858"/>
      <c r="S4" s="857" t="s">
        <v>53</v>
      </c>
      <c r="T4" s="858"/>
      <c r="U4" s="857" t="s">
        <v>54</v>
      </c>
      <c r="V4" s="858"/>
      <c r="W4" s="857" t="s">
        <v>55</v>
      </c>
      <c r="X4" s="858"/>
      <c r="Y4" s="857" t="s">
        <v>46</v>
      </c>
      <c r="Z4" s="863"/>
      <c r="AA4" s="551"/>
      <c r="AB4" s="852" t="s">
        <v>167</v>
      </c>
      <c r="AC4" s="853"/>
      <c r="AD4" s="853"/>
      <c r="AE4" s="853"/>
      <c r="AF4" s="853"/>
      <c r="AG4" s="853"/>
      <c r="AH4" s="853"/>
      <c r="AM4" s="849" t="s">
        <v>121</v>
      </c>
    </row>
    <row r="5" spans="1:55" s="433" customFormat="1" ht="49.5" customHeight="1">
      <c r="A5" s="547"/>
      <c r="B5" s="548"/>
      <c r="C5" s="850"/>
      <c r="D5" s="552"/>
      <c r="E5" s="850"/>
      <c r="F5" s="553"/>
      <c r="G5" s="865" t="s">
        <v>139</v>
      </c>
      <c r="H5" s="866"/>
      <c r="I5" s="866"/>
      <c r="J5" s="866"/>
      <c r="K5" s="866"/>
      <c r="L5" s="866"/>
      <c r="M5" s="866"/>
      <c r="N5" s="867"/>
      <c r="O5" s="551"/>
      <c r="P5" s="855"/>
      <c r="Q5" s="857"/>
      <c r="R5" s="858"/>
      <c r="S5" s="857"/>
      <c r="T5" s="858"/>
      <c r="U5" s="857"/>
      <c r="V5" s="858"/>
      <c r="W5" s="857"/>
      <c r="X5" s="858"/>
      <c r="Y5" s="857"/>
      <c r="Z5" s="863"/>
      <c r="AA5" s="551"/>
      <c r="AB5" s="865" t="s">
        <v>140</v>
      </c>
      <c r="AC5" s="866"/>
      <c r="AD5" s="866"/>
      <c r="AE5" s="866"/>
      <c r="AF5" s="866"/>
      <c r="AG5" s="866"/>
      <c r="AH5" s="867"/>
      <c r="AM5" s="850"/>
      <c r="BB5" s="845" t="s">
        <v>166</v>
      </c>
      <c r="BC5" s="845" t="s">
        <v>168</v>
      </c>
    </row>
    <row r="6" spans="1:55" s="434" customFormat="1" ht="35.25" customHeight="1">
      <c r="A6" s="554"/>
      <c r="B6" s="548"/>
      <c r="C6" s="851"/>
      <c r="D6" s="555"/>
      <c r="E6" s="851"/>
      <c r="F6" s="553"/>
      <c r="G6" s="861" t="e">
        <f>#REF!</f>
        <v>#REF!</v>
      </c>
      <c r="H6" s="862"/>
      <c r="I6" s="431"/>
      <c r="J6" s="556" t="s">
        <v>108</v>
      </c>
      <c r="K6" s="557" t="s">
        <v>109</v>
      </c>
      <c r="L6" s="431"/>
      <c r="M6" s="558" t="s">
        <v>111</v>
      </c>
      <c r="N6" s="559" t="s">
        <v>112</v>
      </c>
      <c r="O6" s="560"/>
      <c r="P6" s="856"/>
      <c r="Q6" s="859"/>
      <c r="R6" s="860"/>
      <c r="S6" s="859"/>
      <c r="T6" s="860"/>
      <c r="U6" s="859"/>
      <c r="V6" s="860"/>
      <c r="W6" s="859"/>
      <c r="X6" s="860"/>
      <c r="Y6" s="859"/>
      <c r="Z6" s="864"/>
      <c r="AA6" s="560" t="s">
        <v>56</v>
      </c>
      <c r="AB6" s="561" t="s">
        <v>163</v>
      </c>
      <c r="AC6" s="744" t="e">
        <f>G6</f>
        <v>#REF!</v>
      </c>
      <c r="AD6" s="562" t="s">
        <v>108</v>
      </c>
      <c r="AE6" s="563" t="s">
        <v>109</v>
      </c>
      <c r="AF6" s="431"/>
      <c r="AG6" s="558" t="s">
        <v>111</v>
      </c>
      <c r="AH6" s="559" t="str">
        <f>N6</f>
        <v>% vs  N-1</v>
      </c>
      <c r="AJ6" s="564"/>
      <c r="AM6" s="851"/>
      <c r="AO6" s="434">
        <v>1</v>
      </c>
      <c r="AP6" s="434">
        <v>2</v>
      </c>
      <c r="AQ6" s="434">
        <v>3</v>
      </c>
      <c r="AR6" s="434">
        <v>4</v>
      </c>
      <c r="AS6" s="434">
        <v>5</v>
      </c>
      <c r="AT6" s="434">
        <v>6</v>
      </c>
      <c r="AU6" s="434">
        <v>7</v>
      </c>
      <c r="AV6" s="434">
        <v>8</v>
      </c>
      <c r="AW6" s="434">
        <v>9</v>
      </c>
      <c r="AX6" s="434">
        <v>10</v>
      </c>
      <c r="AY6" s="434">
        <v>11</v>
      </c>
      <c r="AZ6" s="434">
        <v>12</v>
      </c>
      <c r="BB6" s="845"/>
      <c r="BC6" s="845"/>
    </row>
    <row r="7" spans="1:55" s="439" customFormat="1" ht="37.5" customHeight="1">
      <c r="A7" s="565"/>
      <c r="B7" s="566"/>
      <c r="C7" s="436" t="s">
        <v>81</v>
      </c>
      <c r="D7" s="567"/>
      <c r="E7" s="436" t="s">
        <v>114</v>
      </c>
      <c r="F7" s="568"/>
      <c r="G7" s="473">
        <f>SUM(G8:G10)</f>
        <v>6202246.54</v>
      </c>
      <c r="H7" s="569" t="s">
        <v>157</v>
      </c>
      <c r="I7" s="431"/>
      <c r="J7" s="494">
        <f>SUM(J8:J10)</f>
        <v>0</v>
      </c>
      <c r="K7" s="516" t="str">
        <f>IF(ISERROR((G7-J7)/J7),"",(G7-J7)/J7)</f>
        <v/>
      </c>
      <c r="L7" s="431"/>
      <c r="M7" s="474">
        <v>2949005</v>
      </c>
      <c r="N7" s="516">
        <f>IF(ISERROR((G7-M7)/M7),"",(G7-M7)/M7)</f>
        <v>1.1031658271179601</v>
      </c>
      <c r="O7" s="570"/>
      <c r="P7" s="571" t="s">
        <v>0</v>
      </c>
      <c r="Q7" s="572" t="e">
        <f>SUM(Q8:Q10)</f>
        <v>#REF!</v>
      </c>
      <c r="R7" s="573" t="e">
        <f>SUM(R8:R10)</f>
        <v>#REF!</v>
      </c>
      <c r="S7" s="572" t="e">
        <f t="shared" ref="S7:Z7" si="0">SUM(S8:S10)</f>
        <v>#REF!</v>
      </c>
      <c r="T7" s="573" t="e">
        <f t="shared" si="0"/>
        <v>#REF!</v>
      </c>
      <c r="U7" s="572" t="e">
        <f t="shared" si="0"/>
        <v>#REF!</v>
      </c>
      <c r="V7" s="573" t="e">
        <f t="shared" si="0"/>
        <v>#REF!</v>
      </c>
      <c r="W7" s="572" t="e">
        <f t="shared" si="0"/>
        <v>#REF!</v>
      </c>
      <c r="X7" s="573" t="e">
        <f t="shared" si="0"/>
        <v>#REF!</v>
      </c>
      <c r="Y7" s="572" t="e">
        <f t="shared" si="0"/>
        <v>#REF!</v>
      </c>
      <c r="Z7" s="573" t="e">
        <f t="shared" si="0"/>
        <v>#REF!</v>
      </c>
      <c r="AA7" s="570"/>
      <c r="AB7" s="473">
        <f>SUM(AB8:AB10)</f>
        <v>17848241.460000001</v>
      </c>
      <c r="AC7" s="569" t="str">
        <f>H7</f>
        <v>%  s/Net Rev.</v>
      </c>
      <c r="AD7" s="494">
        <f>SUM(AD8:AD10)</f>
        <v>0</v>
      </c>
      <c r="AE7" s="516" t="str">
        <f>IF(ISERROR((AB7-AD7)/AD7),"",(AB7-AD7)/AD7)</f>
        <v/>
      </c>
      <c r="AF7" s="431"/>
      <c r="AG7" s="474">
        <v>7828734</v>
      </c>
      <c r="AH7" s="516">
        <f>IF(ISERROR((AB7-AG7)/AG7),"",(AB7-AG7)/AG7)</f>
        <v>1.2798375139581957</v>
      </c>
      <c r="AJ7" s="574"/>
      <c r="AK7" s="435">
        <v>42460</v>
      </c>
      <c r="AL7" s="435">
        <v>42400</v>
      </c>
      <c r="AM7" s="436" t="s">
        <v>114</v>
      </c>
      <c r="AO7" s="740">
        <v>42400</v>
      </c>
      <c r="AP7" s="740">
        <v>42428</v>
      </c>
      <c r="AQ7" s="740">
        <v>42460</v>
      </c>
      <c r="AR7" s="740">
        <v>42490</v>
      </c>
      <c r="AS7" s="740">
        <v>42521</v>
      </c>
      <c r="AT7" s="740">
        <v>42551</v>
      </c>
      <c r="AU7" s="740">
        <v>42582</v>
      </c>
      <c r="AV7" s="740">
        <v>42613</v>
      </c>
      <c r="AW7" s="740">
        <v>42643</v>
      </c>
      <c r="AX7" s="740">
        <v>42674</v>
      </c>
      <c r="AY7" s="740">
        <v>42704</v>
      </c>
      <c r="AZ7" s="740">
        <v>42735</v>
      </c>
      <c r="BA7" s="439" t="s">
        <v>162</v>
      </c>
      <c r="BB7" s="748">
        <f>IF(AB7&lt;0,AD7-AB7,AB7-AD7)</f>
        <v>17848241.460000001</v>
      </c>
      <c r="BC7" s="751"/>
    </row>
    <row r="8" spans="1:55" ht="26.15" customHeight="1">
      <c r="A8" s="575"/>
      <c r="B8" s="548">
        <v>706</v>
      </c>
      <c r="C8" s="438" t="s">
        <v>82</v>
      </c>
      <c r="D8" s="576"/>
      <c r="E8" s="438" t="s">
        <v>1</v>
      </c>
      <c r="F8" s="577"/>
      <c r="G8" s="475">
        <f>6205467.56-3221.02-G9-G10</f>
        <v>5544048.3300000001</v>
      </c>
      <c r="H8" s="578">
        <f>G8/G7</f>
        <v>0.89387745137909336</v>
      </c>
      <c r="J8" s="529">
        <f>SUMIF($AO$7:$AZ$7,$G$6,AO8:AZ8)</f>
        <v>0</v>
      </c>
      <c r="K8" s="517" t="str">
        <f>IF(ISERROR((G8-J8)/J8),"",(G8-J8)/J8)</f>
        <v/>
      </c>
      <c r="L8" s="431"/>
      <c r="M8" s="753">
        <v>2599715</v>
      </c>
      <c r="N8" s="517">
        <f t="shared" ref="N8:N54" si="1">IF(ISERROR((G8-M8)/M8),"",(G8-M8)/M8)</f>
        <v>1.1325600421584674</v>
      </c>
      <c r="O8" s="580"/>
      <c r="P8" s="581" t="s">
        <v>1</v>
      </c>
      <c r="Q8" s="582" t="e">
        <f>+#REF!+'31 dec 2016 BIOLAM'!AT4</f>
        <v>#REF!</v>
      </c>
      <c r="R8" s="583" t="e">
        <f>Q8/Q$7</f>
        <v>#REF!</v>
      </c>
      <c r="S8" s="582" t="e">
        <f>+'31 dec 2016 BIOLAM'!AV4+#REF!</f>
        <v>#REF!</v>
      </c>
      <c r="T8" s="583" t="e">
        <f>S8/S$7</f>
        <v>#REF!</v>
      </c>
      <c r="U8" s="582" t="e">
        <f>+'31 dec 2016 BIOLAM'!AX4+#REF!</f>
        <v>#REF!</v>
      </c>
      <c r="V8" s="583" t="e">
        <f>U8/U$7</f>
        <v>#REF!</v>
      </c>
      <c r="W8" s="582" t="e">
        <f>+'31 dec 2016 BIOLAM'!AZ4+#REF!</f>
        <v>#REF!</v>
      </c>
      <c r="X8" s="583" t="e">
        <f>W8/W$7</f>
        <v>#REF!</v>
      </c>
      <c r="Y8" s="582" t="e">
        <f>+W8+U8+S8+Q8</f>
        <v>#REF!</v>
      </c>
      <c r="Z8" s="583" t="e">
        <f>Y8/Y$7</f>
        <v>#REF!</v>
      </c>
      <c r="AA8" s="584" t="e">
        <f t="shared" ref="AA8:AA13" si="2">+G8-Y8</f>
        <v>#REF!</v>
      </c>
      <c r="AB8" s="475">
        <f>17860730.02-12488.56-AB9-AB10</f>
        <v>15733464.610000001</v>
      </c>
      <c r="AC8" s="578">
        <f>AB8/AB7</f>
        <v>0.88151343342483002</v>
      </c>
      <c r="AD8" s="495">
        <f>SUMIF($AO$7:$AZ$7,"&lt;="&amp;$AC$6,AO8:AZ8)</f>
        <v>0</v>
      </c>
      <c r="AE8" s="517" t="str">
        <f t="shared" ref="AE8:AE33" si="3">IF(ISERROR((AB8-AD8)/AD8),"",(AB8-AD8)/AD8)</f>
        <v/>
      </c>
      <c r="AG8" s="753">
        <v>7360063</v>
      </c>
      <c r="AH8" s="517">
        <f t="shared" ref="AH8:AH54" si="4">IF(ISERROR((AB8-AG8)/AG8),"",(AB8-AG8)/AG8)</f>
        <v>1.137680697841853</v>
      </c>
      <c r="AJ8" s="585"/>
      <c r="AK8" s="437">
        <v>42551</v>
      </c>
      <c r="AL8" s="435">
        <v>42428</v>
      </c>
      <c r="AM8" s="438" t="s">
        <v>1</v>
      </c>
      <c r="AO8" s="743">
        <f>IF($AO$7=$AL$7,'[4]1 trim 2016 BIOGROUP'!G4/3,IF($AO$7=$AL$8,'[4]1 trim 2016 BIOGROUP'!G4/3,IF($AO$7=$AL$9,'[4]1 trim 2016 BIOGROUP'!G4/3,IF($AO$7=$AL$10,'[4]2 trim 2016 BIOGROUP'!G4/3,IF($AO$7=$AL$11,'[4]2 trim 2016 BIOGROUP'!G4/3,IF($AO$7=$AL$12,'[4]2 trim 2016 BIOGROUP'!G4/3,""))))))</f>
        <v>2726211.4166666665</v>
      </c>
      <c r="AP8" s="743">
        <f>IF($AP$7=$AL$7,'[4]1 trim 2016 BIOGROUP'!G4/3,IF($AP$7=$AL$8,'[4]1 trim 2016 BIOGROUP'!G4/3,IF($AP$7=$AL$9,'[4]1 trim 2016 BIOGROUP'!G4/3,IF($AP$7=$AL$10,'[4]2 trim 2016 BIOGROUP'!G4/3,IF($AP$7=$AL$11,'[4]2 trim 2016 BIOGROUP'!G4/3,IF($AP$7=$AL$12,'[4]2 trim 2016 BIOGROUP'!G4/3,""))))))</f>
        <v>2726211.4166666665</v>
      </c>
      <c r="AQ8" s="743">
        <f>IF($AQ$7=$AL$7,'[4]1 trim 2016 BIOGROUP'!G4/3,IF($AQ$7=$AL$8,'[4]1 trim 2016 BIOGROUP'!G4/3,IF($AQ$7=$AL$9,'[4]1 trim 2016 BIOGROUP'!G4/3,IF($AQ$7=$AL$10,'[4]2 trim 2016 BIOGROUP'!G4/3,IF($AQ$7=$AL$11,'[4]2 trim 2016 BIOGROUP'!G4/3,IF($AQ$7=$AL$12,'[4]2 trim 2016 BIOGROUP'!G4/3,""))))))</f>
        <v>2726211.4166666665</v>
      </c>
      <c r="AR8" s="743">
        <f>IF($AR$7=$AL$7,'[4]1 trim 2016 BIOGROUP'!G4/3,IF($AR$7=$AL$8,'[4]1 trim 2016 BIOGROUP'!G4/3,IF($AR$7=$AL$9,'[4]1 trim 2016 BIOGROUP'!G4/3,IF($AR$7=$AL$10,'[4]2 trim 2016 BIOGROUP'!G4/3,IF($AR$7=$AL$11,'[4]2 trim 2016 BIOGROUP'!G4/3,IF($AR$7=$AL$12,'[4]2 trim 2016 BIOGROUP'!G4/3,""))))))</f>
        <v>2666774.5</v>
      </c>
      <c r="AS8" s="743">
        <f>IF($AS$7=$AL$7,'[4]1 trim 2016 BIOGROUP'!G4/3,IF($AS$7=$AL$8,'[4]1 trim 2016 BIOGROUP'!G4/3,IF($AS$7=$AL$9,'[4]1 trim 2016 BIOGROUP'!G4/3,IF($AS$7=$AL$10,'[4]2 trim 2016 BIOGROUP'!G4/3,IF($AS$7=$AL$11,'[4]2 trim 2016 BIOGROUP'!G4/3,IF($AS$7=$AL$12,'[4]2 trim 2016 BIOGROUP'!G4/3,""))))))</f>
        <v>2666774.5</v>
      </c>
      <c r="AT8" s="743">
        <f>IF($AT$7=$AL$7,'[4]1 trim 2016 BIOGROUP'!G4/3,IF($AT$7=$AL$8,'[4]1 trim 2016 BIOGROUP'!G4/3,IF($AT$7=$AL$9,'[4]1 trim 2016 BIOGROUP'!G4/3,IF($AT$7=$AL$10,'[4]2 trim 2016 BIOGROUP'!G4/3,IF($AT$7=$AL$11,'[4]2 trim 2016 BIOGROUP'!G4/3,IF($AT$7=$AL$12,'[4]2 trim 2016 BIOGROUP'!G4/3,""))))))</f>
        <v>2666774.5</v>
      </c>
      <c r="AU8" s="743">
        <f>IF($AU$7=$AL$13,'[4]3 trim 2016 BIOGROUP'!G4/3,IF($AU$7=$AL$15,'[4]3 trim 2016 BIOGROUP'!G4/3,IF($AU$7=$AL$16,'[4]3 trim 2016 BIOGROUP'!G4/3,IF($AU$7=$AL$17,'[4]4 trim 2016 BIOGROUP'!G4/3,IF($AU$7=$AL$19,'[4]4 trim 2016 BIOGROUP'!G4/3,IF($AU$7=$AL$20,'[4]4 trim 2016 BIOGROUP'!G4/3,""))))))</f>
        <v>2456179.8333333335</v>
      </c>
      <c r="AV8" s="743">
        <f>IF($AV$7=$AL$13,'[4]3 trim 2016 BIOGROUP'!G4/3,IF($AV$7=$AL$15,'[4]3 trim 2016 BIOGROUP'!G4/3,IF($AV$7=$AL$16,'[4]3 trim 2016 BIOGROUP'!G4/3,IF($AV$7=$AL$17,'[4]4 trim 2016 BIOGROUP'!G4/3,IF($AV$7=$AL$19,'[4]4 trim 2016 BIOGROUP'!G4/3,IF($AV$7=$AL$20,'[4]4 trim 2016 BIOGROUP'!G4/3,""))))))</f>
        <v>2456179.8333333335</v>
      </c>
      <c r="AW8" s="743">
        <f>IF($AW$7=$AL$13,'[4]3 trim 2016 BIOGROUP'!G4/3,IF($AW$7=$AL$15,'[4]3 trim 2016 BIOGROUP'!G4/3,IF($AW$7=$AL$16,'[4]3 trim 2016 BIOGROUP'!G4/3,IF($AW$7=$AL$17,'[4]4 trim 2016 BIOGROUP'!G4/3,IF($AW$7=$AL$19,'[4]4 trim 2016 BIOGROUP'!G4/3,IF($AW$7=$AL$20,'[4]4 trim 2016 BIOGROUP'!G4/3,""))))))</f>
        <v>2456179.8333333335</v>
      </c>
      <c r="AX8" s="743">
        <f>IF($AX$7=$AL$13,'[4]3 trim 2016 BIOGROUP'!G4/3,IF($AX$7=$AL$15,'[4]3 trim 2016 BIOGROUP'!G4/3,IF($AX$7=$AL$16,'[4]3 trim 2016 BIOGROUP'!G4/3,IF($AX$7=$AL$17,'[4]4 trim 2016 BIOGROUP'!G4/3,IF($AX$7=$AL$19,'[4]4 trim 2016 BIOGROUP'!G4/3,IF($AX$7=$AL$20,'[4]4 trim 2016 BIOGROUP'!G4/3,""))))))</f>
        <v>2634884.1666666665</v>
      </c>
      <c r="AY8" s="743">
        <f>IF($AY$7=$AL$13,'[4]3 trim 2016 BIOGROUP'!G4/3,IF($AY$7=$AL$15,'[4]3 trim 2016 BIOGROUP'!G4/3,IF($AY$7=$AL$16,'[4]3 trim 2016 BIOGROUP'!G4/3,IF($AY$7=$AL$17,'[4]4 trim 2016 BIOGROUP'!G4/3,IF($AY$7=$AL$19,'[4]4 trim 2016 BIOGROUP'!G4/3,IF($AY$7=$AL$20,'[4]4 trim 2016 BIOGROUP'!G4/3,""))))))</f>
        <v>2634884.1666666665</v>
      </c>
      <c r="AZ8" s="743">
        <f>IF($AZ$7=$AL$13,'[4]3 trim 2016 BIOGROUP'!G4/3,IF($AZ$7=$AL$15,'[4]3 trim 2016 BIOGROUP'!G4/3,IF($AZ$7=$AL$16,'[4]3 trim 2016 BIOGROUP'!G4/3,IF($AZ$7=$AL$17,'[4]4 trim 2016 BIOGROUP'!G4/3,IF($AZ$7=$AL$19,'[4]4 trim 2016 BIOGROUP'!G4/3,IF($AZ$7=$AL$20,'[4]4 trim 2016 BIOGROUP'!G4/3,""))))))</f>
        <v>2634884.1666666665</v>
      </c>
      <c r="BA8" s="431" t="str">
        <f>IF(SUM(AO8:AZ8)-('[4]4 trim 2016 BIOGROUP'!G4+'[4]3 trim 2016 BIOGROUP'!G4+'[4]2 trim 2016 BIOGROUP'!G4+'[4]1 trim 2016 BIOGROUP'!G4)&lt;1,"OK","ERREUR")</f>
        <v>OK</v>
      </c>
      <c r="BB8" s="511">
        <f t="shared" ref="BB8:BB54" si="5">IF(AB8&lt;0,AD8-AB8,AB8-AD8)</f>
        <v>15733464.610000001</v>
      </c>
      <c r="BC8" s="750"/>
    </row>
    <row r="9" spans="1:55" ht="26.15" customHeight="1">
      <c r="A9" s="575"/>
      <c r="B9" s="548">
        <v>7061</v>
      </c>
      <c r="C9" s="440" t="s">
        <v>141</v>
      </c>
      <c r="D9" s="576"/>
      <c r="E9" s="440" t="s">
        <v>2</v>
      </c>
      <c r="F9" s="577"/>
      <c r="G9" s="475">
        <v>576034</v>
      </c>
      <c r="H9" s="578">
        <f>G9/G7</f>
        <v>9.2875056849965207E-2</v>
      </c>
      <c r="J9" s="529">
        <f>SUMIF($AO$7:$AZ$7,$G$6,AO9:AZ9)</f>
        <v>0</v>
      </c>
      <c r="K9" s="517" t="str">
        <f t="shared" ref="K9:K54" si="6">IF(ISERROR((G9-J9)/J9),"",(G9-J9)/J9)</f>
        <v/>
      </c>
      <c r="L9" s="431"/>
      <c r="M9" s="753">
        <v>49700</v>
      </c>
      <c r="N9" s="517">
        <f t="shared" si="1"/>
        <v>10.590221327967807</v>
      </c>
      <c r="O9" s="580"/>
      <c r="P9" s="586" t="s">
        <v>2</v>
      </c>
      <c r="Q9" s="582" t="e">
        <f>+#REF!+'31 dec 2016 BIOLAM'!AT5</f>
        <v>#REF!</v>
      </c>
      <c r="R9" s="583" t="e">
        <f>Q9/Q$7</f>
        <v>#REF!</v>
      </c>
      <c r="S9" s="582" t="e">
        <f>+'31 dec 2016 BIOLAM'!AV5+#REF!</f>
        <v>#REF!</v>
      </c>
      <c r="T9" s="583" t="e">
        <f>S9/S$7</f>
        <v>#REF!</v>
      </c>
      <c r="U9" s="582" t="e">
        <f>+'31 dec 2016 BIOLAM'!AX5+#REF!</f>
        <v>#REF!</v>
      </c>
      <c r="V9" s="583" t="e">
        <f>U9/U$7</f>
        <v>#REF!</v>
      </c>
      <c r="W9" s="582" t="e">
        <f>+'31 dec 2016 BIOLAM'!AZ5+#REF!</f>
        <v>#REF!</v>
      </c>
      <c r="X9" s="583" t="e">
        <f>W9/W$7</f>
        <v>#REF!</v>
      </c>
      <c r="Y9" s="582" t="e">
        <f>+W9+U9+S9+Q9</f>
        <v>#REF!</v>
      </c>
      <c r="Z9" s="583" t="e">
        <f>Y9/Y$7</f>
        <v>#REF!</v>
      </c>
      <c r="AA9" s="584" t="e">
        <f t="shared" si="2"/>
        <v>#REF!</v>
      </c>
      <c r="AB9" s="475">
        <f>406518+192437+511935+81765+66819+182501+113798+120004</f>
        <v>1675777</v>
      </c>
      <c r="AC9" s="578">
        <f>AB9/AB7</f>
        <v>9.3890314278614648E-2</v>
      </c>
      <c r="AD9" s="495">
        <f>SUMIF($AO$7:$AZ$7,"&lt;="&amp;$AC$6,AO9:AZ9)</f>
        <v>0</v>
      </c>
      <c r="AE9" s="517" t="str">
        <f t="shared" si="3"/>
        <v/>
      </c>
      <c r="AG9" s="753">
        <v>157130</v>
      </c>
      <c r="AH9" s="517">
        <f t="shared" si="4"/>
        <v>9.6649080379303758</v>
      </c>
      <c r="AJ9" s="587"/>
      <c r="AK9" s="437">
        <v>42643</v>
      </c>
      <c r="AL9" s="435">
        <v>42460</v>
      </c>
      <c r="AM9" s="440" t="s">
        <v>2</v>
      </c>
      <c r="AO9" s="743">
        <f>IF($AO$7=$AL$7,'[4]1 trim 2016 BIOGROUP'!G5/3,IF($AO$7=$AL$8,'[4]1 trim 2016 BIOGROUP'!G5/3,IF($AO$7=$AL$9,'[4]1 trim 2016 BIOGROUP'!G5/3,IF($AO$7=$AL$10,'[4]2 trim 2016 BIOGROUP'!G5/3,IF($AO$7=$AL$11,'[4]2 trim 2016 BIOGROUP'!G5/3,IF($AO$7=$AL$12,'[4]2 trim 2016 BIOGROUP'!G5/3,""))))))</f>
        <v>0</v>
      </c>
      <c r="AP9" s="743">
        <f>IF($AP$7=$AL$7,'[4]1 trim 2016 BIOGROUP'!G5/3,IF($AP$7=$AL$8,'[4]1 trim 2016 BIOGROUP'!G5/3,IF($AP$7=$AL$9,'[4]1 trim 2016 BIOGROUP'!G5/3,IF($AP$7=$AL$10,'[4]2 trim 2016 BIOGROUP'!G5/3,IF($AP$7=$AL$11,'[4]2 trim 2016 BIOGROUP'!G5/3,IF($AP$7=$AL$12,'[4]2 trim 2016 BIOGROUP'!G5/3,""))))))</f>
        <v>0</v>
      </c>
      <c r="AQ9" s="743">
        <f>IF($AQ$7=$AL$7,'[4]1 trim 2016 BIOGROUP'!G5/3,IF($AQ$7=$AL$8,'[4]1 trim 2016 BIOGROUP'!G5/3,IF($AQ$7=$AL$9,'[4]1 trim 2016 BIOGROUP'!G5/3,IF($AQ$7=$AL$10,'[4]2 trim 2016 BIOGROUP'!G5/3,IF($AQ$7=$AL$11,'[4]2 trim 2016 BIOGROUP'!G5/3,IF($AQ$7=$AL$12,'[4]2 trim 2016 BIOGROUP'!G5/3,""))))))</f>
        <v>0</v>
      </c>
      <c r="AR9" s="743">
        <f>IF($AR$7=$AL$7,'[4]1 trim 2016 BIOGROUP'!G5/3,IF($AR$7=$AL$8,'[4]1 trim 2016 BIOGROUP'!G5/3,IF($AR$7=$AL$9,'[4]1 trim 2016 BIOGROUP'!G5/3,IF($AR$7=$AL$10,'[4]2 trim 2016 BIOGROUP'!G5/3,IF($AR$7=$AL$11,'[4]2 trim 2016 BIOGROUP'!G5/3,IF($AR$7=$AL$12,'[4]2 trim 2016 BIOGROUP'!G5/3,""))))))</f>
        <v>0</v>
      </c>
      <c r="AS9" s="743">
        <f>IF($AS$7=$AL$7,'[4]1 trim 2016 BIOGROUP'!G5/3,IF($AS$7=$AL$8,'[4]1 trim 2016 BIOGROUP'!G5/3,IF($AS$7=$AL$9,'[4]1 trim 2016 BIOGROUP'!G5/3,IF($AS$7=$AL$10,'[4]2 trim 2016 BIOGROUP'!G5/3,IF($AS$7=$AL$11,'[4]2 trim 2016 BIOGROUP'!G5/3,IF($AS$7=$AL$12,'[4]2 trim 2016 BIOGROUP'!G5/3,""))))))</f>
        <v>0</v>
      </c>
      <c r="AT9" s="743">
        <f>IF($AT$7=$AL$7,'[4]1 trim 2016 BIOGROUP'!G5/3,IF($AT$7=$AL$8,'[4]1 trim 2016 BIOGROUP'!G5/3,IF($AT$7=$AL$9,'[4]1 trim 2016 BIOGROUP'!G5/3,IF($AT$7=$AL$10,'[4]2 trim 2016 BIOGROUP'!G5/3,IF($AT$7=$AL$11,'[4]2 trim 2016 BIOGROUP'!G5/3,IF($AT$7=$AL$12,'[4]2 trim 2016 BIOGROUP'!G5/3,""))))))</f>
        <v>0</v>
      </c>
      <c r="AU9" s="743">
        <f>IF($AU$7=$AL$13,'[4]3 trim 2016 BIOGROUP'!G5/3,IF($AU$7=$AL$15,'[4]3 trim 2016 BIOGROUP'!G5/3,IF($AU$7=$AL$16,'[4]3 trim 2016 BIOGROUP'!G5/3,IF($AU$7=$AL$17,'[4]4 trim 2016 BIOGROUP'!G5/3,IF($AU$7=$AL$19,'[4]4 trim 2016 BIOGROUP'!G5/3,IF($AU$7=$AL$20,'[4]4 trim 2016 BIOGROUP'!G5/3,""))))))</f>
        <v>0</v>
      </c>
      <c r="AV9" s="743">
        <f>IF($AV$7=$AL$13,'[4]3 trim 2016 BIOGROUP'!G5/3,IF($AV$7=$AL$15,'[4]3 trim 2016 BIOGROUP'!G5/3,IF($AV$7=$AL$16,'[4]3 trim 2016 BIOGROUP'!G5/3,IF($AV$7=$AL$17,'[4]4 trim 2016 BIOGROUP'!G5/3,IF($AV$7=$AL$19,'[4]4 trim 2016 BIOGROUP'!G5/3,IF($AV$7=$AL$20,'[4]4 trim 2016 BIOGROUP'!G5/3,""))))))</f>
        <v>0</v>
      </c>
      <c r="AW9" s="743">
        <f>IF($AW$7=$AL$13,'[4]3 trim 2016 BIOGROUP'!G5/3,IF($AW$7=$AL$15,'[4]3 trim 2016 BIOGROUP'!G5/3,IF($AW$7=$AL$16,'[4]3 trim 2016 BIOGROUP'!G5/3,IF($AW$7=$AL$17,'[4]4 trim 2016 BIOGROUP'!G5/3,IF($AW$7=$AL$19,'[4]4 trim 2016 BIOGROUP'!G5/3,IF($AW$7=$AL$20,'[4]4 trim 2016 BIOGROUP'!G5/3,""))))))</f>
        <v>0</v>
      </c>
      <c r="AX9" s="743">
        <f>IF($AX$7=$AL$13,'[4]3 trim 2016 BIOGROUP'!G5/3,IF($AX$7=$AL$15,'[4]3 trim 2016 BIOGROUP'!G5/3,IF($AX$7=$AL$16,'[4]3 trim 2016 BIOGROUP'!G5/3,IF($AX$7=$AL$17,'[4]4 trim 2016 BIOGROUP'!G5/3,IF($AX$7=$AL$19,'[4]4 trim 2016 BIOGROUP'!G5/3,IF($AX$7=$AL$20,'[4]4 trim 2016 BIOGROUP'!G5/3,""))))))</f>
        <v>0</v>
      </c>
      <c r="AY9" s="743">
        <f>IF($AY$7=$AL$13,'[4]3 trim 2016 BIOGROUP'!G5/3,IF($AY$7=$AL$15,'[4]3 trim 2016 BIOGROUP'!G5/3,IF($AY$7=$AL$16,'[4]3 trim 2016 BIOGROUP'!G5/3,IF($AY$7=$AL$17,'[4]4 trim 2016 BIOGROUP'!G5/3,IF($AY$7=$AL$19,'[4]4 trim 2016 BIOGROUP'!G5/3,IF($AY$7=$AL$20,'[4]4 trim 2016 BIOGROUP'!G5/3,""))))))</f>
        <v>0</v>
      </c>
      <c r="AZ9" s="743">
        <f>IF($AZ$7=$AL$13,'[4]3 trim 2016 BIOGROUP'!G5/3,IF($AZ$7=$AL$15,'[4]3 trim 2016 BIOGROUP'!G5/3,IF($AZ$7=$AL$16,'[4]3 trim 2016 BIOGROUP'!G5/3,IF($AZ$7=$AL$17,'[4]4 trim 2016 BIOGROUP'!G5/3,IF($AZ$7=$AL$19,'[4]4 trim 2016 BIOGROUP'!G5/3,IF($AZ$7=$AL$20,'[4]4 trim 2016 BIOGROUP'!G5/3,""))))))</f>
        <v>0</v>
      </c>
      <c r="BA9" s="431" t="str">
        <f>IF(SUM(AO9:AZ9)-('[4]4 trim 2016 BIOGROUP'!G5+'[4]3 trim 2016 BIOGROUP'!G5+'[4]2 trim 2016 BIOGROUP'!G5+'[4]1 trim 2016 BIOGROUP'!G5)&lt;1,"OK","ERREUR")</f>
        <v>OK</v>
      </c>
      <c r="BB9" s="511">
        <f t="shared" si="5"/>
        <v>1675777</v>
      </c>
      <c r="BC9" s="750"/>
    </row>
    <row r="10" spans="1:55" ht="26.15" customHeight="1">
      <c r="B10" s="588" t="s">
        <v>159</v>
      </c>
      <c r="C10" s="438" t="s">
        <v>83</v>
      </c>
      <c r="D10" s="576"/>
      <c r="E10" s="438" t="s">
        <v>113</v>
      </c>
      <c r="F10" s="577"/>
      <c r="G10" s="475">
        <f>45+85340.23-3221.02</f>
        <v>82164.209999999992</v>
      </c>
      <c r="H10" s="578">
        <f>G10/G7</f>
        <v>1.3247491770941436E-2</v>
      </c>
      <c r="J10" s="529">
        <f>SUMIF($AO$7:$AZ$7,$G$6,AO10:AZ10)</f>
        <v>0</v>
      </c>
      <c r="K10" s="517" t="str">
        <f t="shared" si="6"/>
        <v/>
      </c>
      <c r="L10" s="431"/>
      <c r="M10" s="753">
        <v>299590</v>
      </c>
      <c r="N10" s="517">
        <f t="shared" si="1"/>
        <v>-0.72574448412830872</v>
      </c>
      <c r="O10" s="580"/>
      <c r="P10" s="581" t="s">
        <v>113</v>
      </c>
      <c r="Q10" s="582" t="e">
        <f>+#REF!+'31 dec 2016 BIOLAM'!AT6</f>
        <v>#REF!</v>
      </c>
      <c r="R10" s="583" t="e">
        <f>Q10/Q$7</f>
        <v>#REF!</v>
      </c>
      <c r="S10" s="582" t="e">
        <f>+'31 dec 2016 BIOLAM'!AV6+#REF!</f>
        <v>#REF!</v>
      </c>
      <c r="T10" s="583" t="e">
        <f>S10/S$7</f>
        <v>#REF!</v>
      </c>
      <c r="U10" s="582" t="e">
        <f>+'31 dec 2016 BIOLAM'!AX6+#REF!</f>
        <v>#REF!</v>
      </c>
      <c r="V10" s="583" t="e">
        <f>U10/U$7</f>
        <v>#REF!</v>
      </c>
      <c r="W10" s="582" t="e">
        <f>+'31 dec 2016 BIOLAM'!AZ6+#REF!</f>
        <v>#REF!</v>
      </c>
      <c r="X10" s="583" t="e">
        <f>W10/W$7</f>
        <v>#REF!</v>
      </c>
      <c r="Y10" s="582" t="e">
        <f>+W10+U10+S10+Q10</f>
        <v>#REF!</v>
      </c>
      <c r="Z10" s="583" t="e">
        <f>Y10/Y$7</f>
        <v>#REF!</v>
      </c>
      <c r="AA10" s="584" t="e">
        <f t="shared" si="2"/>
        <v>#REF!</v>
      </c>
      <c r="AB10" s="475">
        <f>4849+249882.49+13485.25+170783.11</f>
        <v>438999.85</v>
      </c>
      <c r="AC10" s="578">
        <f>AB10/AB7</f>
        <v>2.459625229655538E-2</v>
      </c>
      <c r="AD10" s="495">
        <f>SUMIF($AO$7:$AZ$7,"&lt;="&amp;$AC$6,AO10:AZ10)</f>
        <v>0</v>
      </c>
      <c r="AE10" s="517" t="str">
        <f t="shared" si="3"/>
        <v/>
      </c>
      <c r="AG10" s="753">
        <v>311541</v>
      </c>
      <c r="AH10" s="517">
        <f t="shared" si="4"/>
        <v>0.40912383923785306</v>
      </c>
      <c r="AJ10" s="587"/>
      <c r="AK10" s="437">
        <v>42735</v>
      </c>
      <c r="AL10" s="435">
        <v>42490</v>
      </c>
      <c r="AM10" s="438" t="s">
        <v>113</v>
      </c>
      <c r="AO10" s="743">
        <f>IF($AO$7=$AL$7,'[4]1 trim 2016 BIOGROUP'!G6/3,IF($AO$7=$AL$8,'[4]1 trim 2016 BIOGROUP'!G6/3,IF($AO$7=$AL$9,'[4]1 trim 2016 BIOGROUP'!G6/3,IF($AO$7=$AL$10,'[4]2 trim 2016 BIOGROUP'!G6/3,IF($AO$7=$AL$11,'[4]2 trim 2016 BIOGROUP'!G6/3,IF($AO$7=$AL$12,'[4]2 trim 2016 BIOGROUP'!G6/3,""))))))</f>
        <v>67706.083333333328</v>
      </c>
      <c r="AP10" s="743">
        <f>IF($AP$7=$AL$7,'[4]1 trim 2016 BIOGROUP'!G6/3,IF($AP$7=$AL$8,'[4]1 trim 2016 BIOGROUP'!G6/3,IF($AP$7=$AL$9,'[4]1 trim 2016 BIOGROUP'!G6/3,IF($AP$7=$AL$10,'[4]2 trim 2016 BIOGROUP'!G6/3,IF($AP$7=$AL$11,'[4]2 trim 2016 BIOGROUP'!G6/3,IF($AP$7=$AL$12,'[4]2 trim 2016 BIOGROUP'!G6/3,""))))))</f>
        <v>67706.083333333328</v>
      </c>
      <c r="AQ10" s="743">
        <f>IF($AQ$7=$AL$7,'[4]1 trim 2016 BIOGROUP'!G6/3,IF($AQ$7=$AL$8,'[4]1 trim 2016 BIOGROUP'!G6/3,IF($AQ$7=$AL$9,'[4]1 trim 2016 BIOGROUP'!G6/3,IF($AQ$7=$AL$10,'[4]2 trim 2016 BIOGROUP'!G6/3,IF($AQ$7=$AL$11,'[4]2 trim 2016 BIOGROUP'!G6/3,IF($AQ$7=$AL$12,'[4]2 trim 2016 BIOGROUP'!G6/3,""))))))</f>
        <v>67706.083333333328</v>
      </c>
      <c r="AR10" s="743">
        <f>IF($AR$7=$AL$7,'[4]1 trim 2016 BIOGROUP'!G6/3,IF($AR$7=$AL$8,'[4]1 trim 2016 BIOGROUP'!G6/3,IF($AR$7=$AL$9,'[4]1 trim 2016 BIOGROUP'!G6/3,IF($AR$7=$AL$10,'[4]2 trim 2016 BIOGROUP'!G6/3,IF($AR$7=$AL$11,'[4]2 trim 2016 BIOGROUP'!G6/3,IF($AR$7=$AL$12,'[4]2 trim 2016 BIOGROUP'!G6/3,""))))))</f>
        <v>67706.083333333328</v>
      </c>
      <c r="AS10" s="743">
        <f>IF($AS$7=$AL$7,'[4]1 trim 2016 BIOGROUP'!G6/3,IF($AS$7=$AL$8,'[4]1 trim 2016 BIOGROUP'!G6/3,IF($AS$7=$AL$9,'[4]1 trim 2016 BIOGROUP'!G6/3,IF($AS$7=$AL$10,'[4]2 trim 2016 BIOGROUP'!G6/3,IF($AS$7=$AL$11,'[4]2 trim 2016 BIOGROUP'!G6/3,IF($AS$7=$AL$12,'[4]2 trim 2016 BIOGROUP'!G6/3,""))))))</f>
        <v>67706.083333333328</v>
      </c>
      <c r="AT10" s="743">
        <f>IF($AT$7=$AL$7,'[4]1 trim 2016 BIOGROUP'!G6/3,IF($AT$7=$AL$8,'[4]1 trim 2016 BIOGROUP'!G6/3,IF($AT$7=$AL$9,'[4]1 trim 2016 BIOGROUP'!G6/3,IF($AT$7=$AL$10,'[4]2 trim 2016 BIOGROUP'!G6/3,IF($AT$7=$AL$11,'[4]2 trim 2016 BIOGROUP'!G6/3,IF($AT$7=$AL$12,'[4]2 trim 2016 BIOGROUP'!G6/3,""))))))</f>
        <v>67706.083333333328</v>
      </c>
      <c r="AU10" s="743">
        <f>IF($AU$7=$AL$13,'[4]3 trim 2016 BIOGROUP'!G6/3,IF($AU$7=$AL$15,'[4]3 trim 2016 BIOGROUP'!G6/3,IF($AU$7=$AL$16,'[4]3 trim 2016 BIOGROUP'!G6/3,IF($AU$7=$AL$17,'[4]4 trim 2016 BIOGROUP'!G6/3,IF($AU$7=$AL$19,'[4]4 trim 2016 BIOGROUP'!G6/3,IF($AU$7=$AL$20,'[4]4 trim 2016 BIOGROUP'!G6/3,""))))))</f>
        <v>67706.083333333328</v>
      </c>
      <c r="AV10" s="743">
        <f>IF($AV$7=$AL$13,'[4]3 trim 2016 BIOGROUP'!G6/3,IF($AV$7=$AL$15,'[4]3 trim 2016 BIOGROUP'!G6/3,IF($AV$7=$AL$16,'[4]3 trim 2016 BIOGROUP'!G6/3,IF($AV$7=$AL$17,'[4]4 trim 2016 BIOGROUP'!G6/3,IF($AV$7=$AL$19,'[4]4 trim 2016 BIOGROUP'!G6/3,IF($AV$7=$AL$20,'[4]4 trim 2016 BIOGROUP'!G6/3,""))))))</f>
        <v>67706.083333333328</v>
      </c>
      <c r="AW10" s="743">
        <f>IF($AW$7=$AL$13,'[4]3 trim 2016 BIOGROUP'!G6/3,IF($AW$7=$AL$15,'[4]3 trim 2016 BIOGROUP'!G6/3,IF($AW$7=$AL$16,'[4]3 trim 2016 BIOGROUP'!G6/3,IF($AW$7=$AL$17,'[4]4 trim 2016 BIOGROUP'!G6/3,IF($AW$7=$AL$19,'[4]4 trim 2016 BIOGROUP'!G6/3,IF($AW$7=$AL$20,'[4]4 trim 2016 BIOGROUP'!G6/3,""))))))</f>
        <v>67706.083333333328</v>
      </c>
      <c r="AX10" s="743">
        <f>IF($AX$7=$AL$13,'[4]3 trim 2016 BIOGROUP'!G6/3,IF($AX$7=$AL$15,'[4]3 trim 2016 BIOGROUP'!G6/3,IF($AX$7=$AL$16,'[4]3 trim 2016 BIOGROUP'!G6/3,IF($AX$7=$AL$17,'[4]4 trim 2016 BIOGROUP'!G6/3,IF($AX$7=$AL$19,'[4]4 trim 2016 BIOGROUP'!G6/3,IF($AX$7=$AL$20,'[4]4 trim 2016 BIOGROUP'!G6/3,""))))))</f>
        <v>67706.083333333328</v>
      </c>
      <c r="AY10" s="743">
        <f>IF($AY$7=$AL$13,'[4]3 trim 2016 BIOGROUP'!G6/3,IF($AY$7=$AL$15,'[4]3 trim 2016 BIOGROUP'!G6/3,IF($AY$7=$AL$16,'[4]3 trim 2016 BIOGROUP'!G6/3,IF($AY$7=$AL$17,'[4]4 trim 2016 BIOGROUP'!G6/3,IF($AY$7=$AL$19,'[4]4 trim 2016 BIOGROUP'!G6/3,IF($AY$7=$AL$20,'[4]4 trim 2016 BIOGROUP'!G6/3,""))))))</f>
        <v>67706.083333333328</v>
      </c>
      <c r="AZ10" s="743">
        <f>IF($AZ$7=$AL$13,'[4]3 trim 2016 BIOGROUP'!G6/3,IF($AZ$7=$AL$15,'[4]3 trim 2016 BIOGROUP'!G6/3,IF($AZ$7=$AL$16,'[4]3 trim 2016 BIOGROUP'!G6/3,IF($AZ$7=$AL$17,'[4]4 trim 2016 BIOGROUP'!G6/3,IF($AZ$7=$AL$19,'[4]4 trim 2016 BIOGROUP'!G6/3,IF($AZ$7=$AL$20,'[4]4 trim 2016 BIOGROUP'!G6/3,""))))))</f>
        <v>67706.083333333328</v>
      </c>
      <c r="BA10" s="431" t="str">
        <f>IF(SUM(AO10:AZ10)-('[4]4 trim 2016 BIOGROUP'!G6+'[4]3 trim 2016 BIOGROUP'!G6+'[4]2 trim 2016 BIOGROUP'!G6+'[4]1 trim 2016 BIOGROUP'!G6)&lt;1,"OK","ERREUR")</f>
        <v>OK</v>
      </c>
      <c r="BB10" s="511">
        <f t="shared" si="5"/>
        <v>438999.85</v>
      </c>
      <c r="BC10" s="750"/>
    </row>
    <row r="11" spans="1:55" s="439" customFormat="1" ht="26.15" customHeight="1">
      <c r="A11" s="431"/>
      <c r="B11" s="542"/>
      <c r="C11" s="441" t="s">
        <v>87</v>
      </c>
      <c r="D11" s="589"/>
      <c r="E11" s="441" t="s">
        <v>115</v>
      </c>
      <c r="F11" s="590"/>
      <c r="G11" s="476">
        <f>SUM(G12:G13)</f>
        <v>-953257.30999999994</v>
      </c>
      <c r="H11" s="591">
        <f>G11/G7</f>
        <v>-0.1536954882157909</v>
      </c>
      <c r="I11" s="431"/>
      <c r="J11" s="496">
        <f>SUM(J12:J13)</f>
        <v>0</v>
      </c>
      <c r="K11" s="530" t="str">
        <f t="shared" si="6"/>
        <v/>
      </c>
      <c r="L11" s="431"/>
      <c r="M11" s="754">
        <v>-389595</v>
      </c>
      <c r="N11" s="518">
        <f t="shared" si="1"/>
        <v>1.4467904105545502</v>
      </c>
      <c r="O11" s="592"/>
      <c r="P11" s="593" t="s">
        <v>3</v>
      </c>
      <c r="Q11" s="594" t="e">
        <f t="shared" ref="Q11:Z11" si="7">SUM(Q12:Q13)</f>
        <v>#REF!</v>
      </c>
      <c r="R11" s="595" t="e">
        <f t="shared" si="7"/>
        <v>#REF!</v>
      </c>
      <c r="S11" s="594" t="e">
        <f t="shared" si="7"/>
        <v>#REF!</v>
      </c>
      <c r="T11" s="595" t="e">
        <f t="shared" si="7"/>
        <v>#REF!</v>
      </c>
      <c r="U11" s="594" t="e">
        <f t="shared" si="7"/>
        <v>#REF!</v>
      </c>
      <c r="V11" s="595" t="e">
        <f t="shared" si="7"/>
        <v>#REF!</v>
      </c>
      <c r="W11" s="594" t="e">
        <f t="shared" si="7"/>
        <v>#REF!</v>
      </c>
      <c r="X11" s="595" t="e">
        <f t="shared" si="7"/>
        <v>#REF!</v>
      </c>
      <c r="Y11" s="594" t="e">
        <f t="shared" si="7"/>
        <v>#REF!</v>
      </c>
      <c r="Z11" s="595" t="e">
        <f t="shared" si="7"/>
        <v>#REF!</v>
      </c>
      <c r="AA11" s="584" t="e">
        <f t="shared" si="2"/>
        <v>#REF!</v>
      </c>
      <c r="AB11" s="476">
        <f>SUM(AB12:AB13)</f>
        <v>-2616023.77</v>
      </c>
      <c r="AC11" s="591">
        <f>AB11/AB7</f>
        <v>-0.14657039327167418</v>
      </c>
      <c r="AD11" s="496">
        <f>SUM(AD12:AD13)</f>
        <v>0</v>
      </c>
      <c r="AE11" s="518" t="str">
        <f t="shared" si="3"/>
        <v/>
      </c>
      <c r="AF11" s="431"/>
      <c r="AG11" s="754">
        <v>-1333099</v>
      </c>
      <c r="AH11" s="518">
        <f t="shared" si="4"/>
        <v>0.96236271274676521</v>
      </c>
      <c r="AJ11" s="596"/>
      <c r="AL11" s="435">
        <v>42521</v>
      </c>
      <c r="AM11" s="441" t="s">
        <v>115</v>
      </c>
      <c r="AN11" s="746"/>
      <c r="AO11" s="741">
        <f>-SUM(AO12:AO13)</f>
        <v>-362072.5</v>
      </c>
      <c r="AP11" s="741">
        <f t="shared" ref="AP11:AZ11" si="8">-SUM(AP12:AP13)</f>
        <v>-362072.5</v>
      </c>
      <c r="AQ11" s="741">
        <f t="shared" si="8"/>
        <v>-362072.5</v>
      </c>
      <c r="AR11" s="741">
        <f t="shared" si="8"/>
        <v>-362072.5</v>
      </c>
      <c r="AS11" s="741">
        <f t="shared" si="8"/>
        <v>-362072.5</v>
      </c>
      <c r="AT11" s="741">
        <f t="shared" si="8"/>
        <v>-362072.5</v>
      </c>
      <c r="AU11" s="741">
        <f t="shared" si="8"/>
        <v>-362072.5</v>
      </c>
      <c r="AV11" s="741">
        <f t="shared" si="8"/>
        <v>-362072.5</v>
      </c>
      <c r="AW11" s="741">
        <f t="shared" si="8"/>
        <v>-362072.5</v>
      </c>
      <c r="AX11" s="741">
        <f t="shared" si="8"/>
        <v>-362072.5</v>
      </c>
      <c r="AY11" s="741">
        <f t="shared" si="8"/>
        <v>-362072.5</v>
      </c>
      <c r="AZ11" s="741">
        <f t="shared" si="8"/>
        <v>-362072.5</v>
      </c>
      <c r="BA11" s="431"/>
      <c r="BB11" s="748">
        <f t="shared" si="5"/>
        <v>2616023.77</v>
      </c>
      <c r="BC11" s="751"/>
    </row>
    <row r="12" spans="1:55" ht="26.15" customHeight="1">
      <c r="B12" s="588" t="s">
        <v>154</v>
      </c>
      <c r="C12" s="597" t="s">
        <v>84</v>
      </c>
      <c r="D12" s="576"/>
      <c r="E12" s="442" t="s">
        <v>135</v>
      </c>
      <c r="F12" s="577"/>
      <c r="G12" s="476">
        <f>-26549.34-671714.22</f>
        <v>-698263.55999999994</v>
      </c>
      <c r="H12" s="591">
        <f>G12/G7</f>
        <v>-0.11258236116489492</v>
      </c>
      <c r="J12" s="497">
        <f>-SUMIF($AO$7:$AZ$7,$G$6,AO12:AZ12)</f>
        <v>0</v>
      </c>
      <c r="K12" s="530" t="str">
        <f t="shared" si="6"/>
        <v/>
      </c>
      <c r="L12" s="431"/>
      <c r="M12" s="755">
        <v>-314279</v>
      </c>
      <c r="N12" s="518">
        <f t="shared" si="1"/>
        <v>1.2217951565328893</v>
      </c>
      <c r="O12" s="580"/>
      <c r="P12" s="581" t="s">
        <v>4</v>
      </c>
      <c r="Q12" s="582" t="e">
        <f>+#REF!+'31 dec 2016 BIOLAM'!AT8+'31 dec 2016 BIOLAM'!AT9</f>
        <v>#REF!</v>
      </c>
      <c r="R12" s="583" t="e">
        <f>Q12/Q$7</f>
        <v>#REF!</v>
      </c>
      <c r="S12" s="582" t="e">
        <f>+'31 dec 2016 BIOLAM'!AV8+'31 dec 2016 BIOLAM'!AV9+#REF!</f>
        <v>#REF!</v>
      </c>
      <c r="T12" s="583" t="e">
        <f>S12/S$7</f>
        <v>#REF!</v>
      </c>
      <c r="U12" s="582" t="e">
        <f>+'31 dec 2016 BIOLAM'!AX8+'31 dec 2016 BIOLAM'!AX9+#REF!</f>
        <v>#REF!</v>
      </c>
      <c r="V12" s="583" t="e">
        <f>U12/U$7</f>
        <v>#REF!</v>
      </c>
      <c r="W12" s="582" t="e">
        <f>+'31 dec 2016 BIOLAM'!AZ8+'31 dec 2016 BIOLAM'!AZ9+#REF!</f>
        <v>#REF!</v>
      </c>
      <c r="X12" s="583" t="e">
        <f>W12/W$7</f>
        <v>#REF!</v>
      </c>
      <c r="Y12" s="582" t="e">
        <f>+W12+U12+S12+Q12</f>
        <v>#REF!</v>
      </c>
      <c r="Z12" s="583" t="e">
        <f>Y12/Y$7</f>
        <v>#REF!</v>
      </c>
      <c r="AA12" s="584" t="e">
        <f t="shared" si="2"/>
        <v>#REF!</v>
      </c>
      <c r="AB12" s="476">
        <f>-25477.34-1856904.1</f>
        <v>-1882381.4400000002</v>
      </c>
      <c r="AC12" s="591">
        <f>AB12/AB7</f>
        <v>-0.10546593311271799</v>
      </c>
      <c r="AD12" s="497">
        <f>-SUMIF($AO$7:$AZ$7,"&lt;="&amp;$AC$6,AO12:AZ12)</f>
        <v>0</v>
      </c>
      <c r="AE12" s="518" t="str">
        <f t="shared" si="3"/>
        <v/>
      </c>
      <c r="AG12" s="755">
        <v>-1120783</v>
      </c>
      <c r="AH12" s="518">
        <f t="shared" si="4"/>
        <v>0.67952354737714626</v>
      </c>
      <c r="AJ12" s="599"/>
      <c r="AL12" s="435">
        <v>42551</v>
      </c>
      <c r="AM12" s="442" t="s">
        <v>135</v>
      </c>
      <c r="AN12" s="747"/>
      <c r="AO12" s="431">
        <f>IF($AO$7=$AL$7,'[4]1 trim 2016 BIOGROUP'!$G$8/3+'[4]1 trim 2016 BIOGROUP'!$I$8/3,IF($AO$7=$AL$8,'[4]1 trim 2016 BIOGROUP'!$G$8/3+'[4]1 trim 2016 BIOGROUP'!$I$8/3,IF($AO$7=$AL$9,'[4]1 trim 2016 BIOGROUP'!$G$8/3+'[4]1 trim 2016 BIOGROUP'!$I$8/3,IF($AO$7=$AL$10,'[4]2 trim 2016 BIOGROUP'!$G$8/3+'[4]2 trim 2016 BIOGROUP'!$I$8/3,IF($AO$7=$AL$11,'[4]2 trim 2016 BIOGROUP'!$G$8/3+'[4]2 trim 2016 BIOGROUP'!$I$8/3,IF($AO$7=$AL$12,'[4]2 trim 2016 BIOGROUP'!$G$8/3+'[4]2 trim 2016 BIOGROUP'!$I$8/3,""))))))</f>
        <v>190713.75</v>
      </c>
      <c r="AP12" s="431">
        <f>IF($AP$7=$AL$7,'[4]1 trim 2016 BIOGROUP'!$G$8/3+'[4]1 trim 2016 BIOGROUP'!$I$8/3,IF($AP$7=$AL$8,'[4]1 trim 2016 BIOGROUP'!$G$8/3+'[4]1 trim 2016 BIOGROUP'!$I$8/3,IF($AP$7=$AL$9,'[4]1 trim 2016 BIOGROUP'!$G$8/3+'[4]1 trim 2016 BIOGROUP'!$I$8/3,IF($AP$7=$AL$10,'[4]2 trim 2016 BIOGROUP'!$G$8/3+'[4]2 trim 2016 BIOGROUP'!$I$8/3,IF($AP$7=$AL$11,'[4]2 trim 2016 BIOGROUP'!$G$8/3+'[4]2 trim 2016 BIOGROUP'!$I$8/3,IF($AP$7=$AL$12,'[4]2 trim 2016 BIOGROUP'!$G$8/3+'[4]2 trim 2016 BIOGROUP'!$I$8/3,""))))))</f>
        <v>190713.75</v>
      </c>
      <c r="AQ12" s="431">
        <f>IF($AQ$7=$AL$7,'[4]1 trim 2016 BIOGROUP'!$G$8/3+'[4]1 trim 2016 BIOGROUP'!$I$8/3,IF($AQ$7=$AL$8,'[4]1 trim 2016 BIOGROUP'!$G$8/3+'[4]1 trim 2016 BIOGROUP'!$I$8/3,IF($AQ$7=$AL$9,'[4]1 trim 2016 BIOGROUP'!$G$8/3+'[4]1 trim 2016 BIOGROUP'!$I$8/3,IF($AQ$7=$AL$10,'[4]2 trim 2016 BIOGROUP'!$G$8/3+'[4]2 trim 2016 BIOGROUP'!$I$8/3,IF($AQ$7=$AL$11,'[4]2 trim 2016 BIOGROUP'!$G$8/3+'[4]2 trim 2016 BIOGROUP'!$I$8/3,IF($AQ$7=$AL$12,'[4]2 trim 2016 BIOGROUP'!$G$8/3+'[4]2 trim 2016 BIOGROUP'!$I$8/3,""))))))</f>
        <v>190713.75</v>
      </c>
      <c r="AR12" s="431">
        <f>IF($AR$7=$AL$7,'[4]1 trim 2016 BIOGROUP'!$G$8/3+'[4]1 trim 2016 BIOGROUP'!$I$8/3,IF($AR$7=$AL$8,'[4]1 trim 2016 BIOGROUP'!$G$8/3+'[4]1 trim 2016 BIOGROUP'!$I$8/3,IF($AR$7=$AL$9,'[4]1 trim 2016 BIOGROUP'!$G$8/3+'[4]1 trim 2016 BIOGROUP'!$I$8/3,IF($AR$7=$AL$10,'[4]2 trim 2016 BIOGROUP'!$G$8/3+'[4]2 trim 2016 BIOGROUP'!$I$8/3,IF($AR$7=$AL$11,'[4]2 trim 2016 BIOGROUP'!$G$8/3+'[4]2 trim 2016 BIOGROUP'!$I$8/3,IF($AR$7=$AL$12,'[4]2 trim 2016 BIOGROUP'!$G$8/3+'[4]2 trim 2016 BIOGROUP'!$I$8/3,""))))))</f>
        <v>190713.75</v>
      </c>
      <c r="AS12" s="431">
        <f>IF($AS$7=$AL$7,'[4]1 trim 2016 BIOGROUP'!$G$8/3+'[4]1 trim 2016 BIOGROUP'!$I$8/3,IF($AS$7=$AL$8,'[4]1 trim 2016 BIOGROUP'!$G$8/3+'[4]1 trim 2016 BIOGROUP'!$I$8/3,IF($AS$7=$AL$9,'[4]1 trim 2016 BIOGROUP'!$G$8/3+'[4]1 trim 2016 BIOGROUP'!$I$8/3,IF($AS$7=$AL$10,'[4]2 trim 2016 BIOGROUP'!$G$8/3+'[4]2 trim 2016 BIOGROUP'!$I$8/3,IF($AS$7=$AL$11,'[4]2 trim 2016 BIOGROUP'!$G$8/3+'[4]2 trim 2016 BIOGROUP'!$I$8/3,IF($AS$7=$AL$12,'[4]2 trim 2016 BIOGROUP'!$G$8/3+'[4]2 trim 2016 BIOGROUP'!$I$8/3,""))))))</f>
        <v>190713.75</v>
      </c>
      <c r="AT12" s="431">
        <f>IF($AT$7=$AL$7,'[4]1 trim 2016 BIOGROUP'!$G$8/3+'[4]1 trim 2016 BIOGROUP'!$I$8/3,IF($AT$7=$AL$8,'[4]1 trim 2016 BIOGROUP'!$G$8/3+'[4]1 trim 2016 BIOGROUP'!$I$8/3,IF($AT$7=$AL$9,'[4]1 trim 2016 BIOGROUP'!$G$8/3+'[4]1 trim 2016 BIOGROUP'!$I$8/3,IF($AT$7=$AL$10,'[4]2 trim 2016 BIOGROUP'!$G$8/3+'[4]2 trim 2016 BIOGROUP'!$I$8/3,IF($AT$7=$AL$11,'[4]2 trim 2016 BIOGROUP'!$G$8/3+'[4]2 trim 2016 BIOGROUP'!$I$8/3,IF($AT$7=$AL$12,'[4]2 trim 2016 BIOGROUP'!$G$8/3+'[4]2 trim 2016 BIOGROUP'!$I$8/3,""))))))</f>
        <v>190713.75</v>
      </c>
      <c r="AU12" s="431">
        <f>IF($AU$7=$AL$13,'[4]3 trim 2016 BIOGROUP'!$G$8/3+'[4]3 trim 2016 BIOGROUP'!$I$8/3,IF($AU$7=$AL$15,'[4]3 trim 2016 BIOGROUP'!$G$8/3+'[4]3 trim 2016 BIOGROUP'!$I$8/3,IF($AU$7=$AL$16,'[4]3 trim 2016 BIOGROUP'!$G$8/3+'[4]3 trim 2016 BIOGROUP'!$I$8/3,IF($AU$7=$AL$17,'[4]4 trim 2016 BIOGROUP'!$G$8/3+'[4]3 trim 2016 BIOGROUP'!$I$8/3,IF($AU$7=$AL$19,'[4]4 trim 2016 BIOGROUP'!$G$8/3+'[4]3 trim 2016 BIOGROUP'!$I$8/3,IF($AU$7=$AL$20,'[4]4 trim 2016 BIOGROUP'!$G$8/3+'[4]3 trim 2016 BIOGROUP'!$I$8/3,""))))))</f>
        <v>190713.75</v>
      </c>
      <c r="AV12" s="431">
        <f>IF($AV$7=$AL$13,'[4]3 trim 2016 BIOGROUP'!$G$8/3+'[4]3 trim 2016 BIOGROUP'!$I$8/3,IF($AV$7=$AL$15,'[4]3 trim 2016 BIOGROUP'!$G$8/3+'[4]3 trim 2016 BIOGROUP'!$I$8/3,IF($AV$7=$AL$16,'[4]3 trim 2016 BIOGROUP'!$G$8/3+'[4]3 trim 2016 BIOGROUP'!$I$8/3,IF($AV$7=$AL$17,'[4]4 trim 2016 BIOGROUP'!$G$8/3+'[4]3 trim 2016 BIOGROUP'!$I$8/3,IF($AV$7=$AL$19,'[4]4 trim 2016 BIOGROUP'!$G$8/3+'[4]3 trim 2016 BIOGROUP'!$I$8/3,IF($AV$7=$AL$20,'[4]4 trim 2016 BIOGROUP'!$G$8/3+'[4]3 trim 2016 BIOGROUP'!$I$8/3,""))))))</f>
        <v>190713.75</v>
      </c>
      <c r="AW12" s="431">
        <f>IF($AW$7=$AL$13,'[4]3 trim 2016 BIOGROUP'!$G$8/3+'[4]3 trim 2016 BIOGROUP'!$I$8/3,IF($AW$7=$AL$15,'[4]3 trim 2016 BIOGROUP'!$G$8/3+'[4]3 trim 2016 BIOGROUP'!$I$8/3,IF($AW$7=$AL$16,'[4]3 trim 2016 BIOGROUP'!$G$8/3+'[4]3 trim 2016 BIOGROUP'!$I$8/3,IF($AW$7=$AL$17,'[4]4 trim 2016 BIOGROUP'!$G$8/3+'[4]3 trim 2016 BIOGROUP'!$I$8/3,IF($AW$7=$AL$19,'[4]4 trim 2016 BIOGROUP'!$G$8/3+'[4]3 trim 2016 BIOGROUP'!$I$8/3,IF($AW$7=$AL$20,'[4]4 trim 2016 BIOGROUP'!$G$8/3+'[4]3 trim 2016 BIOGROUP'!$I$8/3,""))))))</f>
        <v>190713.75</v>
      </c>
      <c r="AX12" s="431">
        <f>IF($AX$7=$AL$13,'[4]3 trim 2016 BIOGROUP'!$G$8/3+'[4]3 trim 2016 BIOGROUP'!$I$8/3,IF($AX$7=$AL$15,'[4]3 trim 2016 BIOGROUP'!$G$8/3+'[4]3 trim 2016 BIOGROUP'!$I$8/3,IF($AX$7=$AL$16,'[4]3 trim 2016 BIOGROUP'!$G$8/3+'[4]3 trim 2016 BIOGROUP'!$I$8/3,IF($AX$7=$AL$17,'[4]4 trim 2016 BIOGROUP'!$G$8/3+'[4]3 trim 2016 BIOGROUP'!$I$8/3,IF($AX$7=$AL$19,'[4]4 trim 2016 BIOGROUP'!$G$8/3+'[4]3 trim 2016 BIOGROUP'!$I$8/3,IF($AX$7=$AL$20,'[4]4 trim 2016 BIOGROUP'!$G$8/3+'[4]3 trim 2016 BIOGROUP'!$I$8/3,""))))))</f>
        <v>190713.75</v>
      </c>
      <c r="AY12" s="431">
        <f>IF($AY$7=$AL$13,'[4]3 trim 2016 BIOGROUP'!$G$8/3+'[4]3 trim 2016 BIOGROUP'!$I$8/3,IF($AY$7=$AL$15,'[4]3 trim 2016 BIOGROUP'!$G$8/3+'[4]3 trim 2016 BIOGROUP'!$I$8/3,IF($AY$7=$AL$16,'[4]3 trim 2016 BIOGROUP'!$G$8/3+'[4]3 trim 2016 BIOGROUP'!$I$8/3,IF($AY$7=$AL$17,'[4]4 trim 2016 BIOGROUP'!$G$8/3+'[4]3 trim 2016 BIOGROUP'!$I$8/3,IF($AY$7=$AL$19,'[4]4 trim 2016 BIOGROUP'!$G$8/3+'[4]3 trim 2016 BIOGROUP'!$I$8/3,IF($AY$7=$AL$20,'[4]4 trim 2016 BIOGROUP'!$G$8/3+'[4]3 trim 2016 BIOGROUP'!$I$8/3,""))))))</f>
        <v>190713.75</v>
      </c>
      <c r="AZ12" s="431">
        <f>IF($AZ$7=$AL$13,'[4]3 trim 2016 BIOGROUP'!$G$8/3+'[4]3 trim 2016 BIOGROUP'!$I$8/3,IF($AZ$7=$AL$15,'[4]3 trim 2016 BIOGROUP'!$G$8/3+'[4]3 trim 2016 BIOGROUP'!$I$8/3,IF($AZ$7=$AL$16,'[4]3 trim 2016 BIOGROUP'!$G$8/3+'[4]3 trim 2016 BIOGROUP'!$I$8/3,IF($AZ$7=$AL$17,'[4]4 trim 2016 BIOGROUP'!$G$8/3+'[4]3 trim 2016 BIOGROUP'!$I$8/3,IF($AZ$7=$AL$19,'[4]4 trim 2016 BIOGROUP'!$G$8/3+'[4]3 trim 2016 BIOGROUP'!$I$8/3,IF($AZ$7=$AL$20,'[4]4 trim 2016 BIOGROUP'!$G$8/3+'[4]3 trim 2016 BIOGROUP'!$I$8/3,""))))))</f>
        <v>190713.75</v>
      </c>
      <c r="BB12" s="511">
        <f t="shared" si="5"/>
        <v>1882381.4400000002</v>
      </c>
      <c r="BC12" s="750"/>
    </row>
    <row r="13" spans="1:55" ht="26.15" customHeight="1">
      <c r="B13" s="542">
        <v>604</v>
      </c>
      <c r="C13" s="445" t="s">
        <v>85</v>
      </c>
      <c r="D13" s="600"/>
      <c r="E13" s="443" t="s">
        <v>134</v>
      </c>
      <c r="F13" s="601"/>
      <c r="G13" s="476">
        <v>-254993.75</v>
      </c>
      <c r="H13" s="591">
        <f>G13/G7</f>
        <v>-4.1113127050895981E-2</v>
      </c>
      <c r="J13" s="497">
        <f>-SUMIF($AO$7:$AZ$7,$G$6,AO13:AZ13)</f>
        <v>0</v>
      </c>
      <c r="K13" s="530" t="str">
        <f t="shared" si="6"/>
        <v/>
      </c>
      <c r="L13" s="431"/>
      <c r="M13" s="755">
        <v>-75316</v>
      </c>
      <c r="N13" s="518">
        <f t="shared" si="1"/>
        <v>2.3856517871368634</v>
      </c>
      <c r="O13" s="580"/>
      <c r="P13" s="602" t="s">
        <v>58</v>
      </c>
      <c r="Q13" s="582" t="e">
        <f>+'31 dec 2016 BIOLAM'!AT10+#REF!</f>
        <v>#REF!</v>
      </c>
      <c r="R13" s="583" t="e">
        <f>Q13/Q$7</f>
        <v>#REF!</v>
      </c>
      <c r="S13" s="582" t="e">
        <f>+'31 dec 2016 BIOLAM'!AV10+#REF!</f>
        <v>#REF!</v>
      </c>
      <c r="T13" s="583" t="e">
        <f>S13/S$7</f>
        <v>#REF!</v>
      </c>
      <c r="U13" s="582" t="e">
        <f>+'31 dec 2016 BIOLAM'!AX10+#REF!</f>
        <v>#REF!</v>
      </c>
      <c r="V13" s="583" t="e">
        <f>U13/U$7</f>
        <v>#REF!</v>
      </c>
      <c r="W13" s="582" t="e">
        <f>+'31 dec 2016 BIOLAM'!AZ10+#REF!</f>
        <v>#REF!</v>
      </c>
      <c r="X13" s="583" t="e">
        <f>W13/W$7</f>
        <v>#REF!</v>
      </c>
      <c r="Y13" s="582" t="e">
        <f>+W13+U13+S13+Q13</f>
        <v>#REF!</v>
      </c>
      <c r="Z13" s="583" t="e">
        <f>Y13/Y$7</f>
        <v>#REF!</v>
      </c>
      <c r="AA13" s="584" t="e">
        <f t="shared" si="2"/>
        <v>#REF!</v>
      </c>
      <c r="AB13" s="476">
        <f>-733642.33</f>
        <v>-733642.33</v>
      </c>
      <c r="AC13" s="591">
        <f>AB13/AB7</f>
        <v>-4.1104460158956184E-2</v>
      </c>
      <c r="AD13" s="497">
        <f>-SUMIF($AO$7:$AZ$7,"&lt;="&amp;$AC$6,AO13:AZ13)</f>
        <v>0</v>
      </c>
      <c r="AE13" s="518" t="str">
        <f t="shared" si="3"/>
        <v/>
      </c>
      <c r="AG13" s="755">
        <v>-212316</v>
      </c>
      <c r="AH13" s="518">
        <f t="shared" si="4"/>
        <v>2.4554264869345692</v>
      </c>
      <c r="AJ13" s="599"/>
      <c r="AL13" s="435">
        <v>42582</v>
      </c>
      <c r="AM13" s="443" t="s">
        <v>134</v>
      </c>
      <c r="AN13" s="747"/>
      <c r="AO13" s="431">
        <f>IF($AO$7=$AL$7,'[4]1 trim 2016 BIOGROUP'!G9/3,IF($AO$7=$AL$8,'[4]1 trim 2016 BIOGROUP'!G9/3,IF($AO$7=$AL$9,'[4]1 trim 2016 BIOGROUP'!G9/3,IF($AO$7=$AL$10,'[4]2 trim 2016 BIOGROUP'!G9/3,IF($AO$7=$AL$11,'[4]2 trim 2016 BIOGROUP'!G9/3,IF($AO$7=$AL$12,'[4]2 trim 2016 BIOGROUP'!G9/3,""))))))</f>
        <v>171358.75</v>
      </c>
      <c r="AP13" s="431">
        <f>IF($AP$7=$AL$7,'[4]1 trim 2016 BIOGROUP'!G9/3,IF($AP$7=$AL$8,'[4]1 trim 2016 BIOGROUP'!G9/3,IF($AP$7=$AL$9,'[4]1 trim 2016 BIOGROUP'!G9/3,IF($AP$7=$AL$10,'[4]2 trim 2016 BIOGROUP'!G9/3,IF($AP$7=$AL$11,'[4]2 trim 2016 BIOGROUP'!G9/3,IF($AP$7=$AL$12,'[4]2 trim 2016 BIOGROUP'!G9/3,""))))))</f>
        <v>171358.75</v>
      </c>
      <c r="AQ13" s="431">
        <f>IF($AQ$7=$AL$7,'[4]1 trim 2016 BIOGROUP'!G9/3,IF($AQ$7=$AL$8,'[4]1 trim 2016 BIOGROUP'!G9/3,IF($AQ$7=$AL$9,'[4]1 trim 2016 BIOGROUP'!G9/3,IF($AQ$7=$AL$10,'[4]2 trim 2016 BIOGROUP'!G9/3,IF($AQ$7=$AL$11,'[4]2 trim 2016 BIOGROUP'!G9/3,IF($AQ$7=$AL$12,'[4]2 trim 2016 BIOGROUP'!G9/3,""))))))</f>
        <v>171358.75</v>
      </c>
      <c r="AR13" s="431">
        <f>IF($AR$7=$AL$7,'[4]1 trim 2016 BIOGROUP'!G9/3,IF($AR$7=$AL$8,'[4]1 trim 2016 BIOGROUP'!G9/3,IF($AR$7=$AL$9,'[4]1 trim 2016 BIOGROUP'!G9/3,IF($AR$7=$AL$10,'[4]2 trim 2016 BIOGROUP'!G9/3,IF($AR$7=$AL$11,'[4]2 trim 2016 BIOGROUP'!G9/3,IF($AR$7=$AL$12,'[4]2 trim 2016 BIOGROUP'!G9/3,""))))))</f>
        <v>171358.75</v>
      </c>
      <c r="AS13" s="431">
        <f>IF($AS$7=$AL$7,'[4]1 trim 2016 BIOGROUP'!G9/3,IF($AS$7=$AL$8,'[4]1 trim 2016 BIOGROUP'!G9/3,IF($AS$7=$AL$9,'[4]1 trim 2016 BIOGROUP'!G9/3,IF($AS$7=$AL$10,'[4]2 trim 2016 BIOGROUP'!G9/3,IF($AS$7=$AL$11,'[4]2 trim 2016 BIOGROUP'!G9/3,IF($AS$7=$AL$12,'[4]2 trim 2016 BIOGROUP'!G9/3,""))))))</f>
        <v>171358.75</v>
      </c>
      <c r="AT13" s="431">
        <f>IF($AT$7=$AL$7,'[4]1 trim 2016 BIOGROUP'!G9/3,IF($AT$7=$AL$8,'[4]1 trim 2016 BIOGROUP'!G9/3,IF($AT$7=$AL$9,'[4]1 trim 2016 BIOGROUP'!G9/3,IF($AT$7=$AL$10,'[4]2 trim 2016 BIOGROUP'!G9/3,IF($AT$7=$AL$11,'[4]2 trim 2016 BIOGROUP'!G9/3,IF($AT$7=$AL$12,'[4]2 trim 2016 BIOGROUP'!G9/3,""))))))</f>
        <v>171358.75</v>
      </c>
      <c r="AU13" s="431">
        <f>IF($AU$7=$AL$13,'[4]3 trim 2016 BIOGROUP'!G9/3,IF($AU$7=$AL$15,'[4]3 trim 2016 BIOGROUP'!G9/3,IF($AU$7=$AL$16,'[4]3 trim 2016 BIOGROUP'!G9/3,IF($AU$7=$AL$17,'[4]4 trim 2016 BIOGROUP'!G9/3,IF($AU$7=$AL$19,'[4]4 trim 2016 BIOGROUP'!G9/3,IF($AU$7=$AL$20,'[4]4 trim 2016 BIOGROUP'!G9/3,""))))))</f>
        <v>171358.75</v>
      </c>
      <c r="AV13" s="431">
        <f>IF($AV$7=$AL$13,'[4]3 trim 2016 BIOGROUP'!G9/3,IF($AV$7=$AL$15,'[4]3 trim 2016 BIOGROUP'!G9/3,IF($AV$7=$AL$16,'[4]3 trim 2016 BIOGROUP'!G9/3,IF($AV$7=$AL$17,'[4]4 trim 2016 BIOGROUP'!G9/3,IF($AV$7=$AL$19,'[4]4 trim 2016 BIOGROUP'!G9/3,IF($AV$7=$AL$20,'[4]4 trim 2016 BIOGROUP'!G9/3,""))))))</f>
        <v>171358.75</v>
      </c>
      <c r="AW13" s="431">
        <f>IF($AW$7=$AL$13,'[4]3 trim 2016 BIOGROUP'!G9/3,IF($AW$7=$AL$15,'[4]3 trim 2016 BIOGROUP'!G9/3,IF($AW$7=$AL$16,'[4]3 trim 2016 BIOGROUP'!G9/3,IF($AW$7=$AL$17,'[4]4 trim 2016 BIOGROUP'!G9/3,IF($AW$7=$AL$19,'[4]4 trim 2016 BIOGROUP'!G9/3,IF($AW$7=$AL$20,'[4]4 trim 2016 BIOGROUP'!G9/3,""))))))</f>
        <v>171358.75</v>
      </c>
      <c r="AX13" s="431">
        <f>IF($AX$7=$AL$13,'[4]3 trim 2016 BIOGROUP'!G9/3,IF($AX$7=$AL$15,'[4]3 trim 2016 BIOGROUP'!G9/3,IF($AX$7=$AL$16,'[4]3 trim 2016 BIOGROUP'!G9/3,IF($AX$7=$AL$17,'[4]4 trim 2016 BIOGROUP'!G9/3,IF($AX$7=$AL$19,'[4]4 trim 2016 BIOGROUP'!G9/3,IF($AX$7=$AL$20,'[4]4 trim 2016 BIOGROUP'!G9/3,""))))))</f>
        <v>171358.75</v>
      </c>
      <c r="AY13" s="431">
        <f>IF($AY$7=$AL$13,'[4]3 trim 2016 BIOGROUP'!G9/3,IF($AY$7=$AL$15,'[4]3 trim 2016 BIOGROUP'!G9/3,IF($AY$7=$AL$16,'[4]3 trim 2016 BIOGROUP'!G9/3,IF($AY$7=$AL$17,'[4]4 trim 2016 BIOGROUP'!G9/3,IF($AY$7=$AL$19,'[4]4 trim 2016 BIOGROUP'!G9/3,IF($AY$7=$AL$20,'[4]4 trim 2016 BIOGROUP'!G9/3,""))))))</f>
        <v>171358.75</v>
      </c>
      <c r="AZ13" s="431">
        <f>IF($AZ$7=$AL$13,'[4]3 trim 2016 BIOGROUP'!G9/3,IF($AZ$7=$AL$15,'[4]3 trim 2016 BIOGROUP'!G9/3,IF($AZ$7=$AL$16,'[4]3 trim 2016 BIOGROUP'!G9/3,IF($AZ$7=$AL$17,'[4]4 trim 2016 BIOGROUP'!G9/3,IF($AZ$7=$AL$19,'[4]4 trim 2016 BIOGROUP'!G9/3,IF($AZ$7=$AL$20,'[4]4 trim 2016 BIOGROUP'!G9/3,""))))))</f>
        <v>171358.75</v>
      </c>
      <c r="BB13" s="511">
        <f t="shared" si="5"/>
        <v>733642.33</v>
      </c>
      <c r="BC13" s="750"/>
    </row>
    <row r="14" spans="1:55" ht="26.15" customHeight="1">
      <c r="C14" s="445" t="s">
        <v>175</v>
      </c>
      <c r="D14" s="600"/>
      <c r="E14" s="443" t="s">
        <v>176</v>
      </c>
      <c r="F14" s="601"/>
      <c r="G14" s="476"/>
      <c r="H14" s="591">
        <f>G14/G7</f>
        <v>0</v>
      </c>
      <c r="J14" s="497">
        <f>-SUMIF($AO$7:$AZ$7,$G$6,AO14:AZ14)</f>
        <v>0</v>
      </c>
      <c r="K14" s="530" t="str">
        <f t="shared" si="6"/>
        <v/>
      </c>
      <c r="L14" s="431"/>
      <c r="M14" s="755"/>
      <c r="N14" s="518" t="str">
        <f t="shared" si="1"/>
        <v/>
      </c>
      <c r="O14" s="580"/>
      <c r="P14" s="602"/>
      <c r="Q14" s="582"/>
      <c r="R14" s="583"/>
      <c r="S14" s="582"/>
      <c r="T14" s="583"/>
      <c r="U14" s="582"/>
      <c r="V14" s="583"/>
      <c r="W14" s="582"/>
      <c r="X14" s="583"/>
      <c r="Y14" s="582"/>
      <c r="Z14" s="583"/>
      <c r="AA14" s="584"/>
      <c r="AB14" s="476"/>
      <c r="AC14" s="591">
        <f>AB14/AB7</f>
        <v>0</v>
      </c>
      <c r="AD14" s="497">
        <f>-SUMIF($AO$7:$AZ$7,"&lt;="&amp;$AC$6,AO14:AZ14)</f>
        <v>0</v>
      </c>
      <c r="AE14" s="518" t="str">
        <f t="shared" si="3"/>
        <v/>
      </c>
      <c r="AG14" s="755"/>
      <c r="AH14" s="518" t="str">
        <f t="shared" si="4"/>
        <v/>
      </c>
      <c r="AJ14" s="599"/>
      <c r="AL14" s="435"/>
      <c r="AM14" s="442"/>
      <c r="AN14" s="747"/>
      <c r="AO14" s="431">
        <f>IF($AO$7=$AL$7,'[4]1 trim 2016 BIOGROUP'!G10/3,IF($AO$7=$AL$8,'[4]1 trim 2016 BIOGROUP'!G10/3,IF($AO$7=$AL$9,'[4]1 trim 2016 BIOGROUP'!G10/3,IF($AO$7=$AL$10,'[4]2 trim 2016 BIOGROUP'!G10/3,IF($AO$7=$AL$11,'[4]2 trim 2016 BIOGROUP'!G10/3,IF($AO$7=$AL$12,'[4]2 trim 2016 BIOGROUP'!G10/3,""))))))</f>
        <v>0</v>
      </c>
      <c r="AP14" s="431">
        <f>IF($AP$7=$AL$7,'[4]1 trim 2016 BIOGROUP'!G10/3,IF($AP$7=$AL$8,'[4]1 trim 2016 BIOGROUP'!G10/3,IF($AP$7=$AL$9,'[4]1 trim 2016 BIOGROUP'!G10/3,IF($AP$7=$AL$10,'[4]2 trim 2016 BIOGROUP'!G10/3,IF($AP$7=$AL$11,'[4]2 trim 2016 BIOGROUP'!G10/3,IF($AP$7=$AL$12,'[4]2 trim 2016 BIOGROUP'!G10/3,""))))))</f>
        <v>0</v>
      </c>
      <c r="AQ14" s="431">
        <f>IF($AQ$7=$AL$7,'[4]1 trim 2016 BIOGROUP'!G10/3,IF($AQ$7=$AL$8,'[4]1 trim 2016 BIOGROUP'!G10/3,IF($AQ$7=$AL$9,'[4]1 trim 2016 BIOGROUP'!G10/3,IF($AQ$7=$AL$10,'[4]2 trim 2016 BIOGROUP'!G10/3,IF($AQ$7=$AL$11,'[4]2 trim 2016 BIOGROUP'!G10/3,IF($AQ$7=$AL$12,'[4]2 trim 2016 BIOGROUP'!G10/3,""))))))</f>
        <v>0</v>
      </c>
      <c r="AR14" s="431">
        <f>IF($AR$7=$AL$7,'[4]1 trim 2016 BIOGROUP'!G10/3,IF($AR$7=$AL$8,'[4]1 trim 2016 BIOGROUP'!G10/3,IF($AR$7=$AL$9,'[4]1 trim 2016 BIOGROUP'!G10/3,IF($AR$7=$AL$10,'[4]2 trim 2016 BIOGROUP'!G10/3,IF($AR$7=$AL$11,'[4]2 trim 2016 BIOGROUP'!G10/3,IF($AR$7=$AL$12,'[4]2 trim 2016 BIOGROUP'!G10/3,""))))))</f>
        <v>0</v>
      </c>
      <c r="AS14" s="431">
        <f>IF($AS$7=$AL$7,'[4]1 trim 2016 BIOGROUP'!G10/3,IF($AS$7=$AL$8,'[4]1 trim 2016 BIOGROUP'!G10/3,IF($AS$7=$AL$9,'[4]1 trim 2016 BIOGROUP'!G10/3,IF($AS$7=$AL$10,'[4]2 trim 2016 BIOGROUP'!G10/3,IF($AS$7=$AL$11,'[4]2 trim 2016 BIOGROUP'!G10/3,IF($AS$7=$AL$12,'[4]2 trim 2016 BIOGROUP'!G10/3,""))))))</f>
        <v>0</v>
      </c>
      <c r="AT14" s="431">
        <f>IF($AT$7=$AL$7,'[4]1 trim 2016 BIOGROUP'!G10/3,IF($AT$7=$AL$8,'[4]1 trim 2016 BIOGROUP'!G10/3,IF($AT$7=$AL$9,'[4]1 trim 2016 BIOGROUP'!G10/3,IF($AT$7=$AL$10,'[4]2 trim 2016 BIOGROUP'!G10/3,IF($AT$7=$AL$11,'[4]2 trim 2016 BIOGROUP'!G10/3,IF($AT$7=$AL$12,'[4]2 trim 2016 BIOGROUP'!G10/3,""))))))</f>
        <v>0</v>
      </c>
      <c r="AU14" s="431">
        <f>IF($AU$7=$AL$13,'[4]3 trim 2016 BIOGROUP'!G10/3,IF($AU$7=$AL$15,'[4]3 trim 2016 BIOGROUP'!G10/3,IF($AU$7=$AL$16,'[4]3 trim 2016 BIOGROUP'!G10/3,IF($AU$7=$AL$17,'[4]4 trim 2016 BIOGROUP'!G10/3,IF($AU$7=$AL$19,'[4]4 trim 2016 BIOGROUP'!G10/3,IF($AU$7=$AL$20,'[4]4 trim 2016 BIOGROUP'!G10/3,""))))))</f>
        <v>0</v>
      </c>
      <c r="AV14" s="431">
        <f>IF($AV$7=$AL$13,'[4]3 trim 2016 BIOGROUP'!G10/3,IF($AV$7=$AL$15,'[4]3 trim 2016 BIOGROUP'!G10/3,IF($AV$7=$AL$16,'[4]3 trim 2016 BIOGROUP'!G10/3,IF($AV$7=$AL$17,'[4]4 trim 2016 BIOGROUP'!G10/3,IF($AV$7=$AL$19,'[4]4 trim 2016 BIOGROUP'!G10/3,IF($AV$7=$AL$20,'[4]4 trim 2016 BIOGROUP'!G10/3,""))))))</f>
        <v>0</v>
      </c>
      <c r="AW14" s="431">
        <f>IF($AW$7=$AL$13,'[4]3 trim 2016 BIOGROUP'!G10/3,IF($AW$7=$AL$15,'[4]3 trim 2016 BIOGROUP'!G10/3,IF($AW$7=$AL$16,'[4]3 trim 2016 BIOGROUP'!G10/3,IF($AW$7=$AL$17,'[4]4 trim 2016 BIOGROUP'!G10/3,IF($AW$7=$AL$19,'[4]4 trim 2016 BIOGROUP'!G10/3,IF($AW$7=$AL$20,'[4]4 trim 2016 BIOGROUP'!G10/3,""))))))</f>
        <v>0</v>
      </c>
      <c r="AX14" s="431">
        <f>IF($AX$7=$AL$13,'[4]3 trim 2016 BIOGROUP'!G10/3,IF($AX$7=$AL$15,'[4]3 trim 2016 BIOGROUP'!G10/3,IF($AX$7=$AL$16,'[4]3 trim 2016 BIOGROUP'!G10/3,IF($AX$7=$AL$17,'[4]4 trim 2016 BIOGROUP'!G10/3,IF($AX$7=$AL$19,'[4]4 trim 2016 BIOGROUP'!G10/3,IF($AX$7=$AL$20,'[4]4 trim 2016 BIOGROUP'!G10/3,""))))))</f>
        <v>0</v>
      </c>
      <c r="AY14" s="431">
        <f>IF($AY$7=$AL$13,'[4]3 trim 2016 BIOGROUP'!G10/3,IF($AY$7=$AL$15,'[4]3 trim 2016 BIOGROUP'!G10/3,IF($AY$7=$AL$16,'[4]3 trim 2016 BIOGROUP'!G10/3,IF($AY$7=$AL$17,'[4]4 trim 2016 BIOGROUP'!G10/3,IF($AY$7=$AL$19,'[4]4 trim 2016 BIOGROUP'!G10/3,IF($AY$7=$AL$20,'[4]4 trim 2016 BIOGROUP'!G10/3,""))))))</f>
        <v>0</v>
      </c>
      <c r="AZ14" s="431">
        <f>IF($AZ$7=$AL$13,'[4]3 trim 2016 BIOGROUP'!G10/3,IF($AZ$7=$AL$15,'[4]3 trim 2016 BIOGROUP'!G10/3,IF($AZ$7=$AL$16,'[4]3 trim 2016 BIOGROUP'!G10/3,IF($AZ$7=$AL$17,'[4]4 trim 2016 BIOGROUP'!G10/3,IF($AZ$7=$AL$19,'[4]4 trim 2016 BIOGROUP'!G10/3,IF($AZ$7=$AL$20,'[4]4 trim 2016 BIOGROUP'!G10/3,""))))))</f>
        <v>0</v>
      </c>
      <c r="BB14" s="511"/>
      <c r="BC14" s="750"/>
    </row>
    <row r="15" spans="1:55" ht="36.75" customHeight="1">
      <c r="C15" s="603" t="s">
        <v>95</v>
      </c>
      <c r="D15" s="604"/>
      <c r="E15" s="444" t="s">
        <v>116</v>
      </c>
      <c r="F15" s="577"/>
      <c r="G15" s="473">
        <f>+G7+G11</f>
        <v>5248989.2300000004</v>
      </c>
      <c r="H15" s="605">
        <f>+G15/G7</f>
        <v>0.84630451178420918</v>
      </c>
      <c r="J15" s="498">
        <f>+J7+J11</f>
        <v>0</v>
      </c>
      <c r="K15" s="531" t="str">
        <f t="shared" si="6"/>
        <v/>
      </c>
      <c r="L15" s="431"/>
      <c r="M15" s="477">
        <v>2559410</v>
      </c>
      <c r="N15" s="516">
        <f t="shared" si="1"/>
        <v>1.0508590768966286</v>
      </c>
      <c r="O15" s="592"/>
      <c r="P15" s="606"/>
      <c r="Q15" s="607"/>
      <c r="R15" s="608"/>
      <c r="S15" s="607"/>
      <c r="T15" s="608"/>
      <c r="U15" s="607"/>
      <c r="V15" s="608"/>
      <c r="W15" s="607"/>
      <c r="X15" s="608"/>
      <c r="Y15" s="607"/>
      <c r="Z15" s="608"/>
      <c r="AA15" s="609"/>
      <c r="AB15" s="477">
        <f>+AB7+AB11</f>
        <v>15232217.690000001</v>
      </c>
      <c r="AC15" s="605">
        <f>AB15/AB7</f>
        <v>0.85342960672832591</v>
      </c>
      <c r="AD15" s="498">
        <f>AD7+AD11</f>
        <v>0</v>
      </c>
      <c r="AE15" s="519" t="str">
        <f t="shared" si="3"/>
        <v/>
      </c>
      <c r="AG15" s="477">
        <v>6495635</v>
      </c>
      <c r="AH15" s="520">
        <f t="shared" si="4"/>
        <v>1.3449928590507321</v>
      </c>
      <c r="AJ15" s="599"/>
      <c r="AL15" s="435">
        <v>42613</v>
      </c>
      <c r="AM15" s="444" t="s">
        <v>116</v>
      </c>
      <c r="AN15" s="747"/>
      <c r="AO15" s="741">
        <f>AO8+AO9+AO10+AO11</f>
        <v>2431845</v>
      </c>
      <c r="AP15" s="741">
        <f t="shared" ref="AP15:AZ15" si="9">AP8+AP9+AP10+AP11</f>
        <v>2431845</v>
      </c>
      <c r="AQ15" s="741">
        <f t="shared" si="9"/>
        <v>2431845</v>
      </c>
      <c r="AR15" s="741">
        <f t="shared" si="9"/>
        <v>2372408.0833333335</v>
      </c>
      <c r="AS15" s="741">
        <f t="shared" si="9"/>
        <v>2372408.0833333335</v>
      </c>
      <c r="AT15" s="741">
        <f t="shared" si="9"/>
        <v>2372408.0833333335</v>
      </c>
      <c r="AU15" s="741">
        <f t="shared" si="9"/>
        <v>2161813.416666667</v>
      </c>
      <c r="AV15" s="741">
        <f t="shared" si="9"/>
        <v>2161813.416666667</v>
      </c>
      <c r="AW15" s="741">
        <f t="shared" si="9"/>
        <v>2161813.416666667</v>
      </c>
      <c r="AX15" s="741">
        <f t="shared" si="9"/>
        <v>2340517.75</v>
      </c>
      <c r="AY15" s="741">
        <f t="shared" si="9"/>
        <v>2340517.75</v>
      </c>
      <c r="AZ15" s="741">
        <f t="shared" si="9"/>
        <v>2340517.75</v>
      </c>
      <c r="BB15" s="748">
        <f t="shared" si="5"/>
        <v>15232217.690000001</v>
      </c>
      <c r="BC15" s="752"/>
    </row>
    <row r="16" spans="1:55" ht="26.15" customHeight="1">
      <c r="C16" s="445" t="s">
        <v>142</v>
      </c>
      <c r="D16" s="610"/>
      <c r="E16" s="445" t="s">
        <v>143</v>
      </c>
      <c r="F16" s="577"/>
      <c r="G16" s="476">
        <f>SUM(G17:G21)</f>
        <v>-873766.52</v>
      </c>
      <c r="H16" s="591">
        <f>G16/G7</f>
        <v>-0.14087903703357138</v>
      </c>
      <c r="J16" s="496">
        <f>+J17+J19+J20+J21</f>
        <v>0</v>
      </c>
      <c r="K16" s="530" t="str">
        <f t="shared" si="6"/>
        <v/>
      </c>
      <c r="L16" s="431"/>
      <c r="M16" s="754">
        <v>-475111</v>
      </c>
      <c r="N16" s="518">
        <f t="shared" si="1"/>
        <v>0.83907869950390546</v>
      </c>
      <c r="O16" s="580"/>
      <c r="P16" s="611" t="s">
        <v>5</v>
      </c>
      <c r="Q16" s="594" t="e">
        <f t="shared" ref="Q16:Z16" si="10">SUM(Q17:Q21)</f>
        <v>#REF!</v>
      </c>
      <c r="R16" s="595" t="e">
        <f t="shared" si="10"/>
        <v>#REF!</v>
      </c>
      <c r="S16" s="594" t="e">
        <f t="shared" si="10"/>
        <v>#REF!</v>
      </c>
      <c r="T16" s="595" t="e">
        <f t="shared" si="10"/>
        <v>#REF!</v>
      </c>
      <c r="U16" s="594" t="e">
        <f t="shared" si="10"/>
        <v>#REF!</v>
      </c>
      <c r="V16" s="595" t="e">
        <f t="shared" si="10"/>
        <v>#REF!</v>
      </c>
      <c r="W16" s="594" t="e">
        <f t="shared" si="10"/>
        <v>#REF!</v>
      </c>
      <c r="X16" s="595" t="e">
        <f t="shared" si="10"/>
        <v>#REF!</v>
      </c>
      <c r="Y16" s="594" t="e">
        <f t="shared" si="10"/>
        <v>#REF!</v>
      </c>
      <c r="Z16" s="595" t="e">
        <f t="shared" si="10"/>
        <v>#REF!</v>
      </c>
      <c r="AA16" s="584" t="e">
        <f>+G16-Y16</f>
        <v>#REF!</v>
      </c>
      <c r="AB16" s="476">
        <f>SUM(AB17:AB21)</f>
        <v>-2747655.05</v>
      </c>
      <c r="AC16" s="591">
        <f>AB16/AB7</f>
        <v>-0.15394542124263708</v>
      </c>
      <c r="AD16" s="496">
        <f>+AD17+AD19+AD20+AD21</f>
        <v>0</v>
      </c>
      <c r="AE16" s="518" t="str">
        <f t="shared" si="3"/>
        <v/>
      </c>
      <c r="AG16" s="754">
        <v>-1638501</v>
      </c>
      <c r="AH16" s="518">
        <f t="shared" si="4"/>
        <v>0.67693217764285762</v>
      </c>
      <c r="AJ16" s="599"/>
      <c r="AL16" s="435">
        <v>42643</v>
      </c>
      <c r="AM16" s="445" t="s">
        <v>143</v>
      </c>
      <c r="AN16" s="747"/>
      <c r="AO16" s="741">
        <f>-AO17-AO20</f>
        <v>-417376</v>
      </c>
      <c r="AP16" s="741">
        <f t="shared" ref="AP16:AZ16" si="11">-AP17-AP20</f>
        <v>-417376</v>
      </c>
      <c r="AQ16" s="741">
        <f t="shared" si="11"/>
        <v>-417376</v>
      </c>
      <c r="AR16" s="741">
        <f t="shared" si="11"/>
        <v>-417376</v>
      </c>
      <c r="AS16" s="741">
        <f t="shared" si="11"/>
        <v>-417376</v>
      </c>
      <c r="AT16" s="741">
        <f t="shared" si="11"/>
        <v>-417376</v>
      </c>
      <c r="AU16" s="741">
        <f t="shared" si="11"/>
        <v>-417376</v>
      </c>
      <c r="AV16" s="741">
        <f t="shared" si="11"/>
        <v>-417376</v>
      </c>
      <c r="AW16" s="741">
        <f t="shared" si="11"/>
        <v>-417376</v>
      </c>
      <c r="AX16" s="741">
        <f t="shared" si="11"/>
        <v>-417376</v>
      </c>
      <c r="AY16" s="741">
        <f t="shared" si="11"/>
        <v>-417376</v>
      </c>
      <c r="AZ16" s="741">
        <f t="shared" si="11"/>
        <v>-417376</v>
      </c>
      <c r="BB16" s="748">
        <f t="shared" si="5"/>
        <v>2747655.05</v>
      </c>
      <c r="BC16" s="752"/>
    </row>
    <row r="17" spans="1:55" ht="26.15" customHeight="1">
      <c r="B17" s="542">
        <v>628</v>
      </c>
      <c r="C17" s="446" t="s">
        <v>86</v>
      </c>
      <c r="D17" s="610"/>
      <c r="E17" s="446" t="s">
        <v>137</v>
      </c>
      <c r="F17" s="577"/>
      <c r="G17" s="475">
        <f>-1128760.27-G13</f>
        <v>-873766.52</v>
      </c>
      <c r="H17" s="578">
        <f>G17/G7</f>
        <v>-0.14087903703357138</v>
      </c>
      <c r="J17" s="495">
        <f>-SUMIF($AO$7:$AZ$7,$G$6,AO17:AZ17)</f>
        <v>0</v>
      </c>
      <c r="K17" s="532" t="str">
        <f t="shared" si="6"/>
        <v/>
      </c>
      <c r="L17" s="431"/>
      <c r="M17" s="753">
        <v>-467636</v>
      </c>
      <c r="N17" s="517">
        <f t="shared" si="1"/>
        <v>0.86847573753945384</v>
      </c>
      <c r="O17" s="580"/>
      <c r="P17" s="612" t="s">
        <v>6</v>
      </c>
      <c r="Q17" s="582" t="e">
        <f>+#REF!+'31 dec 2016 BIOLAM'!AT13+'31 dec 2016 BIOLAM'!AT14+'31 dec 2016 BIOLAM'!AT15</f>
        <v>#REF!</v>
      </c>
      <c r="R17" s="583" t="e">
        <f>Q17/Q$7</f>
        <v>#REF!</v>
      </c>
      <c r="S17" s="582" t="e">
        <f>+'31 dec 2016 BIOLAM'!AV13+#REF!+'31 dec 2016 BIOLAM'!AV14+'31 dec 2016 BIOLAM'!AV15</f>
        <v>#REF!</v>
      </c>
      <c r="T17" s="583" t="e">
        <f>S17/S$7</f>
        <v>#REF!</v>
      </c>
      <c r="U17" s="582" t="e">
        <f>+'31 dec 2016 BIOLAM'!AX13+#REF!+'31 dec 2016 BIOLAM'!AX14+'31 dec 2016 BIOLAM'!AX15</f>
        <v>#REF!</v>
      </c>
      <c r="V17" s="583" t="e">
        <f>U17/U$7</f>
        <v>#REF!</v>
      </c>
      <c r="W17" s="582" t="e">
        <f>+'31 dec 2016 BIOLAM'!AZ13+#REF!+'31 dec 2016 BIOLAM'!AZ14+'31 dec 2016 BIOLAM'!AZ15</f>
        <v>#REF!</v>
      </c>
      <c r="X17" s="583" t="e">
        <f>W17/W$7</f>
        <v>#REF!</v>
      </c>
      <c r="Y17" s="582" t="e">
        <f>+W17+U17+S17+Q17</f>
        <v>#REF!</v>
      </c>
      <c r="Z17" s="583" t="e">
        <f>Y17/Y$7</f>
        <v>#REF!</v>
      </c>
      <c r="AA17" s="584" t="e">
        <f>+G17-Y17</f>
        <v>#REF!</v>
      </c>
      <c r="AB17" s="475">
        <f>-3481297.38-AB13-AB19</f>
        <v>-2710746.52</v>
      </c>
      <c r="AC17" s="578">
        <f>AB17/AB7</f>
        <v>-0.1518775127552538</v>
      </c>
      <c r="AD17" s="495">
        <f>-SUMIF($AO$7:$AZ$7,"&lt;="&amp;$AC$6,AO17:AZ17)</f>
        <v>0</v>
      </c>
      <c r="AE17" s="517" t="str">
        <f t="shared" si="3"/>
        <v/>
      </c>
      <c r="AG17" s="753">
        <v>-1616650</v>
      </c>
      <c r="AH17" s="517">
        <f t="shared" si="4"/>
        <v>0.67676771100733002</v>
      </c>
      <c r="AL17" s="435">
        <v>42674</v>
      </c>
      <c r="AM17" s="446" t="s">
        <v>137</v>
      </c>
      <c r="AN17" s="747"/>
      <c r="AO17" s="431">
        <f>IF($AO$7=$AL$7,'[4]1 trim 2016 BIOGROUP'!$G$13/3,IF($AO$7=$AL$8,'[4]1 trim 2016 BIOGROUP'!$G$13/3,IF($AO$7=$AL$9,'[4]1 trim 2016 BIOGROUP'!$G$13/3,IF($AO$7=$AL$10,'[4]2 trim 2016 BIOGROUP'!$G$13/3,IF($AO$7=$AL$11,'[4]2 trim 2016 BIOGROUP'!$G$13/3,IF($AO$7=$AL$12,'[4]2 trim 2016 BIOGROUP'!$G$13/3,""))))))</f>
        <v>408732.25</v>
      </c>
      <c r="AP17" s="431">
        <f>IF($AP$7=$AL$7,'[4]1 trim 2016 BIOGROUP'!$G$13/3,IF($AP$7=$AL$8,'[4]1 trim 2016 BIOGROUP'!$G$13/3,IF($AP$7=$AL$9,'[4]1 trim 2016 BIOGROUP'!$G$13/3,IF($AP$7=$AL$10,'[4]2 trim 2016 BIOGROUP'!$G$13/3,IF($AP$7=$AL$11,'[4]2 trim 2016 BIOGROUP'!$G$13/3,IF($AP$7=$AL$12,'[4]2 trim 2016 BIOGROUP'!$G$13/3,""))))))</f>
        <v>408732.25</v>
      </c>
      <c r="AQ17" s="431">
        <f>IF($AQ$7=$AL$7,'[4]1 trim 2016 BIOGROUP'!$G$13/3,IF($AQ$7=$AL$8,'[4]1 trim 2016 BIOGROUP'!$G$13/3,IF($AQ$7=$AL$9,'[4]1 trim 2016 BIOGROUP'!$G$13/3,IF($AQ$7=$AL$10,'[4]2 trim 2016 BIOGROUP'!$G$13/3,IF($AQ$7=$AL$11,'[4]2 trim 2016 BIOGROUP'!$G$13/3,IF($AQ$7=$AL$12,'[4]2 trim 2016 BIOGROUP'!$G$13/3,""))))))</f>
        <v>408732.25</v>
      </c>
      <c r="AR17" s="431">
        <f>IF($AR$7=$AL$7,'[4]1 trim 2016 BIOGROUP'!$G$13/3,IF($AR$7=$AL$8,'[4]1 trim 2016 BIOGROUP'!$G$13/3,IF($AR$7=$AL$9,'[4]1 trim 2016 BIOGROUP'!$G$13/3,IF($AR$7=$AL$10,'[4]2 trim 2016 BIOGROUP'!$G$13/3,IF($AR$7=$AL$11,'[4]2 trim 2016 BIOGROUP'!$G$13/3,IF($AR$7=$AL$12,'[4]2 trim 2016 BIOGROUP'!$G$13/3,""))))))</f>
        <v>408732.25</v>
      </c>
      <c r="AS17" s="431">
        <f>IF($AS$7=$AL$7,'[4]1 trim 2016 BIOGROUP'!$G$13/3,IF($AS$7=$AL$8,'[4]1 trim 2016 BIOGROUP'!$G$13/3,IF($AS$7=$AL$9,'[4]1 trim 2016 BIOGROUP'!$G$13/3,IF($AS$7=$AL$10,'[4]2 trim 2016 BIOGROUP'!$G$13/3,IF($AS$7=$AL$11,'[4]2 trim 2016 BIOGROUP'!$G$13/3,IF($AS$7=$AL$12,'[4]2 trim 2016 BIOGROUP'!$G$13/3,""))))))</f>
        <v>408732.25</v>
      </c>
      <c r="AT17" s="431">
        <f>IF($AT$7=$AL$7,'[4]1 trim 2016 BIOGROUP'!$G$13/3,IF($AT$7=$AL$8,'[4]1 trim 2016 BIOGROUP'!$G$13/3,IF($AT$7=$AL$9,'[4]1 trim 2016 BIOGROUP'!$G$13/3,IF($AT$7=$AL$10,'[4]2 trim 2016 BIOGROUP'!$G$13/3,IF($AT$7=$AL$11,'[4]2 trim 2016 BIOGROUP'!$G$13/3,IF($AT$7=$AL$12,'[4]2 trim 2016 BIOGROUP'!$G$13/3,""))))))</f>
        <v>408732.25</v>
      </c>
      <c r="AU17" s="431">
        <f>IF($AU$7=$AL$13,'[4]3 trim 2016 BIOGROUP'!$G$13/3,IF($AU$7=$AL$15,'[4]3 trim 2016 BIOGROUP'!$G$13/3,IF($AU$7=$AL$16,'[4]3 trim 2016 BIOGROUP'!$G$13/3,IF($AU$7=$AL$17,'[4]4 trim 2016 BIOGROUP'!$G$13/3,IF($AU$7=$AL$19,'[4]4 trim 2016 BIOGROUP'!$G$13/3,IF($AU$7=$AL$20,'[4]4 trim 2016 BIOGROUP'!$G$13/3,""))))))</f>
        <v>408732.25</v>
      </c>
      <c r="AV17" s="431">
        <f>IF($AV$7=$AL$13,'[4]3 trim 2016 BIOGROUP'!$G$13/3,IF($AV$7=$AL$15,'[4]3 trim 2016 BIOGROUP'!$G$13/3,IF($AV$7=$AL$16,'[4]3 trim 2016 BIOGROUP'!$G$13/3,IF($AV$7=$AL$17,'[4]4 trim 2016 BIOGROUP'!$G$13/3,IF($AV$7=$AL$19,'[4]4 trim 2016 BIOGROUP'!$G$13/3,IF($AV$7=$AL$20,'[4]4 trim 2016 BIOGROUP'!$G$13/3,""))))))</f>
        <v>408732.25</v>
      </c>
      <c r="AW17" s="431">
        <f>IF($AW$7=$AL$13,'[4]3 trim 2016 BIOGROUP'!$G$13/3,IF($AW$7=$AL$15,'[4]3 trim 2016 BIOGROUP'!$G$13/3,IF($AW$7=$AL$16,'[4]3 trim 2016 BIOGROUP'!$G$13/3,IF($AW$7=$AL$17,'[4]4 trim 2016 BIOGROUP'!$G$13/3,IF($AW$7=$AL$19,'[4]4 trim 2016 BIOGROUP'!$G$13/3,IF($AW$7=$AL$20,'[4]4 trim 2016 BIOGROUP'!$G$13/3,""))))))</f>
        <v>408732.25</v>
      </c>
      <c r="AX17" s="431">
        <f>IF($AX$7=$AL$13,'[4]3 trim 2016 BIOGROUP'!$G$13/3,IF($AX$7=$AL$15,'[4]3 trim 2016 BIOGROUP'!$G$13/3,IF($AX$7=$AL$16,'[4]3 trim 2016 BIOGROUP'!$G$13/3,IF($AX$7=$AL$17,'[4]4 trim 2016 BIOGROUP'!$G$13/3,IF($AX$7=$AL$19,'[4]4 trim 2016 BIOGROUP'!$G$13/3,IF($AX$7=$AL$20,'[4]4 trim 2016 BIOGROUP'!$G$13/3,""))))))</f>
        <v>408732.25</v>
      </c>
      <c r="AY17" s="431">
        <f>IF($AY$7=$AL$13,'[4]3 trim 2016 BIOGROUP'!$G$13/3,IF($AY$7=$AL$15,'[4]3 trim 2016 BIOGROUP'!$G$13/3,IF($AY$7=$AL$16,'[4]3 trim 2016 BIOGROUP'!$G$13/3,IF($AY$7=$AL$17,'[4]4 trim 2016 BIOGROUP'!$G$13/3,IF($AY$7=$AL$19,'[4]4 trim 2016 BIOGROUP'!$G$13/3,IF($AY$7=$AL$20,'[4]4 trim 2016 BIOGROUP'!$G$13/3,""))))))</f>
        <v>408732.25</v>
      </c>
      <c r="AZ17" s="431">
        <f>IF($AZ$7=$AL$13,'[4]3 trim 2016 BIOGROUP'!$G$13/3,IF($AZ$7=$AL$15,'[4]3 trim 2016 BIOGROUP'!$G$13/3,IF($AZ$7=$AL$16,'[4]3 trim 2016 BIOGROUP'!$G$13/3,IF($AZ$7=$AL$17,'[4]4 trim 2016 BIOGROUP'!$G$13/3,IF($AZ$7=$AL$19,'[4]4 trim 2016 BIOGROUP'!$G$13/3,IF($AZ$7=$AL$20,'[4]4 trim 2016 BIOGROUP'!$G$13/3,""))))))</f>
        <v>408732.25</v>
      </c>
      <c r="BB17" s="511">
        <f t="shared" si="5"/>
        <v>2710746.52</v>
      </c>
      <c r="BC17" s="750"/>
    </row>
    <row r="18" spans="1:55" ht="26.15" hidden="1" customHeight="1">
      <c r="C18" s="446" t="s">
        <v>136</v>
      </c>
      <c r="D18" s="610"/>
      <c r="E18" s="446" t="s">
        <v>123</v>
      </c>
      <c r="F18" s="577"/>
      <c r="G18" s="475"/>
      <c r="H18" s="578"/>
      <c r="J18" s="495">
        <f>-SUMIF($AO$7:$AZ$7,$G$6,AO18:AZ18)</f>
        <v>0</v>
      </c>
      <c r="K18" s="532" t="str">
        <f t="shared" si="6"/>
        <v/>
      </c>
      <c r="L18" s="431"/>
      <c r="M18" s="753"/>
      <c r="N18" s="517" t="str">
        <f t="shared" si="1"/>
        <v/>
      </c>
      <c r="O18" s="580"/>
      <c r="P18" s="612"/>
      <c r="Q18" s="582"/>
      <c r="R18" s="583"/>
      <c r="S18" s="582"/>
      <c r="T18" s="583"/>
      <c r="U18" s="582"/>
      <c r="V18" s="583"/>
      <c r="W18" s="582"/>
      <c r="X18" s="583"/>
      <c r="Y18" s="582"/>
      <c r="Z18" s="583"/>
      <c r="AA18" s="584"/>
      <c r="AB18" s="475"/>
      <c r="AC18" s="578"/>
      <c r="AD18" s="495">
        <f>-SUMIF($AO$7:$AZ$7,"&lt;="&amp;$AC$6,AO18:AZ18)</f>
        <v>0</v>
      </c>
      <c r="AE18" s="517" t="str">
        <f t="shared" si="3"/>
        <v/>
      </c>
      <c r="AG18" s="753"/>
      <c r="AH18" s="517" t="str">
        <f t="shared" si="4"/>
        <v/>
      </c>
      <c r="AL18" s="435"/>
      <c r="AM18" s="446" t="s">
        <v>123</v>
      </c>
      <c r="AN18" s="747"/>
      <c r="AO18" s="431">
        <f>IF($AO$7=$AL$7,'[4]1 trim 2016 BIOGROUP'!$G$13/3,IF($AO$7=$AL$8,'[4]1 trim 2016 BIOGROUP'!$G$13/3,IF($AO$7=$AL$9,'[4]1 trim 2016 BIOGROUP'!$G$13/3,IF($AO$7=$AL$10,'[4]2 trim 2016 BIOGROUP'!$G$13/3,IF($AO$7=$AL$11,'[4]2 trim 2016 BIOGROUP'!$G$13/3,IF($AO$7=$AL$12,'[4]2 trim 2016 BIOGROUP'!$G$13/3,""))))))</f>
        <v>408732.25</v>
      </c>
      <c r="AP18" s="431">
        <f>IF($AP$7=$AL$7,'[4]1 trim 2016 BIOGROUP'!$G$13/3,IF($AP$7=$AL$8,'[4]1 trim 2016 BIOGROUP'!$G$13/3,IF($AP$7=$AL$9,'[4]1 trim 2016 BIOGROUP'!$G$13/3,IF($AP$7=$AL$10,'[4]2 trim 2016 BIOGROUP'!$G$13/3,IF($AP$7=$AL$11,'[4]2 trim 2016 BIOGROUP'!$G$13/3,IF($AP$7=$AL$12,'[4]2 trim 2016 BIOGROUP'!$G$13/3,""))))))</f>
        <v>408732.25</v>
      </c>
      <c r="AQ18" s="431">
        <f>IF($AQ$7=$AL$7,'[4]1 trim 2016 BIOGROUP'!$G$13/3,IF($AQ$7=$AL$8,'[4]1 trim 2016 BIOGROUP'!$G$13/3,IF($AQ$7=$AL$9,'[4]1 trim 2016 BIOGROUP'!$G$13/3,IF($AQ$7=$AL$10,'[4]2 trim 2016 BIOGROUP'!$G$13/3,IF($AQ$7=$AL$11,'[4]2 trim 2016 BIOGROUP'!$G$13/3,IF($AQ$7=$AL$12,'[4]2 trim 2016 BIOGROUP'!$G$13/3,""))))))</f>
        <v>408732.25</v>
      </c>
      <c r="AR18" s="431">
        <f>IF($AR$7=$AL$7,'[4]1 trim 2016 BIOGROUP'!$G$13/3,IF($AR$7=$AL$8,'[4]1 trim 2016 BIOGROUP'!$G$13/3,IF($AR$7=$AL$9,'[4]1 trim 2016 BIOGROUP'!$G$13/3,IF($AR$7=$AL$10,'[4]2 trim 2016 BIOGROUP'!$G$13/3,IF($AR$7=$AL$11,'[4]2 trim 2016 BIOGROUP'!$G$13/3,IF($AR$7=$AL$12,'[4]2 trim 2016 BIOGROUP'!$G$13/3,""))))))</f>
        <v>408732.25</v>
      </c>
      <c r="AS18" s="431">
        <f>IF($AS$7=$AL$7,'[4]1 trim 2016 BIOGROUP'!$G$13/3,IF($AS$7=$AL$8,'[4]1 trim 2016 BIOGROUP'!$G$13/3,IF($AS$7=$AL$9,'[4]1 trim 2016 BIOGROUP'!$G$13/3,IF($AS$7=$AL$10,'[4]2 trim 2016 BIOGROUP'!$G$13/3,IF($AS$7=$AL$11,'[4]2 trim 2016 BIOGROUP'!$G$13/3,IF($AS$7=$AL$12,'[4]2 trim 2016 BIOGROUP'!$G$13/3,""))))))</f>
        <v>408732.25</v>
      </c>
      <c r="AT18" s="431">
        <f>IF($AT$7=$AL$7,'[4]1 trim 2016 BIOGROUP'!$G$13/3,IF($AT$7=$AL$8,'[4]1 trim 2016 BIOGROUP'!$G$13/3,IF($AT$7=$AL$9,'[4]1 trim 2016 BIOGROUP'!$G$13/3,IF($AT$7=$AL$10,'[4]2 trim 2016 BIOGROUP'!$G$13/3,IF($AT$7=$AL$11,'[4]2 trim 2016 BIOGROUP'!$G$13/3,IF($AT$7=$AL$12,'[4]2 trim 2016 BIOGROUP'!$G$13/3,""))))))</f>
        <v>408732.25</v>
      </c>
      <c r="AU18" s="431">
        <f>IF($AU$7=$AL$13,'[4]3 trim 2016 BIOGROUP'!$G$13/3,IF($AU$7=$AL$15,'[4]3 trim 2016 BIOGROUP'!$G$13/3,IF($AU$7=$AL$16,'[4]3 trim 2016 BIOGROUP'!$G$13/3,IF($AU$7=$AL$17,'[4]4 trim 2016 BIOGROUP'!$G$13/3,IF($AU$7=$AL$19,'[4]4 trim 2016 BIOGROUP'!$G$13/3,IF($AU$7=$AL$20,'[4]4 trim 2016 BIOGROUP'!$G$13/3,""))))))</f>
        <v>408732.25</v>
      </c>
      <c r="AV18" s="431">
        <f>IF($AV$7=$AL$13,'[4]3 trim 2016 BIOGROUP'!$G$13/3,IF($AV$7=$AL$15,'[4]3 trim 2016 BIOGROUP'!$G$13/3,IF($AV$7=$AL$16,'[4]3 trim 2016 BIOGROUP'!$G$13/3,IF($AV$7=$AL$17,'[4]4 trim 2016 BIOGROUP'!$G$13/3,IF($AV$7=$AL$19,'[4]4 trim 2016 BIOGROUP'!$G$13/3,IF($AV$7=$AL$20,'[4]4 trim 2016 BIOGROUP'!$G$13/3,""))))))</f>
        <v>408732.25</v>
      </c>
      <c r="AW18" s="431">
        <f>IF($AW$7=$AL$13,'[4]3 trim 2016 BIOGROUP'!$G$13/3,IF($AW$7=$AL$15,'[4]3 trim 2016 BIOGROUP'!$G$13/3,IF($AW$7=$AL$16,'[4]3 trim 2016 BIOGROUP'!$G$13/3,IF($AW$7=$AL$17,'[4]4 trim 2016 BIOGROUP'!$G$13/3,IF($AW$7=$AL$19,'[4]4 trim 2016 BIOGROUP'!$G$13/3,IF($AW$7=$AL$20,'[4]4 trim 2016 BIOGROUP'!$G$13/3,""))))))</f>
        <v>408732.25</v>
      </c>
      <c r="AX18" s="431">
        <f>IF($AX$7=$AL$13,'[4]3 trim 2016 BIOGROUP'!$G$13/3,IF($AX$7=$AL$15,'[4]3 trim 2016 BIOGROUP'!$G$13/3,IF($AX$7=$AL$16,'[4]3 trim 2016 BIOGROUP'!$G$13/3,IF($AX$7=$AL$17,'[4]4 trim 2016 BIOGROUP'!$G$13/3,IF($AX$7=$AL$19,'[4]4 trim 2016 BIOGROUP'!$G$13/3,IF($AX$7=$AL$20,'[4]4 trim 2016 BIOGROUP'!$G$13/3,""))))))</f>
        <v>408732.25</v>
      </c>
      <c r="AY18" s="431">
        <f>IF($AY$7=$AL$13,'[4]3 trim 2016 BIOGROUP'!$G$13/3,IF($AY$7=$AL$15,'[4]3 trim 2016 BIOGROUP'!$G$13/3,IF($AY$7=$AL$16,'[4]3 trim 2016 BIOGROUP'!$G$13/3,IF($AY$7=$AL$17,'[4]4 trim 2016 BIOGROUP'!$G$13/3,IF($AY$7=$AL$19,'[4]4 trim 2016 BIOGROUP'!$G$13/3,IF($AY$7=$AL$20,'[4]4 trim 2016 BIOGROUP'!$G$13/3,""))))))</f>
        <v>408732.25</v>
      </c>
      <c r="AZ18" s="431">
        <f>IF($AZ$7=$AL$13,'[4]3 trim 2016 BIOGROUP'!$G$13/3,IF($AZ$7=$AL$15,'[4]3 trim 2016 BIOGROUP'!$G$13/3,IF($AZ$7=$AL$16,'[4]3 trim 2016 BIOGROUP'!$G$13/3,IF($AZ$7=$AL$17,'[4]4 trim 2016 BIOGROUP'!$G$13/3,IF($AZ$7=$AL$19,'[4]4 trim 2016 BIOGROUP'!$G$13/3,IF($AZ$7=$AL$20,'[4]4 trim 2016 BIOGROUP'!$G$13/3,""))))))</f>
        <v>408732.25</v>
      </c>
      <c r="BB18" s="511">
        <f t="shared" si="5"/>
        <v>0</v>
      </c>
      <c r="BC18" s="750"/>
    </row>
    <row r="19" spans="1:55" ht="20.25" customHeight="1">
      <c r="C19" s="446" t="s">
        <v>156</v>
      </c>
      <c r="D19" s="610"/>
      <c r="E19" s="446" t="s">
        <v>155</v>
      </c>
      <c r="F19" s="577"/>
      <c r="G19" s="475">
        <v>0</v>
      </c>
      <c r="H19" s="578">
        <f>G19/G7</f>
        <v>0</v>
      </c>
      <c r="J19" s="495">
        <f>-SUMIF($AO$7:$AZ$7,$G$6,AO19:AZ19)</f>
        <v>0</v>
      </c>
      <c r="K19" s="532" t="str">
        <f t="shared" si="6"/>
        <v/>
      </c>
      <c r="L19" s="431"/>
      <c r="M19" s="753">
        <v>-4838</v>
      </c>
      <c r="N19" s="517">
        <f t="shared" si="1"/>
        <v>-1</v>
      </c>
      <c r="O19" s="580"/>
      <c r="P19" s="612"/>
      <c r="Q19" s="582"/>
      <c r="R19" s="583"/>
      <c r="S19" s="582"/>
      <c r="T19" s="583"/>
      <c r="U19" s="582"/>
      <c r="V19" s="583"/>
      <c r="W19" s="582"/>
      <c r="X19" s="583"/>
      <c r="Y19" s="582"/>
      <c r="Z19" s="583"/>
      <c r="AA19" s="584"/>
      <c r="AB19" s="475">
        <f>-31988.96-4919.57</f>
        <v>-36908.53</v>
      </c>
      <c r="AC19" s="578">
        <f>AB19/AB7</f>
        <v>-2.0679084873832716E-3</v>
      </c>
      <c r="AD19" s="495">
        <f>-SUMIF($AO$7:$AZ$7,"&lt;="&amp;$AC$6,AO19:AZ19)</f>
        <v>0</v>
      </c>
      <c r="AE19" s="517" t="str">
        <f t="shared" si="3"/>
        <v/>
      </c>
      <c r="AG19" s="753">
        <v>-15260</v>
      </c>
      <c r="AH19" s="517">
        <f t="shared" si="4"/>
        <v>1.4186454783748361</v>
      </c>
      <c r="AL19" s="435">
        <v>42704</v>
      </c>
      <c r="AM19" s="446" t="s">
        <v>155</v>
      </c>
      <c r="AN19" s="747"/>
      <c r="BB19" s="511">
        <f t="shared" si="5"/>
        <v>36908.53</v>
      </c>
      <c r="BC19" s="750"/>
    </row>
    <row r="20" spans="1:55" ht="26.15" customHeight="1">
      <c r="C20" s="446" t="s">
        <v>60</v>
      </c>
      <c r="D20" s="613"/>
      <c r="E20" s="446" t="s">
        <v>60</v>
      </c>
      <c r="F20" s="577"/>
      <c r="G20" s="475">
        <v>0</v>
      </c>
      <c r="H20" s="578">
        <f>G20/G7</f>
        <v>0</v>
      </c>
      <c r="J20" s="495">
        <f>-SUMIF($AO$7:$AZ$7,$G$6,AO20:AZ20)</f>
        <v>0</v>
      </c>
      <c r="K20" s="532" t="str">
        <f t="shared" si="6"/>
        <v/>
      </c>
      <c r="L20" s="431"/>
      <c r="M20" s="753"/>
      <c r="N20" s="517" t="str">
        <f t="shared" si="1"/>
        <v/>
      </c>
      <c r="O20" s="580"/>
      <c r="P20" s="614" t="s">
        <v>60</v>
      </c>
      <c r="Q20" s="582" t="e">
        <f>+#REF!</f>
        <v>#REF!</v>
      </c>
      <c r="R20" s="583" t="e">
        <f>Q20/Q$7</f>
        <v>#REF!</v>
      </c>
      <c r="S20" s="582" t="e">
        <f>+#REF!</f>
        <v>#REF!</v>
      </c>
      <c r="T20" s="583" t="e">
        <f>S20/S$7</f>
        <v>#REF!</v>
      </c>
      <c r="U20" s="582" t="e">
        <f>+#REF!</f>
        <v>#REF!</v>
      </c>
      <c r="V20" s="583" t="e">
        <f>U20/U$7</f>
        <v>#REF!</v>
      </c>
      <c r="W20" s="582" t="e">
        <f>+#REF!</f>
        <v>#REF!</v>
      </c>
      <c r="X20" s="583" t="e">
        <f>W20/W$7</f>
        <v>#REF!</v>
      </c>
      <c r="Y20" s="582" t="e">
        <f>+W20+U20+S20+Q20</f>
        <v>#REF!</v>
      </c>
      <c r="Z20" s="583" t="e">
        <f>Y20/Y$7</f>
        <v>#REF!</v>
      </c>
      <c r="AA20" s="584" t="e">
        <f t="shared" ref="AA20:AA28" si="12">+G20-Y20</f>
        <v>#REF!</v>
      </c>
      <c r="AB20" s="475">
        <v>0</v>
      </c>
      <c r="AC20" s="578">
        <f>AB20/AB7</f>
        <v>0</v>
      </c>
      <c r="AD20" s="495">
        <f>-SUMIF($AO$7:$AZ$7,"&lt;="&amp;$AC$6,AO20:AZ20)</f>
        <v>0</v>
      </c>
      <c r="AE20" s="517" t="str">
        <f t="shared" si="3"/>
        <v/>
      </c>
      <c r="AG20" s="753"/>
      <c r="AH20" s="517" t="str">
        <f t="shared" si="4"/>
        <v/>
      </c>
      <c r="AL20" s="435">
        <v>42735</v>
      </c>
      <c r="AM20" s="446" t="s">
        <v>60</v>
      </c>
      <c r="AN20" s="747"/>
      <c r="AO20" s="431">
        <f>IF($AO$7=$AL$7,'[4]1 trim 2016 BIOGROUP'!$G$14/3,IF($AO$7=$AL$8,'[4]1 trim 2016 BIOGROUP'!$G$14/3,IF($AO$7=$AL$9,'[4]1 trim 2016 BIOGROUP'!$G$14/3,IF($AO$7=$AL$10,'[4]2 trim 2016 BIOGROUP'!$G$14/3,IF($AO$7=$AL$11,'[4]2 trim 2016 BIOGROUP'!$G$14/3,IF($AO$7=$AL$12,'[4]2 trim 2016 BIOGROUP'!$G$14/3,""))))))</f>
        <v>8643.75</v>
      </c>
      <c r="AP20" s="431">
        <f>IF($AP$7=$AL$7,'[4]1 trim 2016 BIOGROUP'!$G$14/3,IF($AP$7=$AL$8,'[4]1 trim 2016 BIOGROUP'!$G$14/3,IF($AP$7=$AL$9,'[4]1 trim 2016 BIOGROUP'!$G$14/3,IF($AP$7=$AL$10,'[4]2 trim 2016 BIOGROUP'!$G$14/3,IF($AP$7=$AL$11,'[4]2 trim 2016 BIOGROUP'!$G$14/3,IF($AP$7=$AL$12,'[4]2 trim 2016 BIOGROUP'!$G$14/3,""))))))</f>
        <v>8643.75</v>
      </c>
      <c r="AQ20" s="431">
        <f>IF($AQ$7=$AL$7,'[4]1 trim 2016 BIOGROUP'!$G$14/3,IF($AQ$7=$AL$8,'[4]1 trim 2016 BIOGROUP'!$G$14/3,IF($AQ$7=$AL$9,'[4]1 trim 2016 BIOGROUP'!$G$14/3,IF($AQ$7=$AL$10,'[4]2 trim 2016 BIOGROUP'!$G$14/3,IF($AQ$7=$AL$11,'[4]2 trim 2016 BIOGROUP'!$G$14/3,IF($AQ$7=$AL$12,'[4]2 trim 2016 BIOGROUP'!$G$14/3,""))))))</f>
        <v>8643.75</v>
      </c>
      <c r="AR20" s="431">
        <f>IF($AR$7=$AL$7,'[4]1 trim 2016 BIOGROUP'!$G$14/3,IF($AR$7=$AL$8,'[4]1 trim 2016 BIOGROUP'!$G$14/3,IF($AR$7=$AL$9,'[4]1 trim 2016 BIOGROUP'!$G$14/3,IF($AR$7=$AL$10,'[4]2 trim 2016 BIOGROUP'!$G$14/3,IF($AR$7=$AL$11,'[4]2 trim 2016 BIOGROUP'!$G$14/3,IF($AR$7=$AL$12,'[4]2 trim 2016 BIOGROUP'!$G$14/3,""))))))</f>
        <v>8643.75</v>
      </c>
      <c r="AS20" s="431">
        <f>IF($AS$7=$AL$7,'[4]1 trim 2016 BIOGROUP'!$G$14/3,IF($AS$7=$AL$8,'[4]1 trim 2016 BIOGROUP'!$G$14/3,IF($AS$7=$AL$9,'[4]1 trim 2016 BIOGROUP'!$G$14/3,IF($AS$7=$AL$10,'[4]2 trim 2016 BIOGROUP'!$G$14/3,IF($AS$7=$AL$11,'[4]2 trim 2016 BIOGROUP'!$G$14/3,IF($AS$7=$AL$12,'[4]2 trim 2016 BIOGROUP'!$G$14/3,""))))))</f>
        <v>8643.75</v>
      </c>
      <c r="AT20" s="431">
        <f>IF($AT$7=$AL$7,'[4]1 trim 2016 BIOGROUP'!$G$14/3,IF($AT$7=$AL$8,'[4]1 trim 2016 BIOGROUP'!$G$14/3,IF($AT$7=$AL$9,'[4]1 trim 2016 BIOGROUP'!$G$14/3,IF($AT$7=$AL$10,'[4]2 trim 2016 BIOGROUP'!$G$14/3,IF($AT$7=$AL$11,'[4]2 trim 2016 BIOGROUP'!$G$14/3,IF($AT$7=$AL$12,'[4]2 trim 2016 BIOGROUP'!$G$14/3,""))))))</f>
        <v>8643.75</v>
      </c>
      <c r="AU20" s="431">
        <f>IF($AU$7=$AL$13,'[4]3 trim 2016 BIOGROUP'!$G$14/3,IF($AU$7=$AL$15,'[4]3 trim 2016 BIOGROUP'!$G$14/3,IF($AU$7=$AL$16,'[4]3 trim 2016 BIOGROUP'!$G$14/3,IF($AU$7=$AL$17,'[4]4 trim 2016 BIOGROUP'!$G$14/3,IF($AU$7=$AL$19,'[4]4 trim 2016 BIOGROUP'!$G$14/3,IF($AU$7=$AL$20,'[4]4 trim 2016 BIOGROUP'!$G$14/3,""))))))</f>
        <v>8643.75</v>
      </c>
      <c r="AV20" s="431">
        <f>IF($AV$7=$AL$13,'[4]3 trim 2016 BIOGROUP'!$G$14/3,IF($AV$7=$AL$15,'[4]3 trim 2016 BIOGROUP'!$G$14/3,IF($AV$7=$AL$16,'[4]3 trim 2016 BIOGROUP'!$G$14/3,IF($AV$7=$AL$17,'[4]4 trim 2016 BIOGROUP'!$G$14/3,IF($AV$7=$AL$19,'[4]4 trim 2016 BIOGROUP'!$G$14/3,IF($AV$7=$AL$20,'[4]4 trim 2016 BIOGROUP'!$G$14/3,""))))))</f>
        <v>8643.75</v>
      </c>
      <c r="AW20" s="431">
        <f>IF($AW$7=$AL$13,'[4]3 trim 2016 BIOGROUP'!$G$14/3,IF($AW$7=$AL$15,'[4]3 trim 2016 BIOGROUP'!$G$14/3,IF($AW$7=$AL$16,'[4]3 trim 2016 BIOGROUP'!$G$14/3,IF($AW$7=$AL$17,'[4]4 trim 2016 BIOGROUP'!$G$14/3,IF($AW$7=$AL$19,'[4]4 trim 2016 BIOGROUP'!$G$14/3,IF($AW$7=$AL$20,'[4]4 trim 2016 BIOGROUP'!$G$14/3,""))))))</f>
        <v>8643.75</v>
      </c>
      <c r="AX20" s="431">
        <f>IF($AX$7=$AL$13,'[4]3 trim 2016 BIOGROUP'!$G$14/3,IF($AX$7=$AL$15,'[4]3 trim 2016 BIOGROUP'!$G$14/3,IF($AX$7=$AL$16,'[4]3 trim 2016 BIOGROUP'!$G$14/3,IF($AX$7=$AL$17,'[4]4 trim 2016 BIOGROUP'!$G$14/3,IF($AX$7=$AL$19,'[4]4 trim 2016 BIOGROUP'!$G$14/3,IF($AX$7=$AL$20,'[4]4 trim 2016 BIOGROUP'!$G$14/3,""))))))</f>
        <v>8643.75</v>
      </c>
      <c r="AY20" s="431">
        <f>IF($AY$7=$AL$13,'[4]3 trim 2016 BIOGROUP'!$G$14/3,IF($AY$7=$AL$15,'[4]3 trim 2016 BIOGROUP'!$G$14/3,IF($AY$7=$AL$16,'[4]3 trim 2016 BIOGROUP'!$G$14/3,IF($AY$7=$AL$17,'[4]4 trim 2016 BIOGROUP'!$G$14/3,IF($AY$7=$AL$19,'[4]4 trim 2016 BIOGROUP'!$G$14/3,IF($AY$7=$AL$20,'[4]4 trim 2016 BIOGROUP'!$G$14/3,""))))))</f>
        <v>8643.75</v>
      </c>
      <c r="AZ20" s="431">
        <f>IF($AZ$7=$AL$13,'[4]3 trim 2016 BIOGROUP'!$G$14/3,IF($AZ$7=$AL$15,'[4]3 trim 2016 BIOGROUP'!$G$14/3,IF($AZ$7=$AL$16,'[4]3 trim 2016 BIOGROUP'!$G$14/3,IF($AZ$7=$AL$17,'[4]4 trim 2016 BIOGROUP'!$G$14/3,IF($AZ$7=$AL$19,'[4]4 trim 2016 BIOGROUP'!$G$14/3,IF($AZ$7=$AL$20,'[4]4 trim 2016 BIOGROUP'!$G$14/3,""))))))</f>
        <v>8643.75</v>
      </c>
      <c r="BB20" s="511">
        <f t="shared" si="5"/>
        <v>0</v>
      </c>
      <c r="BC20" s="750"/>
    </row>
    <row r="21" spans="1:55" ht="26.15" customHeight="1">
      <c r="B21" s="542">
        <v>624</v>
      </c>
      <c r="C21" s="440" t="s">
        <v>90</v>
      </c>
      <c r="D21" s="610"/>
      <c r="E21" s="440" t="s">
        <v>91</v>
      </c>
      <c r="F21" s="577"/>
      <c r="G21" s="475">
        <v>0</v>
      </c>
      <c r="H21" s="578">
        <f>G21/G7</f>
        <v>0</v>
      </c>
      <c r="J21" s="495">
        <f>-SUMIF($AO$7:$AZ$7,$G$6,AO21:AZ21)</f>
        <v>0</v>
      </c>
      <c r="K21" s="532" t="str">
        <f t="shared" si="6"/>
        <v/>
      </c>
      <c r="L21" s="431"/>
      <c r="M21" s="753">
        <v>-2637</v>
      </c>
      <c r="N21" s="517">
        <f t="shared" si="1"/>
        <v>-1</v>
      </c>
      <c r="O21" s="580"/>
      <c r="P21" s="602"/>
      <c r="Q21" s="582" t="e">
        <f>+#REF!</f>
        <v>#REF!</v>
      </c>
      <c r="R21" s="583" t="e">
        <f>Q21/Q$7</f>
        <v>#REF!</v>
      </c>
      <c r="S21" s="582" t="e">
        <f>+#REF!</f>
        <v>#REF!</v>
      </c>
      <c r="T21" s="583" t="e">
        <f>S21/S$7</f>
        <v>#REF!</v>
      </c>
      <c r="U21" s="582" t="e">
        <f>+#REF!</f>
        <v>#REF!</v>
      </c>
      <c r="V21" s="583" t="e">
        <f>U21/U$7</f>
        <v>#REF!</v>
      </c>
      <c r="W21" s="582" t="e">
        <f>+#REF!</f>
        <v>#REF!</v>
      </c>
      <c r="X21" s="583" t="e">
        <f>W21/W$7</f>
        <v>#REF!</v>
      </c>
      <c r="Y21" s="582" t="e">
        <f>+W21+U21+S21+Q21</f>
        <v>#REF!</v>
      </c>
      <c r="Z21" s="583" t="e">
        <f>Y21/Y$7</f>
        <v>#REF!</v>
      </c>
      <c r="AA21" s="584" t="e">
        <f t="shared" si="12"/>
        <v>#REF!</v>
      </c>
      <c r="AB21" s="475">
        <v>0</v>
      </c>
      <c r="AC21" s="578">
        <f>AB21/AB7</f>
        <v>0</v>
      </c>
      <c r="AD21" s="495">
        <f>-SUMIF($AO$7:$AZ$7,"&lt;="&amp;$AC$6,AO21:AZ21)</f>
        <v>0</v>
      </c>
      <c r="AE21" s="517" t="str">
        <f t="shared" si="3"/>
        <v/>
      </c>
      <c r="AG21" s="753">
        <v>-6591</v>
      </c>
      <c r="AH21" s="517">
        <f t="shared" si="4"/>
        <v>-1</v>
      </c>
      <c r="AL21" s="435"/>
      <c r="AM21" s="440" t="s">
        <v>91</v>
      </c>
      <c r="AN21" s="747"/>
      <c r="BB21" s="511">
        <f t="shared" si="5"/>
        <v>0</v>
      </c>
      <c r="BC21" s="750"/>
    </row>
    <row r="22" spans="1:55" ht="26.15" customHeight="1">
      <c r="C22" s="445" t="s">
        <v>88</v>
      </c>
      <c r="D22" s="555"/>
      <c r="E22" s="445" t="s">
        <v>7</v>
      </c>
      <c r="F22" s="577"/>
      <c r="G22" s="478">
        <f>SUM(G23:G23)</f>
        <v>-260652.17</v>
      </c>
      <c r="H22" s="591">
        <f>G22/G7</f>
        <v>-4.2025444864047599E-2</v>
      </c>
      <c r="J22" s="500">
        <f>SUM(J23:J23)</f>
        <v>0</v>
      </c>
      <c r="K22" s="533" t="str">
        <f t="shared" si="6"/>
        <v/>
      </c>
      <c r="L22" s="431"/>
      <c r="M22" s="756">
        <v>-123969</v>
      </c>
      <c r="N22" s="518">
        <f t="shared" si="1"/>
        <v>1.1025592688494705</v>
      </c>
      <c r="O22" s="580"/>
      <c r="P22" s="611" t="s">
        <v>7</v>
      </c>
      <c r="Q22" s="594" t="e">
        <f t="shared" ref="Q22:Z22" si="13">SUM(Q23:Q23)</f>
        <v>#REF!</v>
      </c>
      <c r="R22" s="595" t="e">
        <f t="shared" si="13"/>
        <v>#REF!</v>
      </c>
      <c r="S22" s="594" t="e">
        <f t="shared" si="13"/>
        <v>#REF!</v>
      </c>
      <c r="T22" s="595" t="e">
        <f t="shared" si="13"/>
        <v>#REF!</v>
      </c>
      <c r="U22" s="594" t="e">
        <f t="shared" si="13"/>
        <v>#REF!</v>
      </c>
      <c r="V22" s="595" t="e">
        <f t="shared" si="13"/>
        <v>#REF!</v>
      </c>
      <c r="W22" s="594" t="e">
        <f t="shared" si="13"/>
        <v>#REF!</v>
      </c>
      <c r="X22" s="595" t="e">
        <f t="shared" si="13"/>
        <v>#REF!</v>
      </c>
      <c r="Y22" s="594" t="e">
        <f t="shared" si="13"/>
        <v>#REF!</v>
      </c>
      <c r="Z22" s="595" t="e">
        <f t="shared" si="13"/>
        <v>#REF!</v>
      </c>
      <c r="AA22" s="584" t="e">
        <f t="shared" si="12"/>
        <v>#REF!</v>
      </c>
      <c r="AB22" s="478">
        <f>SUM(AB23:AB23)</f>
        <v>-643245.75</v>
      </c>
      <c r="AC22" s="591">
        <f>AB22/AB7</f>
        <v>-3.6039727019694857E-2</v>
      </c>
      <c r="AD22" s="500">
        <f>SUM(AD23:AD23)</f>
        <v>0</v>
      </c>
      <c r="AE22" s="518" t="str">
        <f t="shared" si="3"/>
        <v/>
      </c>
      <c r="AG22" s="756">
        <v>-37687</v>
      </c>
      <c r="AH22" s="518">
        <f t="shared" si="4"/>
        <v>16.068107039562715</v>
      </c>
      <c r="AJ22" s="615"/>
      <c r="AL22" s="435"/>
      <c r="AM22" s="445" t="s">
        <v>7</v>
      </c>
      <c r="AN22" s="747"/>
      <c r="AO22" s="741">
        <f>-SUM(AO23:AO23)</f>
        <v>-95843.833333333328</v>
      </c>
      <c r="AP22" s="741">
        <f t="shared" ref="AP22:AZ22" si="14">-SUM(AP23:AP23)</f>
        <v>-95843.833333333328</v>
      </c>
      <c r="AQ22" s="741">
        <f t="shared" si="14"/>
        <v>-95843.833333333328</v>
      </c>
      <c r="AR22" s="741">
        <f t="shared" si="14"/>
        <v>-95843.833333333328</v>
      </c>
      <c r="AS22" s="741">
        <f t="shared" si="14"/>
        <v>-95843.833333333328</v>
      </c>
      <c r="AT22" s="741">
        <f t="shared" si="14"/>
        <v>-95843.833333333328</v>
      </c>
      <c r="AU22" s="741">
        <f t="shared" si="14"/>
        <v>-95843.833333333328</v>
      </c>
      <c r="AV22" s="741">
        <f t="shared" si="14"/>
        <v>-95843.833333333328</v>
      </c>
      <c r="AW22" s="741">
        <f t="shared" si="14"/>
        <v>-95843.833333333328</v>
      </c>
      <c r="AX22" s="741">
        <f t="shared" si="14"/>
        <v>-95843.833333333328</v>
      </c>
      <c r="AY22" s="741">
        <f t="shared" si="14"/>
        <v>-95843.833333333328</v>
      </c>
      <c r="AZ22" s="741">
        <f t="shared" si="14"/>
        <v>-95843.833333333328</v>
      </c>
      <c r="BB22" s="748">
        <f t="shared" si="5"/>
        <v>643245.75</v>
      </c>
      <c r="BC22" s="752"/>
    </row>
    <row r="23" spans="1:55" ht="26.15" customHeight="1">
      <c r="B23" s="542">
        <v>63</v>
      </c>
      <c r="C23" s="447" t="s">
        <v>88</v>
      </c>
      <c r="D23" s="551"/>
      <c r="E23" s="447" t="s">
        <v>8</v>
      </c>
      <c r="F23" s="577"/>
      <c r="G23" s="475">
        <v>-260652.17</v>
      </c>
      <c r="H23" s="578">
        <f>G23/G7</f>
        <v>-4.2025444864047599E-2</v>
      </c>
      <c r="J23" s="495">
        <f>-SUMIF($AO$7:$AZ$7,$G$6,AO23:AZ23)</f>
        <v>0</v>
      </c>
      <c r="K23" s="532" t="str">
        <f t="shared" si="6"/>
        <v/>
      </c>
      <c r="L23" s="431"/>
      <c r="M23" s="753">
        <v>-123969</v>
      </c>
      <c r="N23" s="517">
        <f t="shared" si="1"/>
        <v>1.1025592688494705</v>
      </c>
      <c r="O23" s="580"/>
      <c r="P23" s="616" t="s">
        <v>8</v>
      </c>
      <c r="Q23" s="582" t="e">
        <f>+#REF!+'31 dec 2016 BIOLAM'!AT18+'31 dec 2016 BIOLAM'!AT19+'31 dec 2016 BIOLAM'!AT20</f>
        <v>#REF!</v>
      </c>
      <c r="R23" s="583" t="e">
        <f>Q23/Q$7</f>
        <v>#REF!</v>
      </c>
      <c r="S23" s="582" t="e">
        <f>+'31 dec 2016 BIOLAM'!AV18+#REF!+'31 dec 2016 BIOLAM'!AV19+'31 dec 2016 BIOLAM'!AV20</f>
        <v>#REF!</v>
      </c>
      <c r="T23" s="583" t="e">
        <f>S23/S$7</f>
        <v>#REF!</v>
      </c>
      <c r="U23" s="582" t="e">
        <f>+'31 dec 2016 BIOLAM'!AX18+#REF!+'31 dec 2016 BIOLAM'!AX19+'31 dec 2016 BIOLAM'!AX20</f>
        <v>#REF!</v>
      </c>
      <c r="V23" s="583" t="e">
        <f>U23/U$7</f>
        <v>#REF!</v>
      </c>
      <c r="W23" s="582" t="e">
        <f>+'31 dec 2016 BIOLAM'!AZ18+#REF!+'31 dec 2016 BIOLAM'!AZ19+'31 dec 2016 BIOLAM'!AZ20</f>
        <v>#REF!</v>
      </c>
      <c r="X23" s="583" t="e">
        <f>W23/W$7</f>
        <v>#REF!</v>
      </c>
      <c r="Y23" s="582" t="e">
        <f>+W23+U23+S23+Q23</f>
        <v>#REF!</v>
      </c>
      <c r="Z23" s="583" t="e">
        <f>Y23/Y$7</f>
        <v>#REF!</v>
      </c>
      <c r="AA23" s="584" t="e">
        <f t="shared" si="12"/>
        <v>#REF!</v>
      </c>
      <c r="AB23" s="475">
        <v>-643245.75</v>
      </c>
      <c r="AC23" s="578">
        <f>AB23/AB7</f>
        <v>-3.6039727019694857E-2</v>
      </c>
      <c r="AD23" s="495">
        <f>-SUMIF($AO$7:$AZ$7,"&lt;="&amp;$AC$6,AO23:AZ23)</f>
        <v>0</v>
      </c>
      <c r="AE23" s="517" t="str">
        <f t="shared" si="3"/>
        <v/>
      </c>
      <c r="AG23" s="753">
        <v>-37687</v>
      </c>
      <c r="AH23" s="517">
        <f t="shared" si="4"/>
        <v>16.068107039562715</v>
      </c>
      <c r="AL23" s="435"/>
      <c r="AM23" s="447" t="s">
        <v>8</v>
      </c>
      <c r="AN23" s="747"/>
      <c r="AO23" s="431">
        <f>IF($AO$7=$AL$7,'[4]1 trim 2016 BIOGROUP'!$G$18/3,IF($AO$7=$AL$8,'[4]1 trim 2016 BIOGROUP'!$G$18/3,IF($AO$7=$AL$9,'[4]1 trim 2016 BIOGROUP'!$G$18/3,IF($AO$7=$AL$10,'[4]2 trim 2016 BIOGROUP'!$G$18/3,IF($AO$7=$AL$11,'[4]2 trim 2016 BIOGROUP'!$G$18/3,IF($AO$7=$AL$12,'[4]2 trim 2016 BIOGROUP'!$G$18/3,""))))))</f>
        <v>95843.833333333328</v>
      </c>
      <c r="AP23" s="431">
        <f>IF($AP$7=$AL$7,'[4]1 trim 2016 BIOGROUP'!$G$18/3,IF($AP$7=$AL$8,'[4]1 trim 2016 BIOGROUP'!$G$18/3,IF($AP$7=$AL$9,'[4]1 trim 2016 BIOGROUP'!$G$18/3,IF($AP$7=$AL$10,'[4]2 trim 2016 BIOGROUP'!$G$18/3,IF($AP$7=$AL$11,'[4]2 trim 2016 BIOGROUP'!$G$18/3,IF($AP$7=$AL$12,'[4]2 trim 2016 BIOGROUP'!$G$18/3,""))))))</f>
        <v>95843.833333333328</v>
      </c>
      <c r="AQ23" s="431">
        <f>IF($AQ$7=$AL$7,'[4]1 trim 2016 BIOGROUP'!$G$18/3,IF($AQ$7=$AL$8,'[4]1 trim 2016 BIOGROUP'!$G$18/3,IF($AQ$7=$AL$9,'[4]1 trim 2016 BIOGROUP'!$G$18/3,IF($AQ$7=$AL$10,'[4]2 trim 2016 BIOGROUP'!$G$18/3,IF($AQ$7=$AL$11,'[4]2 trim 2016 BIOGROUP'!$G$18/3,IF($AQ$7=$AL$12,'[4]2 trim 2016 BIOGROUP'!$G$18/3,""))))))</f>
        <v>95843.833333333328</v>
      </c>
      <c r="AR23" s="431">
        <f>IF($AR$7=$AL$7,'[4]1 trim 2016 BIOGROUP'!$G$18/3,IF($AR$7=$AL$8,'[4]1 trim 2016 BIOGROUP'!$G$18/3,IF($AR$7=$AL$9,'[4]1 trim 2016 BIOGROUP'!$G$18/3,IF($AR$7=$AL$10,'[4]2 trim 2016 BIOGROUP'!$G$18/3,IF($AR$7=$AL$11,'[4]2 trim 2016 BIOGROUP'!$G$18/3,IF($AR$7=$AL$12,'[4]2 trim 2016 BIOGROUP'!$G$18/3,""))))))</f>
        <v>95843.833333333328</v>
      </c>
      <c r="AS23" s="431">
        <f>IF($AS$7=$AL$7,'[4]1 trim 2016 BIOGROUP'!$G$18/3,IF($AS$7=$AL$8,'[4]1 trim 2016 BIOGROUP'!$G$18/3,IF($AS$7=$AL$9,'[4]1 trim 2016 BIOGROUP'!$G$18/3,IF($AS$7=$AL$10,'[4]2 trim 2016 BIOGROUP'!$G$18/3,IF($AS$7=$AL$11,'[4]2 trim 2016 BIOGROUP'!$G$18/3,IF($AS$7=$AL$12,'[4]2 trim 2016 BIOGROUP'!$G$18/3,""))))))</f>
        <v>95843.833333333328</v>
      </c>
      <c r="AT23" s="431">
        <f>IF($AT$7=$AL$7,'[4]1 trim 2016 BIOGROUP'!$G$18/3,IF($AT$7=$AL$8,'[4]1 trim 2016 BIOGROUP'!$G$18/3,IF($AT$7=$AL$9,'[4]1 trim 2016 BIOGROUP'!$G$18/3,IF($AT$7=$AL$10,'[4]2 trim 2016 BIOGROUP'!$G$18/3,IF($AT$7=$AL$11,'[4]2 trim 2016 BIOGROUP'!$G$18/3,IF($AT$7=$AL$12,'[4]2 trim 2016 BIOGROUP'!$G$18/3,""))))))</f>
        <v>95843.833333333328</v>
      </c>
      <c r="AU23" s="431">
        <f>IF($AU$7=$AL$13,'[4]3 trim 2016 BIOGROUP'!$G$18/3,IF($AU$7=$AL$15,'[4]3 trim 2016 BIOGROUP'!$G$18/3,IF($AU$7=$AL$16,'[4]3 trim 2016 BIOGROUP'!$G$18/3,IF($AU$7=$AL$17,'[4]4 trim 2016 BIOGROUP'!$G$18/3,IF($AU$7=$AL$19,'[4]4 trim 2016 BIOGROUP'!$G$18/3,IF($AU$7=$AL$20,'[4]4 trim 2016 BIOGROUP'!$G$18/3,""))))))</f>
        <v>95843.833333333328</v>
      </c>
      <c r="AV23" s="431">
        <f>IF($AV$7=$AL$13,'[4]3 trim 2016 BIOGROUP'!$G$18/3,IF($AV$7=$AL$15,'[4]3 trim 2016 BIOGROUP'!$G$18/3,IF($AV$7=$AL$16,'[4]3 trim 2016 BIOGROUP'!$G$18/3,IF($AV$7=$AL$17,'[4]4 trim 2016 BIOGROUP'!$G$18/3,IF($AV$7=$AL$19,'[4]4 trim 2016 BIOGROUP'!$G$18/3,IF($AV$7=$AL$20,'[4]4 trim 2016 BIOGROUP'!$G$18/3,""))))))</f>
        <v>95843.833333333328</v>
      </c>
      <c r="AW23" s="431">
        <f>IF($AW$7=$AL$13,'[4]3 trim 2016 BIOGROUP'!$G$18/3,IF($AW$7=$AL$15,'[4]3 trim 2016 BIOGROUP'!$G$18/3,IF($AW$7=$AL$16,'[4]3 trim 2016 BIOGROUP'!$G$18/3,IF($AW$7=$AL$17,'[4]4 trim 2016 BIOGROUP'!$G$18/3,IF($AW$7=$AL$19,'[4]4 trim 2016 BIOGROUP'!$G$18/3,IF($AW$7=$AL$20,'[4]4 trim 2016 BIOGROUP'!$G$18/3,""))))))</f>
        <v>95843.833333333328</v>
      </c>
      <c r="AX23" s="431">
        <f>IF($AX$7=$AL$13,'[4]3 trim 2016 BIOGROUP'!$G$18/3,IF($AX$7=$AL$15,'[4]3 trim 2016 BIOGROUP'!$G$18/3,IF($AX$7=$AL$16,'[4]3 trim 2016 BIOGROUP'!$G$18/3,IF($AX$7=$AL$17,'[4]4 trim 2016 BIOGROUP'!$G$18/3,IF($AX$7=$AL$19,'[4]4 trim 2016 BIOGROUP'!$G$18/3,IF($AX$7=$AL$20,'[4]4 trim 2016 BIOGROUP'!$G$18/3,""))))))</f>
        <v>95843.833333333328</v>
      </c>
      <c r="AY23" s="431">
        <f>IF($AY$7=$AL$13,'[4]3 trim 2016 BIOGROUP'!$G$18/3,IF($AY$7=$AL$15,'[4]3 trim 2016 BIOGROUP'!$G$18/3,IF($AY$7=$AL$16,'[4]3 trim 2016 BIOGROUP'!$G$18/3,IF($AY$7=$AL$17,'[4]4 trim 2016 BIOGROUP'!$G$18/3,IF($AY$7=$AL$19,'[4]4 trim 2016 BIOGROUP'!$G$18/3,IF($AY$7=$AL$20,'[4]4 trim 2016 BIOGROUP'!$G$18/3,""))))))</f>
        <v>95843.833333333328</v>
      </c>
      <c r="AZ23" s="431">
        <f>IF($AZ$7=$AL$13,'[4]3 trim 2016 BIOGROUP'!$G$18/3,IF($AZ$7=$AL$15,'[4]3 trim 2016 BIOGROUP'!$G$18/3,IF($AZ$7=$AL$16,'[4]3 trim 2016 BIOGROUP'!$G$18/3,IF($AZ$7=$AL$17,'[4]4 trim 2016 BIOGROUP'!$G$18/3,IF($AZ$7=$AL$19,'[4]4 trim 2016 BIOGROUP'!$G$18/3,IF($AZ$7=$AL$20,'[4]4 trim 2016 BIOGROUP'!$G$18/3,""))))))</f>
        <v>95843.833333333328</v>
      </c>
      <c r="BB23" s="511">
        <f t="shared" si="5"/>
        <v>643245.75</v>
      </c>
      <c r="BC23" s="750"/>
    </row>
    <row r="24" spans="1:55" ht="34.5" customHeight="1">
      <c r="C24" s="448" t="s">
        <v>89</v>
      </c>
      <c r="D24" s="551"/>
      <c r="E24" s="448" t="s">
        <v>158</v>
      </c>
      <c r="F24" s="577"/>
      <c r="G24" s="476">
        <f>SUM(G25:G28)</f>
        <v>-2215485.16</v>
      </c>
      <c r="H24" s="591">
        <f>G24/G7</f>
        <v>-0.35720688394305594</v>
      </c>
      <c r="J24" s="496">
        <f>SUM(J25:J28)</f>
        <v>0</v>
      </c>
      <c r="K24" s="530" t="str">
        <f t="shared" si="6"/>
        <v/>
      </c>
      <c r="L24" s="431"/>
      <c r="M24" s="754">
        <v>-912802</v>
      </c>
      <c r="N24" s="518">
        <f t="shared" si="1"/>
        <v>1.427125663615987</v>
      </c>
      <c r="O24" s="580"/>
      <c r="P24" s="617" t="s">
        <v>9</v>
      </c>
      <c r="Q24" s="618" t="e">
        <f>SUM(Q25:Q31)</f>
        <v>#REF!</v>
      </c>
      <c r="R24" s="595" t="e">
        <f>SUM(R25:R28)</f>
        <v>#REF!</v>
      </c>
      <c r="S24" s="618" t="e">
        <f>SUM(S25:S31)</f>
        <v>#REF!</v>
      </c>
      <c r="T24" s="595" t="e">
        <f>SUM(T25:T28)</f>
        <v>#REF!</v>
      </c>
      <c r="U24" s="618" t="e">
        <f>SUM(U25:U31)</f>
        <v>#REF!</v>
      </c>
      <c r="V24" s="595" t="e">
        <f>SUM(V25:V28)</f>
        <v>#REF!</v>
      </c>
      <c r="W24" s="618" t="e">
        <f>SUM(W25:W31)</f>
        <v>#REF!</v>
      </c>
      <c r="X24" s="595" t="e">
        <f>SUM(X25:X28)</f>
        <v>#REF!</v>
      </c>
      <c r="Y24" s="618" t="e">
        <f>SUM(Y25:Y31)</f>
        <v>#REF!</v>
      </c>
      <c r="Z24" s="595" t="e">
        <f>SUM(Z25:Z28)</f>
        <v>#REF!</v>
      </c>
      <c r="AA24" s="584" t="e">
        <f t="shared" si="12"/>
        <v>#REF!</v>
      </c>
      <c r="AB24" s="476">
        <f>SUM(AB25:AB28)</f>
        <v>-6589077.6400000006</v>
      </c>
      <c r="AC24" s="591">
        <f>AB24/AB7</f>
        <v>-0.36917237223436805</v>
      </c>
      <c r="AD24" s="496">
        <f>SUM(AD25:AD28)</f>
        <v>0</v>
      </c>
      <c r="AE24" s="518" t="str">
        <f t="shared" si="3"/>
        <v/>
      </c>
      <c r="AG24" s="754">
        <v>-1741576</v>
      </c>
      <c r="AH24" s="518">
        <f t="shared" si="4"/>
        <v>2.7833994267261382</v>
      </c>
      <c r="AJ24" s="587"/>
      <c r="AL24" s="435"/>
      <c r="AM24" s="448" t="s">
        <v>158</v>
      </c>
      <c r="AN24" s="747"/>
      <c r="AO24" s="741">
        <f>-SUM(AO25:AO28)</f>
        <v>-869221.91666666663</v>
      </c>
      <c r="AP24" s="741">
        <f t="shared" ref="AP24:AZ24" si="15">-SUM(AP25:AP28)</f>
        <v>-869221.91666666663</v>
      </c>
      <c r="AQ24" s="741">
        <f t="shared" si="15"/>
        <v>-869221.91666666663</v>
      </c>
      <c r="AR24" s="741">
        <f t="shared" si="15"/>
        <v>-869221.91666666663</v>
      </c>
      <c r="AS24" s="741">
        <f t="shared" si="15"/>
        <v>-869221.91666666663</v>
      </c>
      <c r="AT24" s="741">
        <f t="shared" si="15"/>
        <v>-869221.91666666663</v>
      </c>
      <c r="AU24" s="741">
        <f t="shared" si="15"/>
        <v>-869221.91666666663</v>
      </c>
      <c r="AV24" s="741">
        <f t="shared" si="15"/>
        <v>-869221.91666666663</v>
      </c>
      <c r="AW24" s="741">
        <f t="shared" si="15"/>
        <v>-869221.91666666663</v>
      </c>
      <c r="AX24" s="741">
        <f t="shared" si="15"/>
        <v>-869221.91666666663</v>
      </c>
      <c r="AY24" s="741">
        <f t="shared" si="15"/>
        <v>-869221.91666666663</v>
      </c>
      <c r="AZ24" s="741">
        <f t="shared" si="15"/>
        <v>-869221.91666666663</v>
      </c>
      <c r="BB24" s="748">
        <f t="shared" si="5"/>
        <v>6589077.6400000006</v>
      </c>
      <c r="BC24" s="752"/>
    </row>
    <row r="25" spans="1:55" ht="26.15" customHeight="1">
      <c r="B25" s="542">
        <v>641</v>
      </c>
      <c r="C25" s="438" t="s">
        <v>144</v>
      </c>
      <c r="D25" s="555"/>
      <c r="E25" s="438" t="s">
        <v>10</v>
      </c>
      <c r="F25" s="577"/>
      <c r="G25" s="475">
        <f>-1596316.04-G26</f>
        <v>-1281372.3900000001</v>
      </c>
      <c r="H25" s="578">
        <f>G25/G7</f>
        <v>-0.20659810630488096</v>
      </c>
      <c r="J25" s="495">
        <f>-SUMIF($AO$7:$AZ$7,$G$6,AO25:AZ25)</f>
        <v>0</v>
      </c>
      <c r="K25" s="532" t="str">
        <f t="shared" si="6"/>
        <v/>
      </c>
      <c r="L25" s="431"/>
      <c r="M25" s="753">
        <v>-402372</v>
      </c>
      <c r="N25" s="517">
        <f t="shared" si="1"/>
        <v>2.1845466135814622</v>
      </c>
      <c r="O25" s="580"/>
      <c r="P25" s="581" t="s">
        <v>10</v>
      </c>
      <c r="Q25" s="582" t="e">
        <f>+#REF!+'31 dec 2016 BIOLAM'!AT23+'31 dec 2016 BIOLAM'!AT24+'31 dec 2016 BIOLAM'!AT25</f>
        <v>#REF!</v>
      </c>
      <c r="R25" s="583" t="e">
        <f>Q25/Q$7</f>
        <v>#REF!</v>
      </c>
      <c r="S25" s="582" t="e">
        <f>+'31 dec 2016 BIOLAM'!AV23+#REF!+'31 dec 2016 BIOLAM'!AV24+'31 dec 2016 BIOLAM'!AV25</f>
        <v>#REF!</v>
      </c>
      <c r="T25" s="583" t="e">
        <f>S25/S$7</f>
        <v>#REF!</v>
      </c>
      <c r="U25" s="582" t="e">
        <f>+'31 dec 2016 BIOLAM'!AX23+#REF!+'31 dec 2016 BIOLAM'!AX24+'31 dec 2016 BIOLAM'!AX25</f>
        <v>#REF!</v>
      </c>
      <c r="V25" s="583" t="e">
        <f>U25/U$7</f>
        <v>#REF!</v>
      </c>
      <c r="W25" s="582" t="e">
        <f>+'31 dec 2016 BIOLAM'!AZ23+#REF!+'31 dec 2016 BIOLAM'!AZ24+'31 dec 2016 BIOLAM'!AZ25</f>
        <v>#REF!</v>
      </c>
      <c r="X25" s="583" t="e">
        <f>W25/W$7</f>
        <v>#REF!</v>
      </c>
      <c r="Y25" s="582" t="e">
        <f t="shared" ref="Y25:Y31" si="16">+W25+U25+S25+Q25</f>
        <v>#REF!</v>
      </c>
      <c r="Z25" s="583" t="e">
        <f>Y25/Y$7</f>
        <v>#REF!</v>
      </c>
      <c r="AA25" s="584" t="e">
        <f t="shared" si="12"/>
        <v>#REF!</v>
      </c>
      <c r="AB25" s="475">
        <f>-4664154.01-AB26</f>
        <v>-3706607.8</v>
      </c>
      <c r="AC25" s="578">
        <f>AB25/AB7</f>
        <v>-0.20767355754946176</v>
      </c>
      <c r="AD25" s="495">
        <f>-SUMIF($AO$7:$AZ$7,"&lt;="&amp;$AC$6,AO25:AZ25)</f>
        <v>0</v>
      </c>
      <c r="AE25" s="517" t="str">
        <f t="shared" si="3"/>
        <v/>
      </c>
      <c r="AG25" s="753">
        <v>-800182</v>
      </c>
      <c r="AH25" s="517">
        <f t="shared" si="4"/>
        <v>3.6322059231524824</v>
      </c>
      <c r="AJ25" s="587"/>
      <c r="AL25" s="435"/>
      <c r="AM25" s="438" t="s">
        <v>10</v>
      </c>
      <c r="AN25" s="747"/>
      <c r="AO25" s="431">
        <f>IF($AO$7=$AL$7,'[4]1 trim 2016 BIOGROUP'!$G$23/3,IF($AO$7=$AL$8,'[4]1 trim 2016 BIOGROUP'!$G$23/3,IF($AO$7=$AL$9,'[4]1 trim 2016 BIOGROUP'!$G$23/3,IF($AO$7=$AL$10,'[4]2 trim 2016 BIOGROUP'!$G$23/3,IF($AO$7=$AL$11,'[4]2 trim 2016 BIOGROUP'!$G$23/3,IF($AO$7=$AL$12,'[4]2 trim 2016 BIOGROUP'!$G$23/3,""))))))</f>
        <v>435483.16666666669</v>
      </c>
      <c r="AP25" s="431">
        <f>IF($AP$7=$AL$7,'[4]1 trim 2016 BIOGROUP'!$G$23/3,IF($AP$7=$AL$8,'[4]1 trim 2016 BIOGROUP'!$G$23/3,IF($AP$7=$AL$9,'[4]1 trim 2016 BIOGROUP'!$G$23/3,IF($AP$7=$AL$10,'[4]2 trim 2016 BIOGROUP'!$G$23/3,IF($AP$7=$AL$11,'[4]2 trim 2016 BIOGROUP'!$G$23/3,IF($AP$7=$AL$12,'[4]2 trim 2016 BIOGROUP'!$G$23/3,""))))))</f>
        <v>435483.16666666669</v>
      </c>
      <c r="AQ25" s="431">
        <f>IF($AQ$7=$AL$7,'[4]1 trim 2016 BIOGROUP'!$G$23/3,IF($AQ$7=$AL$8,'[4]1 trim 2016 BIOGROUP'!$G$23/3,IF($AQ$7=$AL$9,'[4]1 trim 2016 BIOGROUP'!$G$23/3,IF($AQ$7=$AL$10,'[4]2 trim 2016 BIOGROUP'!$G$23/3,IF($AQ$7=$AL$11,'[4]2 trim 2016 BIOGROUP'!$G$23/3,IF($AQ$7=$AL$12,'[4]2 trim 2016 BIOGROUP'!$G$23/3,""))))))</f>
        <v>435483.16666666669</v>
      </c>
      <c r="AR25" s="431">
        <f>IF($AR$7=$AL$7,'[4]1 trim 2016 BIOGROUP'!$G$23/3,IF($AR$7=$AL$8,'[4]1 trim 2016 BIOGROUP'!$G$23/3,IF($AR$7=$AL$9,'[4]1 trim 2016 BIOGROUP'!$G$23/3,IF($AR$7=$AL$10,'[4]2 trim 2016 BIOGROUP'!$G$23/3,IF($AR$7=$AL$11,'[4]2 trim 2016 BIOGROUP'!$G$23/3,IF($AR$7=$AL$12,'[4]2 trim 2016 BIOGROUP'!$G$23/3,""))))))</f>
        <v>435483.16666666669</v>
      </c>
      <c r="AS25" s="431">
        <f>IF($AS$7=$AL$7,'[4]1 trim 2016 BIOGROUP'!$G$23/3,IF($AS$7=$AL$8,'[4]1 trim 2016 BIOGROUP'!$G$23/3,IF($AS$7=$AL$9,'[4]1 trim 2016 BIOGROUP'!$G$23/3,IF($AS$7=$AL$10,'[4]2 trim 2016 BIOGROUP'!$G$23/3,IF($AS$7=$AL$11,'[4]2 trim 2016 BIOGROUP'!$G$23/3,IF($AS$7=$AL$12,'[4]2 trim 2016 BIOGROUP'!$G$23/3,""))))))</f>
        <v>435483.16666666669</v>
      </c>
      <c r="AT25" s="431">
        <f>IF($AT$7=$AL$7,'[4]1 trim 2016 BIOGROUP'!$G$23/3,IF($AT$7=$AL$8,'[4]1 trim 2016 BIOGROUP'!$G$23/3,IF($AT$7=$AL$9,'[4]1 trim 2016 BIOGROUP'!$G$23/3,IF($AT$7=$AL$10,'[4]2 trim 2016 BIOGROUP'!$G$23/3,IF($AT$7=$AL$11,'[4]2 trim 2016 BIOGROUP'!$G$23/3,IF($AT$7=$AL$12,'[4]2 trim 2016 BIOGROUP'!$G$23/3,""))))))</f>
        <v>435483.16666666669</v>
      </c>
      <c r="AU25" s="431">
        <f>IF($AU$7=$AL$13,'[4]3 trim 2016 BIOGROUP'!$G$23/3,IF($AU$7=$AL$15,'[4]3 trim 2016 BIOGROUP'!$G$23/3,IF($AU$7=$AL$16,'[4]3 trim 2016 BIOGROUP'!$G$23/3,IF($AU$7=$AL$17,'[4]4 trim 2016 BIOGROUP'!$G$23/3,IF($AU$7=$AL$19,'[4]4 trim 2016 BIOGROUP'!$G$23/3,IF($AU$7=$AL$20,'[4]4 trim 2016 BIOGROUP'!$G$23/3,""))))))</f>
        <v>435483.16666666669</v>
      </c>
      <c r="AV25" s="431">
        <f>IF($AV$7=$AL$13,'[4]3 trim 2016 BIOGROUP'!$G$23/3,IF($AV$7=$AL$15,'[4]3 trim 2016 BIOGROUP'!$G$23/3,IF($AV$7=$AL$16,'[4]3 trim 2016 BIOGROUP'!$G$23/3,IF($AV$7=$AL$17,'[4]4 trim 2016 BIOGROUP'!$G$23/3,IF($AV$7=$AL$19,'[4]4 trim 2016 BIOGROUP'!$G$23/3,IF($AV$7=$AL$20,'[4]4 trim 2016 BIOGROUP'!$G$23/3,""))))))</f>
        <v>435483.16666666669</v>
      </c>
      <c r="AW25" s="431">
        <f>IF($AW$7=$AL$13,'[4]3 trim 2016 BIOGROUP'!$G$23/3,IF($AW$7=$AL$15,'[4]3 trim 2016 BIOGROUP'!$G$23/3,IF($AW$7=$AL$16,'[4]3 trim 2016 BIOGROUP'!$G$23/3,IF($AW$7=$AL$17,'[4]4 trim 2016 BIOGROUP'!$G$23/3,IF($AW$7=$AL$19,'[4]4 trim 2016 BIOGROUP'!$G$23/3,IF($AW$7=$AL$20,'[4]4 trim 2016 BIOGROUP'!$G$23/3,""))))))</f>
        <v>435483.16666666669</v>
      </c>
      <c r="AX25" s="431">
        <f>IF($AX$7=$AL$13,'[4]3 trim 2016 BIOGROUP'!$G$23/3,IF($AX$7=$AL$15,'[4]3 trim 2016 BIOGROUP'!$G$23/3,IF($AX$7=$AL$16,'[4]3 trim 2016 BIOGROUP'!$G$23/3,IF($AX$7=$AL$17,'[4]4 trim 2016 BIOGROUP'!$G$23/3,IF($AX$7=$AL$19,'[4]4 trim 2016 BIOGROUP'!$G$23/3,IF($AX$7=$AL$20,'[4]4 trim 2016 BIOGROUP'!$G$23/3,""))))))</f>
        <v>435483.16666666669</v>
      </c>
      <c r="AY25" s="431">
        <f>IF($AY$7=$AL$13,'[4]3 trim 2016 BIOGROUP'!$G$23/3,IF($AY$7=$AL$15,'[4]3 trim 2016 BIOGROUP'!$G$23/3,IF($AY$7=$AL$16,'[4]3 trim 2016 BIOGROUP'!$G$23/3,IF($AY$7=$AL$17,'[4]4 trim 2016 BIOGROUP'!$G$23/3,IF($AY$7=$AL$19,'[4]4 trim 2016 BIOGROUP'!$G$23/3,IF($AY$7=$AL$20,'[4]4 trim 2016 BIOGROUP'!$G$23/3,""))))))</f>
        <v>435483.16666666669</v>
      </c>
      <c r="AZ25" s="431">
        <f>IF($AZ$7=$AL$13,'[4]3 trim 2016 BIOGROUP'!$G$23/3,IF($AZ$7=$AL$15,'[4]3 trim 2016 BIOGROUP'!$G$23/3,IF($AZ$7=$AL$16,'[4]3 trim 2016 BIOGROUP'!$G$23/3,IF($AZ$7=$AL$17,'[4]4 trim 2016 BIOGROUP'!$G$23/3,IF($AZ$7=$AL$19,'[4]4 trim 2016 BIOGROUP'!$G$23/3,IF($AZ$7=$AL$20,'[4]4 trim 2016 BIOGROUP'!$G$23/3,""))))))</f>
        <v>435483.16666666669</v>
      </c>
      <c r="BB25" s="511">
        <f t="shared" si="5"/>
        <v>3706607.8</v>
      </c>
      <c r="BC25" s="750"/>
    </row>
    <row r="26" spans="1:55" ht="26.15" customHeight="1">
      <c r="A26" s="575"/>
      <c r="B26" s="548">
        <v>644</v>
      </c>
      <c r="C26" s="449" t="s">
        <v>145</v>
      </c>
      <c r="D26" s="555"/>
      <c r="E26" s="449" t="s">
        <v>28</v>
      </c>
      <c r="F26" s="577"/>
      <c r="G26" s="475">
        <v>-314943.65000000002</v>
      </c>
      <c r="H26" s="578">
        <f>G26/G7</f>
        <v>-5.0778963391545542E-2</v>
      </c>
      <c r="J26" s="495">
        <f>-SUMIF($AO$7:$AZ$7,$G$6,AO26:AZ26)</f>
        <v>0</v>
      </c>
      <c r="K26" s="532" t="str">
        <f t="shared" si="6"/>
        <v/>
      </c>
      <c r="L26" s="431"/>
      <c r="M26" s="753">
        <v>-149134</v>
      </c>
      <c r="N26" s="517">
        <f t="shared" si="1"/>
        <v>1.1118165542398113</v>
      </c>
      <c r="O26" s="580"/>
      <c r="P26" s="586" t="s">
        <v>28</v>
      </c>
      <c r="Q26" s="582" t="e">
        <f>+#REF!+'31 dec 2016 BIOLAM'!AT27</f>
        <v>#REF!</v>
      </c>
      <c r="R26" s="583" t="e">
        <f>Q26/Q$7</f>
        <v>#REF!</v>
      </c>
      <c r="S26" s="582" t="e">
        <f>+'31 dec 2016 BIOLAM'!AV27+#REF!</f>
        <v>#REF!</v>
      </c>
      <c r="T26" s="583" t="e">
        <f>S26/S$7</f>
        <v>#REF!</v>
      </c>
      <c r="U26" s="582" t="e">
        <f>+'31 dec 2016 BIOLAM'!AX27+#REF!</f>
        <v>#REF!</v>
      </c>
      <c r="V26" s="583" t="e">
        <f>U26/U$7</f>
        <v>#REF!</v>
      </c>
      <c r="W26" s="582" t="e">
        <f>+'31 dec 2016 BIOLAM'!AZ27+#REF!</f>
        <v>#REF!</v>
      </c>
      <c r="X26" s="583" t="e">
        <f>W26/W$7</f>
        <v>#REF!</v>
      </c>
      <c r="Y26" s="582" t="e">
        <f t="shared" si="16"/>
        <v>#REF!</v>
      </c>
      <c r="Z26" s="583" t="e">
        <f>Y26/Y$7</f>
        <v>#REF!</v>
      </c>
      <c r="AA26" s="584" t="e">
        <f t="shared" si="12"/>
        <v>#REF!</v>
      </c>
      <c r="AB26" s="475">
        <v>-957546.21</v>
      </c>
      <c r="AC26" s="578">
        <f>AB26/AB7</f>
        <v>-5.3649330783986378E-2</v>
      </c>
      <c r="AD26" s="495">
        <f>-SUMIF($AO$7:$AZ$7,"&lt;="&amp;$AC$6,AO26:AZ26)</f>
        <v>0</v>
      </c>
      <c r="AE26" s="517" t="str">
        <f t="shared" si="3"/>
        <v/>
      </c>
      <c r="AG26" s="753">
        <v>-445214</v>
      </c>
      <c r="AH26" s="517">
        <f t="shared" si="4"/>
        <v>1.1507549403208344</v>
      </c>
      <c r="AJ26" s="587"/>
      <c r="AL26" s="435"/>
      <c r="AM26" s="449" t="s">
        <v>28</v>
      </c>
      <c r="AN26" s="747"/>
      <c r="AO26" s="431">
        <f>IF($AO$7=$AL$7,'[4]1 trim 2016 BIOGROUP'!$G$25/3+'[4]1 trim 2016 BIOGROUP'!$G$27/3+'[4]1 trim 2016 BIOGROUP'!$G$28/3,IF($AO$7=$AL$8,'[4]1 trim 2016 BIOGROUP'!$G$25/3+'[4]1 trim 2016 BIOGROUP'!$G$27/3+'[4]1 trim 2016 BIOGROUP'!$G$28/3,IF($AO$7=$AL$9,'[4]1 trim 2016 BIOGROUP'!$G$25/3+'[4]1 trim 2016 BIOGROUP'!$G$27/3+'[4]1 trim 2016 BIOGROUP'!$G$28/3,IF($AO$7=$AL$10,'[4]2 trim 2016 BIOGROUP'!$G$25/3+'[4]2 trim 2016 BIOGROUP'!$G$27/3+'[4]2 trim 2016 BIOGROUP'!$G$28/3,IF($AO$7=$AL$11,'[4]2 trim 2016 BIOGROUP'!$G$25/3+'[4]2 trim 2016 BIOGROUP'!$G$27/3+'[4]2 trim 2016 BIOGROUP'!$G$28/3,IF($AO$7=$AL$12,'[4]2 trim 2016 BIOGROUP'!$G$25/3+'[4]2 trim 2016 BIOGROUP'!$G$27/3+'[4]2 trim 2016 BIOGROUP'!$G$28/3,""))))))</f>
        <v>178839.16666666666</v>
      </c>
      <c r="AP26" s="431">
        <f>IF($AP$7=$AL$7,'[4]1 trim 2016 BIOGROUP'!$G$25/3+'[4]1 trim 2016 BIOGROUP'!$G$27/3+'[4]1 trim 2016 BIOGROUP'!$G$28/3,IF($AP$7=$AL$8,'[4]1 trim 2016 BIOGROUP'!$G$25/3+'[4]1 trim 2016 BIOGROUP'!$G$27/3+'[4]1 trim 2016 BIOGROUP'!$G$28/3,IF($AP$7=$AL$9,'[4]1 trim 2016 BIOGROUP'!$G$25/3+'[4]1 trim 2016 BIOGROUP'!$G$27/3+'[4]1 trim 2016 BIOGROUP'!$G$28/3,IF($AP$7=$AL$10,'[4]2 trim 2016 BIOGROUP'!$G$25/3+'[4]2 trim 2016 BIOGROUP'!$G$27/3+'[4]2 trim 2016 BIOGROUP'!$G$28/3,IF($AP$7=$AL$11,'[4]2 trim 2016 BIOGROUP'!$G$25/3+'[4]2 trim 2016 BIOGROUP'!$G$27/3+'[4]2 trim 2016 BIOGROUP'!$G$28/3,IF($AP$7=$AL$12,'[4]2 trim 2016 BIOGROUP'!$G$25/3+'[4]2 trim 2016 BIOGROUP'!$G$27/3+'[4]2 trim 2016 BIOGROUP'!$G$28/3,""))))))</f>
        <v>178839.16666666666</v>
      </c>
      <c r="AQ26" s="431">
        <f>IF($AQ$7=$AL$7,'[4]1 trim 2016 BIOGROUP'!$G$25/3+'[4]1 trim 2016 BIOGROUP'!$G$27/3+'[4]1 trim 2016 BIOGROUP'!$G$28/3,IF($AQ$7=$AL$8,'[4]1 trim 2016 BIOGROUP'!$G$25/3+'[4]1 trim 2016 BIOGROUP'!$G$27/3+'[4]1 trim 2016 BIOGROUP'!$G$28/3,IF($AQ$7=$AL$9,'[4]1 trim 2016 BIOGROUP'!$G$25/3+'[4]1 trim 2016 BIOGROUP'!$G$27/3+'[4]1 trim 2016 BIOGROUP'!$G$28/3,IF($AQ$7=$AL$10,'[4]2 trim 2016 BIOGROUP'!$G$25/3+'[4]2 trim 2016 BIOGROUP'!$G$27/3+'[4]2 trim 2016 BIOGROUP'!$G$28/3,IF($AQ$7=$AL$11,'[4]2 trim 2016 BIOGROUP'!$G$25/3+'[4]2 trim 2016 BIOGROUP'!$G$27/3+'[4]2 trim 2016 BIOGROUP'!$G$28/3,IF($AQ$7=$AL$12,'[4]2 trim 2016 BIOGROUP'!$G$25/3+'[4]2 trim 2016 BIOGROUP'!$G$27/3+'[4]2 trim 2016 BIOGROUP'!$G$28/3,""))))))</f>
        <v>178839.16666666666</v>
      </c>
      <c r="AR26" s="431">
        <f>IF($AR$7=$AL$7,'[4]1 trim 2016 BIOGROUP'!$G$25/3+'[4]1 trim 2016 BIOGROUP'!$G$27/3+'[4]1 trim 2016 BIOGROUP'!$G$28/3,IF($AR$7=$AL$8,'[4]1 trim 2016 BIOGROUP'!$G$25/3+'[4]1 trim 2016 BIOGROUP'!$G$27/3+'[4]1 trim 2016 BIOGROUP'!$G$28/3,IF($AR$7=$AL$9,'[4]1 trim 2016 BIOGROUP'!$G$25/3+'[4]1 trim 2016 BIOGROUP'!$G$27/3+'[4]1 trim 2016 BIOGROUP'!$G$28/3,IF($AR$7=$AL$10,'[4]2 trim 2016 BIOGROUP'!$G$25/3+'[4]2 trim 2016 BIOGROUP'!$G$27/3+'[4]2 trim 2016 BIOGROUP'!$G$28/3,IF($AR$7=$AL$11,'[4]2 trim 2016 BIOGROUP'!$G$25/3+'[4]2 trim 2016 BIOGROUP'!$G$27/3+'[4]2 trim 2016 BIOGROUP'!$G$28/3,IF($AR$7=$AL$12,'[4]2 trim 2016 BIOGROUP'!$G$25/3+'[4]2 trim 2016 BIOGROUP'!$G$27/3+'[4]2 trim 2016 BIOGROUP'!$G$28/3,""))))))</f>
        <v>178839.16666666666</v>
      </c>
      <c r="AS26" s="431">
        <f>IF($AS$7=$AL$7,'[4]1 trim 2016 BIOGROUP'!$G$25/3+'[4]1 trim 2016 BIOGROUP'!$G$27/3+'[4]1 trim 2016 BIOGROUP'!$G$28/3,IF($AS$7=$AL$8,'[4]1 trim 2016 BIOGROUP'!$G$25/3+'[4]1 trim 2016 BIOGROUP'!$G$27/3+'[4]1 trim 2016 BIOGROUP'!$G$28/3,IF($AS$7=$AL$9,'[4]1 trim 2016 BIOGROUP'!$G$25/3+'[4]1 trim 2016 BIOGROUP'!$G$27/3+'[4]1 trim 2016 BIOGROUP'!$G$28/3,IF($AS$7=$AL$10,'[4]2 trim 2016 BIOGROUP'!$G$25/3+'[4]2 trim 2016 BIOGROUP'!$G$27/3+'[4]2 trim 2016 BIOGROUP'!$G$28/3,IF($AS$7=$AL$11,'[4]2 trim 2016 BIOGROUP'!$G$25/3+'[4]2 trim 2016 BIOGROUP'!$G$27/3+'[4]2 trim 2016 BIOGROUP'!$G$28/3,IF($AS$7=$AL$12,'[4]2 trim 2016 BIOGROUP'!$G$25/3+'[4]2 trim 2016 BIOGROUP'!$G$27/3+'[4]2 trim 2016 BIOGROUP'!$G$28/3,""))))))</f>
        <v>178839.16666666666</v>
      </c>
      <c r="AT26" s="431">
        <f>IF($AT$7=$AL$7,'[4]1 trim 2016 BIOGROUP'!$G$25/3+'[4]1 trim 2016 BIOGROUP'!$G$27/3+'[4]1 trim 2016 BIOGROUP'!$G$28/3,IF($AT$7=$AL$8,'[4]1 trim 2016 BIOGROUP'!$G$25/3+'[4]1 trim 2016 BIOGROUP'!$G$27/3+'[4]1 trim 2016 BIOGROUP'!$G$28/3,IF($AT$7=$AL$9,'[4]1 trim 2016 BIOGROUP'!$G$25/3+'[4]1 trim 2016 BIOGROUP'!$G$27/3+'[4]1 trim 2016 BIOGROUP'!$G$28/3,IF($AT$7=$AL$10,'[4]2 trim 2016 BIOGROUP'!$G$25/3+'[4]2 trim 2016 BIOGROUP'!$G$27/3+'[4]2 trim 2016 BIOGROUP'!$G$28/3,IF($AT$7=$AL$11,'[4]2 trim 2016 BIOGROUP'!$G$25/3+'[4]2 trim 2016 BIOGROUP'!$G$27/3+'[4]2 trim 2016 BIOGROUP'!$G$28/3,IF($AT$7=$AL$12,'[4]2 trim 2016 BIOGROUP'!$G$25/3+'[4]2 trim 2016 BIOGROUP'!$G$27/3+'[4]2 trim 2016 BIOGROUP'!$G$28/3,""))))))</f>
        <v>178839.16666666666</v>
      </c>
      <c r="AU26" s="431">
        <f>IF($AU$7=$AL$13,'[4]3 trim 2016 BIOGROUP'!$G$25/3+'[4]3 trim 2016 BIOGROUP'!$G$27/3+'[4]3 trim 2016 BIOGROUP'!$G$28/3,IF($AU$7=$AL$15,'[4]3 trim 2016 BIOGROUP'!$G$25/3+'[4]3 trim 2016 BIOGROUP'!$G$27/3+'[4]3 trim 2016 BIOGROUP'!$G$28/3,IF($AU$7=$AL$16,'[4]3 trim 2016 BIOGROUP'!$G$25/3+'[4]3 trim 2016 BIOGROUP'!$G$27/3+'[4]3 trim 2016 BIOGROUP'!$G$28/3,IF($AU$7=$AL$17,'[4]4 trim 2016 BIOGROUP'!$G$25/3+'[4]4 trim 2016 BIOGROUP'!$G$27/3+'[4]4 trim 2016 BIOGROUP'!$G$28/3,IF($AU$7=$AL$19,'[4]4 trim 2016 BIOGROUP'!$G$25/3+'[4]4 trim 2016 BIOGROUP'!$G$27/3+'[4]4 trim 2016 BIOGROUP'!$G$28/3,IF($AU$7=$AL$20,'[4]4 trim 2016 BIOGROUP'!$G$25/3+'[4]4 trim 2016 BIOGROUP'!$G$27/3+'[4]4 trim 2016 BIOGROUP'!$G$28/3,""))))))</f>
        <v>178839.16666666666</v>
      </c>
      <c r="AV26" s="431">
        <f>IF($AV$7=$AL$13,'[4]3 trim 2016 BIOGROUP'!$G$25/3+'[4]3 trim 2016 BIOGROUP'!$G$27/3+'[4]3 trim 2016 BIOGROUP'!$G$28/3,IF($AV$7=$AL$15,'[4]3 trim 2016 BIOGROUP'!$G$25/3+'[4]3 trim 2016 BIOGROUP'!$G$27/3+'[4]3 trim 2016 BIOGROUP'!$G$28/3,IF($AV$7=$AL$16,'[4]3 trim 2016 BIOGROUP'!$G$25/3+'[4]3 trim 2016 BIOGROUP'!$G$27/3+'[4]3 trim 2016 BIOGROUP'!$G$28/3,IF($AV$7=$AL$17,'[4]4 trim 2016 BIOGROUP'!$G$25/3+'[4]4 trim 2016 BIOGROUP'!$G$27/3+'[4]4 trim 2016 BIOGROUP'!$G$28/3,IF($AV$7=$AL$19,'[4]4 trim 2016 BIOGROUP'!$G$25/3+'[4]4 trim 2016 BIOGROUP'!$G$27/3+'[4]4 trim 2016 BIOGROUP'!$G$28/3,IF($AV$7=$AL$20,'[4]4 trim 2016 BIOGROUP'!$G$25/3+'[4]4 trim 2016 BIOGROUP'!$G$27/3+'[4]4 trim 2016 BIOGROUP'!$G$28/3,""))))))</f>
        <v>178839.16666666666</v>
      </c>
      <c r="AW26" s="431">
        <f>IF($AW$7=$AL$13,'[4]3 trim 2016 BIOGROUP'!$G$25/3+'[4]3 trim 2016 BIOGROUP'!$G$27/3+'[4]3 trim 2016 BIOGROUP'!$G$28/3,IF($AW$7=$AL$15,'[4]3 trim 2016 BIOGROUP'!$G$25/3+'[4]3 trim 2016 BIOGROUP'!$G$27/3+'[4]3 trim 2016 BIOGROUP'!$G$28/3,IF($AW$7=$AL$16,'[4]3 trim 2016 BIOGROUP'!$G$25/3+'[4]3 trim 2016 BIOGROUP'!$G$27/3+'[4]3 trim 2016 BIOGROUP'!$G$28/3,IF($AW$7=$AL$17,'[4]4 trim 2016 BIOGROUP'!$G$25/3+'[4]4 trim 2016 BIOGROUP'!$G$27/3+'[4]4 trim 2016 BIOGROUP'!$G$28/3,IF($AW$7=$AL$19,'[4]4 trim 2016 BIOGROUP'!$G$25/3+'[4]4 trim 2016 BIOGROUP'!$G$27/3+'[4]4 trim 2016 BIOGROUP'!$G$28/3,IF($AW$7=$AL$20,'[4]4 trim 2016 BIOGROUP'!$G$25/3+'[4]4 trim 2016 BIOGROUP'!$G$27/3+'[4]4 trim 2016 BIOGROUP'!$G$28/3,""))))))</f>
        <v>178839.16666666666</v>
      </c>
      <c r="AX26" s="431">
        <f>IF($AX$7=$AL$13,'[4]3 trim 2016 BIOGROUP'!$G$25/3+'[4]3 trim 2016 BIOGROUP'!$G$27/3+'[4]3 trim 2016 BIOGROUP'!$G$28/3,IF($AX$7=$AL$15,'[4]3 trim 2016 BIOGROUP'!$G$25/3+'[4]3 trim 2016 BIOGROUP'!$G$27/3+'[4]3 trim 2016 BIOGROUP'!$G$28/3,IF($AX$7=$AL$16,'[4]3 trim 2016 BIOGROUP'!$G$25/3+'[4]3 trim 2016 BIOGROUP'!$G$27/3+'[4]3 trim 2016 BIOGROUP'!$G$28/3,IF($AX$7=$AL$17,'[4]4 trim 2016 BIOGROUP'!$G$25/3+'[4]4 trim 2016 BIOGROUP'!$G$27/3+'[4]4 trim 2016 BIOGROUP'!$G$28/3,IF($AX$7=$AL$19,'[4]4 trim 2016 BIOGROUP'!$G$25/3+'[4]4 trim 2016 BIOGROUP'!$G$27/3+'[4]4 trim 2016 BIOGROUP'!$G$28/3,IF($AX$7=$AL$20,'[4]4 trim 2016 BIOGROUP'!$G$25/3+'[4]4 trim 2016 BIOGROUP'!$G$27/3+'[4]4 trim 2016 BIOGROUP'!$G$28/3,""))))))</f>
        <v>178839.16666666666</v>
      </c>
      <c r="AY26" s="431">
        <f>IF($AY$7=$AL$13,'[4]3 trim 2016 BIOGROUP'!$G$25/3+'[4]3 trim 2016 BIOGROUP'!$G$27/3+'[4]3 trim 2016 BIOGROUP'!$G$28/3,IF($AY$7=$AL$15,'[4]3 trim 2016 BIOGROUP'!$G$25/3+'[4]3 trim 2016 BIOGROUP'!$G$27/3+'[4]3 trim 2016 BIOGROUP'!$G$28/3,IF($AY$7=$AL$16,'[4]3 trim 2016 BIOGROUP'!$G$25/3+'[4]3 trim 2016 BIOGROUP'!$G$27/3+'[4]3 trim 2016 BIOGROUP'!$G$28/3,IF($AY$7=$AL$17,'[4]4 trim 2016 BIOGROUP'!$G$25/3+'[4]4 trim 2016 BIOGROUP'!$G$27/3+'[4]4 trim 2016 BIOGROUP'!$G$28/3,IF($AY$7=$AL$19,'[4]4 trim 2016 BIOGROUP'!$G$25/3+'[4]4 trim 2016 BIOGROUP'!$G$27/3+'[4]4 trim 2016 BIOGROUP'!$G$28/3,IF($AY$7=$AL$20,'[4]4 trim 2016 BIOGROUP'!$G$25/3+'[4]4 trim 2016 BIOGROUP'!$G$27/3+'[4]4 trim 2016 BIOGROUP'!$G$28/3,""))))))</f>
        <v>178839.16666666666</v>
      </c>
      <c r="AZ26" s="431">
        <f>IF($AZ$7=$AL$13,'[4]3 trim 2016 BIOGROUP'!$G$25/3+'[4]3 trim 2016 BIOGROUP'!$G$27/3+'[4]3 trim 2016 BIOGROUP'!$G$28/3,IF($AZ$7=$AL$15,'[4]3 trim 2016 BIOGROUP'!$G$25/3+'[4]3 trim 2016 BIOGROUP'!$G$27/3+'[4]3 trim 2016 BIOGROUP'!$G$28/3,IF($AZ$7=$AL$16,'[4]3 trim 2016 BIOGROUP'!$G$25/3+'[4]3 trim 2016 BIOGROUP'!$G$27/3+'[4]3 trim 2016 BIOGROUP'!$G$28/3,IF($AZ$7=$AL$17,'[4]4 trim 2016 BIOGROUP'!$G$25/3+'[4]4 trim 2016 BIOGROUP'!$G$27/3+'[4]4 trim 2016 BIOGROUP'!$G$28/3,IF($AZ$7=$AL$19,'[4]4 trim 2016 BIOGROUP'!$G$25/3+'[4]4 trim 2016 BIOGROUP'!$G$27/3+'[4]4 trim 2016 BIOGROUP'!$G$28/3,IF($AZ$7=$AL$20,'[4]4 trim 2016 BIOGROUP'!$G$25/3+'[4]4 trim 2016 BIOGROUP'!$G$27/3+'[4]4 trim 2016 BIOGROUP'!$G$28/3,""))))))</f>
        <v>178839.16666666666</v>
      </c>
      <c r="BB26" s="511">
        <f t="shared" si="5"/>
        <v>957546.21</v>
      </c>
      <c r="BC26" s="750"/>
    </row>
    <row r="27" spans="1:55" ht="26.15" customHeight="1">
      <c r="A27" s="575"/>
      <c r="B27" s="548">
        <v>645</v>
      </c>
      <c r="C27" s="450" t="s">
        <v>147</v>
      </c>
      <c r="D27" s="619"/>
      <c r="E27" s="450" t="s">
        <v>11</v>
      </c>
      <c r="F27" s="577"/>
      <c r="G27" s="475">
        <f>-577331.07-G28-G31</f>
        <v>-529379.28</v>
      </c>
      <c r="H27" s="578">
        <f>G27/G7</f>
        <v>-8.5352827654606583E-2</v>
      </c>
      <c r="J27" s="495">
        <f>-SUMIF($AO$7:$AZ$7,$G$6,AO27:AZ27)</f>
        <v>0</v>
      </c>
      <c r="K27" s="532" t="str">
        <f t="shared" si="6"/>
        <v/>
      </c>
      <c r="L27" s="431"/>
      <c r="M27" s="753">
        <v>-308076</v>
      </c>
      <c r="N27" s="517">
        <f t="shared" si="1"/>
        <v>0.7183398901569743</v>
      </c>
      <c r="O27" s="580"/>
      <c r="P27" s="581" t="s">
        <v>11</v>
      </c>
      <c r="Q27" s="582" t="e">
        <f>+#REF!+'31 dec 2016 BIOLAM'!AT29+'31 dec 2016 BIOLAM'!AT30+'31 dec 2016 BIOLAM'!AT31</f>
        <v>#REF!</v>
      </c>
      <c r="R27" s="583" t="e">
        <f>Q27/Q$7</f>
        <v>#REF!</v>
      </c>
      <c r="S27" s="582" t="e">
        <f>+'31 dec 2016 BIOLAM'!AV29+#REF!+'31 dec 2016 BIOLAM'!AV30+'31 dec 2016 BIOLAM'!AV31</f>
        <v>#REF!</v>
      </c>
      <c r="T27" s="583" t="e">
        <f>S27/S$7</f>
        <v>#REF!</v>
      </c>
      <c r="U27" s="582" t="e">
        <f>+'31 dec 2016 BIOLAM'!AX29+#REF!+'31 dec 2016 BIOLAM'!AX30+'31 dec 2016 BIOLAM'!AX31</f>
        <v>#REF!</v>
      </c>
      <c r="V27" s="583" t="e">
        <f>U27/U$7</f>
        <v>#REF!</v>
      </c>
      <c r="W27" s="582" t="e">
        <f>+'31 dec 2016 BIOLAM'!AZ29+#REF!+'31 dec 2016 BIOLAM'!AZ30+'31 dec 2016 BIOLAM'!AZ31</f>
        <v>#REF!</v>
      </c>
      <c r="X27" s="583" t="e">
        <f>W27/W$7</f>
        <v>#REF!</v>
      </c>
      <c r="Y27" s="582" t="e">
        <f t="shared" si="16"/>
        <v>#REF!</v>
      </c>
      <c r="Z27" s="583" t="e">
        <f>Y27/Y$7</f>
        <v>#REF!</v>
      </c>
      <c r="AA27" s="584" t="e">
        <f t="shared" si="12"/>
        <v>#REF!</v>
      </c>
      <c r="AB27" s="475">
        <f>-1798710.63-AB28-AB31</f>
        <v>-1656126.15</v>
      </c>
      <c r="AC27" s="578">
        <f>AB27/AB7</f>
        <v>-9.2789317855855577E-2</v>
      </c>
      <c r="AD27" s="495">
        <f>-SUMIF($AO$7:$AZ$7,"&lt;="&amp;$AC$6,AO27:AZ27)</f>
        <v>0</v>
      </c>
      <c r="AE27" s="517" t="str">
        <f t="shared" si="3"/>
        <v/>
      </c>
      <c r="AG27" s="753">
        <v>-226724</v>
      </c>
      <c r="AH27" s="517">
        <f t="shared" si="4"/>
        <v>6.3045912651505791</v>
      </c>
      <c r="AJ27" s="620"/>
      <c r="AL27" s="435"/>
      <c r="AM27" s="450" t="s">
        <v>11</v>
      </c>
      <c r="AN27" s="747"/>
      <c r="AO27" s="431">
        <f>IF($AO$7=$AL$7,'[4]1 trim 2016 BIOGROUP'!$G$29/3,IF($AO$7=$AL$8,'[4]1 trim 2016 BIOGROUP'!$G$29/3,IF($AO$7=$AL$9,'[4]1 trim 2016 BIOGROUP'!$G$29/3,IF($AO$7=$AL$10,'[4]2 trim 2016 BIOGROUP'!$G$29/3,IF($AO$7=$AL$11,'[4]2 trim 2016 BIOGROUP'!$G$29/3,IF($AO$7=$AL$12,'[4]2 trim 2016 BIOGROUP'!$G$29/3,""))))))</f>
        <v>160619.66666666666</v>
      </c>
      <c r="AP27" s="431">
        <f>IF($AP$7=$AL$7,'[4]1 trim 2016 BIOGROUP'!$G$29/3,IF($AP$7=$AL$8,'[4]1 trim 2016 BIOGROUP'!$G$29/3,IF($AP$7=$AL$9,'[4]1 trim 2016 BIOGROUP'!$G$29/3,IF($AP$7=$AL$10,'[4]2 trim 2016 BIOGROUP'!$G$29/3,IF($AP$7=$AL$11,'[4]2 trim 2016 BIOGROUP'!$G$29/3,IF($AP$7=$AL$12,'[4]2 trim 2016 BIOGROUP'!$G$29/3,""))))))</f>
        <v>160619.66666666666</v>
      </c>
      <c r="AQ27" s="431">
        <f>IF($AQ$7=$AL$7,'[4]1 trim 2016 BIOGROUP'!$G$29/3,IF($AQ$7=$AL$8,'[4]1 trim 2016 BIOGROUP'!$G$29/3,IF($AQ$7=$AL$9,'[4]1 trim 2016 BIOGROUP'!$G$29/3,IF($AQ$7=$AL$10,'[4]2 trim 2016 BIOGROUP'!$G$29/3,IF($AQ$7=$AL$11,'[4]2 trim 2016 BIOGROUP'!$G$29/3,IF($AQ$7=$AL$12,'[4]2 trim 2016 BIOGROUP'!$G$29/3,""))))))</f>
        <v>160619.66666666666</v>
      </c>
      <c r="AR27" s="431">
        <f>IF($AR$7=$AL$7,'[4]1 trim 2016 BIOGROUP'!$G$29/3,IF($AR$7=$AL$8,'[4]1 trim 2016 BIOGROUP'!$G$29/3,IF($AR$7=$AL$9,'[4]1 trim 2016 BIOGROUP'!$G$29/3,IF($AR$7=$AL$10,'[4]2 trim 2016 BIOGROUP'!$G$29/3,IF($AR$7=$AL$11,'[4]2 trim 2016 BIOGROUP'!$G$29/3,IF($AR$7=$AL$12,'[4]2 trim 2016 BIOGROUP'!$G$29/3,""))))))</f>
        <v>160619.66666666666</v>
      </c>
      <c r="AS27" s="431">
        <f>IF($AS$7=$AL$7,'[4]1 trim 2016 BIOGROUP'!$G$29/3,IF($AS$7=$AL$8,'[4]1 trim 2016 BIOGROUP'!$G$29/3,IF($AS$7=$AL$9,'[4]1 trim 2016 BIOGROUP'!$G$29/3,IF($AS$7=$AL$10,'[4]2 trim 2016 BIOGROUP'!$G$29/3,IF($AS$7=$AL$11,'[4]2 trim 2016 BIOGROUP'!$G$29/3,IF($AS$7=$AL$12,'[4]2 trim 2016 BIOGROUP'!$G$29/3,""))))))</f>
        <v>160619.66666666666</v>
      </c>
      <c r="AT27" s="431">
        <f>IF($AT$7=$AL$7,'[4]1 trim 2016 BIOGROUP'!$G$29/3,IF($AT$7=$AL$8,'[4]1 trim 2016 BIOGROUP'!$G$29/3,IF($AT$7=$AL$9,'[4]1 trim 2016 BIOGROUP'!$G$29/3,IF($AT$7=$AL$10,'[4]2 trim 2016 BIOGROUP'!$G$29/3,IF($AT$7=$AL$11,'[4]2 trim 2016 BIOGROUP'!$G$29/3,IF($AT$7=$AL$12,'[4]2 trim 2016 BIOGROUP'!$G$29/3,""))))))</f>
        <v>160619.66666666666</v>
      </c>
      <c r="AU27" s="431">
        <f>IF($AU$7=$AL$13,'[4]3 trim 2016 BIOGROUP'!$G$29/3,IF($AU$7=$AL$15,'[4]3 trim 2016 BIOGROUP'!$G$29/3,IF($AU$7=$AL$16,'[4]3 trim 2016 BIOGROUP'!$G$29/3,IF($AU$7=$AL$17,'[4]4 trim 2016 BIOGROUP'!$G$29/3,IF($AU$7=$AL$19,'[4]4 trim 2016 BIOGROUP'!$G$29/3,IF($AU$7=$AL$20,'[4]4 trim 2016 BIOGROUP'!$G$29/3,""))))))</f>
        <v>160619.66666666666</v>
      </c>
      <c r="AV27" s="431">
        <f>IF($AV$7=$AL$13,'[4]3 trim 2016 BIOGROUP'!$G$29/3,IF($AV$7=$AL$15,'[4]3 trim 2016 BIOGROUP'!$G$29/3,IF($AV$7=$AL$16,'[4]3 trim 2016 BIOGROUP'!$G$29/3,IF($AV$7=$AL$17,'[4]4 trim 2016 BIOGROUP'!$G$29/3,IF($AV$7=$AL$19,'[4]4 trim 2016 BIOGROUP'!$G$29/3,IF($AV$7=$AL$20,'[4]4 trim 2016 BIOGROUP'!$G$29/3,""))))))</f>
        <v>160619.66666666666</v>
      </c>
      <c r="AW27" s="431">
        <f>IF($AW$7=$AL$13,'[4]3 trim 2016 BIOGROUP'!$G$29/3,IF($AW$7=$AL$15,'[4]3 trim 2016 BIOGROUP'!$G$29/3,IF($AW$7=$AL$16,'[4]3 trim 2016 BIOGROUP'!$G$29/3,IF($AW$7=$AL$17,'[4]4 trim 2016 BIOGROUP'!$G$29/3,IF($AW$7=$AL$19,'[4]4 trim 2016 BIOGROUP'!$G$29/3,IF($AW$7=$AL$20,'[4]4 trim 2016 BIOGROUP'!$G$29/3,""))))))</f>
        <v>160619.66666666666</v>
      </c>
      <c r="AX27" s="431">
        <f>IF($AX$7=$AL$13,'[4]3 trim 2016 BIOGROUP'!$G$29/3,IF($AX$7=$AL$15,'[4]3 trim 2016 BIOGROUP'!$G$29/3,IF($AX$7=$AL$16,'[4]3 trim 2016 BIOGROUP'!$G$29/3,IF($AX$7=$AL$17,'[4]4 trim 2016 BIOGROUP'!$G$29/3,IF($AX$7=$AL$19,'[4]4 trim 2016 BIOGROUP'!$G$29/3,IF($AX$7=$AL$20,'[4]4 trim 2016 BIOGROUP'!$G$29/3,""))))))</f>
        <v>160619.66666666666</v>
      </c>
      <c r="AY27" s="431">
        <f>IF($AY$7=$AL$13,'[4]3 trim 2016 BIOGROUP'!$G$29/3,IF($AY$7=$AL$15,'[4]3 trim 2016 BIOGROUP'!$G$29/3,IF($AY$7=$AL$16,'[4]3 trim 2016 BIOGROUP'!$G$29/3,IF($AY$7=$AL$17,'[4]4 trim 2016 BIOGROUP'!$G$29/3,IF($AY$7=$AL$19,'[4]4 trim 2016 BIOGROUP'!$G$29/3,IF($AY$7=$AL$20,'[4]4 trim 2016 BIOGROUP'!$G$29/3,""))))))</f>
        <v>160619.66666666666</v>
      </c>
      <c r="AZ27" s="431">
        <f>IF($AZ$7=$AL$13,'[4]3 trim 2016 BIOGROUP'!$G$29/3,IF($AZ$7=$AL$15,'[4]3 trim 2016 BIOGROUP'!$G$29/3,IF($AZ$7=$AL$16,'[4]3 trim 2016 BIOGROUP'!$G$29/3,IF($AZ$7=$AL$17,'[4]4 trim 2016 BIOGROUP'!$G$29/3,IF($AZ$7=$AL$19,'[4]4 trim 2016 BIOGROUP'!$G$29/3,IF($AZ$7=$AL$20,'[4]4 trim 2016 BIOGROUP'!$G$29/3,""))))))</f>
        <v>160619.66666666666</v>
      </c>
      <c r="BB27" s="511">
        <f t="shared" si="5"/>
        <v>1656126.15</v>
      </c>
      <c r="BC27" s="750"/>
    </row>
    <row r="28" spans="1:55" ht="26.15" customHeight="1">
      <c r="A28" s="575"/>
      <c r="B28" s="548">
        <v>646</v>
      </c>
      <c r="C28" s="446" t="s">
        <v>146</v>
      </c>
      <c r="D28" s="555"/>
      <c r="E28" s="446" t="s">
        <v>32</v>
      </c>
      <c r="F28" s="577"/>
      <c r="G28" s="475">
        <v>-89789.84</v>
      </c>
      <c r="H28" s="578">
        <f>G28/G7</f>
        <v>-1.4476986592022831E-2</v>
      </c>
      <c r="J28" s="495">
        <f>-SUMIF($AO$7:$AZ$7,$G$6,AO28:AZ28)</f>
        <v>0</v>
      </c>
      <c r="K28" s="532" t="str">
        <f t="shared" si="6"/>
        <v/>
      </c>
      <c r="L28" s="431"/>
      <c r="M28" s="753">
        <v>-53220</v>
      </c>
      <c r="N28" s="517">
        <f t="shared" si="1"/>
        <v>0.68714468245020666</v>
      </c>
      <c r="O28" s="580"/>
      <c r="P28" s="586" t="s">
        <v>32</v>
      </c>
      <c r="Q28" s="582" t="e">
        <f>+#REF!+'31 dec 2016 BIOLAM'!AT33</f>
        <v>#REF!</v>
      </c>
      <c r="R28" s="583" t="e">
        <f>Q28/Q$7</f>
        <v>#REF!</v>
      </c>
      <c r="S28" s="582" t="e">
        <f>+'31 dec 2016 BIOLAM'!AV33+#REF!</f>
        <v>#REF!</v>
      </c>
      <c r="T28" s="583" t="e">
        <f>S28/S$7</f>
        <v>#REF!</v>
      </c>
      <c r="U28" s="582" t="e">
        <f>+'31 dec 2016 BIOLAM'!AX33+#REF!</f>
        <v>#REF!</v>
      </c>
      <c r="V28" s="583" t="e">
        <f>U28/U$7</f>
        <v>#REF!</v>
      </c>
      <c r="W28" s="582" t="e">
        <f>+'31 dec 2016 BIOLAM'!AZ33+#REF!</f>
        <v>#REF!</v>
      </c>
      <c r="X28" s="583" t="e">
        <f>W28/W$7</f>
        <v>#REF!</v>
      </c>
      <c r="Y28" s="582" t="e">
        <f t="shared" si="16"/>
        <v>#REF!</v>
      </c>
      <c r="Z28" s="583" t="e">
        <f>Y28/Y$7</f>
        <v>#REF!</v>
      </c>
      <c r="AA28" s="584" t="e">
        <f t="shared" si="12"/>
        <v>#REF!</v>
      </c>
      <c r="AB28" s="475">
        <f>-268797.48</f>
        <v>-268797.48</v>
      </c>
      <c r="AC28" s="578">
        <f>AB28/AB7</f>
        <v>-1.5060166045064249E-2</v>
      </c>
      <c r="AD28" s="495">
        <f>-SUMIF($AO$7:$AZ$7,"&lt;="&amp;$AC$6,AO28:AZ28)</f>
        <v>0</v>
      </c>
      <c r="AE28" s="517" t="str">
        <f t="shared" si="3"/>
        <v/>
      </c>
      <c r="AG28" s="753">
        <v>-269457</v>
      </c>
      <c r="AH28" s="517">
        <f t="shared" si="4"/>
        <v>-2.4475890401808773E-3</v>
      </c>
      <c r="AJ28" s="587"/>
      <c r="AL28" s="435"/>
      <c r="AM28" s="446" t="s">
        <v>32</v>
      </c>
      <c r="AN28" s="747"/>
      <c r="AO28" s="431">
        <f>IF($AO$7=$AL$7,'[4]1 trim 2016 BIOGROUP'!$G$33/3+'[4]1 trim 2016 BIOGROUP'!$G$34/3,IF($AO$7=$AL$8,'[4]1 trim 2016 BIOGROUP'!$G$33/3+'[4]1 trim 2016 BIOGROUP'!$G$34/3,IF($AO$7=$AL$9,'[4]1 trim 2016 BIOGROUP'!$G$33/3+'[4]1 trim 2016 BIOGROUP'!$G$34/3,IF($AO$7=$AL$10,'[4]2 trim 2016 BIOGROUP'!$G$33/3+'[4]2 trim 2016 BIOGROUP'!$G$34/3,IF($AO$7=$AL$11,'[4]2 trim 2016 BIOGROUP'!$G$33/3+'[4]2 trim 2016 BIOGROUP'!$G$34/3,IF($AO$7=$AL$12,'[4]2 trim 2016 BIOGROUP'!$G$33/3+'[4]2 trim 2016 BIOGROUP'!$G$34/3,""))))))</f>
        <v>94279.916666666672</v>
      </c>
      <c r="AP28" s="431">
        <f>IF($AP$7=$AL$7,'[4]1 trim 2016 BIOGROUP'!$G$33/3+'[4]1 trim 2016 BIOGROUP'!$G$34/3,IF($AP$7=$AL$8,'[4]1 trim 2016 BIOGROUP'!$G$33/3+'[4]1 trim 2016 BIOGROUP'!$G$34/3,IF($AP$7=$AL$9,'[4]1 trim 2016 BIOGROUP'!$G$33/3+'[4]1 trim 2016 BIOGROUP'!$G$34/3,IF($AP$7=$AL$10,'[4]2 trim 2016 BIOGROUP'!$G$33/3+'[4]2 trim 2016 BIOGROUP'!$G$34/3,IF($AP$7=$AL$11,'[4]2 trim 2016 BIOGROUP'!$G$33/3+'[4]2 trim 2016 BIOGROUP'!$G$34/3,IF($AP$7=$AL$12,'[4]2 trim 2016 BIOGROUP'!$G$33/3+'[4]2 trim 2016 BIOGROUP'!$G$34/3,""))))))</f>
        <v>94279.916666666672</v>
      </c>
      <c r="AQ28" s="431">
        <f>IF($AQ$7=$AL$7,'[4]1 trim 2016 BIOGROUP'!$G$33/3+'[4]1 trim 2016 BIOGROUP'!$G$34/3,IF($AQ$7=$AL$8,'[4]1 trim 2016 BIOGROUP'!$G$33/3+'[4]1 trim 2016 BIOGROUP'!$G$34/3,IF($AQ$7=$AL$9,'[4]1 trim 2016 BIOGROUP'!$G$33/3+'[4]1 trim 2016 BIOGROUP'!$G$34/3,IF($AQ$7=$AL$10,'[4]2 trim 2016 BIOGROUP'!$G$33/3+'[4]2 trim 2016 BIOGROUP'!$G$34/3,IF($AQ$7=$AL$11,'[4]2 trim 2016 BIOGROUP'!$G$33/3+'[4]2 trim 2016 BIOGROUP'!$G$34/3,IF($AQ$7=$AL$12,'[4]2 trim 2016 BIOGROUP'!$G$33/3+'[4]2 trim 2016 BIOGROUP'!$G$34/3,""))))))</f>
        <v>94279.916666666672</v>
      </c>
      <c r="AR28" s="431">
        <f>IF($AR$7=$AL$7,'[4]1 trim 2016 BIOGROUP'!$G$33/3+'[4]1 trim 2016 BIOGROUP'!$G$34/3,IF($AR$7=$AL$8,'[4]1 trim 2016 BIOGROUP'!$G$33/3+'[4]1 trim 2016 BIOGROUP'!$G$34/3,IF($AR$7=$AL$9,'[4]1 trim 2016 BIOGROUP'!$G$33/3+'[4]1 trim 2016 BIOGROUP'!$G$34/3,IF($AR$7=$AL$10,'[4]2 trim 2016 BIOGROUP'!$G$33/3+'[4]2 trim 2016 BIOGROUP'!$G$34/3,IF($AR$7=$AL$11,'[4]2 trim 2016 BIOGROUP'!$G$33/3+'[4]2 trim 2016 BIOGROUP'!$G$34/3,IF($AR$7=$AL$12,'[4]2 trim 2016 BIOGROUP'!$G$33/3+'[4]2 trim 2016 BIOGROUP'!$G$34/3,""))))))</f>
        <v>94279.916666666672</v>
      </c>
      <c r="AS28" s="431">
        <f>IF($AS$7=$AL$7,'[4]1 trim 2016 BIOGROUP'!$G$33/3+'[4]1 trim 2016 BIOGROUP'!$G$34/3,IF($AS$7=$AL$8,'[4]1 trim 2016 BIOGROUP'!$G$33/3+'[4]1 trim 2016 BIOGROUP'!$G$34/3,IF($AS$7=$AL$9,'[4]1 trim 2016 BIOGROUP'!$G$33/3+'[4]1 trim 2016 BIOGROUP'!$G$34/3,IF($AS$7=$AL$10,'[4]2 trim 2016 BIOGROUP'!$G$33/3+'[4]2 trim 2016 BIOGROUP'!$G$34/3,IF($AS$7=$AL$11,'[4]2 trim 2016 BIOGROUP'!$G$33/3+'[4]2 trim 2016 BIOGROUP'!$G$34/3,IF($AS$7=$AL$12,'[4]2 trim 2016 BIOGROUP'!$G$33/3+'[4]2 trim 2016 BIOGROUP'!$G$34/3,""))))))</f>
        <v>94279.916666666672</v>
      </c>
      <c r="AT28" s="431">
        <f>IF($AT$7=$AL$7,'[4]1 trim 2016 BIOGROUP'!$G$33/3+'[4]1 trim 2016 BIOGROUP'!$G$34/3,IF($AT$7=$AL$8,'[4]1 trim 2016 BIOGROUP'!$G$33/3+'[4]1 trim 2016 BIOGROUP'!$G$34/3,IF($AT$7=$AL$9,'[4]1 trim 2016 BIOGROUP'!$G$33/3+'[4]1 trim 2016 BIOGROUP'!$G$34/3,IF($AT$7=$AL$10,'[4]2 trim 2016 BIOGROUP'!$G$33/3+'[4]2 trim 2016 BIOGROUP'!$G$34/3,IF($AT$7=$AL$11,'[4]2 trim 2016 BIOGROUP'!$G$33/3+'[4]2 trim 2016 BIOGROUP'!$G$34/3,IF($AT$7=$AL$12,'[4]2 trim 2016 BIOGROUP'!$G$33/3+'[4]2 trim 2016 BIOGROUP'!$G$34/3,""))))))</f>
        <v>94279.916666666672</v>
      </c>
      <c r="AU28" s="431">
        <f>IF($AU$7=$AL$13,'[4]3 trim 2016 BIOGROUP'!$G$33/3+'[4]3 trim 2016 BIOGROUP'!$G$34/3,IF($AU$7=$AL$15,'[4]3 trim 2016 BIOGROUP'!$G$33/3+'[4]3 trim 2016 BIOGROUP'!$G$34/3,IF($AU$7=$AL$16,'[4]3 trim 2016 BIOGROUP'!$G$33/3+'[4]3 trim 2016 BIOGROUP'!$G$34/3,IF($AU$7=$AL$17,'[4]4 trim 2016 BIOGROUP'!$G$33/3+'[4]4 trim 2016 BIOGROUP'!$G$34/3,IF($AU$7=$AL$19,'[4]4 trim 2016 BIOGROUP'!$G$33/3+'[4]4 trim 2016 BIOGROUP'!$G$34/3,IF($AU$7=$AL$20,'[4]4 trim 2016 BIOGROUP'!$G$33/3+'[4]4 trim 2016 BIOGROUP'!$G$34/3,""))))))</f>
        <v>94279.916666666672</v>
      </c>
      <c r="AV28" s="431">
        <f>IF($AV$7=$AL$13,'[4]3 trim 2016 BIOGROUP'!$G$33/3+'[4]3 trim 2016 BIOGROUP'!$G$34/3,IF($AV$7=$AL$15,'[4]3 trim 2016 BIOGROUP'!$G$33/3+'[4]3 trim 2016 BIOGROUP'!$G$34/3,IF($AV$7=$AL$16,'[4]3 trim 2016 BIOGROUP'!$G$33/3+'[4]3 trim 2016 BIOGROUP'!$G$34/3,IF($AV$7=$AL$17,'[4]4 trim 2016 BIOGROUP'!$G$33/3+'[4]4 trim 2016 BIOGROUP'!$G$34/3,IF($AV$7=$AL$19,'[4]4 trim 2016 BIOGROUP'!$G$33/3+'[4]4 trim 2016 BIOGROUP'!$G$34/3,IF($AV$7=$AL$20,'[4]4 trim 2016 BIOGROUP'!$G$33/3+'[4]4 trim 2016 BIOGROUP'!$G$34/3,""))))))</f>
        <v>94279.916666666672</v>
      </c>
      <c r="AW28" s="431">
        <f>IF($AW$7=$AL$13,'[4]3 trim 2016 BIOGROUP'!$G$33/3+'[4]3 trim 2016 BIOGROUP'!$G$34/3,IF($AW$7=$AL$15,'[4]3 trim 2016 BIOGROUP'!$G$33/3+'[4]3 trim 2016 BIOGROUP'!$G$34/3,IF($AW$7=$AL$16,'[4]3 trim 2016 BIOGROUP'!$G$33/3+'[4]3 trim 2016 BIOGROUP'!$G$34/3,IF($AW$7=$AL$17,'[4]4 trim 2016 BIOGROUP'!$G$33/3+'[4]4 trim 2016 BIOGROUP'!$G$34/3,IF($AW$7=$AL$19,'[4]4 trim 2016 BIOGROUP'!$G$33/3+'[4]4 trim 2016 BIOGROUP'!$G$34/3,IF($AW$7=$AL$20,'[4]4 trim 2016 BIOGROUP'!$G$33/3+'[4]4 trim 2016 BIOGROUP'!$G$34/3,""))))))</f>
        <v>94279.916666666672</v>
      </c>
      <c r="AX28" s="431">
        <f>IF($AX$7=$AL$13,'[4]3 trim 2016 BIOGROUP'!$G$33/3+'[4]3 trim 2016 BIOGROUP'!$G$34/3,IF($AX$7=$AL$15,'[4]3 trim 2016 BIOGROUP'!$G$33/3+'[4]3 trim 2016 BIOGROUP'!$G$34/3,IF($AX$7=$AL$16,'[4]3 trim 2016 BIOGROUP'!$G$33/3+'[4]3 trim 2016 BIOGROUP'!$G$34/3,IF($AX$7=$AL$17,'[4]4 trim 2016 BIOGROUP'!$G$33/3+'[4]4 trim 2016 BIOGROUP'!$G$34/3,IF($AX$7=$AL$19,'[4]4 trim 2016 BIOGROUP'!$G$33/3+'[4]4 trim 2016 BIOGROUP'!$G$34/3,IF($AX$7=$AL$20,'[4]4 trim 2016 BIOGROUP'!$G$33/3+'[4]4 trim 2016 BIOGROUP'!$G$34/3,""))))))</f>
        <v>94279.916666666672</v>
      </c>
      <c r="AY28" s="431">
        <f>IF($AY$7=$AL$13,'[4]3 trim 2016 BIOGROUP'!$G$33/3+'[4]3 trim 2016 BIOGROUP'!$G$34/3,IF($AY$7=$AL$15,'[4]3 trim 2016 BIOGROUP'!$G$33/3+'[4]3 trim 2016 BIOGROUP'!$G$34/3,IF($AY$7=$AL$16,'[4]3 trim 2016 BIOGROUP'!$G$33/3+'[4]3 trim 2016 BIOGROUP'!$G$34/3,IF($AY$7=$AL$17,'[4]4 trim 2016 BIOGROUP'!$G$33/3+'[4]4 trim 2016 BIOGROUP'!$G$34/3,IF($AY$7=$AL$19,'[4]4 trim 2016 BIOGROUP'!$G$33/3+'[4]4 trim 2016 BIOGROUP'!$G$34/3,IF($AY$7=$AL$20,'[4]4 trim 2016 BIOGROUP'!$G$33/3+'[4]4 trim 2016 BIOGROUP'!$G$34/3,""))))))</f>
        <v>94279.916666666672</v>
      </c>
      <c r="AZ28" s="431">
        <f>IF($AZ$7=$AL$13,'[4]3 trim 2016 BIOGROUP'!$G$33/3+'[4]3 trim 2016 BIOGROUP'!$G$34/3,IF($AZ$7=$AL$15,'[4]3 trim 2016 BIOGROUP'!$G$33/3+'[4]3 trim 2016 BIOGROUP'!$G$34/3,IF($AZ$7=$AL$16,'[4]3 trim 2016 BIOGROUP'!$G$33/3+'[4]3 trim 2016 BIOGROUP'!$G$34/3,IF($AZ$7=$AL$17,'[4]4 trim 2016 BIOGROUP'!$G$33/3+'[4]4 trim 2016 BIOGROUP'!$G$34/3,IF($AZ$7=$AL$19,'[4]4 trim 2016 BIOGROUP'!$G$33/3+'[4]4 trim 2016 BIOGROUP'!$G$34/3,IF($AZ$7=$AL$20,'[4]4 trim 2016 BIOGROUP'!$G$33/3+'[4]4 trim 2016 BIOGROUP'!$G$34/3,""))))))</f>
        <v>94279.916666666672</v>
      </c>
      <c r="BB28" s="511">
        <f t="shared" si="5"/>
        <v>268797.48</v>
      </c>
      <c r="BC28" s="750"/>
    </row>
    <row r="29" spans="1:55" ht="26.15" customHeight="1">
      <c r="A29" s="575"/>
      <c r="B29" s="548">
        <v>654</v>
      </c>
      <c r="C29" s="451" t="s">
        <v>92</v>
      </c>
      <c r="D29" s="439"/>
      <c r="E29" s="451" t="s">
        <v>93</v>
      </c>
      <c r="F29" s="577"/>
      <c r="G29" s="476">
        <v>0</v>
      </c>
      <c r="H29" s="591">
        <f>+G29/G7</f>
        <v>0</v>
      </c>
      <c r="J29" s="501">
        <v>0</v>
      </c>
      <c r="K29" s="530" t="str">
        <f t="shared" si="6"/>
        <v/>
      </c>
      <c r="L29" s="431"/>
      <c r="M29" s="755"/>
      <c r="N29" s="518" t="str">
        <f t="shared" si="1"/>
        <v/>
      </c>
      <c r="O29" s="592"/>
      <c r="P29" s="621"/>
      <c r="Q29" s="607"/>
      <c r="R29" s="622"/>
      <c r="S29" s="607"/>
      <c r="T29" s="622"/>
      <c r="U29" s="607"/>
      <c r="V29" s="622"/>
      <c r="W29" s="607"/>
      <c r="X29" s="622"/>
      <c r="Y29" s="607"/>
      <c r="Z29" s="622"/>
      <c r="AA29" s="609"/>
      <c r="AB29" s="476">
        <v>0</v>
      </c>
      <c r="AC29" s="591">
        <f>AB29/AB7</f>
        <v>0</v>
      </c>
      <c r="AD29" s="501">
        <v>0</v>
      </c>
      <c r="AE29" s="518" t="str">
        <f t="shared" si="3"/>
        <v/>
      </c>
      <c r="AG29" s="755"/>
      <c r="AH29" s="518" t="str">
        <f t="shared" si="4"/>
        <v/>
      </c>
      <c r="AL29" s="435"/>
      <c r="AM29" s="451" t="s">
        <v>93</v>
      </c>
      <c r="AN29" s="747"/>
      <c r="BB29" s="511">
        <f t="shared" si="5"/>
        <v>0</v>
      </c>
      <c r="BC29" s="750"/>
    </row>
    <row r="30" spans="1:55" ht="37.5" customHeight="1">
      <c r="A30" s="575"/>
      <c r="B30" s="548"/>
      <c r="C30" s="452" t="s">
        <v>94</v>
      </c>
      <c r="D30" s="439"/>
      <c r="E30" s="452" t="s">
        <v>117</v>
      </c>
      <c r="F30" s="577"/>
      <c r="G30" s="479">
        <f>+G11+G16+G22+G24+G29</f>
        <v>-4303161.16</v>
      </c>
      <c r="H30" s="623">
        <f>+G30/G7</f>
        <v>-0.6938068540564658</v>
      </c>
      <c r="J30" s="502">
        <f>+J11+J16+J22+J24+J29</f>
        <v>0</v>
      </c>
      <c r="K30" s="534" t="str">
        <f t="shared" si="6"/>
        <v/>
      </c>
      <c r="L30" s="431"/>
      <c r="M30" s="479">
        <v>-1901477</v>
      </c>
      <c r="N30" s="520">
        <f>IF(ISERROR((G30-M30)/M30),"",(G30-M30)/M30)</f>
        <v>1.2630624298900277</v>
      </c>
      <c r="O30" s="624"/>
      <c r="P30" s="625"/>
      <c r="Q30" s="594" t="e">
        <f>+#REF!+'31 dec 2016 BIOLAM'!AT35</f>
        <v>#REF!</v>
      </c>
      <c r="R30" s="517"/>
      <c r="S30" s="594" t="e">
        <f>+'31 dec 2016 BIOLAM'!AV35+#REF!</f>
        <v>#REF!</v>
      </c>
      <c r="T30" s="517"/>
      <c r="U30" s="594" t="e">
        <f>+'31 dec 2016 BIOLAM'!AX35+#REF!</f>
        <v>#REF!</v>
      </c>
      <c r="V30" s="517"/>
      <c r="W30" s="594" t="e">
        <f>+'31 dec 2016 BIOLAM'!AZ35+#REF!</f>
        <v>#REF!</v>
      </c>
      <c r="X30" s="517"/>
      <c r="Y30" s="594" t="e">
        <f t="shared" si="16"/>
        <v>#REF!</v>
      </c>
      <c r="Z30" s="517"/>
      <c r="AA30" s="626" t="e">
        <f>+G30-Y30</f>
        <v>#REF!</v>
      </c>
      <c r="AB30" s="479">
        <f>+AB11+AB16+AB22+AB24+AB29</f>
        <v>-12596002.210000001</v>
      </c>
      <c r="AC30" s="623">
        <f>AB30/AB7</f>
        <v>-0.70572791376837418</v>
      </c>
      <c r="AD30" s="502">
        <f>+AD11+AD16+AD22+AD24+AD29</f>
        <v>0</v>
      </c>
      <c r="AE30" s="520" t="str">
        <f t="shared" si="3"/>
        <v/>
      </c>
      <c r="AG30" s="479">
        <v>-4750864</v>
      </c>
      <c r="AH30" s="520">
        <f t="shared" si="4"/>
        <v>1.6513076800346214</v>
      </c>
      <c r="AJ30" s="627"/>
      <c r="AL30" s="435"/>
      <c r="AM30" s="452" t="s">
        <v>117</v>
      </c>
      <c r="AN30" s="747"/>
      <c r="AO30" s="741">
        <f>+AO11+AO16+AO22+AO24+AO29</f>
        <v>-1744514.25</v>
      </c>
      <c r="AP30" s="741">
        <f t="shared" ref="AP30:AZ30" si="17">+AP11+AP16+AP22+AP24+AP29</f>
        <v>-1744514.25</v>
      </c>
      <c r="AQ30" s="741">
        <f t="shared" si="17"/>
        <v>-1744514.25</v>
      </c>
      <c r="AR30" s="741">
        <f t="shared" si="17"/>
        <v>-1744514.25</v>
      </c>
      <c r="AS30" s="741">
        <f t="shared" si="17"/>
        <v>-1744514.25</v>
      </c>
      <c r="AT30" s="741">
        <f t="shared" si="17"/>
        <v>-1744514.25</v>
      </c>
      <c r="AU30" s="741">
        <f t="shared" si="17"/>
        <v>-1744514.25</v>
      </c>
      <c r="AV30" s="741">
        <f t="shared" si="17"/>
        <v>-1744514.25</v>
      </c>
      <c r="AW30" s="741">
        <f t="shared" si="17"/>
        <v>-1744514.25</v>
      </c>
      <c r="AX30" s="741">
        <f t="shared" si="17"/>
        <v>-1744514.25</v>
      </c>
      <c r="AY30" s="741">
        <f t="shared" si="17"/>
        <v>-1744514.25</v>
      </c>
      <c r="AZ30" s="741">
        <f t="shared" si="17"/>
        <v>-1744514.25</v>
      </c>
      <c r="BB30" s="748">
        <f t="shared" si="5"/>
        <v>12596002.210000001</v>
      </c>
      <c r="BC30" s="752"/>
    </row>
    <row r="31" spans="1:55" s="439" customFormat="1" ht="33" customHeight="1">
      <c r="A31" s="628"/>
      <c r="B31" s="629"/>
      <c r="C31" s="453" t="s">
        <v>125</v>
      </c>
      <c r="D31" s="630"/>
      <c r="E31" s="453" t="s">
        <v>126</v>
      </c>
      <c r="F31" s="631"/>
      <c r="G31" s="480">
        <v>41838.050000000003</v>
      </c>
      <c r="H31" s="632">
        <f>G31/G7</f>
        <v>6.7456283348581629E-3</v>
      </c>
      <c r="I31" s="431"/>
      <c r="J31" s="503">
        <f>-SUMIF($AO$7:$AZ$7,$G$6,AO31:AZ31)</f>
        <v>0</v>
      </c>
      <c r="K31" s="535" t="str">
        <f t="shared" si="6"/>
        <v/>
      </c>
      <c r="L31" s="431"/>
      <c r="M31" s="757"/>
      <c r="N31" s="527" t="str">
        <f t="shared" si="1"/>
        <v/>
      </c>
      <c r="O31" s="634"/>
      <c r="P31" s="635" t="s">
        <v>61</v>
      </c>
      <c r="Q31" s="636" t="e">
        <f>+#REF!+'31 dec 2016 BIOLAM'!AT36</f>
        <v>#REF!</v>
      </c>
      <c r="R31" s="637" t="e">
        <f>Q31/Q$7</f>
        <v>#REF!</v>
      </c>
      <c r="S31" s="636" t="e">
        <f>+'31 dec 2016 BIOLAM'!AV36+#REF!</f>
        <v>#REF!</v>
      </c>
      <c r="T31" s="637" t="e">
        <f>S31/S$7</f>
        <v>#REF!</v>
      </c>
      <c r="U31" s="636" t="e">
        <f>+'31 dec 2016 BIOLAM'!AX36+#REF!</f>
        <v>#REF!</v>
      </c>
      <c r="V31" s="637" t="e">
        <f>U31/U$7</f>
        <v>#REF!</v>
      </c>
      <c r="W31" s="636" t="e">
        <f>+'31 dec 2016 BIOLAM'!AZ36+#REF!</f>
        <v>#REF!</v>
      </c>
      <c r="X31" s="637" t="e">
        <f>W31/W$7</f>
        <v>#REF!</v>
      </c>
      <c r="Y31" s="638" t="e">
        <f t="shared" si="16"/>
        <v>#REF!</v>
      </c>
      <c r="Z31" s="637" t="e">
        <f>Y31/Y$7</f>
        <v>#REF!</v>
      </c>
      <c r="AA31" s="639" t="e">
        <f>+G31-Y31</f>
        <v>#REF!</v>
      </c>
      <c r="AB31" s="480">
        <f>126213</f>
        <v>126213</v>
      </c>
      <c r="AC31" s="632">
        <f>AB31/AB7</f>
        <v>7.0714529654284496E-3</v>
      </c>
      <c r="AD31" s="503">
        <f>-SUMIF($AO$7:$AZ$7,"&lt;="&amp;$AC$6,AO31:AZ31)</f>
        <v>0</v>
      </c>
      <c r="AE31" s="521" t="str">
        <f t="shared" si="3"/>
        <v/>
      </c>
      <c r="AF31" s="431"/>
      <c r="AG31" s="757"/>
      <c r="AH31" s="527" t="str">
        <f t="shared" si="4"/>
        <v/>
      </c>
      <c r="AM31" s="453" t="s">
        <v>126</v>
      </c>
      <c r="AN31" s="747"/>
      <c r="AO31" s="431">
        <f>IF($AO$7=$AL$7,'[4]1 trim 2016 BIOGROUP'!$G$36/3,IF($AO$7=$AL$8,'[4]1 trim 2016 BIOGROUP'!$G$36/3,IF($AO$7=$AL$9,'[4]1 trim 2016 BIOGROUP'!$G$36/3,IF($AO$7=$AL$10,'[4]2 trim 2016 BIOGROUP'!$G$36/3,IF($AO$7=$AL$11,'[4]2 trim 2016 BIOGROUP'!$G$36/3,IF($AO$7=$AL$12,'[4]2 trim 2016 BIOGROUP'!$G$36/3,""))))))</f>
        <v>-32968.333333333336</v>
      </c>
      <c r="AP31" s="431">
        <f>IF($AP$7=$AL$7,'[4]1 trim 2016 BIOGROUP'!$G$36/3,IF($AP$7=$AL$8,'[4]1 trim 2016 BIOGROUP'!$G$36/3,IF($AP$7=$AL$9,'[4]1 trim 2016 BIOGROUP'!$G$36/3,IF($AP$7=$AL$10,'[4]2 trim 2016 BIOGROUP'!$G$36/3,IF($AP$7=$AL$11,'[4]2 trim 2016 BIOGROUP'!$G$36/3,IF($AP$7=$AL$12,'[4]2 trim 2016 BIOGROUP'!$G$36/3,""))))))</f>
        <v>-32968.333333333336</v>
      </c>
      <c r="AQ31" s="431">
        <f>IF($AQ$7=$AL$7,'[4]1 trim 2016 BIOGROUP'!$G$36/3,IF($AQ$7=$AL$8,'[4]1 trim 2016 BIOGROUP'!$G$36/3,IF($AQ$7=$AL$9,'[4]1 trim 2016 BIOGROUP'!$G$36/3,IF($AQ$7=$AL$10,'[4]2 trim 2016 BIOGROUP'!$G$36/3,IF($AQ$7=$AL$11,'[4]2 trim 2016 BIOGROUP'!$G$36/3,IF($AQ$7=$AL$12,'[4]2 trim 2016 BIOGROUP'!$G$36/3,""))))))</f>
        <v>-32968.333333333336</v>
      </c>
      <c r="AR31" s="431">
        <f>IF($AR$7=$AL$7,'[4]1 trim 2016 BIOGROUP'!$G$36/3,IF($AR$7=$AL$8,'[4]1 trim 2016 BIOGROUP'!$G$36/3,IF($AR$7=$AL$9,'[4]1 trim 2016 BIOGROUP'!$G$36/3,IF($AR$7=$AL$10,'[4]2 trim 2016 BIOGROUP'!$G$36/3,IF($AR$7=$AL$11,'[4]2 trim 2016 BIOGROUP'!$G$36/3,IF($AR$7=$AL$12,'[4]2 trim 2016 BIOGROUP'!$G$36/3,""))))))</f>
        <v>-32968.333333333336</v>
      </c>
      <c r="AS31" s="431">
        <f>IF($AS$7=$AL$7,'[4]1 trim 2016 BIOGROUP'!$G$36/3,IF($AS$7=$AL$8,'[4]1 trim 2016 BIOGROUP'!$G$36/3,IF($AS$7=$AL$9,'[4]1 trim 2016 BIOGROUP'!$G$36/3,IF($AS$7=$AL$10,'[4]2 trim 2016 BIOGROUP'!$G$36/3,IF($AS$7=$AL$11,'[4]2 trim 2016 BIOGROUP'!$G$36/3,IF($AS$7=$AL$12,'[4]2 trim 2016 BIOGROUP'!$G$36/3,""))))))</f>
        <v>-32968.333333333336</v>
      </c>
      <c r="AT31" s="431">
        <f>IF($AT$7=$AL$7,'[4]1 trim 2016 BIOGROUP'!$G$36/3,IF($AT$7=$AL$8,'[4]1 trim 2016 BIOGROUP'!$G$36/3,IF($AT$7=$AL$9,'[4]1 trim 2016 BIOGROUP'!$G$36/3,IF($AT$7=$AL$10,'[4]2 trim 2016 BIOGROUP'!$G$36/3,IF($AT$7=$AL$11,'[4]2 trim 2016 BIOGROUP'!$G$36/3,IF($AT$7=$AL$12,'[4]2 trim 2016 BIOGROUP'!$G$36/3,""))))))</f>
        <v>-32968.333333333336</v>
      </c>
      <c r="AU31" s="431">
        <f>IF($AU$7=$AL$13,'[4]3 trim 2016 BIOGROUP'!$G$36/3,IF($AU$7=$AL$15,'[4]3 trim 2016 BIOGROUP'!$G$36/3,IF($AU$7=$AL$16,'[4]3 trim 2016 BIOGROUP'!$G$36/3,IF($AU$7=$AL$17,'[4]4 trim 2016 BIOGROUP'!$G$36/3,IF($AU$7=$AL$19,'[4]4 trim 2016 BIOGROUP'!$G$36/3,IF($AU$7=$AL$20,'[4]4 trim 2016 BIOGROUP'!$G$36/3,""))))))</f>
        <v>-32968.333333333336</v>
      </c>
      <c r="AV31" s="431">
        <f>IF($AV$7=$AL$13,'[4]3 trim 2016 BIOGROUP'!$G$36/3,IF($AV$7=$AL$15,'[4]3 trim 2016 BIOGROUP'!$G$36/3,IF($AV$7=$AL$16,'[4]3 trim 2016 BIOGROUP'!$G$36/3,IF($AV$7=$AL$17,'[4]4 trim 2016 BIOGROUP'!$G$36/3,IF($AV$7=$AL$19,'[4]4 trim 2016 BIOGROUP'!$G$36/3,IF($AV$7=$AL$20,'[4]4 trim 2016 BIOGROUP'!$G$36/3,""))))))</f>
        <v>-32968.333333333336</v>
      </c>
      <c r="AW31" s="431">
        <f>IF($AW$7=$AL$13,'[4]3 trim 2016 BIOGROUP'!$G$36/3,IF($AW$7=$AL$15,'[4]3 trim 2016 BIOGROUP'!$G$36/3,IF($AW$7=$AL$16,'[4]3 trim 2016 BIOGROUP'!$G$36/3,IF($AW$7=$AL$17,'[4]4 trim 2016 BIOGROUP'!$G$36/3,IF($AW$7=$AL$19,'[4]4 trim 2016 BIOGROUP'!$G$36/3,IF($AW$7=$AL$20,'[4]4 trim 2016 BIOGROUP'!$G$36/3,""))))))</f>
        <v>-32968.333333333336</v>
      </c>
      <c r="AX31" s="431">
        <f>IF($AX$7=$AL$13,'[4]3 trim 2016 BIOGROUP'!$G$36/3,IF($AX$7=$AL$15,'[4]3 trim 2016 BIOGROUP'!$G$36/3,IF($AX$7=$AL$16,'[4]3 trim 2016 BIOGROUP'!$G$36/3,IF($AX$7=$AL$17,'[4]4 trim 2016 BIOGROUP'!$G$36/3,IF($AX$7=$AL$19,'[4]4 trim 2016 BIOGROUP'!$G$36/3,IF($AX$7=$AL$20,'[4]4 trim 2016 BIOGROUP'!$G$36/3,""))))))</f>
        <v>-32968.333333333336</v>
      </c>
      <c r="AY31" s="431">
        <f>IF($AY$7=$AL$13,'[4]3 trim 2016 BIOGROUP'!$G$36/3,IF($AY$7=$AL$15,'[4]3 trim 2016 BIOGROUP'!$G$36/3,IF($AY$7=$AL$16,'[4]3 trim 2016 BIOGROUP'!$G$36/3,IF($AY$7=$AL$17,'[4]4 trim 2016 BIOGROUP'!$G$36/3,IF($AY$7=$AL$19,'[4]4 trim 2016 BIOGROUP'!$G$36/3,IF($AY$7=$AL$20,'[4]4 trim 2016 BIOGROUP'!$G$36/3,""))))))</f>
        <v>-32968.333333333336</v>
      </c>
      <c r="AZ31" s="431">
        <f>IF($AZ$7=$AL$13,'[4]3 trim 2016 BIOGROUP'!$G$36/3,IF($AZ$7=$AL$15,'[4]3 trim 2016 BIOGROUP'!$G$36/3,IF($AZ$7=$AL$16,'[4]3 trim 2016 BIOGROUP'!$G$36/3,IF($AZ$7=$AL$17,'[4]4 trim 2016 BIOGROUP'!$G$36/3,IF($AZ$7=$AL$19,'[4]4 trim 2016 BIOGROUP'!$G$36/3,IF($AZ$7=$AL$20,'[4]4 trim 2016 BIOGROUP'!$G$36/3,""))))))</f>
        <v>-32968.333333333336</v>
      </c>
      <c r="BB31" s="511">
        <f t="shared" si="5"/>
        <v>126213</v>
      </c>
      <c r="BC31" s="749"/>
    </row>
    <row r="32" spans="1:55" ht="26.15" customHeight="1">
      <c r="A32" s="565"/>
      <c r="B32" s="566"/>
      <c r="C32" s="454" t="s">
        <v>97</v>
      </c>
      <c r="D32" s="439"/>
      <c r="E32" s="454" t="s">
        <v>12</v>
      </c>
      <c r="G32" s="481">
        <f>G7+G30+G31</f>
        <v>1940923.43</v>
      </c>
      <c r="H32" s="641">
        <f>G32/G7</f>
        <v>0.31293877427839234</v>
      </c>
      <c r="J32" s="504">
        <f>J7+J30+J31</f>
        <v>0</v>
      </c>
      <c r="K32" s="505" t="str">
        <f t="shared" si="6"/>
        <v/>
      </c>
      <c r="L32" s="431"/>
      <c r="M32" s="481">
        <v>1047528</v>
      </c>
      <c r="N32" s="522">
        <f t="shared" si="1"/>
        <v>0.85286066816352402</v>
      </c>
      <c r="O32" s="580"/>
      <c r="P32" s="611" t="s">
        <v>12</v>
      </c>
      <c r="Q32" s="618" t="e">
        <f>+Q7-Q11-Q16-Q22-Q24</f>
        <v>#REF!</v>
      </c>
      <c r="R32" s="517" t="e">
        <f>Q32/Q$7</f>
        <v>#REF!</v>
      </c>
      <c r="S32" s="618" t="e">
        <f>+S7-S11-S16-S22-S24</f>
        <v>#REF!</v>
      </c>
      <c r="T32" s="517" t="e">
        <f>S32/S$7</f>
        <v>#REF!</v>
      </c>
      <c r="U32" s="618" t="e">
        <f>+U7-U11-U16-U22-U24</f>
        <v>#REF!</v>
      </c>
      <c r="V32" s="517" t="e">
        <f>U32/U$7</f>
        <v>#REF!</v>
      </c>
      <c r="W32" s="618" t="e">
        <f>+W7-W11-W16-W22-W24</f>
        <v>#REF!</v>
      </c>
      <c r="X32" s="517" t="e">
        <f>W32/W$7</f>
        <v>#REF!</v>
      </c>
      <c r="Y32" s="618" t="e">
        <f>+Y7-Y11-Y16-Y22-Y24</f>
        <v>#REF!</v>
      </c>
      <c r="Z32" s="517" t="e">
        <f>Y32/Y$7</f>
        <v>#REF!</v>
      </c>
      <c r="AA32" s="584" t="e">
        <f>+G32-Y32</f>
        <v>#REF!</v>
      </c>
      <c r="AB32" s="481">
        <f>AB7+AB30+AB31</f>
        <v>5378452.25</v>
      </c>
      <c r="AC32" s="641">
        <f>AB32/AB7</f>
        <v>0.30134353919705431</v>
      </c>
      <c r="AD32" s="504">
        <f>AD7+AD30+AD31</f>
        <v>0</v>
      </c>
      <c r="AE32" s="522" t="str">
        <f t="shared" si="3"/>
        <v/>
      </c>
      <c r="AG32" s="481">
        <v>3077871</v>
      </c>
      <c r="AH32" s="522">
        <f t="shared" si="4"/>
        <v>0.74745863293165959</v>
      </c>
      <c r="AM32" s="454" t="s">
        <v>12</v>
      </c>
      <c r="AN32" s="747"/>
      <c r="AO32" s="741">
        <f>AO8+AO9+AO10+AO30-AO31</f>
        <v>1082371.5833333333</v>
      </c>
      <c r="AP32" s="741">
        <f t="shared" ref="AP32:AZ32" si="18">AP8+AP9+AP10+AP30-AP31</f>
        <v>1082371.5833333333</v>
      </c>
      <c r="AQ32" s="741">
        <f t="shared" si="18"/>
        <v>1082371.5833333333</v>
      </c>
      <c r="AR32" s="741">
        <f t="shared" si="18"/>
        <v>1022934.6666666669</v>
      </c>
      <c r="AS32" s="741">
        <f t="shared" si="18"/>
        <v>1022934.6666666669</v>
      </c>
      <c r="AT32" s="741">
        <f t="shared" si="18"/>
        <v>1022934.6666666669</v>
      </c>
      <c r="AU32" s="741">
        <f t="shared" si="18"/>
        <v>812340.00000000035</v>
      </c>
      <c r="AV32" s="741">
        <f t="shared" si="18"/>
        <v>812340.00000000035</v>
      </c>
      <c r="AW32" s="741">
        <f t="shared" si="18"/>
        <v>812340.00000000035</v>
      </c>
      <c r="AX32" s="741">
        <f t="shared" si="18"/>
        <v>991044.33333333337</v>
      </c>
      <c r="AY32" s="741">
        <f t="shared" si="18"/>
        <v>991044.33333333337</v>
      </c>
      <c r="AZ32" s="741">
        <f t="shared" si="18"/>
        <v>991044.33333333337</v>
      </c>
      <c r="BB32" s="748">
        <f t="shared" si="5"/>
        <v>5378452.25</v>
      </c>
      <c r="BC32" s="752"/>
    </row>
    <row r="33" spans="1:55" ht="26.15" hidden="1" customHeight="1">
      <c r="A33" s="565"/>
      <c r="B33" s="566"/>
      <c r="C33" s="455" t="s">
        <v>96</v>
      </c>
      <c r="D33" s="439"/>
      <c r="E33" s="455" t="str">
        <f>+C33</f>
        <v>EBITDA (% of net revenues)</v>
      </c>
      <c r="G33" s="483"/>
      <c r="H33" s="642"/>
      <c r="J33" s="536" t="e">
        <f>J32/J7</f>
        <v>#DIV/0!</v>
      </c>
      <c r="K33" s="536" t="str">
        <f t="shared" si="6"/>
        <v/>
      </c>
      <c r="L33" s="431"/>
      <c r="M33" s="758"/>
      <c r="N33" s="517" t="str">
        <f t="shared" si="1"/>
        <v/>
      </c>
      <c r="O33" s="580"/>
      <c r="P33" s="644"/>
      <c r="Q33" s="645"/>
      <c r="R33" s="517"/>
      <c r="S33" s="645"/>
      <c r="T33" s="517"/>
      <c r="U33" s="645"/>
      <c r="V33" s="517"/>
      <c r="W33" s="645"/>
      <c r="X33" s="517"/>
      <c r="Y33" s="645"/>
      <c r="Z33" s="517"/>
      <c r="AA33" s="584"/>
      <c r="AB33" s="482">
        <f>AB32/AB7</f>
        <v>0.30134353919705431</v>
      </c>
      <c r="AC33" s="641"/>
      <c r="AD33" s="505" t="e">
        <f>AD32/AD7</f>
        <v>#DIV/0!</v>
      </c>
      <c r="AE33" s="522" t="str">
        <f t="shared" si="3"/>
        <v/>
      </c>
      <c r="AG33" s="481"/>
      <c r="AH33" s="517" t="str">
        <f t="shared" si="4"/>
        <v/>
      </c>
      <c r="AM33" s="455">
        <f>+AL33</f>
        <v>0</v>
      </c>
      <c r="AN33" s="745"/>
      <c r="BB33" s="511" t="e">
        <f t="shared" si="5"/>
        <v>#DIV/0!</v>
      </c>
      <c r="BC33" s="752"/>
    </row>
    <row r="34" spans="1:55" ht="26.15" customHeight="1">
      <c r="A34" s="565"/>
      <c r="B34" s="566"/>
      <c r="C34" s="456" t="s">
        <v>124</v>
      </c>
      <c r="D34" s="439"/>
      <c r="E34" s="456" t="s">
        <v>98</v>
      </c>
      <c r="G34" s="476">
        <f>SUM(G35:G36)</f>
        <v>3221.02</v>
      </c>
      <c r="H34" s="591">
        <f>+G34/G7</f>
        <v>5.1933117769936308E-4</v>
      </c>
      <c r="J34" s="496">
        <f>SUM(J35:J36)</f>
        <v>0</v>
      </c>
      <c r="K34" s="530" t="str">
        <f t="shared" si="6"/>
        <v/>
      </c>
      <c r="L34" s="431"/>
      <c r="M34" s="754">
        <v>-23</v>
      </c>
      <c r="N34" s="518">
        <f t="shared" si="1"/>
        <v>-141.04434782608695</v>
      </c>
      <c r="O34" s="580"/>
      <c r="P34" s="644"/>
      <c r="Q34" s="645"/>
      <c r="R34" s="517"/>
      <c r="S34" s="645"/>
      <c r="T34" s="517"/>
      <c r="U34" s="645"/>
      <c r="V34" s="517"/>
      <c r="W34" s="645"/>
      <c r="X34" s="517"/>
      <c r="Y34" s="645"/>
      <c r="Z34" s="517"/>
      <c r="AA34" s="584"/>
      <c r="AB34" s="476">
        <f>SUM(AB35:AB36)</f>
        <v>12488.56</v>
      </c>
      <c r="AC34" s="591">
        <f>AB34/AB7</f>
        <v>6.9970814928677007E-4</v>
      </c>
      <c r="AD34" s="496">
        <f>SUM(AD35:AD36)</f>
        <v>0</v>
      </c>
      <c r="AE34" s="518" t="str">
        <f>IF(ISERROR((AB34-AD34)/AD34),"",(AB34-AD34)/AD34)</f>
        <v/>
      </c>
      <c r="AG34" s="754">
        <v>-7494</v>
      </c>
      <c r="AH34" s="518">
        <f t="shared" si="4"/>
        <v>-2.666474512943688</v>
      </c>
      <c r="AM34" s="456" t="s">
        <v>98</v>
      </c>
      <c r="AN34" s="747"/>
      <c r="AO34" s="741">
        <f>-SUM(AO35:AO36)</f>
        <v>0</v>
      </c>
      <c r="AP34" s="741">
        <f t="shared" ref="AP34:AZ34" si="19">-SUM(AP35:AP36)</f>
        <v>0</v>
      </c>
      <c r="AQ34" s="741">
        <f t="shared" si="19"/>
        <v>0</v>
      </c>
      <c r="AR34" s="741">
        <f t="shared" si="19"/>
        <v>0</v>
      </c>
      <c r="AS34" s="741">
        <f t="shared" si="19"/>
        <v>0</v>
      </c>
      <c r="AT34" s="741">
        <f t="shared" si="19"/>
        <v>0</v>
      </c>
      <c r="AU34" s="741">
        <f t="shared" si="19"/>
        <v>0</v>
      </c>
      <c r="AV34" s="741">
        <f t="shared" si="19"/>
        <v>0</v>
      </c>
      <c r="AW34" s="741">
        <f t="shared" si="19"/>
        <v>0</v>
      </c>
      <c r="AX34" s="741">
        <f t="shared" si="19"/>
        <v>0</v>
      </c>
      <c r="AY34" s="741">
        <f t="shared" si="19"/>
        <v>0</v>
      </c>
      <c r="AZ34" s="741">
        <f t="shared" si="19"/>
        <v>0</v>
      </c>
      <c r="BB34" s="748">
        <f t="shared" si="5"/>
        <v>12488.56</v>
      </c>
      <c r="BC34" s="752"/>
    </row>
    <row r="35" spans="1:55" ht="26.15" customHeight="1">
      <c r="A35" s="565"/>
      <c r="B35" s="566">
        <v>758</v>
      </c>
      <c r="C35" s="457" t="s">
        <v>127</v>
      </c>
      <c r="D35" s="439"/>
      <c r="E35" s="457" t="s">
        <v>14</v>
      </c>
      <c r="G35" s="475">
        <v>3221.02</v>
      </c>
      <c r="H35" s="578">
        <f>+G35/$G$7</f>
        <v>5.1933117769936308E-4</v>
      </c>
      <c r="J35" s="506">
        <v>0</v>
      </c>
      <c r="K35" s="532" t="str">
        <f t="shared" si="6"/>
        <v/>
      </c>
      <c r="L35" s="431"/>
      <c r="M35" s="759"/>
      <c r="N35" s="517" t="str">
        <f t="shared" si="1"/>
        <v/>
      </c>
      <c r="O35" s="580"/>
      <c r="P35" s="644"/>
      <c r="Q35" s="645"/>
      <c r="R35" s="517"/>
      <c r="S35" s="645"/>
      <c r="T35" s="517"/>
      <c r="U35" s="645"/>
      <c r="V35" s="517"/>
      <c r="W35" s="645"/>
      <c r="X35" s="517"/>
      <c r="Y35" s="645"/>
      <c r="Z35" s="517"/>
      <c r="AA35" s="584"/>
      <c r="AB35" s="475">
        <v>12488.56</v>
      </c>
      <c r="AC35" s="578">
        <f>+AB35/AB7</f>
        <v>6.9970814928677007E-4</v>
      </c>
      <c r="AD35" s="506">
        <f>-SUMIF($AO$7:$AZ$7,"&lt;="&amp;$AC$6,AO35:AZ35)</f>
        <v>0</v>
      </c>
      <c r="AE35" s="517" t="str">
        <f t="shared" ref="AE35:AE54" si="20">IF(ISERROR((AB35-AD35)/AD35),"",(AB35-AD35)/AD35)</f>
        <v/>
      </c>
      <c r="AG35" s="759"/>
      <c r="AH35" s="517" t="str">
        <f t="shared" si="4"/>
        <v/>
      </c>
      <c r="AM35" s="457" t="s">
        <v>14</v>
      </c>
      <c r="AN35" s="747"/>
      <c r="AO35" s="431">
        <f>IF($AO$7=$AL$7,'[4]1 trim 2016 BIOGROUP'!$G$42/3,IF($AO$7=$AL$8,'[4]1 trim 2016 BIOGROUP'!$G$42/3,IF($AO$7=$AL$9,'[4]1 trim 2016 BIOGROUP'!$G$42/3,IF($AO$7=$AL$10,'[4]2 trim 2016 BIOGROUP'!$G$42/3,IF($AO$7=$AL$11,'[4]2 trim 2016 BIOGROUP'!$G$42/3,IF($AO$7=$AL$12,'[4]2 trim 2016 BIOGROUP'!$G$42/3,""))))))</f>
        <v>0</v>
      </c>
      <c r="AP35" s="431">
        <f>IF($AP$7=$AL$7,'[4]1 trim 2016 BIOGROUP'!$G$42/3,IF($AP$7=$AL$8,'[4]1 trim 2016 BIOGROUP'!$G$42/3,IF($AP$7=$AL$9,'[4]1 trim 2016 BIOGROUP'!$G$42/3,IF($AP$7=$AL$10,'[4]2 trim 2016 BIOGROUP'!$G$42/3,IF($AP$7=$AL$11,'[4]2 trim 2016 BIOGROUP'!$G$42/3,IF($AP$7=$AL$12,'[4]2 trim 2016 BIOGROUP'!$G$42/3,""))))))</f>
        <v>0</v>
      </c>
      <c r="AQ35" s="431">
        <f>IF($AQ$7=$AL$7,'[4]1 trim 2016 BIOGROUP'!$G$42/3,IF($AQ$7=$AL$8,'[4]1 trim 2016 BIOGROUP'!$G$42/3,IF($AQ$7=$AL$9,'[4]1 trim 2016 BIOGROUP'!$G$42/3,IF($AQ$7=$AL$10,'[4]2 trim 2016 BIOGROUP'!$G$42/3,IF($AQ$7=$AL$11,'[4]2 trim 2016 BIOGROUP'!$G$42/3,IF($AQ$7=$AL$12,'[4]2 trim 2016 BIOGROUP'!$G$42/3,""))))))</f>
        <v>0</v>
      </c>
      <c r="AR35" s="431">
        <f>IF($AR$7=$AL$7,'[4]1 trim 2016 BIOGROUP'!$G$42/3,IF($AR$7=$AL$8,'[4]1 trim 2016 BIOGROUP'!$G$42/3,IF($AR$7=$AL$9,'[4]1 trim 2016 BIOGROUP'!$G$42/3,IF($AR$7=$AL$10,'[4]2 trim 2016 BIOGROUP'!$G$42/3,IF($AR$7=$AL$11,'[4]2 trim 2016 BIOGROUP'!$G$42/3,IF($AR$7=$AL$12,'[4]2 trim 2016 BIOGROUP'!$G$42/3,""))))))</f>
        <v>0</v>
      </c>
      <c r="AS35" s="431">
        <f>IF($AS$7=$AL$7,'[4]1 trim 2016 BIOGROUP'!$G$42/3,IF($AS$7=$AL$8,'[4]1 trim 2016 BIOGROUP'!$G$42/3,IF($AS$7=$AL$9,'[4]1 trim 2016 BIOGROUP'!$G$42/3,IF($AS$7=$AL$10,'[4]2 trim 2016 BIOGROUP'!$G$42/3,IF($AS$7=$AL$11,'[4]2 trim 2016 BIOGROUP'!$G$42/3,IF($AS$7=$AL$12,'[4]2 trim 2016 BIOGROUP'!$G$42/3,""))))))</f>
        <v>0</v>
      </c>
      <c r="AT35" s="431">
        <f>IF($AT$7=$AL$7,'[4]1 trim 2016 BIOGROUP'!$G$42/3,IF($AT$7=$AL$8,'[4]1 trim 2016 BIOGROUP'!$G$42/3,IF($AT$7=$AL$9,'[4]1 trim 2016 BIOGROUP'!$G$42/3,IF($AT$7=$AL$10,'[4]2 trim 2016 BIOGROUP'!$G$42/3,IF($AT$7=$AL$11,'[4]2 trim 2016 BIOGROUP'!$G$42/3,IF($AT$7=$AL$12,'[4]2 trim 2016 BIOGROUP'!$G$42/3,""))))))</f>
        <v>0</v>
      </c>
      <c r="AU35" s="431">
        <f>IF($AU$7=$AL$13,'[4]3 trim 2016 BIOGROUP'!$G$42/3,IF($AU$7=$AL$15,'[4]3 trim 2016 BIOGROUP'!$G$42/3,IF($AU$7=$AL$16,'[4]3 trim 2016 BIOGROUP'!$G$42/3,IF($AU$7=$AL$17,'[4]4 trim 2016 BIOGROUP'!$G$42/3,IF($AU$7=$AL$19,'[4]4 trim 2016 BIOGROUP'!$G$42/3,IF($AU$7=$AL$20,'[4]4 trim 2016 BIOGROUP'!$G$42/3,""))))))</f>
        <v>0</v>
      </c>
      <c r="AV35" s="431">
        <f>IF($AV$7=$AL$13,'[4]3 trim 2016 BIOGROUP'!$G$42/3,IF($AV$7=$AL$15,'[4]3 trim 2016 BIOGROUP'!$G$42/3,IF($AV$7=$AL$16,'[4]3 trim 2016 BIOGROUP'!$G$42/3,IF($AV$7=$AL$17,'[4]4 trim 2016 BIOGROUP'!$G$42/3,IF($AV$7=$AL$19,'[4]4 trim 2016 BIOGROUP'!$G$42/3,IF($AV$7=$AL$20,'[4]4 trim 2016 BIOGROUP'!$G$42/3,""))))))</f>
        <v>0</v>
      </c>
      <c r="AW35" s="431">
        <f>IF($AW$7=$AL$13,'[4]3 trim 2016 BIOGROUP'!$G$42/3,IF($AW$7=$AL$15,'[4]3 trim 2016 BIOGROUP'!$G$42/3,IF($AW$7=$AL$16,'[4]3 trim 2016 BIOGROUP'!$G$42/3,IF($AW$7=$AL$17,'[4]4 trim 2016 BIOGROUP'!$G$42/3,IF($AW$7=$AL$19,'[4]4 trim 2016 BIOGROUP'!$G$42/3,IF($AW$7=$AL$20,'[4]4 trim 2016 BIOGROUP'!$G$42/3,""))))))</f>
        <v>0</v>
      </c>
      <c r="AX35" s="431">
        <f>IF($AX$7=$AL$13,'[4]3 trim 2016 BIOGROUP'!$G$42/3,IF($AX$7=$AL$15,'[4]3 trim 2016 BIOGROUP'!$G$42/3,IF($AX$7=$AL$16,'[4]3 trim 2016 BIOGROUP'!$G$42/3,IF($AX$7=$AL$17,'[4]4 trim 2016 BIOGROUP'!$G$42/3,IF($AX$7=$AL$19,'[4]4 trim 2016 BIOGROUP'!$G$42/3,IF($AX$7=$AL$20,'[4]4 trim 2016 BIOGROUP'!$G$42/3,""))))))</f>
        <v>0</v>
      </c>
      <c r="AY35" s="431">
        <f>IF($AY$7=$AL$13,'[4]3 trim 2016 BIOGROUP'!$G$42/3,IF($AY$7=$AL$15,'[4]3 trim 2016 BIOGROUP'!$G$42/3,IF($AY$7=$AL$16,'[4]3 trim 2016 BIOGROUP'!$G$42/3,IF($AY$7=$AL$17,'[4]4 trim 2016 BIOGROUP'!$G$42/3,IF($AY$7=$AL$19,'[4]4 trim 2016 BIOGROUP'!$G$42/3,IF($AY$7=$AL$20,'[4]4 trim 2016 BIOGROUP'!$G$42/3,""))))))</f>
        <v>0</v>
      </c>
      <c r="AZ35" s="431">
        <f>IF($AZ$7=$AL$13,'[4]3 trim 2016 BIOGROUP'!$G$42/3,IF($AZ$7=$AL$15,'[4]3 trim 2016 BIOGROUP'!$G$42/3,IF($AZ$7=$AL$16,'[4]3 trim 2016 BIOGROUP'!$G$42/3,IF($AZ$7=$AL$17,'[4]4 trim 2016 BIOGROUP'!$G$42/3,IF($AZ$7=$AL$19,'[4]4 trim 2016 BIOGROUP'!$G$42/3,IF($AZ$7=$AL$20,'[4]4 trim 2016 BIOGROUP'!$G$42/3,""))))))</f>
        <v>0</v>
      </c>
      <c r="BB35" s="511">
        <f t="shared" si="5"/>
        <v>12488.56</v>
      </c>
      <c r="BC35" s="750"/>
    </row>
    <row r="36" spans="1:55" ht="26.15" customHeight="1">
      <c r="A36" s="565"/>
      <c r="B36" s="566">
        <v>658</v>
      </c>
      <c r="C36" s="457" t="s">
        <v>128</v>
      </c>
      <c r="D36" s="439"/>
      <c r="E36" s="457" t="s">
        <v>15</v>
      </c>
      <c r="G36" s="475">
        <v>0</v>
      </c>
      <c r="H36" s="578">
        <f>+G36/$G$7</f>
        <v>0</v>
      </c>
      <c r="J36" s="506">
        <v>0</v>
      </c>
      <c r="K36" s="532" t="str">
        <f t="shared" si="6"/>
        <v/>
      </c>
      <c r="L36" s="431"/>
      <c r="M36" s="759">
        <v>-23</v>
      </c>
      <c r="N36" s="517">
        <f t="shared" si="1"/>
        <v>-1</v>
      </c>
      <c r="O36" s="580"/>
      <c r="P36" s="644"/>
      <c r="Q36" s="645"/>
      <c r="R36" s="517"/>
      <c r="S36" s="645"/>
      <c r="T36" s="517"/>
      <c r="U36" s="645"/>
      <c r="V36" s="517"/>
      <c r="W36" s="645"/>
      <c r="X36" s="517"/>
      <c r="Y36" s="645"/>
      <c r="Z36" s="517"/>
      <c r="AA36" s="584"/>
      <c r="AB36" s="475">
        <v>0</v>
      </c>
      <c r="AC36" s="578">
        <f>AB36/$AB$7</f>
        <v>0</v>
      </c>
      <c r="AD36" s="506">
        <f>-SUMIF($AO$7:$AZ$7,"&lt;="&amp;$AC$6,AO36:AZ36)</f>
        <v>0</v>
      </c>
      <c r="AE36" s="517" t="str">
        <f t="shared" si="20"/>
        <v/>
      </c>
      <c r="AG36" s="759">
        <v>-7494</v>
      </c>
      <c r="AH36" s="517">
        <f t="shared" si="4"/>
        <v>-1</v>
      </c>
      <c r="AM36" s="457" t="s">
        <v>15</v>
      </c>
      <c r="AN36" s="747"/>
      <c r="AO36" s="431">
        <f>IF($AO$7=$AL$7,'[4]1 trim 2016 BIOGROUP'!$G$43/3,IF($AO$7=$AL$8,'[4]1 trim 2016 BIOGROUP'!$G$43/3,IF($AO$7=$AL$9,'[4]1 trim 2016 BIOGROUP'!$G$43/3,IF($AO$7=$AL$10,'[4]2 trim 2016 BIOGROUP'!$G$43/3,IF($AO$7=$AL$11,'[4]2 trim 2016 BIOGROUP'!$G$43/3,IF($AO$7=$AL$12,'[4]2 trim 2016 BIOGROUP'!$G$43/3,""))))))</f>
        <v>0</v>
      </c>
      <c r="AP36" s="431">
        <f>IF($AP$7=$AL$7,'[4]1 trim 2016 BIOGROUP'!$G$43/3,IF($AP$7=$AL$8,'[4]1 trim 2016 BIOGROUP'!$G$43/3,IF($AP$7=$AL$9,'[4]1 trim 2016 BIOGROUP'!$G$43/3,IF($AP$7=$AL$10,'[4]2 trim 2016 BIOGROUP'!$G$43/3,IF($AP$7=$AL$11,'[4]2 trim 2016 BIOGROUP'!$G$43/3,IF($AP$7=$AL$12,'[4]2 trim 2016 BIOGROUP'!$G$43/3,""))))))</f>
        <v>0</v>
      </c>
      <c r="AQ36" s="431">
        <f>IF($AQ$7=$AL$7,'[4]1 trim 2016 BIOGROUP'!$G$43/3,IF($AQ$7=$AL$8,'[4]1 trim 2016 BIOGROUP'!$G$43/3,IF($AQ$7=$AL$9,'[4]1 trim 2016 BIOGROUP'!$G$43/3,IF($AQ$7=$AL$10,'[4]2 trim 2016 BIOGROUP'!$G$43/3,IF($AQ$7=$AL$11,'[4]2 trim 2016 BIOGROUP'!$G$43/3,IF($AQ$7=$AL$12,'[4]2 trim 2016 BIOGROUP'!$G$43/3,""))))))</f>
        <v>0</v>
      </c>
      <c r="AR36" s="431">
        <f>IF($AR$7=$AL$7,'[4]1 trim 2016 BIOGROUP'!$G$43/3,IF($AR$7=$AL$8,'[4]1 trim 2016 BIOGROUP'!$G$43/3,IF($AR$7=$AL$9,'[4]1 trim 2016 BIOGROUP'!$G$43/3,IF($AR$7=$AL$10,'[4]2 trim 2016 BIOGROUP'!$G$43/3,IF($AR$7=$AL$11,'[4]2 trim 2016 BIOGROUP'!$G$43/3,IF($AR$7=$AL$12,'[4]2 trim 2016 BIOGROUP'!$G$43/3,""))))))</f>
        <v>0</v>
      </c>
      <c r="AS36" s="431">
        <f>IF($AS$7=$AL$7,'[4]1 trim 2016 BIOGROUP'!$G$43/3,IF($AS$7=$AL$8,'[4]1 trim 2016 BIOGROUP'!$G$43/3,IF($AS$7=$AL$9,'[4]1 trim 2016 BIOGROUP'!$G$43/3,IF($AS$7=$AL$10,'[4]2 trim 2016 BIOGROUP'!$G$43/3,IF($AS$7=$AL$11,'[4]2 trim 2016 BIOGROUP'!$G$43/3,IF($AS$7=$AL$12,'[4]2 trim 2016 BIOGROUP'!$G$43/3,""))))))</f>
        <v>0</v>
      </c>
      <c r="AT36" s="431">
        <f>IF($AT$7=$AL$7,'[4]1 trim 2016 BIOGROUP'!$G$43/3,IF($AT$7=$AL$8,'[4]1 trim 2016 BIOGROUP'!$G$43/3,IF($AT$7=$AL$9,'[4]1 trim 2016 BIOGROUP'!$G$43/3,IF($AT$7=$AL$10,'[4]2 trim 2016 BIOGROUP'!$G$43/3,IF($AT$7=$AL$11,'[4]2 trim 2016 BIOGROUP'!$G$43/3,IF($AT$7=$AL$12,'[4]2 trim 2016 BIOGROUP'!$G$43/3,""))))))</f>
        <v>0</v>
      </c>
      <c r="AU36" s="431">
        <f>IF($AU$7=$AL$13,'[4]3 trim 2016 BIOGROUP'!$G$43/3,IF($AU$7=$AL$15,'[4]3 trim 2016 BIOGROUP'!$G$43/3,IF($AU$7=$AL$16,'[4]3 trim 2016 BIOGROUP'!$G$43/3,IF($AU$7=$AL$17,'[4]4 trim 2016 BIOGROUP'!$G$43/3,IF($AU$7=$AL$19,'[4]4 trim 2016 BIOGROUP'!$G$43/3,IF($AU$7=$AL$20,'[4]4 trim 2016 BIOGROUP'!$G$43/3,""))))))</f>
        <v>0</v>
      </c>
      <c r="AV36" s="431">
        <f>IF($AV$7=$AL$13,'[4]3 trim 2016 BIOGROUP'!$G$43/3,IF($AV$7=$AL$15,'[4]3 trim 2016 BIOGROUP'!$G$43/3,IF($AV$7=$AL$16,'[4]3 trim 2016 BIOGROUP'!$G$43/3,IF($AV$7=$AL$17,'[4]4 trim 2016 BIOGROUP'!$G$43/3,IF($AV$7=$AL$19,'[4]4 trim 2016 BIOGROUP'!$G$43/3,IF($AV$7=$AL$20,'[4]4 trim 2016 BIOGROUP'!$G$43/3,""))))))</f>
        <v>0</v>
      </c>
      <c r="AW36" s="431">
        <f>IF($AW$7=$AL$13,'[4]3 trim 2016 BIOGROUP'!$G$43/3,IF($AW$7=$AL$15,'[4]3 trim 2016 BIOGROUP'!$G$43/3,IF($AW$7=$AL$16,'[4]3 trim 2016 BIOGROUP'!$G$43/3,IF($AW$7=$AL$17,'[4]4 trim 2016 BIOGROUP'!$G$43/3,IF($AW$7=$AL$19,'[4]4 trim 2016 BIOGROUP'!$G$43/3,IF($AW$7=$AL$20,'[4]4 trim 2016 BIOGROUP'!$G$43/3,""))))))</f>
        <v>0</v>
      </c>
      <c r="AX36" s="431">
        <f>IF($AX$7=$AL$13,'[4]3 trim 2016 BIOGROUP'!$G$43/3,IF($AX$7=$AL$15,'[4]3 trim 2016 BIOGROUP'!$G$43/3,IF($AX$7=$AL$16,'[4]3 trim 2016 BIOGROUP'!$G$43/3,IF($AX$7=$AL$17,'[4]4 trim 2016 BIOGROUP'!$G$43/3,IF($AX$7=$AL$19,'[4]4 trim 2016 BIOGROUP'!$G$43/3,IF($AX$7=$AL$20,'[4]4 trim 2016 BIOGROUP'!$G$43/3,""))))))</f>
        <v>0</v>
      </c>
      <c r="AY36" s="431">
        <f>IF($AY$7=$AL$13,'[4]3 trim 2016 BIOGROUP'!$G$43/3,IF($AY$7=$AL$15,'[4]3 trim 2016 BIOGROUP'!$G$43/3,IF($AY$7=$AL$16,'[4]3 trim 2016 BIOGROUP'!$G$43/3,IF($AY$7=$AL$17,'[4]4 trim 2016 BIOGROUP'!$G$43/3,IF($AY$7=$AL$19,'[4]4 trim 2016 BIOGROUP'!$G$43/3,IF($AY$7=$AL$20,'[4]4 trim 2016 BIOGROUP'!$G$43/3,""))))))</f>
        <v>0</v>
      </c>
      <c r="AZ36" s="431">
        <f>IF($AZ$7=$AL$13,'[4]3 trim 2016 BIOGROUP'!$G$43/3,IF($AZ$7=$AL$15,'[4]3 trim 2016 BIOGROUP'!$G$43/3,IF($AZ$7=$AL$16,'[4]3 trim 2016 BIOGROUP'!$G$43/3,IF($AZ$7=$AL$17,'[4]4 trim 2016 BIOGROUP'!$G$43/3,IF($AZ$7=$AL$19,'[4]4 trim 2016 BIOGROUP'!$G$43/3,IF($AZ$7=$AL$20,'[4]4 trim 2016 BIOGROUP'!$G$43/3,""))))))</f>
        <v>0</v>
      </c>
      <c r="BB36" s="511">
        <f t="shared" si="5"/>
        <v>0</v>
      </c>
      <c r="BC36" s="750"/>
    </row>
    <row r="37" spans="1:55" ht="26.15" customHeight="1">
      <c r="A37" s="565"/>
      <c r="B37" s="566"/>
      <c r="C37" s="455" t="s">
        <v>96</v>
      </c>
      <c r="D37" s="439"/>
      <c r="E37" s="455" t="str">
        <f>+C37</f>
        <v>EBITDA (% of net revenues)</v>
      </c>
      <c r="G37" s="484">
        <f>+G32+G34</f>
        <v>1944144.45</v>
      </c>
      <c r="H37" s="641">
        <f>+G37/G7</f>
        <v>0.31345810545609171</v>
      </c>
      <c r="J37" s="504">
        <f>J32+J34</f>
        <v>0</v>
      </c>
      <c r="K37" s="505" t="str">
        <f t="shared" si="6"/>
        <v/>
      </c>
      <c r="L37" s="431"/>
      <c r="M37" s="481">
        <v>1047504</v>
      </c>
      <c r="N37" s="522">
        <f t="shared" si="1"/>
        <v>0.85597806786417996</v>
      </c>
      <c r="O37" s="580"/>
      <c r="P37" s="644"/>
      <c r="Q37" s="645"/>
      <c r="R37" s="517"/>
      <c r="S37" s="645"/>
      <c r="T37" s="517"/>
      <c r="U37" s="645"/>
      <c r="V37" s="517"/>
      <c r="W37" s="645"/>
      <c r="X37" s="517"/>
      <c r="Y37" s="645"/>
      <c r="Z37" s="517"/>
      <c r="AA37" s="584"/>
      <c r="AB37" s="484">
        <f>AB32+AB34</f>
        <v>5390940.8099999996</v>
      </c>
      <c r="AC37" s="641">
        <f>AB37/AB7</f>
        <v>0.30204324734634103</v>
      </c>
      <c r="AD37" s="504">
        <f>AD32+AD34</f>
        <v>0</v>
      </c>
      <c r="AE37" s="522" t="str">
        <f t="shared" si="20"/>
        <v/>
      </c>
      <c r="AG37" s="481">
        <v>3070377</v>
      </c>
      <c r="AH37" s="522">
        <f t="shared" si="4"/>
        <v>0.75579116505888355</v>
      </c>
      <c r="AJ37" s="587"/>
      <c r="AM37" s="455" t="s">
        <v>96</v>
      </c>
      <c r="AN37" s="747"/>
      <c r="AO37" s="741">
        <f>AO32+AO34</f>
        <v>1082371.5833333333</v>
      </c>
      <c r="AP37" s="741">
        <f t="shared" ref="AP37:AZ37" si="21">AP32+AP34</f>
        <v>1082371.5833333333</v>
      </c>
      <c r="AQ37" s="741">
        <f t="shared" si="21"/>
        <v>1082371.5833333333</v>
      </c>
      <c r="AR37" s="741">
        <f t="shared" si="21"/>
        <v>1022934.6666666669</v>
      </c>
      <c r="AS37" s="741">
        <f t="shared" si="21"/>
        <v>1022934.6666666669</v>
      </c>
      <c r="AT37" s="741">
        <f t="shared" si="21"/>
        <v>1022934.6666666669</v>
      </c>
      <c r="AU37" s="741">
        <f t="shared" si="21"/>
        <v>812340.00000000035</v>
      </c>
      <c r="AV37" s="741">
        <f t="shared" si="21"/>
        <v>812340.00000000035</v>
      </c>
      <c r="AW37" s="741">
        <f t="shared" si="21"/>
        <v>812340.00000000035</v>
      </c>
      <c r="AX37" s="741">
        <f t="shared" si="21"/>
        <v>991044.33333333337</v>
      </c>
      <c r="AY37" s="741">
        <f t="shared" si="21"/>
        <v>991044.33333333337</v>
      </c>
      <c r="AZ37" s="741">
        <f t="shared" si="21"/>
        <v>991044.33333333337</v>
      </c>
      <c r="BB37" s="748">
        <f t="shared" si="5"/>
        <v>5390940.8099999996</v>
      </c>
      <c r="BC37" s="752"/>
    </row>
    <row r="38" spans="1:55" ht="26.15" customHeight="1" thickBot="1">
      <c r="A38" s="575"/>
      <c r="B38" s="548">
        <v>691</v>
      </c>
      <c r="C38" s="456" t="s">
        <v>99</v>
      </c>
      <c r="D38" s="439"/>
      <c r="E38" s="456" t="s">
        <v>99</v>
      </c>
      <c r="G38" s="485">
        <v>0</v>
      </c>
      <c r="H38" s="591">
        <f>G38/G7</f>
        <v>0</v>
      </c>
      <c r="J38" s="537">
        <v>0</v>
      </c>
      <c r="K38" s="538" t="str">
        <f t="shared" si="6"/>
        <v/>
      </c>
      <c r="L38" s="431"/>
      <c r="M38" s="760"/>
      <c r="N38" s="518" t="str">
        <f t="shared" si="1"/>
        <v/>
      </c>
      <c r="O38" s="580"/>
      <c r="P38" s="646" t="s">
        <v>13</v>
      </c>
      <c r="Q38" s="582" t="e">
        <f>+#REF!+'31 dec 2016 BIOLAM'!AT39</f>
        <v>#REF!</v>
      </c>
      <c r="R38" s="583" t="e">
        <f>Q38/Q$7</f>
        <v>#REF!</v>
      </c>
      <c r="S38" s="582" t="e">
        <f>+'31 dec 2016 BIOLAM'!AV39+#REF!</f>
        <v>#REF!</v>
      </c>
      <c r="T38" s="583" t="e">
        <f>S38/S$7</f>
        <v>#REF!</v>
      </c>
      <c r="U38" s="582" t="e">
        <f>+'31 dec 2016 BIOLAM'!AX39+#REF!</f>
        <v>#REF!</v>
      </c>
      <c r="V38" s="583" t="e">
        <f>U38/U$7</f>
        <v>#REF!</v>
      </c>
      <c r="W38" s="582" t="e">
        <f>+'31 dec 2016 BIOLAM'!AZ39+#REF!</f>
        <v>#REF!</v>
      </c>
      <c r="X38" s="583" t="e">
        <f>W38/W$7</f>
        <v>#REF!</v>
      </c>
      <c r="Y38" s="582" t="e">
        <f>+W38+U38+S38+Q38</f>
        <v>#REF!</v>
      </c>
      <c r="Z38" s="583" t="e">
        <f>Y38/Y$7</f>
        <v>#REF!</v>
      </c>
      <c r="AA38" s="584" t="e">
        <f>+G38-Y38</f>
        <v>#REF!</v>
      </c>
      <c r="AB38" s="485">
        <v>0</v>
      </c>
      <c r="AC38" s="647">
        <f>AB38/AB7</f>
        <v>0</v>
      </c>
      <c r="AD38" s="507">
        <v>0</v>
      </c>
      <c r="AE38" s="518" t="str">
        <f t="shared" si="20"/>
        <v/>
      </c>
      <c r="AG38" s="760"/>
      <c r="AH38" s="518" t="str">
        <f t="shared" si="4"/>
        <v/>
      </c>
      <c r="AM38" s="456" t="s">
        <v>99</v>
      </c>
      <c r="AN38" s="747"/>
      <c r="BB38" s="511">
        <f t="shared" si="5"/>
        <v>0</v>
      </c>
      <c r="BC38" s="750"/>
    </row>
    <row r="39" spans="1:55" ht="26.15" customHeight="1">
      <c r="A39" s="575"/>
      <c r="B39" s="548"/>
      <c r="C39" s="454" t="s">
        <v>96</v>
      </c>
      <c r="D39" s="439"/>
      <c r="E39" s="454" t="str">
        <f>+C39</f>
        <v>EBITDA (% of net revenues)</v>
      </c>
      <c r="G39" s="484">
        <f>+G37+G38</f>
        <v>1944144.45</v>
      </c>
      <c r="H39" s="641">
        <f>+G39/G7</f>
        <v>0.31345810545609171</v>
      </c>
      <c r="J39" s="508">
        <f>J37+J38</f>
        <v>0</v>
      </c>
      <c r="K39" s="505" t="str">
        <f t="shared" si="6"/>
        <v/>
      </c>
      <c r="L39" s="431"/>
      <c r="M39" s="761">
        <v>1047504</v>
      </c>
      <c r="N39" s="522">
        <f t="shared" si="1"/>
        <v>0.85597806786417996</v>
      </c>
      <c r="O39" s="580"/>
      <c r="P39" s="581"/>
      <c r="Q39" s="582"/>
      <c r="R39" s="583"/>
      <c r="S39" s="582"/>
      <c r="T39" s="583"/>
      <c r="U39" s="582"/>
      <c r="V39" s="583"/>
      <c r="W39" s="582"/>
      <c r="X39" s="583"/>
      <c r="Y39" s="582"/>
      <c r="Z39" s="583"/>
      <c r="AA39" s="584"/>
      <c r="AB39" s="484">
        <f>+AB37+AB38</f>
        <v>5390940.8099999996</v>
      </c>
      <c r="AC39" s="641">
        <f>+AB39/AB7</f>
        <v>0.30204324734634103</v>
      </c>
      <c r="AD39" s="508">
        <f>AD37+AD38</f>
        <v>0</v>
      </c>
      <c r="AE39" s="522" t="str">
        <f t="shared" si="20"/>
        <v/>
      </c>
      <c r="AG39" s="767">
        <v>3070377</v>
      </c>
      <c r="AH39" s="522">
        <f t="shared" si="4"/>
        <v>0.75579116505888355</v>
      </c>
      <c r="AM39" s="454" t="s">
        <v>96</v>
      </c>
      <c r="AN39" s="747"/>
      <c r="AO39" s="741">
        <f>AO37-AO38</f>
        <v>1082371.5833333333</v>
      </c>
      <c r="AP39" s="741">
        <f t="shared" ref="AP39:AZ39" si="22">AP37-AP38</f>
        <v>1082371.5833333333</v>
      </c>
      <c r="AQ39" s="741">
        <f t="shared" si="22"/>
        <v>1082371.5833333333</v>
      </c>
      <c r="AR39" s="741">
        <f t="shared" si="22"/>
        <v>1022934.6666666669</v>
      </c>
      <c r="AS39" s="741">
        <f t="shared" si="22"/>
        <v>1022934.6666666669</v>
      </c>
      <c r="AT39" s="741">
        <f t="shared" si="22"/>
        <v>1022934.6666666669</v>
      </c>
      <c r="AU39" s="741">
        <f t="shared" si="22"/>
        <v>812340.00000000035</v>
      </c>
      <c r="AV39" s="741">
        <f t="shared" si="22"/>
        <v>812340.00000000035</v>
      </c>
      <c r="AW39" s="741">
        <f t="shared" si="22"/>
        <v>812340.00000000035</v>
      </c>
      <c r="AX39" s="741">
        <f t="shared" si="22"/>
        <v>991044.33333333337</v>
      </c>
      <c r="AY39" s="741">
        <f t="shared" si="22"/>
        <v>991044.33333333337</v>
      </c>
      <c r="AZ39" s="741">
        <f t="shared" si="22"/>
        <v>991044.33333333337</v>
      </c>
      <c r="BB39" s="748">
        <f t="shared" si="5"/>
        <v>5390940.8099999996</v>
      </c>
      <c r="BC39" s="752"/>
    </row>
    <row r="40" spans="1:55" ht="26.15" customHeight="1" thickBot="1">
      <c r="A40" s="575"/>
      <c r="B40" s="548">
        <v>681</v>
      </c>
      <c r="C40" s="458" t="s">
        <v>100</v>
      </c>
      <c r="D40" s="439"/>
      <c r="E40" s="458" t="s">
        <v>118</v>
      </c>
      <c r="G40" s="475">
        <f>+-116980.71-G41</f>
        <v>-70636.300000000017</v>
      </c>
      <c r="H40" s="578">
        <f>+G40/G7</f>
        <v>-1.1388824927298039E-2</v>
      </c>
      <c r="J40" s="495">
        <f>-SUMIF($AO$7:$AZ$7,$G$6,AO40:AZ40)</f>
        <v>0</v>
      </c>
      <c r="K40" s="532" t="str">
        <f t="shared" si="6"/>
        <v/>
      </c>
      <c r="L40" s="431"/>
      <c r="M40" s="753"/>
      <c r="N40" s="517" t="str">
        <f t="shared" si="1"/>
        <v/>
      </c>
      <c r="O40" s="580"/>
      <c r="P40" s="581"/>
      <c r="Q40" s="582"/>
      <c r="R40" s="583"/>
      <c r="S40" s="582"/>
      <c r="T40" s="583"/>
      <c r="U40" s="582"/>
      <c r="V40" s="583"/>
      <c r="W40" s="582"/>
      <c r="X40" s="583"/>
      <c r="Y40" s="582"/>
      <c r="Z40" s="583"/>
      <c r="AA40" s="584"/>
      <c r="AB40" s="475">
        <f>-366120.54-AB41</f>
        <v>-182471.34</v>
      </c>
      <c r="AC40" s="578">
        <f>+AB40/AB7</f>
        <v>-1.0223491227913946E-2</v>
      </c>
      <c r="AD40" s="495">
        <f>-SUMIF($AO$7:$AZ$7,"&lt;="&amp;$AC$6,AO40:AZ40)</f>
        <v>0</v>
      </c>
      <c r="AE40" s="517" t="str">
        <f t="shared" si="20"/>
        <v/>
      </c>
      <c r="AG40" s="753"/>
      <c r="AH40" s="517" t="str">
        <f t="shared" si="4"/>
        <v/>
      </c>
      <c r="AJ40" s="620"/>
      <c r="AM40" s="458" t="s">
        <v>118</v>
      </c>
      <c r="AN40" s="747"/>
      <c r="AO40" s="431">
        <f>IF($AO$7=$AL$7,'[4]1 trim 2016 BIOGROUP'!$G$39/3,IF($AO$7=$AL$8,'[4]1 trim 2016 BIOGROUP'!$G$39/3,IF($AO$7=$AL$9,'[4]1 trim 2016 BIOGROUP'!$G$39/3,IF($AO$7=$AL$10,'[4]2 trim 2016 BIOGROUP'!$G$39/3,IF($AO$7=$AL$11,'[4]2 trim 2016 BIOGROUP'!$G$39/3,IF($AO$7=$AL$12,'[4]2 trim 2016 BIOGROUP'!$G$39/3,""))))))</f>
        <v>52039.083333333336</v>
      </c>
      <c r="AP40" s="431">
        <f>IF($AP$7=$AL$7,'[4]1 trim 2016 BIOGROUP'!$G$39/3,IF($AP$7=$AL$8,'[4]1 trim 2016 BIOGROUP'!$G$39/3,IF($AP$7=$AL$9,'[4]1 trim 2016 BIOGROUP'!$G$39/3,IF($AP$7=$AL$10,'[4]2 trim 2016 BIOGROUP'!$G$39/3,IF($AP$7=$AL$11,'[4]2 trim 2016 BIOGROUP'!$G$39/3,IF($AP$7=$AL$12,'[4]2 trim 2016 BIOGROUP'!$G$39/3,""))))))</f>
        <v>52039.083333333336</v>
      </c>
      <c r="AQ40" s="431">
        <f>IF($AQ$7=$AL$7,'[4]1 trim 2016 BIOGROUP'!$G$39/3,IF($AQ$7=$AL$8,'[4]1 trim 2016 BIOGROUP'!$G$39/3,IF($AQ$7=$AL$9,'[4]1 trim 2016 BIOGROUP'!$G$39/3,IF($AQ$7=$AL$10,'[4]2 trim 2016 BIOGROUP'!$G$39/3,IF($AQ$7=$AL$11,'[4]2 trim 2016 BIOGROUP'!$G$39/3,IF($AQ$7=$AL$12,'[4]2 trim 2016 BIOGROUP'!$G$39/3,""))))))</f>
        <v>52039.083333333336</v>
      </c>
      <c r="AR40" s="431">
        <f>IF($AR$7=$AL$7,'[4]1 trim 2016 BIOGROUP'!$G$39/3,IF($AR$7=$AL$8,'[4]1 trim 2016 BIOGROUP'!$G$39/3,IF($AR$7=$AL$9,'[4]1 trim 2016 BIOGROUP'!$G$39/3,IF($AR$7=$AL$10,'[4]2 trim 2016 BIOGROUP'!$G$39/3,IF($AR$7=$AL$11,'[4]2 trim 2016 BIOGROUP'!$G$39/3,IF($AR$7=$AL$12,'[4]2 trim 2016 BIOGROUP'!$G$39/3,""))))))</f>
        <v>52039.083333333336</v>
      </c>
      <c r="AS40" s="431">
        <f>IF($AS$7=$AL$7,'[4]1 trim 2016 BIOGROUP'!$G$39/3,IF($AS$7=$AL$8,'[4]1 trim 2016 BIOGROUP'!$G$39/3,IF($AS$7=$AL$9,'[4]1 trim 2016 BIOGROUP'!$G$39/3,IF($AS$7=$AL$10,'[4]2 trim 2016 BIOGROUP'!$G$39/3,IF($AS$7=$AL$11,'[4]2 trim 2016 BIOGROUP'!$G$39/3,IF($AS$7=$AL$12,'[4]2 trim 2016 BIOGROUP'!$G$39/3,""))))))</f>
        <v>52039.083333333336</v>
      </c>
      <c r="AT40" s="431">
        <f>IF($AT$7=$AL$7,'[4]1 trim 2016 BIOGROUP'!$G$39/3,IF($AT$7=$AL$8,'[4]1 trim 2016 BIOGROUP'!$G$39/3,IF($AT$7=$AL$9,'[4]1 trim 2016 BIOGROUP'!$G$39/3,IF($AT$7=$AL$10,'[4]2 trim 2016 BIOGROUP'!$G$39/3,IF($AT$7=$AL$11,'[4]2 trim 2016 BIOGROUP'!$G$39/3,IF($AT$7=$AL$12,'[4]2 trim 2016 BIOGROUP'!$G$39/3,""))))))</f>
        <v>52039.083333333336</v>
      </c>
      <c r="AU40" s="431">
        <f>IF($AU$7=$AL$13,'[4]3 trim 2016 BIOGROUP'!$G$39/3,IF($AU$7=$AL$15,'[4]3 trim 2016 BIOGROUP'!$G$39/3,IF($AU$7=$AL$16,'[4]3 trim 2016 BIOGROUP'!$G$39/3,IF($AU$7=$AL$17,'[4]4 trim 2016 BIOGROUP'!$G$39/3,IF($AU$7=$AL$19,'[4]4 trim 2016 BIOGROUP'!$G$39/3,IF($AU$7=$AL$20,'[4]4 trim 2016 BIOGROUP'!$G$39/3,""))))))</f>
        <v>52039.083333333336</v>
      </c>
      <c r="AV40" s="431">
        <f>IF($AV$7=$AL$13,'[4]3 trim 2016 BIOGROUP'!$G$39/3,IF($AV$7=$AL$15,'[4]3 trim 2016 BIOGROUP'!$G$39/3,IF($AV$7=$AL$16,'[4]3 trim 2016 BIOGROUP'!$G$39/3,IF($AV$7=$AL$17,'[4]4 trim 2016 BIOGROUP'!$G$39/3,IF($AV$7=$AL$19,'[4]4 trim 2016 BIOGROUP'!$G$39/3,IF($AV$7=$AL$20,'[4]4 trim 2016 BIOGROUP'!$G$39/3,""))))))</f>
        <v>52039.083333333336</v>
      </c>
      <c r="AW40" s="431">
        <f>IF($AW$7=$AL$13,'[4]3 trim 2016 BIOGROUP'!$G$39/3,IF($AW$7=$AL$15,'[4]3 trim 2016 BIOGROUP'!$G$39/3,IF($AW$7=$AL$16,'[4]3 trim 2016 BIOGROUP'!$G$39/3,IF($AW$7=$AL$17,'[4]4 trim 2016 BIOGROUP'!$G$39/3,IF($AW$7=$AL$19,'[4]4 trim 2016 BIOGROUP'!$G$39/3,IF($AW$7=$AL$20,'[4]4 trim 2016 BIOGROUP'!$G$39/3,""))))))</f>
        <v>52039.083333333336</v>
      </c>
      <c r="AX40" s="431">
        <f>IF($AX$7=$AL$13,'[4]3 trim 2016 BIOGROUP'!$G$39/3,IF($AX$7=$AL$15,'[4]3 trim 2016 BIOGROUP'!$G$39/3,IF($AX$7=$AL$16,'[4]3 trim 2016 BIOGROUP'!$G$39/3,IF($AX$7=$AL$17,'[4]4 trim 2016 BIOGROUP'!$G$39/3,IF($AX$7=$AL$19,'[4]4 trim 2016 BIOGROUP'!$G$39/3,IF($AX$7=$AL$20,'[4]4 trim 2016 BIOGROUP'!$G$39/3,""))))))</f>
        <v>52039.083333333336</v>
      </c>
      <c r="AY40" s="431">
        <f>IF($AY$7=$AL$13,'[4]3 trim 2016 BIOGROUP'!$G$39/3,IF($AY$7=$AL$15,'[4]3 trim 2016 BIOGROUP'!$G$39/3,IF($AY$7=$AL$16,'[4]3 trim 2016 BIOGROUP'!$G$39/3,IF($AY$7=$AL$17,'[4]4 trim 2016 BIOGROUP'!$G$39/3,IF($AY$7=$AL$19,'[4]4 trim 2016 BIOGROUP'!$G$39/3,IF($AY$7=$AL$20,'[4]4 trim 2016 BIOGROUP'!$G$39/3,""))))))</f>
        <v>52039.083333333336</v>
      </c>
      <c r="AZ40" s="431">
        <f>IF($AZ$7=$AL$13,'[4]3 trim 2016 BIOGROUP'!$G$39/3,IF($AZ$7=$AL$15,'[4]3 trim 2016 BIOGROUP'!$G$39/3,IF($AZ$7=$AL$16,'[4]3 trim 2016 BIOGROUP'!$G$39/3,IF($AZ$7=$AL$17,'[4]4 trim 2016 BIOGROUP'!$G$39/3,IF($AZ$7=$AL$19,'[4]4 trim 2016 BIOGROUP'!$G$39/3,IF($AZ$7=$AL$20,'[4]4 trim 2016 BIOGROUP'!$G$39/3,""))))))</f>
        <v>52039.083333333336</v>
      </c>
      <c r="BB40" s="511">
        <f t="shared" si="5"/>
        <v>182471.34</v>
      </c>
      <c r="BC40" s="750"/>
    </row>
    <row r="41" spans="1:55" ht="27.75" customHeight="1">
      <c r="A41" s="649"/>
      <c r="B41" s="650">
        <v>681</v>
      </c>
      <c r="C41" s="459" t="s">
        <v>129</v>
      </c>
      <c r="D41" s="651"/>
      <c r="E41" s="459" t="s">
        <v>40</v>
      </c>
      <c r="F41" s="652"/>
      <c r="G41" s="486">
        <f>+-14402.7-22545-9396.71</f>
        <v>-46344.409999999996</v>
      </c>
      <c r="H41" s="653">
        <f>G41/G7</f>
        <v>-7.4721973241650592E-3</v>
      </c>
      <c r="J41" s="509">
        <f>-SUMIF($AO$7:$AZ$7,$G$6,AO41:AZ41)</f>
        <v>0</v>
      </c>
      <c r="K41" s="539" t="str">
        <f t="shared" si="6"/>
        <v/>
      </c>
      <c r="L41" s="431"/>
      <c r="M41" s="762"/>
      <c r="N41" s="523" t="str">
        <f t="shared" si="1"/>
        <v/>
      </c>
      <c r="O41" s="655"/>
      <c r="P41" s="656" t="s">
        <v>40</v>
      </c>
      <c r="Q41" s="657" t="e">
        <f>+#REF!+'31 dec 2016 BIOLAM'!AT40</f>
        <v>#REF!</v>
      </c>
      <c r="R41" s="658" t="e">
        <f>Q41/Q$7</f>
        <v>#REF!</v>
      </c>
      <c r="S41" s="657" t="e">
        <f>+'31 dec 2016 BIOLAM'!AV40+#REF!</f>
        <v>#REF!</v>
      </c>
      <c r="T41" s="658" t="e">
        <f>S41/S$7</f>
        <v>#REF!</v>
      </c>
      <c r="U41" s="657" t="e">
        <f>+'31 dec 2016 BIOLAM'!AX40+#REF!</f>
        <v>#REF!</v>
      </c>
      <c r="V41" s="658" t="e">
        <f>U41/U$7</f>
        <v>#REF!</v>
      </c>
      <c r="W41" s="657" t="e">
        <f>+'31 dec 2016 BIOLAM'!AZ40+#REF!</f>
        <v>#REF!</v>
      </c>
      <c r="X41" s="658" t="e">
        <f>W41/W$7</f>
        <v>#REF!</v>
      </c>
      <c r="Y41" s="657" t="e">
        <f>+W41+U41+S41+Q41</f>
        <v>#REF!</v>
      </c>
      <c r="Z41" s="658" t="e">
        <f>Y41/Y$7</f>
        <v>#REF!</v>
      </c>
      <c r="AA41" s="659" t="e">
        <f>+G41-Y41</f>
        <v>#REF!</v>
      </c>
      <c r="AB41" s="486">
        <f>-49861.49-124391-9396.71</f>
        <v>-183649.19999999998</v>
      </c>
      <c r="AC41" s="653">
        <f>AB41/AB7</f>
        <v>-1.0289484284016402E-2</v>
      </c>
      <c r="AD41" s="509">
        <f>-SUMIF($AO$7:$AZ$7,"&lt;="&amp;$AC$6,AO41:AZ41)</f>
        <v>0</v>
      </c>
      <c r="AE41" s="523" t="str">
        <f t="shared" si="20"/>
        <v/>
      </c>
      <c r="AG41" s="762"/>
      <c r="AH41" s="523" t="str">
        <f t="shared" si="4"/>
        <v/>
      </c>
      <c r="AJ41" s="620"/>
      <c r="AM41" s="459" t="s">
        <v>40</v>
      </c>
      <c r="AN41" s="747"/>
      <c r="AO41" s="431">
        <f>IF($AO$7=$AL$7,'[4]1 trim 2016 BIOGROUP'!$G$40/3,IF($AO$7=$AL$8,'[4]1 trim 2016 BIOGROUP'!$G$40/3,IF($AO$7=$AL$9,'[4]1 trim 2016 BIOGROUP'!$G$40/3,IF($AO$7=$AL$10,'[4]2 trim 2016 BIOGROUP'!$G$40/3,IF($AO$7=$AL$11,'[4]2 trim 2016 BIOGROUP'!$G$40/3,IF($AO$7=$AL$12,'[4]2 trim 2016 BIOGROUP'!$G$40/3,""))))))</f>
        <v>21022.25</v>
      </c>
      <c r="AP41" s="431">
        <f>IF($AP$7=$AL$7,'[4]1 trim 2016 BIOGROUP'!$G$40/3,IF($AP$7=$AL$8,'[4]1 trim 2016 BIOGROUP'!$G$40/3,IF($AP$7=$AL$9,'[4]1 trim 2016 BIOGROUP'!$G$40/3,IF($AP$7=$AL$10,'[4]2 trim 2016 BIOGROUP'!$G$40/3,IF($AP$7=$AL$11,'[4]2 trim 2016 BIOGROUP'!$G$40/3,IF($AP$7=$AL$12,'[4]2 trim 2016 BIOGROUP'!$G$40/3,""))))))</f>
        <v>21022.25</v>
      </c>
      <c r="AQ41" s="431">
        <f>IF($AQ$7=$AL$7,'[4]1 trim 2016 BIOGROUP'!$G$40/3,IF($AQ$7=$AL$8,'[4]1 trim 2016 BIOGROUP'!$G$40/3,IF($AQ$7=$AL$9,'[4]1 trim 2016 BIOGROUP'!$G$40/3,IF($AQ$7=$AL$10,'[4]2 trim 2016 BIOGROUP'!$G$40/3,IF($AQ$7=$AL$11,'[4]2 trim 2016 BIOGROUP'!$G$40/3,IF($AQ$7=$AL$12,'[4]2 trim 2016 BIOGROUP'!$G$40/3,""))))))</f>
        <v>21022.25</v>
      </c>
      <c r="AR41" s="431">
        <f>IF($AR$7=$AL$7,'[4]1 trim 2016 BIOGROUP'!$G$40/3,IF($AR$7=$AL$8,'[4]1 trim 2016 BIOGROUP'!$G$40/3,IF($AR$7=$AL$9,'[4]1 trim 2016 BIOGROUP'!$G$40/3,IF($AR$7=$AL$10,'[4]2 trim 2016 BIOGROUP'!$G$40/3,IF($AR$7=$AL$11,'[4]2 trim 2016 BIOGROUP'!$G$40/3,IF($AR$7=$AL$12,'[4]2 trim 2016 BIOGROUP'!$G$40/3,""))))))</f>
        <v>21022.25</v>
      </c>
      <c r="AS41" s="431">
        <f>IF($AS$7=$AL$7,'[4]1 trim 2016 BIOGROUP'!$G$40/3,IF($AS$7=$AL$8,'[4]1 trim 2016 BIOGROUP'!$G$40/3,IF($AS$7=$AL$9,'[4]1 trim 2016 BIOGROUP'!$G$40/3,IF($AS$7=$AL$10,'[4]2 trim 2016 BIOGROUP'!$G$40/3,IF($AS$7=$AL$11,'[4]2 trim 2016 BIOGROUP'!$G$40/3,IF($AS$7=$AL$12,'[4]2 trim 2016 BIOGROUP'!$G$40/3,""))))))</f>
        <v>21022.25</v>
      </c>
      <c r="AT41" s="431">
        <f>IF($AT$7=$AL$7,'[4]1 trim 2016 BIOGROUP'!$G$40/3,IF($AT$7=$AL$8,'[4]1 trim 2016 BIOGROUP'!$G$40/3,IF($AT$7=$AL$9,'[4]1 trim 2016 BIOGROUP'!$G$40/3,IF($AT$7=$AL$10,'[4]2 trim 2016 BIOGROUP'!$G$40/3,IF($AT$7=$AL$11,'[4]2 trim 2016 BIOGROUP'!$G$40/3,IF($AT$7=$AL$12,'[4]2 trim 2016 BIOGROUP'!$G$40/3,""))))))</f>
        <v>21022.25</v>
      </c>
      <c r="AU41" s="431">
        <f>IF($AU$7=$AL$13,'[4]3 trim 2016 BIOGROUP'!$G$40/3,IF($AU$7=$AL$15,'[4]3 trim 2016 BIOGROUP'!$G$40/3,IF($AU$7=$AL$16,'[4]3 trim 2016 BIOGROUP'!$G$40/3,IF($AU$7=$AL$17,'[4]4 trim 2016 BIOGROUP'!$G$40/3,IF($AU$7=$AL$19,'[4]4 trim 2016 BIOGROUP'!$G$40/3,IF($AU$7=$AL$20,'[4]4 trim 2016 BIOGROUP'!$G$40/3,""))))))</f>
        <v>21022.25</v>
      </c>
      <c r="AV41" s="431">
        <f>IF($AV$7=$AL$13,'[4]3 trim 2016 BIOGROUP'!$G$40/3,IF($AV$7=$AL$15,'[4]3 trim 2016 BIOGROUP'!$G$40/3,IF($AV$7=$AL$16,'[4]3 trim 2016 BIOGROUP'!$G$40/3,IF($AV$7=$AL$17,'[4]4 trim 2016 BIOGROUP'!$G$40/3,IF($AV$7=$AL$19,'[4]4 trim 2016 BIOGROUP'!$G$40/3,IF($AV$7=$AL$20,'[4]4 trim 2016 BIOGROUP'!$G$40/3,""))))))</f>
        <v>21022.25</v>
      </c>
      <c r="AW41" s="431">
        <f>IF($AW$7=$AL$13,'[4]3 trim 2016 BIOGROUP'!$G$40/3,IF($AW$7=$AL$15,'[4]3 trim 2016 BIOGROUP'!$G$40/3,IF($AW$7=$AL$16,'[4]3 trim 2016 BIOGROUP'!$G$40/3,IF($AW$7=$AL$17,'[4]4 trim 2016 BIOGROUP'!$G$40/3,IF($AW$7=$AL$19,'[4]4 trim 2016 BIOGROUP'!$G$40/3,IF($AW$7=$AL$20,'[4]4 trim 2016 BIOGROUP'!$G$40/3,""))))))</f>
        <v>21022.25</v>
      </c>
      <c r="AX41" s="431">
        <f>IF($AX$7=$AL$13,'[4]3 trim 2016 BIOGROUP'!$G$40/3,IF($AX$7=$AL$15,'[4]3 trim 2016 BIOGROUP'!$G$40/3,IF($AX$7=$AL$16,'[4]3 trim 2016 BIOGROUP'!$G$40/3,IF($AX$7=$AL$17,'[4]4 trim 2016 BIOGROUP'!$G$40/3,IF($AX$7=$AL$19,'[4]4 trim 2016 BIOGROUP'!$G$40/3,IF($AX$7=$AL$20,'[4]4 trim 2016 BIOGROUP'!$G$40/3,""))))))</f>
        <v>21022.25</v>
      </c>
      <c r="AY41" s="431">
        <f>IF($AY$7=$AL$13,'[4]3 trim 2016 BIOGROUP'!$G$40/3,IF($AY$7=$AL$15,'[4]3 trim 2016 BIOGROUP'!$G$40/3,IF($AY$7=$AL$16,'[4]3 trim 2016 BIOGROUP'!$G$40/3,IF($AY$7=$AL$17,'[4]4 trim 2016 BIOGROUP'!$G$40/3,IF($AY$7=$AL$19,'[4]4 trim 2016 BIOGROUP'!$G$40/3,IF($AY$7=$AL$20,'[4]4 trim 2016 BIOGROUP'!$G$40/3,""))))))</f>
        <v>21022.25</v>
      </c>
      <c r="AZ41" s="431">
        <f>IF($AZ$7=$AL$13,'[4]3 trim 2016 BIOGROUP'!$G$40/3,IF($AZ$7=$AL$15,'[4]3 trim 2016 BIOGROUP'!$G$40/3,IF($AZ$7=$AL$16,'[4]3 trim 2016 BIOGROUP'!$G$40/3,IF($AZ$7=$AL$17,'[4]4 trim 2016 BIOGROUP'!$G$40/3,IF($AZ$7=$AL$19,'[4]4 trim 2016 BIOGROUP'!$G$40/3,IF($AZ$7=$AL$20,'[4]4 trim 2016 BIOGROUP'!$G$40/3,""))))))</f>
        <v>21022.25</v>
      </c>
      <c r="BB41" s="511">
        <f t="shared" si="5"/>
        <v>183649.19999999998</v>
      </c>
      <c r="BC41" s="750"/>
    </row>
    <row r="42" spans="1:55" ht="26.15" customHeight="1">
      <c r="A42" s="649"/>
      <c r="B42" s="650"/>
      <c r="C42" s="460" t="s">
        <v>96</v>
      </c>
      <c r="D42" s="439"/>
      <c r="E42" s="460" t="str">
        <f>+C42</f>
        <v>EBITDA (% of net revenues)</v>
      </c>
      <c r="G42" s="487">
        <f>+G39+G40+G41</f>
        <v>1827163.74</v>
      </c>
      <c r="H42" s="641">
        <f>+G42/G7</f>
        <v>0.29459708320462863</v>
      </c>
      <c r="J42" s="504">
        <f>J39+J40+J41</f>
        <v>0</v>
      </c>
      <c r="K42" s="505" t="str">
        <f t="shared" si="6"/>
        <v/>
      </c>
      <c r="L42" s="431"/>
      <c r="M42" s="481">
        <v>1047504</v>
      </c>
      <c r="N42" s="522">
        <f t="shared" si="1"/>
        <v>0.74430239884525495</v>
      </c>
      <c r="O42" s="580"/>
      <c r="P42" s="660"/>
      <c r="Q42" s="661"/>
      <c r="R42" s="583"/>
      <c r="S42" s="661"/>
      <c r="T42" s="583"/>
      <c r="U42" s="661"/>
      <c r="V42" s="583"/>
      <c r="W42" s="661"/>
      <c r="X42" s="583"/>
      <c r="Y42" s="661"/>
      <c r="Z42" s="583"/>
      <c r="AA42" s="584"/>
      <c r="AB42" s="487">
        <f>AB37+AB38+AB39</f>
        <v>10781881.619999999</v>
      </c>
      <c r="AC42" s="641">
        <f>+AB42/AB7</f>
        <v>0.60408649469268205</v>
      </c>
      <c r="AD42" s="504">
        <f>AD39+AD40+AD41</f>
        <v>0</v>
      </c>
      <c r="AE42" s="522" t="str">
        <f t="shared" si="20"/>
        <v/>
      </c>
      <c r="AG42" s="481">
        <v>3070377</v>
      </c>
      <c r="AH42" s="522">
        <f t="shared" si="4"/>
        <v>2.5115823301177671</v>
      </c>
      <c r="AM42" s="460" t="s">
        <v>96</v>
      </c>
      <c r="AN42" s="747"/>
      <c r="AO42" s="741">
        <f>AO39-AO40-AO41</f>
        <v>1009310.2499999999</v>
      </c>
      <c r="AP42" s="741">
        <f t="shared" ref="AP42:AZ42" si="23">AP39-AP40-AP41</f>
        <v>1009310.2499999999</v>
      </c>
      <c r="AQ42" s="741">
        <f t="shared" si="23"/>
        <v>1009310.2499999999</v>
      </c>
      <c r="AR42" s="741">
        <f t="shared" si="23"/>
        <v>949873.33333333349</v>
      </c>
      <c r="AS42" s="741">
        <f t="shared" si="23"/>
        <v>949873.33333333349</v>
      </c>
      <c r="AT42" s="741">
        <f t="shared" si="23"/>
        <v>949873.33333333349</v>
      </c>
      <c r="AU42" s="741">
        <f t="shared" si="23"/>
        <v>739278.66666666698</v>
      </c>
      <c r="AV42" s="741">
        <f>AV39-AV40-AV41</f>
        <v>739278.66666666698</v>
      </c>
      <c r="AW42" s="741">
        <f t="shared" si="23"/>
        <v>739278.66666666698</v>
      </c>
      <c r="AX42" s="741">
        <f t="shared" si="23"/>
        <v>917983</v>
      </c>
      <c r="AY42" s="741">
        <f t="shared" si="23"/>
        <v>917983</v>
      </c>
      <c r="AZ42" s="741">
        <f t="shared" si="23"/>
        <v>917983</v>
      </c>
      <c r="BB42" s="748">
        <f t="shared" si="5"/>
        <v>10781881.619999999</v>
      </c>
      <c r="BC42" s="752"/>
    </row>
    <row r="43" spans="1:55" ht="36.75" customHeight="1">
      <c r="A43" s="662"/>
      <c r="B43" s="566"/>
      <c r="C43" s="461" t="s">
        <v>101</v>
      </c>
      <c r="D43" s="439"/>
      <c r="E43" s="461" t="s">
        <v>102</v>
      </c>
      <c r="G43" s="488">
        <f>SUM(G44:G46)</f>
        <v>-160347.28</v>
      </c>
      <c r="H43" s="623">
        <f>G43/G7</f>
        <v>-2.585309677160947E-2</v>
      </c>
      <c r="J43" s="510">
        <f>SUM(J44:J46)</f>
        <v>0</v>
      </c>
      <c r="K43" s="534" t="str">
        <f t="shared" si="6"/>
        <v/>
      </c>
      <c r="L43" s="431"/>
      <c r="M43" s="763">
        <v>-186705</v>
      </c>
      <c r="N43" s="520">
        <f t="shared" si="1"/>
        <v>-0.14117308052810584</v>
      </c>
      <c r="O43" s="592"/>
      <c r="P43" s="611" t="str">
        <f>+E43</f>
        <v>RESULTAT FINANCIER</v>
      </c>
      <c r="Q43" s="663" t="e">
        <f>+Q32-Q38-Q41</f>
        <v>#REF!</v>
      </c>
      <c r="R43" s="622" t="e">
        <f>Q43/Q$7</f>
        <v>#REF!</v>
      </c>
      <c r="S43" s="663" t="e">
        <f>+S32-S38-S41</f>
        <v>#REF!</v>
      </c>
      <c r="T43" s="622" t="e">
        <f>S43/S$7</f>
        <v>#REF!</v>
      </c>
      <c r="U43" s="663" t="e">
        <f>+U32-U38-U41</f>
        <v>#REF!</v>
      </c>
      <c r="V43" s="622" t="e">
        <f>U43/U$7</f>
        <v>#REF!</v>
      </c>
      <c r="W43" s="663" t="e">
        <f>+W32-W38-W41</f>
        <v>#REF!</v>
      </c>
      <c r="X43" s="622" t="e">
        <f>W43/W$7</f>
        <v>#REF!</v>
      </c>
      <c r="Y43" s="663" t="e">
        <f>+Y32-Y38-Y41</f>
        <v>#REF!</v>
      </c>
      <c r="Z43" s="622" t="e">
        <f>Y43/Y$7</f>
        <v>#REF!</v>
      </c>
      <c r="AA43" s="609" t="e">
        <f>+G43-Y43</f>
        <v>#REF!</v>
      </c>
      <c r="AB43" s="488">
        <f>SUM(AB44:AB46)</f>
        <v>-647845.48</v>
      </c>
      <c r="AC43" s="664">
        <f>AB43/AB7</f>
        <v>-3.6297440364189242E-2</v>
      </c>
      <c r="AD43" s="510">
        <f>SUM(AD44:AD46)</f>
        <v>0</v>
      </c>
      <c r="AE43" s="520" t="str">
        <f t="shared" si="20"/>
        <v/>
      </c>
      <c r="AG43" s="763">
        <v>-184069</v>
      </c>
      <c r="AH43" s="520">
        <f t="shared" si="4"/>
        <v>2.51957950551152</v>
      </c>
      <c r="AM43" s="461" t="s">
        <v>102</v>
      </c>
      <c r="AN43" s="747"/>
      <c r="AO43" s="741">
        <f>-SUM(AO44:AO46)</f>
        <v>-1421000.8333333333</v>
      </c>
      <c r="AP43" s="741">
        <f t="shared" ref="AP43:AZ43" si="24">-SUM(AP44:AP46)</f>
        <v>-1421000.8333333333</v>
      </c>
      <c r="AQ43" s="741">
        <f t="shared" si="24"/>
        <v>-1421000.8333333333</v>
      </c>
      <c r="AR43" s="741">
        <f t="shared" si="24"/>
        <v>-1421000.8333333333</v>
      </c>
      <c r="AS43" s="741">
        <f t="shared" si="24"/>
        <v>-1421000.8333333333</v>
      </c>
      <c r="AT43" s="741">
        <f t="shared" si="24"/>
        <v>-1421000.8333333333</v>
      </c>
      <c r="AU43" s="741">
        <f t="shared" si="24"/>
        <v>-1421000.8333333333</v>
      </c>
      <c r="AV43" s="741">
        <f t="shared" si="24"/>
        <v>-1421000.8333333333</v>
      </c>
      <c r="AW43" s="741">
        <f t="shared" si="24"/>
        <v>-1421000.8333333333</v>
      </c>
      <c r="AX43" s="741">
        <f t="shared" si="24"/>
        <v>-1421000.8333333333</v>
      </c>
      <c r="AY43" s="741">
        <f t="shared" si="24"/>
        <v>-1421000.8333333333</v>
      </c>
      <c r="AZ43" s="741">
        <f t="shared" si="24"/>
        <v>-1421000.8333333333</v>
      </c>
      <c r="BB43" s="748">
        <f t="shared" si="5"/>
        <v>647845.48</v>
      </c>
      <c r="BC43" s="752"/>
    </row>
    <row r="44" spans="1:55" ht="26.15" customHeight="1">
      <c r="A44" s="575"/>
      <c r="B44" s="548">
        <v>76</v>
      </c>
      <c r="C44" s="450" t="s">
        <v>148</v>
      </c>
      <c r="D44" s="439"/>
      <c r="E44" s="450" t="s">
        <v>16</v>
      </c>
      <c r="F44" s="577"/>
      <c r="G44" s="475">
        <v>34821.81</v>
      </c>
      <c r="H44" s="578">
        <f>G44/G7</f>
        <v>5.6143866219158711E-3</v>
      </c>
      <c r="J44" s="511">
        <f>-SUMIF($AO$7:$AZ$7,$G$6,AO44:AZ44)</f>
        <v>0</v>
      </c>
      <c r="K44" s="532" t="str">
        <f t="shared" si="6"/>
        <v/>
      </c>
      <c r="L44" s="431"/>
      <c r="M44" s="753"/>
      <c r="N44" s="517" t="str">
        <f t="shared" si="1"/>
        <v/>
      </c>
      <c r="O44" s="592"/>
      <c r="P44" s="616" t="s">
        <v>16</v>
      </c>
      <c r="Q44" s="607" t="e">
        <f>+#REF!+'31 dec 2016 BIOLAM'!AT45</f>
        <v>#REF!</v>
      </c>
      <c r="R44" s="622" t="e">
        <f>Q44/Q$7</f>
        <v>#REF!</v>
      </c>
      <c r="S44" s="607" t="e">
        <f>+'31 dec 2016 BIOLAM'!AV45+#REF!</f>
        <v>#REF!</v>
      </c>
      <c r="T44" s="622" t="e">
        <f>S44/S$7</f>
        <v>#REF!</v>
      </c>
      <c r="U44" s="607" t="e">
        <f>+'31 dec 2016 BIOLAM'!AX45+#REF!</f>
        <v>#REF!</v>
      </c>
      <c r="V44" s="622" t="e">
        <f>U44/U$7</f>
        <v>#REF!</v>
      </c>
      <c r="W44" s="607" t="e">
        <f>+'31 dec 2016 BIOLAM'!AZ45+#REF!</f>
        <v>#REF!</v>
      </c>
      <c r="X44" s="622" t="e">
        <f>W44/W$7</f>
        <v>#REF!</v>
      </c>
      <c r="Y44" s="607" t="e">
        <f>+W44+U44+S44+Q44</f>
        <v>#REF!</v>
      </c>
      <c r="Z44" s="622" t="e">
        <f>Y44/Y$7</f>
        <v>#REF!</v>
      </c>
      <c r="AA44" s="609" t="e">
        <f>+G44-Y44</f>
        <v>#REF!</v>
      </c>
      <c r="AB44" s="475">
        <v>35987.85</v>
      </c>
      <c r="AC44" s="578">
        <f>AB44/AB7</f>
        <v>2.0163246939847259E-3</v>
      </c>
      <c r="AD44" s="511">
        <f>-SUMIF($AO$7:$AZ$7,"&lt;="&amp;$AC$6,AO44:AZ44)</f>
        <v>0</v>
      </c>
      <c r="AE44" s="517" t="str">
        <f t="shared" si="20"/>
        <v/>
      </c>
      <c r="AG44" s="753">
        <v>-289</v>
      </c>
      <c r="AH44" s="517">
        <f t="shared" si="4"/>
        <v>-125.52543252595156</v>
      </c>
      <c r="AM44" s="450" t="s">
        <v>16</v>
      </c>
      <c r="AN44" s="747"/>
      <c r="AO44" s="431">
        <f>IF($AO$7=$AL$7,'[4]1 trim 2016 BIOGROUP'!$G$45/3,IF($AO$7=$AL$8,'[4]1 trim 2016 BIOGROUP'!$G$45/3,IF($AO$7=$AL$9,'[4]1 trim 2016 BIOGROUP'!$G$45/3,IF($AO$7=$AL$10,'[4]2 trim 2016 BIOGROUP'!$G$45/3,IF($AO$7=$AL$11,'[4]2 trim 2016 BIOGROUP'!$G$45/3,IF($AO$7=$AL$12,'[4]2 trim 2016 BIOGROUP'!$G$45/3,""))))))</f>
        <v>0</v>
      </c>
      <c r="AP44" s="431">
        <f>IF($AP$7=$AL$7,'[4]1 trim 2016 BIOGROUP'!$G$45/3,IF($AP$7=$AL$8,'[4]1 trim 2016 BIOGROUP'!$G$45/3,IF($AP$7=$AL$9,'[4]1 trim 2016 BIOGROUP'!$G$45/3,IF($AP$7=$AL$10,'[4]2 trim 2016 BIOGROUP'!$G$45/3,IF($AP$7=$AL$11,'[4]2 trim 2016 BIOGROUP'!$G$45/3,IF($AP$7=$AL$12,'[4]2 trim 2016 BIOGROUP'!$G$45/3,""))))))</f>
        <v>0</v>
      </c>
      <c r="AQ44" s="431">
        <f>IF($AQ$7=$AL$7,'[4]1 trim 2016 BIOGROUP'!$G$45/3,IF($AQ$7=$AL$8,'[4]1 trim 2016 BIOGROUP'!$G$45/3,IF($AQ$7=$AL$9,'[4]1 trim 2016 BIOGROUP'!$G$45/3,IF($AQ$7=$AL$10,'[4]2 trim 2016 BIOGROUP'!$G$45/3,IF($AQ$7=$AL$11,'[4]2 trim 2016 BIOGROUP'!$G$45/3,IF($AQ$7=$AL$12,'[4]2 trim 2016 BIOGROUP'!$G$45/3,""))))))</f>
        <v>0</v>
      </c>
      <c r="AR44" s="431">
        <f>IF($AR$7=$AL$7,'[4]1 trim 2016 BIOGROUP'!$G$45/3,IF($AR$7=$AL$8,'[4]1 trim 2016 BIOGROUP'!$G$45/3,IF($AR$7=$AL$9,'[4]1 trim 2016 BIOGROUP'!$G$45/3,IF($AR$7=$AL$10,'[4]2 trim 2016 BIOGROUP'!$G$45/3,IF($AR$7=$AL$11,'[4]2 trim 2016 BIOGROUP'!$G$45/3,IF($AR$7=$AL$12,'[4]2 trim 2016 BIOGROUP'!$G$45/3,""))))))</f>
        <v>0</v>
      </c>
      <c r="AS44" s="431">
        <f>IF($AS$7=$AL$7,'[4]1 trim 2016 BIOGROUP'!$G$45/3,IF($AS$7=$AL$8,'[4]1 trim 2016 BIOGROUP'!$G$45/3,IF($AS$7=$AL$9,'[4]1 trim 2016 BIOGROUP'!$G$45/3,IF($AS$7=$AL$10,'[4]2 trim 2016 BIOGROUP'!$G$45/3,IF($AS$7=$AL$11,'[4]2 trim 2016 BIOGROUP'!$G$45/3,IF($AS$7=$AL$12,'[4]2 trim 2016 BIOGROUP'!$G$45/3,""))))))</f>
        <v>0</v>
      </c>
      <c r="AT44" s="431">
        <f>IF($AT$7=$AL$7,'[4]1 trim 2016 BIOGROUP'!$G$45/3,IF($AT$7=$AL$8,'[4]1 trim 2016 BIOGROUP'!$G$45/3,IF($AT$7=$AL$9,'[4]1 trim 2016 BIOGROUP'!$G$45/3,IF($AT$7=$AL$10,'[4]2 trim 2016 BIOGROUP'!$G$45/3,IF($AT$7=$AL$11,'[4]2 trim 2016 BIOGROUP'!$G$45/3,IF($AT$7=$AL$12,'[4]2 trim 2016 BIOGROUP'!$G$45/3,""))))))</f>
        <v>0</v>
      </c>
      <c r="AU44" s="431">
        <f>IF($AU$7=$AL$13,'[4]3 trim 2016 BIOGROUP'!$G$45/3,IF($AU$7=$AL$15,'[4]3 trim 2016 BIOGROUP'!$G$45/3,IF($AU$7=$AL$16,'[4]3 trim 2016 BIOGROUP'!$G$45/3,IF($AU$7=$AL$17,'[4]4 trim 2016 BIOGROUP'!$G$45/3,IF($AU$7=$AL$19,'[4]4 trim 2016 BIOGROUP'!$G$45/3,IF($AU$7=$AL$20,'[4]4 trim 2016 BIOGROUP'!$G$45/3,""))))))</f>
        <v>0</v>
      </c>
      <c r="AV44" s="431">
        <f>IF($AV$7=$AL$13,'[4]3 trim 2016 BIOGROUP'!$G$45/3,IF($AV$7=$AL$15,'[4]3 trim 2016 BIOGROUP'!$G$45/3,IF($AV$7=$AL$16,'[4]3 trim 2016 BIOGROUP'!$G$45/3,IF($AV$7=$AL$17,'[4]4 trim 2016 BIOGROUP'!$G$45/3,IF($AV$7=$AL$19,'[4]4 trim 2016 BIOGROUP'!$G$45/3,IF($AV$7=$AL$20,'[4]4 trim 2016 BIOGROUP'!$G$45/3,""))))))</f>
        <v>0</v>
      </c>
      <c r="AW44" s="431">
        <f>IF($AW$7=$AL$13,'[4]3 trim 2016 BIOGROUP'!$G$45/3,IF($AW$7=$AL$15,'[4]3 trim 2016 BIOGROUP'!$G$45/3,IF($AW$7=$AL$16,'[4]3 trim 2016 BIOGROUP'!$G$45/3,IF($AW$7=$AL$17,'[4]4 trim 2016 BIOGROUP'!$G$45/3,IF($AW$7=$AL$19,'[4]4 trim 2016 BIOGROUP'!$G$45/3,IF($AW$7=$AL$20,'[4]4 trim 2016 BIOGROUP'!$G$45/3,""))))))</f>
        <v>0</v>
      </c>
      <c r="AX44" s="431">
        <f>IF($AX$7=$AL$13,'[4]3 trim 2016 BIOGROUP'!$G$45/3,IF($AX$7=$AL$15,'[4]3 trim 2016 BIOGROUP'!$G$45/3,IF($AX$7=$AL$16,'[4]3 trim 2016 BIOGROUP'!$G$45/3,IF($AX$7=$AL$17,'[4]4 trim 2016 BIOGROUP'!$G$45/3,IF($AX$7=$AL$19,'[4]4 trim 2016 BIOGROUP'!$G$45/3,IF($AX$7=$AL$20,'[4]4 trim 2016 BIOGROUP'!$G$45/3,""))))))</f>
        <v>0</v>
      </c>
      <c r="AY44" s="431">
        <f>IF($AY$7=$AL$13,'[4]3 trim 2016 BIOGROUP'!$G$45/3,IF($AY$7=$AL$15,'[4]3 trim 2016 BIOGROUP'!$G$45/3,IF($AY$7=$AL$16,'[4]3 trim 2016 BIOGROUP'!$G$45/3,IF($AY$7=$AL$17,'[4]4 trim 2016 BIOGROUP'!$G$45/3,IF($AY$7=$AL$19,'[4]4 trim 2016 BIOGROUP'!$G$45/3,IF($AY$7=$AL$20,'[4]4 trim 2016 BIOGROUP'!$G$45/3,""))))))</f>
        <v>0</v>
      </c>
      <c r="AZ44" s="431">
        <f>IF($AZ$7=$AL$13,'[4]3 trim 2016 BIOGROUP'!$G$45/3,IF($AZ$7=$AL$15,'[4]3 trim 2016 BIOGROUP'!$G$45/3,IF($AZ$7=$AL$16,'[4]3 trim 2016 BIOGROUP'!$G$45/3,IF($AZ$7=$AL$17,'[4]4 trim 2016 BIOGROUP'!$G$45/3,IF($AZ$7=$AL$19,'[4]4 trim 2016 BIOGROUP'!$G$45/3,IF($AZ$7=$AL$20,'[4]4 trim 2016 BIOGROUP'!$G$45/3,""))))))</f>
        <v>0</v>
      </c>
      <c r="BB44" s="511">
        <f t="shared" si="5"/>
        <v>35987.85</v>
      </c>
      <c r="BC44" s="750"/>
    </row>
    <row r="45" spans="1:55" ht="26.15" customHeight="1">
      <c r="A45" s="575"/>
      <c r="B45" s="548">
        <v>66</v>
      </c>
      <c r="C45" s="450" t="s">
        <v>149</v>
      </c>
      <c r="D45" s="439"/>
      <c r="E45" s="450" t="s">
        <v>17</v>
      </c>
      <c r="F45" s="577"/>
      <c r="G45" s="489">
        <f>+-195169.09-G46</f>
        <v>-195013.19</v>
      </c>
      <c r="H45" s="665">
        <f>G45/G7</f>
        <v>-3.1442347340162331E-2</v>
      </c>
      <c r="J45" s="495">
        <f>-SUMIF($AO$7:$AZ$7,$G$6,AO45:AZ45)</f>
        <v>0</v>
      </c>
      <c r="K45" s="532" t="str">
        <f t="shared" si="6"/>
        <v/>
      </c>
      <c r="L45" s="431"/>
      <c r="M45" s="753">
        <v>-186705</v>
      </c>
      <c r="N45" s="517">
        <f t="shared" si="1"/>
        <v>4.449902252216064E-2</v>
      </c>
      <c r="O45" s="580"/>
      <c r="P45" s="586" t="s">
        <v>17</v>
      </c>
      <c r="Q45" s="582" t="e">
        <f>+#REF!+'31 dec 2016 BIOLAM'!AT46</f>
        <v>#REF!</v>
      </c>
      <c r="R45" s="583" t="e">
        <f>Q45/Q$7</f>
        <v>#REF!</v>
      </c>
      <c r="S45" s="582" t="e">
        <f>+'31 dec 2016 BIOLAM'!AV46+#REF!</f>
        <v>#REF!</v>
      </c>
      <c r="T45" s="583" t="e">
        <f>S45/S$7</f>
        <v>#REF!</v>
      </c>
      <c r="U45" s="582" t="e">
        <f>+'31 dec 2016 BIOLAM'!AX46+#REF!</f>
        <v>#REF!</v>
      </c>
      <c r="V45" s="583" t="e">
        <f>U45/U$7</f>
        <v>#REF!</v>
      </c>
      <c r="W45" s="582" t="e">
        <f>+'31 dec 2016 BIOLAM'!AZ46+#REF!</f>
        <v>#REF!</v>
      </c>
      <c r="X45" s="583" t="e">
        <f>W45/W$7</f>
        <v>#REF!</v>
      </c>
      <c r="Y45" s="582" t="e">
        <f>+W45+U45+S45+Q45</f>
        <v>#REF!</v>
      </c>
      <c r="Z45" s="583" t="e">
        <f>Y45/Y$7</f>
        <v>#REF!</v>
      </c>
      <c r="AA45" s="584" t="e">
        <f>+G45-Y45</f>
        <v>#REF!</v>
      </c>
      <c r="AB45" s="475">
        <f>-683833.33-AB46</f>
        <v>-673186.14</v>
      </c>
      <c r="AC45" s="578">
        <f>AB45/AB7</f>
        <v>-3.7717225055963581E-2</v>
      </c>
      <c r="AD45" s="495">
        <f>-SUMIF($AO$7:$AZ$7,"&lt;="&amp;$AC$6,AO45:AZ45)</f>
        <v>0</v>
      </c>
      <c r="AE45" s="517" t="str">
        <f t="shared" si="20"/>
        <v/>
      </c>
      <c r="AG45" s="753">
        <v>-183780</v>
      </c>
      <c r="AH45" s="517">
        <f t="shared" si="4"/>
        <v>2.6630000000000003</v>
      </c>
      <c r="AM45" s="450" t="s">
        <v>17</v>
      </c>
      <c r="AN45" s="747"/>
      <c r="AO45" s="431">
        <f>IF($AO$7=$AL$7,'[4]1 trim 2016 BIOGROUP'!$G$46/3,IF($AO$7=$AL$8,'[4]1 trim 2016 BIOGROUP'!$G$46/3,IF($AO$7=$AL$9,'[4]1 trim 2016 BIOGROUP'!$G$46/3,IF($AO$7=$AL$10,'[4]2 trim 2016 BIOGROUP'!$G$46/3,IF($AO$7=$AL$11,'[4]2 trim 2016 BIOGROUP'!$G$46/3,IF($AO$7=$AL$12,'[4]2 trim 2016 BIOGROUP'!$G$46/3,""))))))</f>
        <v>1419253</v>
      </c>
      <c r="AP45" s="431">
        <f>IF($AP$7=$AL$7,'[4]1 trim 2016 BIOGROUP'!$G$46/3,IF($AP$7=$AL$8,'[4]1 trim 2016 BIOGROUP'!$G$46/3,IF($AP$7=$AL$9,'[4]1 trim 2016 BIOGROUP'!$G$46/3,IF($AP$7=$AL$10,'[4]2 trim 2016 BIOGROUP'!$G$46/3,IF($AP$7=$AL$11,'[4]2 trim 2016 BIOGROUP'!$G$46/3,IF($AP$7=$AL$12,'[4]2 trim 2016 BIOGROUP'!$G$46/3,""))))))</f>
        <v>1419253</v>
      </c>
      <c r="AQ45" s="431">
        <f>IF($AQ$7=$AL$7,'[4]1 trim 2016 BIOGROUP'!$G$46/3,IF($AQ$7=$AL$8,'[4]1 trim 2016 BIOGROUP'!$G$46/3,IF($AQ$7=$AL$9,'[4]1 trim 2016 BIOGROUP'!$G$46/3,IF($AQ$7=$AL$10,'[4]2 trim 2016 BIOGROUP'!$G$46/3,IF($AQ$7=$AL$11,'[4]2 trim 2016 BIOGROUP'!$G$46/3,IF($AQ$7=$AL$12,'[4]2 trim 2016 BIOGROUP'!$G$46/3,""))))))</f>
        <v>1419253</v>
      </c>
      <c r="AR45" s="431">
        <f>IF($AR$7=$AL$7,'[4]1 trim 2016 BIOGROUP'!$G$46/3,IF($AR$7=$AL$8,'[4]1 trim 2016 BIOGROUP'!$G$46/3,IF($AR$7=$AL$9,'[4]1 trim 2016 BIOGROUP'!$G$46/3,IF($AR$7=$AL$10,'[4]2 trim 2016 BIOGROUP'!$G$46/3,IF($AR$7=$AL$11,'[4]2 trim 2016 BIOGROUP'!$G$46/3,IF($AR$7=$AL$12,'[4]2 trim 2016 BIOGROUP'!$G$46/3,""))))))</f>
        <v>1419253</v>
      </c>
      <c r="AS45" s="431">
        <f>IF($AS$7=$AL$7,'[4]1 trim 2016 BIOGROUP'!$G$46/3,IF($AS$7=$AL$8,'[4]1 trim 2016 BIOGROUP'!$G$46/3,IF($AS$7=$AL$9,'[4]1 trim 2016 BIOGROUP'!$G$46/3,IF($AS$7=$AL$10,'[4]2 trim 2016 BIOGROUP'!$G$46/3,IF($AS$7=$AL$11,'[4]2 trim 2016 BIOGROUP'!$G$46/3,IF($AS$7=$AL$12,'[4]2 trim 2016 BIOGROUP'!$G$46/3,""))))))</f>
        <v>1419253</v>
      </c>
      <c r="AT45" s="431">
        <f>IF($AT$7=$AL$7,'[4]1 trim 2016 BIOGROUP'!$G$46/3,IF($AT$7=$AL$8,'[4]1 trim 2016 BIOGROUP'!$G$46/3,IF($AT$7=$AL$9,'[4]1 trim 2016 BIOGROUP'!$G$46/3,IF($AT$7=$AL$10,'[4]2 trim 2016 BIOGROUP'!$G$46/3,IF($AT$7=$AL$11,'[4]2 trim 2016 BIOGROUP'!$G$46/3,IF($AT$7=$AL$12,'[4]2 trim 2016 BIOGROUP'!$G$46/3,""))))))</f>
        <v>1419253</v>
      </c>
      <c r="AU45" s="431">
        <f>IF($AU$7=$AL$13,'[4]3 trim 2016 BIOGROUP'!$G$46/3,IF($AU$7=$AL$15,'[4]3 trim 2016 BIOGROUP'!$G$46/3,IF($AU$7=$AL$16,'[4]3 trim 2016 BIOGROUP'!$G$46/3,IF($AU$7=$AL$17,'[4]4 trim 2016 BIOGROUP'!$G$46/3,IF($AU$7=$AL$19,'[4]4 trim 2016 BIOGROUP'!$G$46/3,IF($AU$7=$AL$20,'[4]4 trim 2016 BIOGROUP'!$G$46/3,""))))))</f>
        <v>1419253</v>
      </c>
      <c r="AV45" s="431">
        <f>IF($AV$7=$AL$13,'[4]3 trim 2016 BIOGROUP'!$G$46/3,IF($AV$7=$AL$15,'[4]3 trim 2016 BIOGROUP'!$G$46/3,IF($AV$7=$AL$16,'[4]3 trim 2016 BIOGROUP'!$G$46/3,IF($AV$7=$AL$17,'[4]4 trim 2016 BIOGROUP'!$G$46/3,IF($AV$7=$AL$19,'[4]4 trim 2016 BIOGROUP'!$G$46/3,IF($AV$7=$AL$20,'[4]4 trim 2016 BIOGROUP'!$G$46/3,""))))))</f>
        <v>1419253</v>
      </c>
      <c r="AW45" s="431">
        <f>IF($AW$7=$AL$13,'[4]3 trim 2016 BIOGROUP'!$G$46/3,IF($AW$7=$AL$15,'[4]3 trim 2016 BIOGROUP'!$G$46/3,IF($AW$7=$AL$16,'[4]3 trim 2016 BIOGROUP'!$G$46/3,IF($AW$7=$AL$17,'[4]4 trim 2016 BIOGROUP'!$G$46/3,IF($AW$7=$AL$19,'[4]4 trim 2016 BIOGROUP'!$G$46/3,IF($AW$7=$AL$20,'[4]4 trim 2016 BIOGROUP'!$G$46/3,""))))))</f>
        <v>1419253</v>
      </c>
      <c r="AX45" s="431">
        <f>IF($AX$7=$AL$13,'[4]3 trim 2016 BIOGROUP'!$G$46/3,IF($AX$7=$AL$15,'[4]3 trim 2016 BIOGROUP'!$G$46/3,IF($AX$7=$AL$16,'[4]3 trim 2016 BIOGROUP'!$G$46/3,IF($AX$7=$AL$17,'[4]4 trim 2016 BIOGROUP'!$G$46/3,IF($AX$7=$AL$19,'[4]4 trim 2016 BIOGROUP'!$G$46/3,IF($AX$7=$AL$20,'[4]4 trim 2016 BIOGROUP'!$G$46/3,""))))))</f>
        <v>1419253</v>
      </c>
      <c r="AY45" s="431">
        <f>IF($AY$7=$AL$13,'[4]3 trim 2016 BIOGROUP'!$G$46/3,IF($AY$7=$AL$15,'[4]3 trim 2016 BIOGROUP'!$G$46/3,IF($AY$7=$AL$16,'[4]3 trim 2016 BIOGROUP'!$G$46/3,IF($AY$7=$AL$17,'[4]4 trim 2016 BIOGROUP'!$G$46/3,IF($AY$7=$AL$19,'[4]4 trim 2016 BIOGROUP'!$G$46/3,IF($AY$7=$AL$20,'[4]4 trim 2016 BIOGROUP'!$G$46/3,""))))))</f>
        <v>1419253</v>
      </c>
      <c r="AZ45" s="431">
        <f>IF($AZ$7=$AL$13,'[4]3 trim 2016 BIOGROUP'!$G$46/3,IF($AZ$7=$AL$15,'[4]3 trim 2016 BIOGROUP'!$G$46/3,IF($AZ$7=$AL$16,'[4]3 trim 2016 BIOGROUP'!$G$46/3,IF($AZ$7=$AL$17,'[4]4 trim 2016 BIOGROUP'!$G$46/3,IF($AZ$7=$AL$19,'[4]4 trim 2016 BIOGROUP'!$G$46/3,IF($AZ$7=$AL$20,'[4]4 trim 2016 BIOGROUP'!$G$46/3,""))))))</f>
        <v>1419253</v>
      </c>
      <c r="BB45" s="511">
        <f t="shared" si="5"/>
        <v>673186.14</v>
      </c>
      <c r="BC45" s="750"/>
    </row>
    <row r="46" spans="1:55" ht="26.15" customHeight="1">
      <c r="A46" s="649"/>
      <c r="B46" s="650">
        <v>66</v>
      </c>
      <c r="C46" s="462" t="s">
        <v>151</v>
      </c>
      <c r="D46" s="439"/>
      <c r="E46" s="462" t="s">
        <v>41</v>
      </c>
      <c r="F46" s="666"/>
      <c r="G46" s="486">
        <f>+-1791.9+1636</f>
        <v>-155.90000000000009</v>
      </c>
      <c r="H46" s="653">
        <f>G46/G7</f>
        <v>-2.5136053363012571E-5</v>
      </c>
      <c r="J46" s="509">
        <f>-SUMIF($AO$7:$AZ$7,$G$6,AO46:AZ46)</f>
        <v>0</v>
      </c>
      <c r="K46" s="539" t="str">
        <f t="shared" si="6"/>
        <v/>
      </c>
      <c r="L46" s="431"/>
      <c r="M46" s="753"/>
      <c r="N46" s="517" t="str">
        <f t="shared" si="1"/>
        <v/>
      </c>
      <c r="O46" s="580"/>
      <c r="P46" s="667" t="s">
        <v>41</v>
      </c>
      <c r="Q46" s="582" t="e">
        <f>+#REF!+'31 dec 2016 BIOLAM'!AT47</f>
        <v>#REF!</v>
      </c>
      <c r="R46" s="583" t="e">
        <f>Q46/Q$7</f>
        <v>#REF!</v>
      </c>
      <c r="S46" s="582" t="e">
        <f>+'31 dec 2016 BIOLAM'!AV47+#REF!</f>
        <v>#REF!</v>
      </c>
      <c r="T46" s="583" t="e">
        <f>S46/S$7</f>
        <v>#REF!</v>
      </c>
      <c r="U46" s="582" t="e">
        <f>+'31 dec 2016 BIOLAM'!AX47+#REF!</f>
        <v>#REF!</v>
      </c>
      <c r="V46" s="583" t="e">
        <f>U46/U$7</f>
        <v>#REF!</v>
      </c>
      <c r="W46" s="582" t="e">
        <f>+'31 dec 2016 BIOLAM'!AZ47+#REF!</f>
        <v>#REF!</v>
      </c>
      <c r="X46" s="583" t="e">
        <f>W46/W$7</f>
        <v>#REF!</v>
      </c>
      <c r="Y46" s="582" t="e">
        <f>+W46+U46+S46+Q46</f>
        <v>#REF!</v>
      </c>
      <c r="Z46" s="583" t="e">
        <f>Y46/Y$7</f>
        <v>#REF!</v>
      </c>
      <c r="AA46" s="584" t="e">
        <f>+G46-Y46</f>
        <v>#REF!</v>
      </c>
      <c r="AB46" s="486">
        <f>-4807.19-5840</f>
        <v>-10647.189999999999</v>
      </c>
      <c r="AC46" s="653">
        <f>AB46/AB8</f>
        <v>-6.7672253149079272E-4</v>
      </c>
      <c r="AD46" s="509">
        <f>-SUMIF($AO$7:$AZ$7,"&lt;="&amp;$AC$6,AO46:AZ46)</f>
        <v>0</v>
      </c>
      <c r="AE46" s="523" t="str">
        <f t="shared" si="20"/>
        <v/>
      </c>
      <c r="AG46" s="762"/>
      <c r="AH46" s="523" t="str">
        <f t="shared" si="4"/>
        <v/>
      </c>
      <c r="AM46" s="462" t="s">
        <v>41</v>
      </c>
      <c r="AN46" s="747"/>
      <c r="AO46" s="431">
        <f>IF($AO$7=$AL$7,'[4]1 trim 2016 BIOGROUP'!$G$47/3,IF($AO$7=$AL$8,'[4]1 trim 2016 BIOGROUP'!$G$47/3,IF($AO$7=$AL$9,'[4]1 trim 2016 BIOGROUP'!$G$47/3,IF($AO$7=$AL$10,'[4]2 trim 2016 BIOGROUP'!$G$47/3,IF($AO$7=$AL$11,'[4]2 trim 2016 BIOGROUP'!$G$47/3,IF($AO$7=$AL$12,'[4]2 trim 2016 BIOGROUP'!$G$47/3,""))))))</f>
        <v>1747.8333333333333</v>
      </c>
      <c r="AP46" s="431">
        <f>IF($AP$7=$AL$7,'[4]1 trim 2016 BIOGROUP'!$G$47/3,IF($AP$7=$AL$8,'[4]1 trim 2016 BIOGROUP'!$G$47/3,IF($AP$7=$AL$9,'[4]1 trim 2016 BIOGROUP'!$G$47/3,IF($AP$7=$AL$10,'[4]2 trim 2016 BIOGROUP'!$G$47/3,IF($AP$7=$AL$11,'[4]2 trim 2016 BIOGROUP'!$G$47/3,IF($AP$7=$AL$12,'[4]2 trim 2016 BIOGROUP'!$G$47/3,""))))))</f>
        <v>1747.8333333333333</v>
      </c>
      <c r="AQ46" s="431">
        <f>IF($AQ$7=$AL$7,'[4]1 trim 2016 BIOGROUP'!$G$47/3,IF($AQ$7=$AL$8,'[4]1 trim 2016 BIOGROUP'!$G$47/3,IF($AQ$7=$AL$9,'[4]1 trim 2016 BIOGROUP'!$G$47/3,IF($AQ$7=$AL$10,'[4]2 trim 2016 BIOGROUP'!$G$47/3,IF($AQ$7=$AL$11,'[4]2 trim 2016 BIOGROUP'!$G$47/3,IF($AQ$7=$AL$12,'[4]2 trim 2016 BIOGROUP'!$G$47/3,""))))))</f>
        <v>1747.8333333333333</v>
      </c>
      <c r="AR46" s="431">
        <f>IF($AR$7=$AL$7,'[4]1 trim 2016 BIOGROUP'!$G$47/3,IF($AR$7=$AL$8,'[4]1 trim 2016 BIOGROUP'!$G$47/3,IF($AR$7=$AL$9,'[4]1 trim 2016 BIOGROUP'!$G$47/3,IF($AR$7=$AL$10,'[4]2 trim 2016 BIOGROUP'!$G$47/3,IF($AR$7=$AL$11,'[4]2 trim 2016 BIOGROUP'!$G$47/3,IF($AR$7=$AL$12,'[4]2 trim 2016 BIOGROUP'!$G$47/3,""))))))</f>
        <v>1747.8333333333333</v>
      </c>
      <c r="AS46" s="431">
        <f>IF($AS$7=$AL$7,'[4]1 trim 2016 BIOGROUP'!$G$47/3,IF($AS$7=$AL$8,'[4]1 trim 2016 BIOGROUP'!$G$47/3,IF($AS$7=$AL$9,'[4]1 trim 2016 BIOGROUP'!$G$47/3,IF($AS$7=$AL$10,'[4]2 trim 2016 BIOGROUP'!$G$47/3,IF($AS$7=$AL$11,'[4]2 trim 2016 BIOGROUP'!$G$47/3,IF($AS$7=$AL$12,'[4]2 trim 2016 BIOGROUP'!$G$47/3,""))))))</f>
        <v>1747.8333333333333</v>
      </c>
      <c r="AT46" s="431">
        <f>IF($AT$7=$AL$7,'[4]1 trim 2016 BIOGROUP'!$G$47/3,IF($AT$7=$AL$8,'[4]1 trim 2016 BIOGROUP'!$G$47/3,IF($AT$7=$AL$9,'[4]1 trim 2016 BIOGROUP'!$G$47/3,IF($AT$7=$AL$10,'[4]2 trim 2016 BIOGROUP'!$G$47/3,IF($AT$7=$AL$11,'[4]2 trim 2016 BIOGROUP'!$G$47/3,IF($AT$7=$AL$12,'[4]2 trim 2016 BIOGROUP'!$G$47/3,""))))))</f>
        <v>1747.8333333333333</v>
      </c>
      <c r="AU46" s="431">
        <f>IF($AU$7=$AL$13,'[4]3 trim 2016 BIOGROUP'!$G$47/3,IF($AU$7=$AL$15,'[4]3 trim 2016 BIOGROUP'!$G$47/3,IF($AU$7=$AL$16,'[4]3 trim 2016 BIOGROUP'!$G$47/3,IF($AU$7=$AL$17,'[4]4 trim 2016 BIOGROUP'!$G$47/3,IF($AU$7=$AL$19,'[4]4 trim 2016 BIOGROUP'!$G$47/3,IF($AU$7=$AL$20,'[4]4 trim 2016 BIOGROUP'!$G$47/3,""))))))</f>
        <v>1747.8333333333333</v>
      </c>
      <c r="AV46" s="431">
        <f>IF($AV$7=$AL$13,'[4]3 trim 2016 BIOGROUP'!$G$47/3,IF($AV$7=$AL$15,'[4]3 trim 2016 BIOGROUP'!$G$47/3,IF($AV$7=$AL$16,'[4]3 trim 2016 BIOGROUP'!$G$47/3,IF($AV$7=$AL$17,'[4]4 trim 2016 BIOGROUP'!$G$47/3,IF($AV$7=$AL$19,'[4]4 trim 2016 BIOGROUP'!$G$47/3,IF($AV$7=$AL$20,'[4]4 trim 2016 BIOGROUP'!$G$47/3,""))))))</f>
        <v>1747.8333333333333</v>
      </c>
      <c r="AW46" s="431">
        <f>IF($AW$7=$AL$13,'[4]3 trim 2016 BIOGROUP'!$G$47/3,IF($AW$7=$AL$15,'[4]3 trim 2016 BIOGROUP'!$G$47/3,IF($AW$7=$AL$16,'[4]3 trim 2016 BIOGROUP'!$G$47/3,IF($AW$7=$AL$17,'[4]4 trim 2016 BIOGROUP'!$G$47/3,IF($AW$7=$AL$19,'[4]4 trim 2016 BIOGROUP'!$G$47/3,IF($AW$7=$AL$20,'[4]4 trim 2016 BIOGROUP'!$G$47/3,""))))))</f>
        <v>1747.8333333333333</v>
      </c>
      <c r="AX46" s="431">
        <f>IF($AX$7=$AL$13,'[4]3 trim 2016 BIOGROUP'!$G$47/3,IF($AX$7=$AL$15,'[4]3 trim 2016 BIOGROUP'!$G$47/3,IF($AX$7=$AL$16,'[4]3 trim 2016 BIOGROUP'!$G$47/3,IF($AX$7=$AL$17,'[4]4 trim 2016 BIOGROUP'!$G$47/3,IF($AX$7=$AL$19,'[4]4 trim 2016 BIOGROUP'!$G$47/3,IF($AX$7=$AL$20,'[4]4 trim 2016 BIOGROUP'!$G$47/3,""))))))</f>
        <v>1747.8333333333333</v>
      </c>
      <c r="AY46" s="431">
        <f>IF($AY$7=$AL$13,'[4]3 trim 2016 BIOGROUP'!$G$47/3,IF($AY$7=$AL$15,'[4]3 trim 2016 BIOGROUP'!$G$47/3,IF($AY$7=$AL$16,'[4]3 trim 2016 BIOGROUP'!$G$47/3,IF($AY$7=$AL$17,'[4]4 trim 2016 BIOGROUP'!$G$47/3,IF($AY$7=$AL$19,'[4]4 trim 2016 BIOGROUP'!$G$47/3,IF($AY$7=$AL$20,'[4]4 trim 2016 BIOGROUP'!$G$47/3,""))))))</f>
        <v>1747.8333333333333</v>
      </c>
      <c r="AZ46" s="431">
        <f>IF($AZ$7=$AL$13,'[4]3 trim 2016 BIOGROUP'!$G$47/3,IF($AZ$7=$AL$15,'[4]3 trim 2016 BIOGROUP'!$G$47/3,IF($AZ$7=$AL$16,'[4]3 trim 2016 BIOGROUP'!$G$47/3,IF($AZ$7=$AL$17,'[4]4 trim 2016 BIOGROUP'!$G$47/3,IF($AZ$7=$AL$19,'[4]4 trim 2016 BIOGROUP'!$G$47/3,IF($AZ$7=$AL$20,'[4]4 trim 2016 BIOGROUP'!$G$47/3,""))))))</f>
        <v>1747.8333333333333</v>
      </c>
      <c r="BB46" s="511">
        <f t="shared" si="5"/>
        <v>10647.189999999999</v>
      </c>
      <c r="BC46" s="750"/>
    </row>
    <row r="47" spans="1:55" ht="26.15" customHeight="1">
      <c r="A47" s="662"/>
      <c r="B47" s="566">
        <v>77</v>
      </c>
      <c r="C47" s="451" t="s">
        <v>103</v>
      </c>
      <c r="D47" s="589"/>
      <c r="E47" s="451" t="s">
        <v>104</v>
      </c>
      <c r="F47" s="577"/>
      <c r="G47" s="476">
        <f>SUM(G48:G49)</f>
        <v>-7793.9199999999983</v>
      </c>
      <c r="H47" s="591">
        <f>G47/G7</f>
        <v>-1.2566285376975675E-3</v>
      </c>
      <c r="J47" s="496">
        <f>SUM(J48:J49)</f>
        <v>0</v>
      </c>
      <c r="K47" s="530" t="str">
        <f t="shared" si="6"/>
        <v/>
      </c>
      <c r="L47" s="431"/>
      <c r="M47" s="754">
        <v>-265</v>
      </c>
      <c r="N47" s="518">
        <f t="shared" si="1"/>
        <v>28.411018867924522</v>
      </c>
      <c r="O47" s="592"/>
      <c r="P47" s="611" t="str">
        <f>+E47</f>
        <v>NON RECURRENT</v>
      </c>
      <c r="Q47" s="668" t="e">
        <f>Q73-Q74</f>
        <v>#REF!</v>
      </c>
      <c r="R47" s="622" t="e">
        <f>Q47/Q$7</f>
        <v>#REF!</v>
      </c>
      <c r="S47" s="668" t="e">
        <f>S73-S74</f>
        <v>#REF!</v>
      </c>
      <c r="T47" s="622" t="e">
        <f>S47/S$7</f>
        <v>#REF!</v>
      </c>
      <c r="U47" s="668" t="e">
        <f>U73-U74</f>
        <v>#REF!</v>
      </c>
      <c r="V47" s="622" t="e">
        <f>U47/U$7</f>
        <v>#REF!</v>
      </c>
      <c r="W47" s="668" t="e">
        <f>W73-W74</f>
        <v>#REF!</v>
      </c>
      <c r="X47" s="622" t="e">
        <f>W47/W$7</f>
        <v>#REF!</v>
      </c>
      <c r="Y47" s="668" t="e">
        <f>Y73-Y74</f>
        <v>#REF!</v>
      </c>
      <c r="Z47" s="622" t="e">
        <f>Y47/Y$7</f>
        <v>#REF!</v>
      </c>
      <c r="AA47" s="609" t="e">
        <f>+G47-Y47</f>
        <v>#REF!</v>
      </c>
      <c r="AB47" s="476">
        <f>SUM(AB48:AB49)</f>
        <v>-104765.45</v>
      </c>
      <c r="AC47" s="591">
        <f>AB47/AB7</f>
        <v>-5.869791163168183E-3</v>
      </c>
      <c r="AD47" s="496" t="e">
        <f>SUM(AD48:AD49)</f>
        <v>#REF!</v>
      </c>
      <c r="AE47" s="518" t="str">
        <f t="shared" si="20"/>
        <v/>
      </c>
      <c r="AG47" s="754">
        <v>20139</v>
      </c>
      <c r="AH47" s="518">
        <f t="shared" si="4"/>
        <v>-6.2021177814191368</v>
      </c>
      <c r="AM47" s="451" t="s">
        <v>104</v>
      </c>
      <c r="AN47" s="747"/>
      <c r="AO47" s="741">
        <f>-SUM(AO48:AO49)</f>
        <v>0</v>
      </c>
      <c r="AP47" s="741">
        <f t="shared" ref="AP47:AZ47" si="25">-SUM(AP48:AP49)</f>
        <v>0</v>
      </c>
      <c r="AQ47" s="741">
        <f t="shared" si="25"/>
        <v>0</v>
      </c>
      <c r="AR47" s="741">
        <f t="shared" si="25"/>
        <v>0</v>
      </c>
      <c r="AS47" s="741">
        <f t="shared" si="25"/>
        <v>0</v>
      </c>
      <c r="AT47" s="741">
        <f t="shared" si="25"/>
        <v>0</v>
      </c>
      <c r="AU47" s="741">
        <f t="shared" si="25"/>
        <v>0</v>
      </c>
      <c r="AV47" s="741">
        <f t="shared" si="25"/>
        <v>0</v>
      </c>
      <c r="AW47" s="741">
        <f t="shared" si="25"/>
        <v>0</v>
      </c>
      <c r="AX47" s="741">
        <f t="shared" si="25"/>
        <v>0</v>
      </c>
      <c r="AY47" s="741">
        <f t="shared" si="25"/>
        <v>0</v>
      </c>
      <c r="AZ47" s="741">
        <f t="shared" si="25"/>
        <v>0</v>
      </c>
      <c r="BB47" s="748" t="e">
        <f t="shared" si="5"/>
        <v>#REF!</v>
      </c>
      <c r="BC47" s="752"/>
    </row>
    <row r="48" spans="1:55" ht="27" customHeight="1">
      <c r="A48" s="662"/>
      <c r="B48" s="566">
        <v>77</v>
      </c>
      <c r="C48" s="669" t="s">
        <v>150</v>
      </c>
      <c r="D48" s="670"/>
      <c r="E48" s="463" t="s">
        <v>131</v>
      </c>
      <c r="F48" s="577"/>
      <c r="G48" s="475">
        <v>54874.96</v>
      </c>
      <c r="H48" s="578">
        <f>G48/$G$7</f>
        <v>8.8475941170826147E-3</v>
      </c>
      <c r="J48" s="506">
        <f>-SUMIF($AO$7:$AZ$7,$G$6,AO48:AZ48)</f>
        <v>0</v>
      </c>
      <c r="K48" s="532" t="str">
        <f t="shared" si="6"/>
        <v/>
      </c>
      <c r="L48" s="431"/>
      <c r="M48" s="759">
        <v>5</v>
      </c>
      <c r="N48" s="517">
        <f t="shared" si="1"/>
        <v>10973.992</v>
      </c>
      <c r="O48" s="580"/>
      <c r="P48" s="581"/>
      <c r="Q48" s="671"/>
      <c r="R48" s="672"/>
      <c r="S48" s="671"/>
      <c r="T48" s="672"/>
      <c r="U48" s="671"/>
      <c r="V48" s="672"/>
      <c r="W48" s="671"/>
      <c r="X48" s="672"/>
      <c r="Y48" s="671"/>
      <c r="Z48" s="672"/>
      <c r="AA48" s="584"/>
      <c r="AB48" s="475">
        <v>88332.92</v>
      </c>
      <c r="AC48" s="578">
        <f>+AB48/$AB$7</f>
        <v>4.9491105439134955E-3</v>
      </c>
      <c r="AD48" s="506" t="e">
        <f>IF($AC$6=$AK$7,'31 dec 2016 BIOLAM'!AT49,IF($AC$6=$AK$8,'31 dec 2016 BIOLAM'!AV49,IF($AC$6=$AK$9,'31 dec 2016 BIOLAM'!AX49,IF($AC$6=$AK$10,'31 dec 2016 BIOLAM'!AZ49,""))))</f>
        <v>#REF!</v>
      </c>
      <c r="AE48" s="517" t="str">
        <f t="shared" si="20"/>
        <v/>
      </c>
      <c r="AG48" s="759">
        <v>20659</v>
      </c>
      <c r="AH48" s="517">
        <f t="shared" si="4"/>
        <v>3.2757597173144877</v>
      </c>
      <c r="AM48" s="463" t="s">
        <v>131</v>
      </c>
      <c r="AN48" s="747"/>
      <c r="AO48" s="431">
        <f>IF($AO$7=$AL$7,'[4]1 trim 2016 BIOGROUP'!$G$49/3,IF($AO$7=$AL$8,'[4]1 trim 2016 BIOGROUP'!$G$49/3,IF($AO$7=$AL$9,'[4]1 trim 2016 BIOGROUP'!$G$49/3,IF($AO$7=$AL$10,'[4]2 trim 2016 BIOGROUP'!$G$49/3,IF($AO$7=$AL$11,'[4]2 trim 2016 BIOGROUP'!$G$49/3,IF($AO$7=$AL$12,'[4]2 trim 2016 BIOGROUP'!$G$49/3,""))))))</f>
        <v>0</v>
      </c>
      <c r="AP48" s="431">
        <f>IF($AP$7=$AL$7,'[4]1 trim 2016 BIOGROUP'!$G$49/3,IF($AP$7=$AL$8,'[4]1 trim 2016 BIOGROUP'!$G$49/3,IF($AP$7=$AL$9,'[4]1 trim 2016 BIOGROUP'!$G$49/3,IF($AP$7=$AL$10,'[4]2 trim 2016 BIOGROUP'!$G$49/3,IF($AP$7=$AL$11,'[4]2 trim 2016 BIOGROUP'!$G$49/3,IF($AP$7=$AL$12,'[4]2 trim 2016 BIOGROUP'!$G$49/3,""))))))</f>
        <v>0</v>
      </c>
      <c r="AQ48" s="431">
        <f>IF($AQ$7=$AL$7,'[4]1 trim 2016 BIOGROUP'!$G$49/3,IF($AQ$7=$AL$8,'[4]1 trim 2016 BIOGROUP'!$G$49/3,IF($AQ$7=$AL$9,'[4]1 trim 2016 BIOGROUP'!$G$49/3,IF($AQ$7=$AL$10,'[4]2 trim 2016 BIOGROUP'!$G$49/3,IF($AQ$7=$AL$11,'[4]2 trim 2016 BIOGROUP'!$G$49/3,IF($AQ$7=$AL$12,'[4]2 trim 2016 BIOGROUP'!$G$49/3,""))))))</f>
        <v>0</v>
      </c>
      <c r="AR48" s="431">
        <f>IF($AR$7=$AL$7,'[4]1 trim 2016 BIOGROUP'!$G$49/3,IF($AR$7=$AL$8,'[4]1 trim 2016 BIOGROUP'!$G$49/3,IF($AR$7=$AL$9,'[4]1 trim 2016 BIOGROUP'!$G$49/3,IF($AR$7=$AL$10,'[4]2 trim 2016 BIOGROUP'!$G$49/3,IF($AR$7=$AL$11,'[4]2 trim 2016 BIOGROUP'!$G$49/3,IF($AR$7=$AL$12,'[4]2 trim 2016 BIOGROUP'!$G$49/3,""))))))</f>
        <v>0</v>
      </c>
      <c r="AS48" s="431">
        <f>IF($AS$7=$AL$7,'[4]1 trim 2016 BIOGROUP'!$G$49/3,IF($AS$7=$AL$8,'[4]1 trim 2016 BIOGROUP'!$G$49/3,IF($AS$7=$AL$9,'[4]1 trim 2016 BIOGROUP'!$G$49/3,IF($AS$7=$AL$10,'[4]2 trim 2016 BIOGROUP'!$G$49/3,IF($AS$7=$AL$11,'[4]2 trim 2016 BIOGROUP'!$G$49/3,IF($AS$7=$AL$12,'[4]2 trim 2016 BIOGROUP'!$G$49/3,""))))))</f>
        <v>0</v>
      </c>
      <c r="AT48" s="431">
        <f>IF($AT$7=$AL$7,'[4]1 trim 2016 BIOGROUP'!$G$49/3,IF($AT$7=$AL$8,'[4]1 trim 2016 BIOGROUP'!$G$49/3,IF($AT$7=$AL$9,'[4]1 trim 2016 BIOGROUP'!$G$49/3,IF($AT$7=$AL$10,'[4]2 trim 2016 BIOGROUP'!$G$49/3,IF($AT$7=$AL$11,'[4]2 trim 2016 BIOGROUP'!$G$49/3,IF($AT$7=$AL$12,'[4]2 trim 2016 BIOGROUP'!$G$49/3,""))))))</f>
        <v>0</v>
      </c>
      <c r="AU48" s="431">
        <f>IF($AU$7=$AL$13,'[4]3 trim 2016 BIOGROUP'!$G$49/3,IF($AU$7=$AL$15,'[4]3 trim 2016 BIOGROUP'!$G$49/3,IF($AU$7=$AL$16,'[4]3 trim 2016 BIOGROUP'!$G$49/3,IF($AU$7=$AL$17,'[4]4 trim 2016 BIOGROUP'!$G$49/3,IF($AU$7=$AL$19,'[4]4 trim 2016 BIOGROUP'!$G$49/3,IF($AU$7=$AL$20,'[4]4 trim 2016 BIOGROUP'!$G$49/3,""))))))</f>
        <v>0</v>
      </c>
      <c r="AV48" s="431">
        <f>IF($AV$7=$AL$13,'[4]3 trim 2016 BIOGROUP'!$G$49/3,IF($AV$7=$AL$15,'[4]3 trim 2016 BIOGROUP'!$G$49/3,IF($AV$7=$AL$16,'[4]3 trim 2016 BIOGROUP'!$G$49/3,IF($AV$7=$AL$17,'[4]4 trim 2016 BIOGROUP'!$G$49/3,IF($AV$7=$AL$19,'[4]4 trim 2016 BIOGROUP'!$G$49/3,IF($AV$7=$AL$20,'[4]4 trim 2016 BIOGROUP'!$G$49/3,""))))))</f>
        <v>0</v>
      </c>
      <c r="AW48" s="431">
        <f>IF($AW$7=$AL$13,'[4]3 trim 2016 BIOGROUP'!$G$49/3,IF($AW$7=$AL$15,'[4]3 trim 2016 BIOGROUP'!$G$49/3,IF($AW$7=$AL$16,'[4]3 trim 2016 BIOGROUP'!$G$49/3,IF($AW$7=$AL$17,'[4]4 trim 2016 BIOGROUP'!$G$49/3,IF($AW$7=$AL$19,'[4]4 trim 2016 BIOGROUP'!$G$49/3,IF($AW$7=$AL$20,'[4]4 trim 2016 BIOGROUP'!$G$49/3,""))))))</f>
        <v>0</v>
      </c>
      <c r="AX48" s="431">
        <f>IF($AX$7=$AL$13,'[4]3 trim 2016 BIOGROUP'!$G$49/3,IF($AX$7=$AL$15,'[4]3 trim 2016 BIOGROUP'!$G$49/3,IF($AX$7=$AL$16,'[4]3 trim 2016 BIOGROUP'!$G$49/3,IF($AX$7=$AL$17,'[4]4 trim 2016 BIOGROUP'!$G$49/3,IF($AX$7=$AL$19,'[4]4 trim 2016 BIOGROUP'!$G$49/3,IF($AX$7=$AL$20,'[4]4 trim 2016 BIOGROUP'!$G$49/3,""))))))</f>
        <v>0</v>
      </c>
      <c r="AY48" s="431">
        <f>IF($AY$7=$AL$13,'[4]3 trim 2016 BIOGROUP'!$G$49/3,IF($AY$7=$AL$15,'[4]3 trim 2016 BIOGROUP'!$G$49/3,IF($AY$7=$AL$16,'[4]3 trim 2016 BIOGROUP'!$G$49/3,IF($AY$7=$AL$17,'[4]4 trim 2016 BIOGROUP'!$G$49/3,IF($AY$7=$AL$19,'[4]4 trim 2016 BIOGROUP'!$G$49/3,IF($AY$7=$AL$20,'[4]4 trim 2016 BIOGROUP'!$G$49/3,""))))))</f>
        <v>0</v>
      </c>
      <c r="AZ48" s="431">
        <f>IF($AZ$7=$AL$13,'[4]3 trim 2016 BIOGROUP'!$G$49/3,IF($AZ$7=$AL$15,'[4]3 trim 2016 BIOGROUP'!$G$49/3,IF($AZ$7=$AL$16,'[4]3 trim 2016 BIOGROUP'!$G$49/3,IF($AZ$7=$AL$17,'[4]4 trim 2016 BIOGROUP'!$G$49/3,IF($AZ$7=$AL$19,'[4]4 trim 2016 BIOGROUP'!$G$49/3,IF($AZ$7=$AL$20,'[4]4 trim 2016 BIOGROUP'!$G$49/3,""))))))</f>
        <v>0</v>
      </c>
      <c r="BB48" s="511" t="e">
        <f t="shared" si="5"/>
        <v>#REF!</v>
      </c>
      <c r="BC48" s="750"/>
    </row>
    <row r="49" spans="1:55" ht="26.15" customHeight="1">
      <c r="A49" s="662"/>
      <c r="B49" s="566">
        <v>67</v>
      </c>
      <c r="C49" s="463" t="s">
        <v>130</v>
      </c>
      <c r="D49" s="670"/>
      <c r="E49" s="463" t="s">
        <v>132</v>
      </c>
      <c r="F49" s="577"/>
      <c r="G49" s="475">
        <v>-62668.88</v>
      </c>
      <c r="H49" s="578">
        <f>G49/$G$7</f>
        <v>-1.0104222654780181E-2</v>
      </c>
      <c r="J49" s="506">
        <f>-SUMIF($AO$7:$AZ$7,$G$6,AO49:AZ49)</f>
        <v>0</v>
      </c>
      <c r="K49" s="532" t="str">
        <f t="shared" si="6"/>
        <v/>
      </c>
      <c r="L49" s="431"/>
      <c r="M49" s="759">
        <v>-270</v>
      </c>
      <c r="N49" s="532">
        <f t="shared" si="1"/>
        <v>231.10696296296297</v>
      </c>
      <c r="O49" s="580"/>
      <c r="P49" s="581"/>
      <c r="Q49" s="671"/>
      <c r="R49" s="672"/>
      <c r="S49" s="671"/>
      <c r="T49" s="672"/>
      <c r="U49" s="671"/>
      <c r="V49" s="672"/>
      <c r="W49" s="671"/>
      <c r="X49" s="672"/>
      <c r="Y49" s="671"/>
      <c r="Z49" s="672"/>
      <c r="AA49" s="584"/>
      <c r="AB49" s="475">
        <v>-193098.37</v>
      </c>
      <c r="AC49" s="578">
        <f>+AB49/$AB$7</f>
        <v>-1.0818901707081678E-2</v>
      </c>
      <c r="AD49" s="579">
        <f>-SUMIF($AO$7:$AZ$7,"&lt;="&amp;$AC$6,AO49:AZ49)</f>
        <v>0</v>
      </c>
      <c r="AE49" s="517" t="str">
        <f t="shared" si="20"/>
        <v/>
      </c>
      <c r="AG49" s="753">
        <v>-520</v>
      </c>
      <c r="AH49" s="517">
        <f t="shared" si="4"/>
        <v>370.34301923076924</v>
      </c>
      <c r="AM49" s="463" t="s">
        <v>132</v>
      </c>
      <c r="AN49" s="747"/>
      <c r="AO49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P49" s="431">
        <f>IF($AP$7=$AL$7,'[4]1 trim 2016 BIOGROUP'!$G$50/3,IF($AP$7=$AL$8,'[4]1 trim 2016 BIOGROUP'!$G$50/3,IF($AP$7=$AL$9,'[4]1 trim 2016 BIOGROUP'!$G$50/3,IF($AP$7=$AL$10,'[4]2 trim 2016 BIOGROUP'!$G$50/3,IF($AP$7=$AL$11,'[4]2 trim 2016 BIOGROUP'!$G$50/3,IF($AP$7=$AL$12,'[4]2 trim 2016 BIOGROUP'!$G$50/3,""))))))</f>
        <v>0</v>
      </c>
      <c r="AQ49" s="431">
        <f>IF($AQ$7=$AL$7,'[4]1 trim 2016 BIOGROUP'!$G$50/3,IF($AQ$7=$AL$8,'[4]1 trim 2016 BIOGROUP'!$G$50/3,IF($AQ$7=$AL$9,'[4]1 trim 2016 BIOGROUP'!$G$50/3,IF($AQ$7=$AL$10,'[4]2 trim 2016 BIOGROUP'!$G$50/3,IF($AQ$7=$AL$11,'[4]2 trim 2016 BIOGROUP'!$G$50/3,IF($AQ$7=$AL$12,'[4]2 trim 2016 BIOGROUP'!$G$50/3,""))))))</f>
        <v>0</v>
      </c>
      <c r="AR49" s="431">
        <f>IF($AR$7=$AL$7,'[4]1 trim 2016 BIOGROUP'!$G$50/3,IF($AR$7=$AL$8,'[4]1 trim 2016 BIOGROUP'!$G$50/3,IF($AR$7=$AL$9,'[4]1 trim 2016 BIOGROUP'!$G$50/3,IF($AR$7=$AL$10,'[4]2 trim 2016 BIOGROUP'!$G$50/3,IF($AR$7=$AL$11,'[4]2 trim 2016 BIOGROUP'!$G$50/3,IF($AR$7=$AL$12,'[4]2 trim 2016 BIOGROUP'!$G$50/3,""))))))</f>
        <v>0</v>
      </c>
      <c r="AS49" s="431">
        <f>IF($AS$7=$AL$7,'[4]1 trim 2016 BIOGROUP'!$G$50/3,IF($AS$7=$AL$8,'[4]1 trim 2016 BIOGROUP'!$G$50/3,IF($AS$7=$AL$9,'[4]1 trim 2016 BIOGROUP'!$G$50/3,IF($AS$7=$AL$10,'[4]2 trim 2016 BIOGROUP'!$G$50/3,IF($AS$7=$AL$11,'[4]2 trim 2016 BIOGROUP'!$G$50/3,IF($AS$7=$AL$12,'[4]2 trim 2016 BIOGROUP'!$G$50/3,""))))))</f>
        <v>0</v>
      </c>
      <c r="AT49" s="431">
        <f>IF($AT$7=$AL$7,'[4]1 trim 2016 BIOGROUP'!$G$50/3,IF($AT$7=$AL$8,'[4]1 trim 2016 BIOGROUP'!$G$50/3,IF($AT$7=$AL$9,'[4]1 trim 2016 BIOGROUP'!$G$50/3,IF($AT$7=$AL$10,'[4]2 trim 2016 BIOGROUP'!$G$50/3,IF($AT$7=$AL$11,'[4]2 trim 2016 BIOGROUP'!$G$50/3,IF($AT$7=$AL$12,'[4]2 trim 2016 BIOGROUP'!$G$50/3,""))))))</f>
        <v>0</v>
      </c>
      <c r="AU49" s="431">
        <f>IF($AU$7=$AL$13,'[4]3 trim 2016 BIOGROUP'!$G$50/3,IF($AU$7=$AL$15,'[4]3 trim 2016 BIOGROUP'!$G$50/3,IF($AU$7=$AL$16,'[4]3 trim 2016 BIOGROUP'!$G$50/3,IF($AU$7=$AL$17,'[4]4 trim 2016 BIOGROUP'!$G$50/3,IF($AU$7=$AL$19,'[4]4 trim 2016 BIOGROUP'!$G$50/3,IF($AU$7=$AL$20,'[4]4 trim 2016 BIOGROUP'!$G$50/3,""))))))</f>
        <v>0</v>
      </c>
      <c r="AV49" s="431">
        <f>IF($AV$7=$AL$13,'[4]3 trim 2016 BIOGROUP'!$G$50/3,IF($AV$7=$AL$15,'[4]3 trim 2016 BIOGROUP'!$G$50/3,IF($AV$7=$AL$16,'[4]3 trim 2016 BIOGROUP'!$G$50/3,IF($AV$7=$AL$17,'[4]4 trim 2016 BIOGROUP'!$G$50/3,IF($AV$7=$AL$19,'[4]4 trim 2016 BIOGROUP'!$G$50/3,IF($AV$7=$AL$20,'[4]4 trim 2016 BIOGROUP'!$G$50/3,""))))))</f>
        <v>0</v>
      </c>
      <c r="AW49" s="431">
        <f>IF($AW$7=$AL$13,'[4]3 trim 2016 BIOGROUP'!$G$50/3,IF($AW$7=$AL$15,'[4]3 trim 2016 BIOGROUP'!$G$50/3,IF($AW$7=$AL$16,'[4]3 trim 2016 BIOGROUP'!$G$50/3,IF($AW$7=$AL$17,'[4]4 trim 2016 BIOGROUP'!$G$50/3,IF($AW$7=$AL$19,'[4]4 trim 2016 BIOGROUP'!$G$50/3,IF($AW$7=$AL$20,'[4]4 trim 2016 BIOGROUP'!$G$50/3,""))))))</f>
        <v>0</v>
      </c>
      <c r="AX49" s="431">
        <f>IF($AX$7=$AL$13,'[4]3 trim 2016 BIOGROUP'!$G$50/3,IF($AX$7=$AL$15,'[4]3 trim 2016 BIOGROUP'!$G$50/3,IF($AX$7=$AL$16,'[4]3 trim 2016 BIOGROUP'!$G$50/3,IF($AX$7=$AL$17,'[4]4 trim 2016 BIOGROUP'!$G$50/3,IF($AX$7=$AL$19,'[4]4 trim 2016 BIOGROUP'!$G$50/3,IF($AX$7=$AL$20,'[4]4 trim 2016 BIOGROUP'!$G$50/3,""))))))</f>
        <v>0</v>
      </c>
      <c r="AY49" s="431">
        <f>IF($AY$7=$AL$13,'[4]3 trim 2016 BIOGROUP'!$G$50/3,IF($AY$7=$AL$15,'[4]3 trim 2016 BIOGROUP'!$G$50/3,IF($AY$7=$AL$16,'[4]3 trim 2016 BIOGROUP'!$G$50/3,IF($AY$7=$AL$17,'[4]4 trim 2016 BIOGROUP'!$G$50/3,IF($AY$7=$AL$19,'[4]4 trim 2016 BIOGROUP'!$G$50/3,IF($AY$7=$AL$20,'[4]4 trim 2016 BIOGROUP'!$G$50/3,""))))))</f>
        <v>0</v>
      </c>
      <c r="AZ49" s="431">
        <f>IF($AZ$7=$AL$13,'[4]3 trim 2016 BIOGROUP'!$G$50/3,IF($AZ$7=$AL$15,'[4]3 trim 2016 BIOGROUP'!$G$50/3,IF($AZ$7=$AL$16,'[4]3 trim 2016 BIOGROUP'!$G$50/3,IF($AZ$7=$AL$17,'[4]4 trim 2016 BIOGROUP'!$G$50/3,IF($AZ$7=$AL$19,'[4]4 trim 2016 BIOGROUP'!$G$50/3,IF($AZ$7=$AL$20,'[4]4 trim 2016 BIOGROUP'!$G$50/3,""))))))</f>
        <v>0</v>
      </c>
      <c r="BB49" s="511">
        <f t="shared" si="5"/>
        <v>193098.37</v>
      </c>
      <c r="BC49" s="750"/>
    </row>
    <row r="50" spans="1:55" ht="26.15" customHeight="1">
      <c r="A50" s="662"/>
      <c r="B50" s="566"/>
      <c r="C50" s="436" t="s">
        <v>153</v>
      </c>
      <c r="E50" s="436" t="s">
        <v>152</v>
      </c>
      <c r="F50" s="577"/>
      <c r="G50" s="474">
        <f>+G42+G43+G47</f>
        <v>1659022.54</v>
      </c>
      <c r="H50" s="673">
        <f>+G50/G7</f>
        <v>0.26748735789532158</v>
      </c>
      <c r="J50" s="494">
        <f>+J42+J43+J47</f>
        <v>0</v>
      </c>
      <c r="K50" s="531" t="str">
        <f t="shared" si="6"/>
        <v/>
      </c>
      <c r="L50" s="431"/>
      <c r="M50" s="474">
        <v>860535</v>
      </c>
      <c r="N50" s="516">
        <f t="shared" si="1"/>
        <v>0.92789664569134322</v>
      </c>
      <c r="O50" s="580"/>
      <c r="P50" s="581"/>
      <c r="Q50" s="671"/>
      <c r="R50" s="672"/>
      <c r="S50" s="671"/>
      <c r="T50" s="672"/>
      <c r="U50" s="671"/>
      <c r="V50" s="672"/>
      <c r="W50" s="671"/>
      <c r="X50" s="672"/>
      <c r="Y50" s="671"/>
      <c r="Z50" s="672"/>
      <c r="AA50" s="584"/>
      <c r="AB50" s="473">
        <f>AB42+AB43+AB47</f>
        <v>10029270.689999999</v>
      </c>
      <c r="AC50" s="673">
        <f>+AB50/AB7</f>
        <v>0.5619192631653247</v>
      </c>
      <c r="AD50" s="494" t="e">
        <f>+AD42+AD43+AD47</f>
        <v>#REF!</v>
      </c>
      <c r="AE50" s="516" t="str">
        <f t="shared" si="20"/>
        <v/>
      </c>
      <c r="AG50" s="474">
        <v>2906447</v>
      </c>
      <c r="AH50" s="520">
        <f t="shared" si="4"/>
        <v>2.4506979449479034</v>
      </c>
      <c r="AM50" s="436" t="s">
        <v>152</v>
      </c>
      <c r="AN50" s="747"/>
      <c r="AO50" s="741">
        <f>+AO42+AO43+AO47</f>
        <v>-411690.58333333337</v>
      </c>
      <c r="AP50" s="741">
        <f t="shared" ref="AP50:AZ50" si="26">+AP42+AP43+AP47</f>
        <v>-411690.58333333337</v>
      </c>
      <c r="AQ50" s="741">
        <f t="shared" si="26"/>
        <v>-411690.58333333337</v>
      </c>
      <c r="AR50" s="741">
        <f t="shared" si="26"/>
        <v>-471127.49999999977</v>
      </c>
      <c r="AS50" s="741">
        <f t="shared" si="26"/>
        <v>-471127.49999999977</v>
      </c>
      <c r="AT50" s="741">
        <f t="shared" si="26"/>
        <v>-471127.49999999977</v>
      </c>
      <c r="AU50" s="741">
        <f t="shared" si="26"/>
        <v>-681722.16666666628</v>
      </c>
      <c r="AV50" s="741">
        <f>+AV42+AV43+AV47</f>
        <v>-681722.16666666628</v>
      </c>
      <c r="AW50" s="741">
        <f t="shared" si="26"/>
        <v>-681722.16666666628</v>
      </c>
      <c r="AX50" s="741">
        <f t="shared" si="26"/>
        <v>-503017.83333333326</v>
      </c>
      <c r="AY50" s="741">
        <f t="shared" si="26"/>
        <v>-503017.83333333326</v>
      </c>
      <c r="AZ50" s="741">
        <f t="shared" si="26"/>
        <v>-503017.83333333326</v>
      </c>
      <c r="BB50" s="748" t="e">
        <f t="shared" si="5"/>
        <v>#REF!</v>
      </c>
      <c r="BC50" s="752"/>
    </row>
    <row r="51" spans="1:55" ht="26.15" customHeight="1" thickBot="1">
      <c r="A51" s="674"/>
      <c r="B51" s="675">
        <v>695</v>
      </c>
      <c r="C51" s="464" t="s">
        <v>105</v>
      </c>
      <c r="D51" s="676"/>
      <c r="E51" s="464" t="s">
        <v>21</v>
      </c>
      <c r="F51" s="677"/>
      <c r="G51" s="490">
        <f>-G50*33.3333%</f>
        <v>-553006.96032582002</v>
      </c>
      <c r="H51" s="678">
        <f>G51/G7</f>
        <v>-8.9162363469321229E-2</v>
      </c>
      <c r="J51" s="512">
        <f>-J50*33.3333%</f>
        <v>0</v>
      </c>
      <c r="K51" s="540" t="str">
        <f t="shared" si="6"/>
        <v/>
      </c>
      <c r="L51" s="431"/>
      <c r="M51" s="764">
        <v>286845</v>
      </c>
      <c r="N51" s="524">
        <f t="shared" si="1"/>
        <v>-2.9278947177946977</v>
      </c>
      <c r="O51" s="680"/>
      <c r="P51" s="681" t="s">
        <v>21</v>
      </c>
      <c r="Q51" s="682" t="e">
        <f>+#REF!+'31 dec 2016 BIOLAM'!AT53</f>
        <v>#REF!</v>
      </c>
      <c r="R51" s="683" t="e">
        <f>Q51/Q$7</f>
        <v>#REF!</v>
      </c>
      <c r="S51" s="682" t="e">
        <f>+'31 dec 2016 BIOLAM'!AV53+#REF!</f>
        <v>#REF!</v>
      </c>
      <c r="T51" s="683" t="e">
        <f>S51/S$7</f>
        <v>#REF!</v>
      </c>
      <c r="U51" s="682" t="e">
        <f>+'31 dec 2016 BIOLAM'!AX53+#REF!</f>
        <v>#REF!</v>
      </c>
      <c r="V51" s="683" t="e">
        <f>U51/U$7</f>
        <v>#REF!</v>
      </c>
      <c r="W51" s="682" t="e">
        <f>+'31 dec 2016 BIOLAM'!AZ53+#REF!</f>
        <v>#REF!</v>
      </c>
      <c r="X51" s="683" t="e">
        <f>W51/W$7</f>
        <v>#REF!</v>
      </c>
      <c r="Y51" s="682" t="e">
        <f>+W51+U51+S51+Q51</f>
        <v>#REF!</v>
      </c>
      <c r="Z51" s="683" t="e">
        <f>Y51/Y$7</f>
        <v>#REF!</v>
      </c>
      <c r="AA51" s="684" t="e">
        <f>+G51-Y51</f>
        <v>#REF!</v>
      </c>
      <c r="AB51" s="490">
        <f>-AB50*33.3333%</f>
        <v>-3343086.8869097698</v>
      </c>
      <c r="AC51" s="678">
        <f>AB51/AB7</f>
        <v>-0.18730623374868718</v>
      </c>
      <c r="AD51" s="490">
        <f>-SUMIF($AO$7:$AZ$7,"&lt;="&amp;$AC$6,AO51:AZ51)</f>
        <v>0</v>
      </c>
      <c r="AE51" s="524" t="str">
        <f t="shared" si="20"/>
        <v/>
      </c>
      <c r="AG51" s="764">
        <v>968815</v>
      </c>
      <c r="AH51" s="524">
        <f t="shared" si="4"/>
        <v>-4.4506968687621162</v>
      </c>
      <c r="AM51" s="464" t="s">
        <v>21</v>
      </c>
      <c r="AN51" s="433" t="s">
        <v>162</v>
      </c>
      <c r="AO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P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Q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R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S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T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U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V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W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X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Y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AZ51" s="431">
        <f>IF($AO$7=$AL$7,'[4]1 trim 2016 BIOGROUP'!$G$50/3,IF($AO$7=$AL$8,'[4]1 trim 2016 BIOGROUP'!$G$50/3,IF($AO$7=$AL$9,'[4]1 trim 2016 BIOGROUP'!$G$50/3,IF($AO$7=$AL$10,'[4]2 trim 2016 BIOGROUP'!$G$50/3,IF($AO$7=$AL$11,'[4]2 trim 2016 BIOGROUP'!$G$50/3,IF($AO$7=$AL$12,'[4]2 trim 2016 BIOGROUP'!$G$50/3,""))))))</f>
        <v>0</v>
      </c>
      <c r="BB51" s="511">
        <f t="shared" si="5"/>
        <v>3343086.8869097698</v>
      </c>
      <c r="BC51" s="750"/>
    </row>
    <row r="52" spans="1:55" ht="26.15" customHeight="1" thickBot="1">
      <c r="A52" s="565"/>
      <c r="B52" s="566"/>
      <c r="C52" s="465" t="s">
        <v>106</v>
      </c>
      <c r="D52" s="589"/>
      <c r="E52" s="465" t="s">
        <v>107</v>
      </c>
      <c r="F52" s="577"/>
      <c r="G52" s="491">
        <f>+G50+G51</f>
        <v>1106015.5796741801</v>
      </c>
      <c r="H52" s="673">
        <f>G52/G7</f>
        <v>0.17832499442600039</v>
      </c>
      <c r="J52" s="494">
        <f>+J50+J51</f>
        <v>0</v>
      </c>
      <c r="K52" s="531" t="str">
        <f t="shared" si="6"/>
        <v/>
      </c>
      <c r="L52" s="431"/>
      <c r="M52" s="474">
        <v>573690</v>
      </c>
      <c r="N52" s="516">
        <f t="shared" si="1"/>
        <v>0.92789760963966628</v>
      </c>
      <c r="O52" s="580"/>
      <c r="P52" s="685" t="s">
        <v>22</v>
      </c>
      <c r="Q52" s="686" t="e">
        <f>+Q76+Q51</f>
        <v>#REF!</v>
      </c>
      <c r="R52" s="687" t="e">
        <f>Q52/Q$7</f>
        <v>#REF!</v>
      </c>
      <c r="S52" s="686" t="e">
        <f>+S76+S51</f>
        <v>#REF!</v>
      </c>
      <c r="T52" s="687" t="e">
        <f>S52/S$7</f>
        <v>#REF!</v>
      </c>
      <c r="U52" s="686" t="e">
        <f>+U76+U51</f>
        <v>#REF!</v>
      </c>
      <c r="V52" s="688" t="e">
        <f>U52/U$7</f>
        <v>#REF!</v>
      </c>
      <c r="W52" s="686" t="e">
        <f>+W76+W51</f>
        <v>#REF!</v>
      </c>
      <c r="X52" s="687" t="e">
        <f>W52/W$7</f>
        <v>#REF!</v>
      </c>
      <c r="Y52" s="686" t="e">
        <f>+Y76+Y51</f>
        <v>#REF!</v>
      </c>
      <c r="Z52" s="687" t="e">
        <f>Y52/Y$7</f>
        <v>#REF!</v>
      </c>
      <c r="AA52" s="584" t="e">
        <f>+G52-Y52</f>
        <v>#REF!</v>
      </c>
      <c r="AB52" s="491">
        <f>+AB50+AB51</f>
        <v>6686183.8030902296</v>
      </c>
      <c r="AC52" s="673">
        <f>AB52/AB7</f>
        <v>0.37461302941663749</v>
      </c>
      <c r="AD52" s="494" t="e">
        <f>SUM(AD50:AD51)</f>
        <v>#REF!</v>
      </c>
      <c r="AE52" s="516" t="str">
        <f t="shared" si="20"/>
        <v/>
      </c>
      <c r="AG52" s="474">
        <v>1937632</v>
      </c>
      <c r="AH52" s="520">
        <f t="shared" si="4"/>
        <v>2.4506984830402416</v>
      </c>
      <c r="AM52" s="465" t="s">
        <v>107</v>
      </c>
      <c r="BB52" s="748" t="e">
        <f t="shared" si="5"/>
        <v>#REF!</v>
      </c>
      <c r="BC52" s="752"/>
    </row>
    <row r="53" spans="1:55" ht="26.15" customHeight="1">
      <c r="A53" s="689"/>
      <c r="B53" s="690">
        <v>691</v>
      </c>
      <c r="C53" s="466" t="s">
        <v>138</v>
      </c>
      <c r="D53" s="691"/>
      <c r="E53" s="466" t="s">
        <v>62</v>
      </c>
      <c r="F53" s="692"/>
      <c r="G53" s="492">
        <v>0</v>
      </c>
      <c r="H53" s="525">
        <f>G53/$G$7</f>
        <v>0</v>
      </c>
      <c r="J53" s="513">
        <v>0</v>
      </c>
      <c r="K53" s="525" t="str">
        <f t="shared" si="6"/>
        <v/>
      </c>
      <c r="L53" s="431"/>
      <c r="M53" s="492"/>
      <c r="N53" s="525" t="str">
        <f t="shared" si="1"/>
        <v/>
      </c>
      <c r="O53" s="693"/>
      <c r="P53" s="694" t="s">
        <v>62</v>
      </c>
      <c r="Q53" s="636" t="e">
        <f>+#REF!</f>
        <v>#REF!</v>
      </c>
      <c r="R53" s="695" t="e">
        <f>Q53/Q$7</f>
        <v>#REF!</v>
      </c>
      <c r="S53" s="636" t="e">
        <f>+#REF!</f>
        <v>#REF!</v>
      </c>
      <c r="T53" s="695" t="e">
        <f>S53/S$7</f>
        <v>#REF!</v>
      </c>
      <c r="U53" s="636" t="e">
        <f>+#REF!</f>
        <v>#REF!</v>
      </c>
      <c r="V53" s="695" t="e">
        <f>U53/U$7</f>
        <v>#REF!</v>
      </c>
      <c r="W53" s="636" t="e">
        <f>+#REF!</f>
        <v>#REF!</v>
      </c>
      <c r="X53" s="695" t="e">
        <f>W53/W$7</f>
        <v>#REF!</v>
      </c>
      <c r="Y53" s="636" t="e">
        <f>+W53+U53+S53+Q53</f>
        <v>#REF!</v>
      </c>
      <c r="Z53" s="695" t="e">
        <f>Y53/Y$7</f>
        <v>#REF!</v>
      </c>
      <c r="AA53" s="639" t="e">
        <f>+G53-Y53</f>
        <v>#REF!</v>
      </c>
      <c r="AB53" s="492">
        <v>0</v>
      </c>
      <c r="AC53" s="525">
        <f>AB53/$AB$7</f>
        <v>0</v>
      </c>
      <c r="AD53" s="513">
        <v>0</v>
      </c>
      <c r="AE53" s="525" t="str">
        <f t="shared" si="20"/>
        <v/>
      </c>
      <c r="AG53" s="492"/>
      <c r="AH53" s="525" t="str">
        <f t="shared" si="4"/>
        <v/>
      </c>
      <c r="AM53" s="466" t="s">
        <v>62</v>
      </c>
      <c r="AO53" s="431">
        <f>IF($AO$7=$AL$7,'[4]1 trim 2016 BIOGROUP'!$G$31/3,IF($AO$7=$AL$8,'[4]1 trim 2016 BIOGROUP'!$G$31/3,IF($AO$7=$AL$9,'[4]1 trim 2016 BIOGROUP'!$G$31/3,IF($AO$7=$AL$10,'[4]2 trim 2016 BIOGROUP'!$G$31/3,IF($AO$7=$AL$11,'[4]2 trim 2016 BIOGROUP'!$G$31/3,IF($AO$7=$AL$12,'[4]2 trim 2016 BIOGROUP'!$G$31/3,""))))))</f>
        <v>0</v>
      </c>
      <c r="AP53" s="431">
        <f>IF($AP$7=$AL$7,'[4]1 trim 2016 BIOGROUP'!$G$31/3,IF($AP$7=$AL$8,'[4]1 trim 2016 BIOGROUP'!$G$31/3,IF($AP$7=$AL$9,'[4]1 trim 2016 BIOGROUP'!$G$31/3,IF($AP$7=$AL$10,'[4]2 trim 2016 BIOGROUP'!$G$31/3,IF($AP$7=$AL$11,'[4]2 trim 2016 BIOGROUP'!$G$31/3,IF($AP$7=$AL$12,'[4]2 trim 2016 BIOGROUP'!$G$31/3,""))))))</f>
        <v>0</v>
      </c>
      <c r="AQ53" s="431">
        <f>IF($AQ$7=$AL$7,'[4]1 trim 2016 BIOGROUP'!$G$31/3,IF($AQ$7=$AL$8,'[4]1 trim 2016 BIOGROUP'!$G$31/3,IF($AQ$7=$AL$9,'[4]1 trim 2016 BIOGROUP'!$G$31/3,IF($AQ$7=$AL$10,'[4]2 trim 2016 BIOGROUP'!$G$31/3,IF($AQ$7=$AL$11,'[4]2 trim 2016 BIOGROUP'!$G$31/3,IF($AQ$7=$AL$12,'[4]2 trim 2016 BIOGROUP'!$G$31/3,""))))))</f>
        <v>0</v>
      </c>
      <c r="AR53" s="431">
        <f>IF($AR$7=$AL$7,'[4]1 trim 2016 BIOGROUP'!$G$31/3,IF($AR$7=$AL$8,'[4]1 trim 2016 BIOGROUP'!$G$31/3,IF($AR$7=$AL$9,'[4]1 trim 2016 BIOGROUP'!$G$31/3,IF($AR$7=$AL$10,'[4]2 trim 2016 BIOGROUP'!$G$31/3,IF($AR$7=$AL$11,'[4]2 trim 2016 BIOGROUP'!$G$31/3,IF($AR$7=$AL$12,'[4]2 trim 2016 BIOGROUP'!$G$31/3,""))))))</f>
        <v>0</v>
      </c>
      <c r="AS53" s="431">
        <f>IF($AS$7=$AL$7,'[4]1 trim 2016 BIOGROUP'!$G$31/3,IF($AS$7=$AL$8,'[4]1 trim 2016 BIOGROUP'!$G$31/3,IF($AS$7=$AL$9,'[4]1 trim 2016 BIOGROUP'!$G$31/3,IF($AS$7=$AL$10,'[4]2 trim 2016 BIOGROUP'!$G$31/3,IF($AS$7=$AL$11,'[4]2 trim 2016 BIOGROUP'!$G$31/3,IF($AS$7=$AL$12,'[4]2 trim 2016 BIOGROUP'!$G$31/3,""))))))</f>
        <v>0</v>
      </c>
      <c r="AT53" s="431">
        <f>IF($AT$7=$AL$7,'[4]1 trim 2016 BIOGROUP'!$G$31/3,IF($AT$7=$AL$8,'[4]1 trim 2016 BIOGROUP'!$G$31/3,IF($AT$7=$AL$9,'[4]1 trim 2016 BIOGROUP'!$G$31/3,IF($AT$7=$AL$10,'[4]2 trim 2016 BIOGROUP'!$G$31/3,IF($AT$7=$AL$11,'[4]2 trim 2016 BIOGROUP'!$G$31/3,IF($AT$7=$AL$12,'[4]2 trim 2016 BIOGROUP'!$G$31/3,""))))))</f>
        <v>0</v>
      </c>
      <c r="AU53" s="431">
        <f>IF($AU$7=$AL$13,'[4]3 trim 2016 BIOGROUP'!$G$31/3,IF($AU$7=$AL$15,'[4]3 trim 2016 BIOGROUP'!$G$31/3,IF($AU$7=$AL$16,'[4]3 trim 2016 BIOGROUP'!$G$31/3,IF($AU$7=$AL$17,'[4]4 trim 2016 BIOGROUP'!$G$31/3,IF($AU$7=$AL$19,'[4]4 trim 2016 BIOGROUP'!$G$31/3,IF($AU$7=$AL$20,'[4]4 trim 2016 BIOGROUP'!$G$31/3,""))))))</f>
        <v>0</v>
      </c>
      <c r="AV53" s="431">
        <f>IF($AV$7=$AL$13,'[4]3 trim 2016 BIOGROUP'!$G$31/3,IF($AV$7=$AL$15,'[4]3 trim 2016 BIOGROUP'!$G$31/3,IF($AV$7=$AL$16,'[4]3 trim 2016 BIOGROUP'!$G$31/3,IF($AV$7=$AL$17,'[4]4 trim 2016 BIOGROUP'!$G$31/3,IF($AV$7=$AL$19,'[4]4 trim 2016 BIOGROUP'!$G$31/3,IF($AV$7=$AL$20,'[4]4 trim 2016 BIOGROUP'!$G$31/3,""))))))</f>
        <v>0</v>
      </c>
      <c r="AW53" s="431">
        <f>IF($AW$7=$AL$13,'[4]3 trim 2016 BIOGROUP'!$G$31/3,IF($AW$7=$AL$15,'[4]3 trim 2016 BIOGROUP'!$G$31/3,IF($AW$7=$AL$16,'[4]3 trim 2016 BIOGROUP'!$G$31/3,IF($AW$7=$AL$17,'[4]4 trim 2016 BIOGROUP'!$G$31/3,IF($AW$7=$AL$19,'[4]4 trim 2016 BIOGROUP'!$G$31/3,IF($AW$7=$AL$20,'[4]4 trim 2016 BIOGROUP'!$G$31/3,""))))))</f>
        <v>0</v>
      </c>
      <c r="AX53" s="431">
        <f>IF($AX$7=$AL$13,'[4]3 trim 2016 BIOGROUP'!$G$31/3,IF($AX$7=$AL$15,'[4]3 trim 2016 BIOGROUP'!$G$31/3,IF($AX$7=$AL$16,'[4]3 trim 2016 BIOGROUP'!$G$31/3,IF($AX$7=$AL$17,'[4]4 trim 2016 BIOGROUP'!$G$31/3,IF($AX$7=$AL$19,'[4]4 trim 2016 BIOGROUP'!$G$31/3,IF($AX$7=$AL$20,'[4]4 trim 2016 BIOGROUP'!$G$31/3,""))))))</f>
        <v>0</v>
      </c>
      <c r="AY53" s="431">
        <f>IF($AY$7=$AL$13,'[4]3 trim 2016 BIOGROUP'!$G$31/3,IF($AY$7=$AL$15,'[4]3 trim 2016 BIOGROUP'!$G$31/3,IF($AY$7=$AL$16,'[4]3 trim 2016 BIOGROUP'!$G$31/3,IF($AY$7=$AL$17,'[4]4 trim 2016 BIOGROUP'!$G$31/3,IF($AY$7=$AL$19,'[4]4 trim 2016 BIOGROUP'!$G$31/3,IF($AY$7=$AL$20,'[4]4 trim 2016 BIOGROUP'!$G$31/3,""))))))</f>
        <v>0</v>
      </c>
      <c r="AZ53" s="431">
        <f>IF($AZ$7=$AL$13,'[4]3 trim 2016 BIOGROUP'!$G$31/3,IF($AZ$7=$AL$15,'[4]3 trim 2016 BIOGROUP'!$G$31/3,IF($AZ$7=$AL$16,'[4]3 trim 2016 BIOGROUP'!$G$31/3,IF($AZ$7=$AL$17,'[4]4 trim 2016 BIOGROUP'!$G$31/3,IF($AZ$7=$AL$19,'[4]4 trim 2016 BIOGROUP'!$G$31/3,IF($AZ$7=$AL$20,'[4]4 trim 2016 BIOGROUP'!$G$31/3,""))))))</f>
        <v>0</v>
      </c>
      <c r="BB53" s="511">
        <f t="shared" si="5"/>
        <v>0</v>
      </c>
      <c r="BC53" s="750"/>
    </row>
    <row r="54" spans="1:55" ht="26.15" customHeight="1">
      <c r="A54" s="689"/>
      <c r="B54" s="690"/>
      <c r="C54" s="436" t="s">
        <v>160</v>
      </c>
      <c r="D54" s="696"/>
      <c r="E54" s="436" t="s">
        <v>161</v>
      </c>
      <c r="F54" s="692"/>
      <c r="G54" s="473">
        <f>SUM(G52:G53)</f>
        <v>1106015.5796741801</v>
      </c>
      <c r="H54" s="673">
        <f>G54/$G$7</f>
        <v>0.17832499442600039</v>
      </c>
      <c r="J54" s="514">
        <f>SUM(J52:J53)</f>
        <v>0</v>
      </c>
      <c r="K54" s="531" t="str">
        <f t="shared" si="6"/>
        <v/>
      </c>
      <c r="L54" s="431"/>
      <c r="M54" s="765">
        <v>573690</v>
      </c>
      <c r="N54" s="516">
        <f t="shared" si="1"/>
        <v>0.92789760963966628</v>
      </c>
      <c r="O54" s="693"/>
      <c r="P54" s="698"/>
      <c r="Q54" s="699"/>
      <c r="R54" s="700"/>
      <c r="S54" s="699"/>
      <c r="T54" s="700"/>
      <c r="U54" s="699"/>
      <c r="V54" s="700"/>
      <c r="W54" s="699"/>
      <c r="X54" s="700"/>
      <c r="Y54" s="699"/>
      <c r="Z54" s="700"/>
      <c r="AA54" s="639"/>
      <c r="AB54" s="473">
        <f>SUM(AB52:AB53)</f>
        <v>6686183.8030902296</v>
      </c>
      <c r="AC54" s="673">
        <f>AB54/$AB$7</f>
        <v>0.37461302941663749</v>
      </c>
      <c r="AD54" s="514" t="e">
        <f>SUM(AD52:AD53)</f>
        <v>#REF!</v>
      </c>
      <c r="AE54" s="516" t="str">
        <f t="shared" si="20"/>
        <v/>
      </c>
      <c r="AG54" s="765">
        <v>1937632</v>
      </c>
      <c r="AH54" s="516">
        <f t="shared" si="4"/>
        <v>2.4506984830402416</v>
      </c>
      <c r="AM54" s="436" t="s">
        <v>161</v>
      </c>
      <c r="BB54" s="748" t="e">
        <f t="shared" si="5"/>
        <v>#REF!</v>
      </c>
      <c r="BC54" s="752"/>
    </row>
    <row r="55" spans="1:55" ht="26.15" customHeight="1">
      <c r="A55" s="565"/>
      <c r="B55" s="566"/>
      <c r="C55" s="467" t="s">
        <v>122</v>
      </c>
      <c r="D55" s="701"/>
      <c r="E55" s="467" t="s">
        <v>133</v>
      </c>
      <c r="F55" s="577"/>
      <c r="G55" s="493"/>
      <c r="H55" s="702"/>
      <c r="J55" s="515"/>
      <c r="K55" s="541"/>
      <c r="L55" s="431"/>
      <c r="M55" s="515"/>
      <c r="N55" s="528"/>
      <c r="O55" s="703"/>
      <c r="P55" s="468"/>
      <c r="Q55" s="704"/>
      <c r="R55" s="705"/>
      <c r="S55" s="704"/>
      <c r="T55" s="705"/>
      <c r="U55" s="704"/>
      <c r="V55" s="706"/>
      <c r="W55" s="704"/>
      <c r="X55" s="705"/>
      <c r="Y55" s="704"/>
      <c r="Z55" s="705"/>
      <c r="AA55" s="707"/>
      <c r="AB55" s="493"/>
      <c r="AC55" s="702"/>
      <c r="AD55" s="515"/>
      <c r="AE55" s="526"/>
      <c r="AG55" s="766"/>
      <c r="AH55" s="528"/>
      <c r="AM55" s="467" t="s">
        <v>133</v>
      </c>
      <c r="AN55" s="433" t="s">
        <v>162</v>
      </c>
      <c r="AO55" s="742">
        <f>+AO53+AO51</f>
        <v>0</v>
      </c>
      <c r="AP55" s="742">
        <f t="shared" ref="AP55:AZ55" si="27">+AP53+AP51</f>
        <v>0</v>
      </c>
      <c r="AQ55" s="742">
        <f t="shared" si="27"/>
        <v>0</v>
      </c>
      <c r="AR55" s="742">
        <f t="shared" si="27"/>
        <v>0</v>
      </c>
      <c r="AS55" s="742">
        <f t="shared" si="27"/>
        <v>0</v>
      </c>
      <c r="AT55" s="742">
        <f t="shared" si="27"/>
        <v>0</v>
      </c>
      <c r="AU55" s="742">
        <f t="shared" si="27"/>
        <v>0</v>
      </c>
      <c r="AV55" s="742">
        <f t="shared" si="27"/>
        <v>0</v>
      </c>
      <c r="AW55" s="742">
        <f t="shared" si="27"/>
        <v>0</v>
      </c>
      <c r="AX55" s="742">
        <f t="shared" si="27"/>
        <v>0</v>
      </c>
      <c r="AY55" s="742">
        <f t="shared" si="27"/>
        <v>0</v>
      </c>
      <c r="AZ55" s="742">
        <f t="shared" si="27"/>
        <v>0</v>
      </c>
      <c r="BB55" s="511">
        <f>AB55-AD55</f>
        <v>0</v>
      </c>
      <c r="BC55" s="750"/>
    </row>
    <row r="56" spans="1:55" ht="26.15" customHeight="1">
      <c r="A56" s="565"/>
      <c r="B56" s="566"/>
      <c r="C56" s="468"/>
      <c r="D56" s="701"/>
      <c r="E56" s="468"/>
      <c r="F56" s="577"/>
      <c r="G56" s="708"/>
      <c r="H56" s="709"/>
      <c r="I56" s="709"/>
      <c r="J56" s="704"/>
      <c r="K56" s="710"/>
      <c r="L56" s="710"/>
      <c r="M56" s="704"/>
      <c r="N56" s="705"/>
      <c r="O56" s="703"/>
      <c r="P56" s="468"/>
      <c r="Q56" s="704"/>
      <c r="R56" s="705"/>
      <c r="S56" s="704"/>
      <c r="T56" s="705"/>
      <c r="U56" s="704"/>
      <c r="V56" s="706"/>
      <c r="W56" s="704"/>
      <c r="X56" s="705"/>
      <c r="Y56" s="704"/>
      <c r="Z56" s="705"/>
      <c r="AA56" s="707"/>
      <c r="AB56" s="708"/>
      <c r="AC56" s="709"/>
      <c r="AD56" s="704"/>
      <c r="AE56" s="711"/>
      <c r="AF56" s="711"/>
      <c r="AG56" s="704"/>
      <c r="AH56" s="705"/>
      <c r="AM56" s="468"/>
    </row>
    <row r="57" spans="1:55" ht="26.15" customHeight="1">
      <c r="A57" s="565"/>
      <c r="B57" s="567"/>
      <c r="C57" s="712" t="s">
        <v>162</v>
      </c>
      <c r="D57" s="701"/>
      <c r="E57" s="468"/>
      <c r="F57" s="577"/>
      <c r="G57" s="713">
        <v>-1659022</v>
      </c>
      <c r="H57" s="709"/>
      <c r="I57" s="709"/>
      <c r="J57" s="704"/>
      <c r="K57" s="710"/>
      <c r="L57" s="710"/>
      <c r="M57" s="714">
        <v>-860535</v>
      </c>
      <c r="N57" s="705"/>
      <c r="O57" s="703"/>
      <c r="P57" s="468"/>
      <c r="Q57" s="704"/>
      <c r="R57" s="705"/>
      <c r="S57" s="704"/>
      <c r="T57" s="705"/>
      <c r="U57" s="704"/>
      <c r="V57" s="706"/>
      <c r="W57" s="704"/>
      <c r="X57" s="705"/>
      <c r="Y57" s="704"/>
      <c r="Z57" s="705"/>
      <c r="AA57" s="707"/>
      <c r="AB57" s="713">
        <v>-4272209</v>
      </c>
      <c r="AC57" s="709"/>
      <c r="AD57" s="715">
        <f>-'31 dec 2016 BIOLAM'!AT52</f>
        <v>-3992613.5335298935</v>
      </c>
      <c r="AE57" s="711"/>
      <c r="AF57" s="711"/>
      <c r="AG57" s="714">
        <v>-2906447</v>
      </c>
      <c r="AH57" s="705"/>
      <c r="AM57" s="468"/>
    </row>
    <row r="58" spans="1:55" ht="15">
      <c r="B58" s="716"/>
      <c r="C58" s="551"/>
      <c r="D58" s="551"/>
      <c r="E58" s="469"/>
      <c r="F58" s="703"/>
      <c r="G58" s="717">
        <f>+G50+G57</f>
        <v>0.5400000000372529</v>
      </c>
      <c r="H58" s="551"/>
      <c r="I58" s="551"/>
      <c r="K58" s="718"/>
      <c r="L58" s="718"/>
      <c r="M58" s="719">
        <f>+M50+M57</f>
        <v>0</v>
      </c>
      <c r="N58" s="551"/>
      <c r="O58" s="551"/>
      <c r="P58" s="551" t="s">
        <v>56</v>
      </c>
      <c r="Q58" s="720" t="e">
        <f>+'31 dec 2016 BIOLAM'!AT54+#REF!</f>
        <v>#REF!</v>
      </c>
      <c r="R58" s="720"/>
      <c r="S58" s="720" t="e">
        <f>+'31 dec 2016 BIOLAM'!AV54+#REF!</f>
        <v>#REF!</v>
      </c>
      <c r="T58" s="551"/>
      <c r="U58" s="720" t="e">
        <f>+'31 dec 2016 BIOLAM'!AX54+#REF!</f>
        <v>#REF!</v>
      </c>
      <c r="V58" s="551"/>
      <c r="W58" s="720" t="e">
        <f>+'31 dec 2016 BIOLAM'!AZ54+#REF!</f>
        <v>#REF!</v>
      </c>
      <c r="X58" s="551"/>
      <c r="Y58" s="721" t="e">
        <f>+W52+U52+S52+Q52</f>
        <v>#REF!</v>
      </c>
      <c r="Z58" s="551"/>
      <c r="AA58" s="551"/>
      <c r="AB58" s="722">
        <f>+AB50+AB57</f>
        <v>5757061.6899999995</v>
      </c>
      <c r="AC58" s="551"/>
      <c r="AD58" s="723" t="e">
        <f>AD50+AD57</f>
        <v>#REF!</v>
      </c>
      <c r="AE58" s="551"/>
      <c r="AF58" s="551"/>
      <c r="AG58" s="717">
        <f>AG50+AG57</f>
        <v>0</v>
      </c>
      <c r="AH58" s="551"/>
      <c r="AM58" s="469"/>
    </row>
    <row r="59" spans="1:55">
      <c r="E59" s="470"/>
      <c r="G59" s="724"/>
      <c r="Q59" s="726" t="e">
        <f>SUM(#REF!)</f>
        <v>#REF!</v>
      </c>
      <c r="AM59" s="470"/>
    </row>
    <row r="60" spans="1:55" ht="25">
      <c r="E60" s="471"/>
      <c r="Q60" s="726" t="e">
        <f>SUM(#REF!)</f>
        <v>#REF!</v>
      </c>
      <c r="AM60" s="471"/>
    </row>
    <row r="61" spans="1:55">
      <c r="G61" s="726"/>
      <c r="Q61" s="726" t="e">
        <f>SUM(#REF!)</f>
        <v>#REF!</v>
      </c>
      <c r="W61" s="727" t="e">
        <f>+W51+U51+S51+Q51</f>
        <v>#REF!</v>
      </c>
    </row>
    <row r="62" spans="1:55">
      <c r="G62" s="726"/>
      <c r="Q62" s="726" t="e">
        <f>SUM(#REF!)</f>
        <v>#REF!</v>
      </c>
    </row>
    <row r="63" spans="1:55">
      <c r="Q63" s="726" t="e">
        <f>SUM(Q59:Q62)</f>
        <v>#REF!</v>
      </c>
    </row>
    <row r="66" spans="1:39">
      <c r="G66" s="615"/>
    </row>
    <row r="67" spans="1:39">
      <c r="G67" s="724"/>
    </row>
    <row r="68" spans="1:39">
      <c r="E68" s="431"/>
      <c r="F68" s="431"/>
      <c r="AM68" s="431"/>
    </row>
    <row r="69" spans="1:39">
      <c r="E69" s="431"/>
      <c r="F69" s="431"/>
      <c r="AM69" s="431"/>
    </row>
    <row r="70" spans="1:39" ht="26.15" customHeight="1">
      <c r="A70" s="662"/>
      <c r="B70" s="566"/>
      <c r="E70" s="431"/>
      <c r="F70" s="431"/>
      <c r="P70" s="728" t="s">
        <v>14</v>
      </c>
      <c r="Q70" s="729" t="e">
        <f>+#REF!+'31 dec 2016 BIOLAM'!AT42</f>
        <v>#REF!</v>
      </c>
      <c r="R70" s="730" t="e">
        <f>Q70/Q$7</f>
        <v>#REF!</v>
      </c>
      <c r="S70" s="729" t="e">
        <f>+'31 dec 2016 BIOLAM'!AV42+#REF!</f>
        <v>#REF!</v>
      </c>
      <c r="T70" s="730" t="e">
        <f>S70/S$7</f>
        <v>#REF!</v>
      </c>
      <c r="U70" s="729" t="e">
        <f>+'31 dec 2016 BIOLAM'!AX42+#REF!</f>
        <v>#REF!</v>
      </c>
      <c r="V70" s="730" t="e">
        <f>U70/U$7</f>
        <v>#REF!</v>
      </c>
      <c r="W70" s="729" t="e">
        <f>+'31 dec 2016 BIOLAM'!AZ42+#REF!</f>
        <v>#REF!</v>
      </c>
      <c r="X70" s="730" t="e">
        <f>W70/W$7</f>
        <v>#REF!</v>
      </c>
      <c r="Y70" s="729" t="e">
        <f>+W70+U70+S70+Q70</f>
        <v>#REF!</v>
      </c>
      <c r="Z70" s="730" t="e">
        <f>Y70/Y$7</f>
        <v>#REF!</v>
      </c>
      <c r="AA70" s="727" t="e">
        <f>+G70-Y70</f>
        <v>#REF!</v>
      </c>
      <c r="AM70" s="431"/>
    </row>
    <row r="71" spans="1:39" ht="26.15" customHeight="1">
      <c r="A71" s="662"/>
      <c r="B71" s="566"/>
      <c r="E71" s="431"/>
      <c r="F71" s="431"/>
      <c r="P71" s="731" t="s">
        <v>59</v>
      </c>
      <c r="Q71" s="729" t="e">
        <f>+#REF!+'31 dec 2016 BIOLAM'!AT43</f>
        <v>#REF!</v>
      </c>
      <c r="R71" s="730" t="e">
        <f>Q71/Q$7</f>
        <v>#REF!</v>
      </c>
      <c r="S71" s="729" t="e">
        <f>+'31 dec 2016 BIOLAM'!AV43+#REF!</f>
        <v>#REF!</v>
      </c>
      <c r="T71" s="730" t="e">
        <f>S71/S$7</f>
        <v>#REF!</v>
      </c>
      <c r="U71" s="729" t="e">
        <f>+'31 dec 2016 BIOLAM'!AX43+#REF!</f>
        <v>#REF!</v>
      </c>
      <c r="V71" s="730" t="e">
        <f>U71/U$7</f>
        <v>#REF!</v>
      </c>
      <c r="W71" s="729" t="e">
        <f>+'31 dec 2016 BIOLAM'!AZ43+#REF!</f>
        <v>#REF!</v>
      </c>
      <c r="X71" s="730" t="e">
        <f>W71/W$7</f>
        <v>#REF!</v>
      </c>
      <c r="Y71" s="729" t="e">
        <f>+W71+U71+S71+Q71</f>
        <v>#REF!</v>
      </c>
      <c r="Z71" s="730" t="e">
        <f>Y71/Y$7</f>
        <v>#REF!</v>
      </c>
      <c r="AA71" s="727" t="e">
        <f>+G71-Y71</f>
        <v>#REF!</v>
      </c>
      <c r="AM71" s="431"/>
    </row>
    <row r="72" spans="1:39">
      <c r="E72" s="431"/>
      <c r="F72" s="431"/>
      <c r="AM72" s="431"/>
    </row>
    <row r="73" spans="1:39" ht="26.15" customHeight="1" thickBot="1">
      <c r="A73" s="575"/>
      <c r="B73" s="548"/>
      <c r="E73" s="431"/>
      <c r="F73" s="431"/>
      <c r="P73" s="732" t="s">
        <v>18</v>
      </c>
      <c r="Q73" s="729" t="e">
        <f>+#REF!+'31 dec 2016 BIOLAM'!AT49</f>
        <v>#REF!</v>
      </c>
      <c r="R73" s="730" t="e">
        <f>Q73/Q$7</f>
        <v>#REF!</v>
      </c>
      <c r="S73" s="729" t="e">
        <f>+'31 dec 2016 BIOLAM'!AV49+#REF!</f>
        <v>#REF!</v>
      </c>
      <c r="T73" s="730" t="e">
        <f>S73/S$7</f>
        <v>#REF!</v>
      </c>
      <c r="U73" s="729" t="e">
        <f>+'31 dec 2016 BIOLAM'!AX49+#REF!</f>
        <v>#REF!</v>
      </c>
      <c r="V73" s="730" t="e">
        <f>U73/U$7</f>
        <v>#REF!</v>
      </c>
      <c r="W73" s="729" t="e">
        <f>+'31 dec 2016 BIOLAM'!AZ49+#REF!</f>
        <v>#REF!</v>
      </c>
      <c r="X73" s="730" t="e">
        <f>W73/W$7</f>
        <v>#REF!</v>
      </c>
      <c r="Y73" s="729" t="e">
        <f>+W73+U73+S73+Q73</f>
        <v>#REF!</v>
      </c>
      <c r="Z73" s="730" t="e">
        <f>Y73/Y$7</f>
        <v>#REF!</v>
      </c>
      <c r="AA73" s="727" t="e">
        <f>+G73-Y73</f>
        <v>#REF!</v>
      </c>
      <c r="AM73" s="431"/>
    </row>
    <row r="74" spans="1:39" ht="26.15" customHeight="1" thickBot="1">
      <c r="A74" s="575"/>
      <c r="B74" s="548"/>
      <c r="E74" s="431"/>
      <c r="F74" s="431"/>
      <c r="P74" s="733" t="s">
        <v>19</v>
      </c>
      <c r="Q74" s="729" t="e">
        <f>+#REF!+'31 dec 2016 BIOLAM'!AT50</f>
        <v>#REF!</v>
      </c>
      <c r="R74" s="730" t="e">
        <f>Q74/Q$7</f>
        <v>#REF!</v>
      </c>
      <c r="S74" s="729" t="e">
        <f>+'31 dec 2016 BIOLAM'!AV50+#REF!</f>
        <v>#REF!</v>
      </c>
      <c r="T74" s="730" t="e">
        <f>S74/S$7</f>
        <v>#REF!</v>
      </c>
      <c r="U74" s="729" t="e">
        <f>+'31 dec 2016 BIOLAM'!AX50+#REF!</f>
        <v>#REF!</v>
      </c>
      <c r="V74" s="730" t="e">
        <f>U74/U$7</f>
        <v>#REF!</v>
      </c>
      <c r="W74" s="729" t="e">
        <f>+'31 dec 2016 BIOLAM'!AZ50+#REF!</f>
        <v>#REF!</v>
      </c>
      <c r="X74" s="730" t="e">
        <f>W74/W$7</f>
        <v>#REF!</v>
      </c>
      <c r="Y74" s="729" t="e">
        <f>+W74+U74+S74+Q74</f>
        <v>#REF!</v>
      </c>
      <c r="Z74" s="730" t="e">
        <f>Y74/Y$7</f>
        <v>#REF!</v>
      </c>
      <c r="AA74" s="727" t="e">
        <f>+G74-Y74</f>
        <v>#REF!</v>
      </c>
      <c r="AM74" s="431"/>
    </row>
    <row r="75" spans="1:39" ht="26.15" customHeight="1">
      <c r="A75" s="575"/>
      <c r="B75" s="548"/>
      <c r="E75" s="431"/>
      <c r="F75" s="431"/>
      <c r="P75" s="734" t="s">
        <v>44</v>
      </c>
      <c r="Q75" s="735"/>
      <c r="R75" s="736"/>
      <c r="S75" s="735"/>
      <c r="T75" s="736"/>
      <c r="U75" s="735"/>
      <c r="V75" s="736"/>
      <c r="W75" s="735"/>
      <c r="X75" s="736"/>
      <c r="Y75" s="735"/>
      <c r="Z75" s="736"/>
      <c r="AA75" s="727">
        <f>+G75-Y75</f>
        <v>0</v>
      </c>
      <c r="AM75" s="431"/>
    </row>
    <row r="76" spans="1:39" ht="26.15" customHeight="1">
      <c r="A76" s="565"/>
      <c r="B76" s="566"/>
      <c r="E76" s="431"/>
      <c r="F76" s="431"/>
      <c r="P76" s="737" t="s">
        <v>20</v>
      </c>
      <c r="Q76" s="738" t="e">
        <f>+Q43+Q70-Q71+#REF!+Q47</f>
        <v>#REF!</v>
      </c>
      <c r="R76" s="739" t="e">
        <f>Q76/Q$7</f>
        <v>#REF!</v>
      </c>
      <c r="S76" s="738" t="e">
        <f>+S43+S70-S71+#REF!+S47</f>
        <v>#REF!</v>
      </c>
      <c r="T76" s="739" t="e">
        <f>S76/S$7</f>
        <v>#REF!</v>
      </c>
      <c r="U76" s="738" t="e">
        <f>+U43+U70-U71+#REF!+U47</f>
        <v>#REF!</v>
      </c>
      <c r="V76" s="739" t="e">
        <f>U76/U$7</f>
        <v>#REF!</v>
      </c>
      <c r="W76" s="738" t="e">
        <f>+W43+W70-W71+#REF!+W47</f>
        <v>#REF!</v>
      </c>
      <c r="X76" s="739" t="e">
        <f>W76/W$7</f>
        <v>#REF!</v>
      </c>
      <c r="Y76" s="738" t="e">
        <f>+Y43+Y70-Y71+#REF!+Y47</f>
        <v>#REF!</v>
      </c>
      <c r="Z76" s="739" t="e">
        <f>Y76/Y$7</f>
        <v>#REF!</v>
      </c>
      <c r="AA76" s="727" t="e">
        <f>+G76-Y76</f>
        <v>#REF!</v>
      </c>
      <c r="AM76" s="431"/>
    </row>
    <row r="77" spans="1:39">
      <c r="E77" s="431"/>
      <c r="F77" s="431"/>
      <c r="AM77" s="431"/>
    </row>
    <row r="78" spans="1:39">
      <c r="E78" s="431"/>
      <c r="F78" s="431"/>
      <c r="AM78" s="431"/>
    </row>
  </sheetData>
  <mergeCells count="18">
    <mergeCell ref="G5:N5"/>
    <mergeCell ref="AB5:AH5"/>
    <mergeCell ref="BC5:BC6"/>
    <mergeCell ref="C1:AH1"/>
    <mergeCell ref="C2:AH2"/>
    <mergeCell ref="C4:C6"/>
    <mergeCell ref="E4:E6"/>
    <mergeCell ref="G4:N4"/>
    <mergeCell ref="P4:P6"/>
    <mergeCell ref="Q4:R6"/>
    <mergeCell ref="S4:T6"/>
    <mergeCell ref="U4:V6"/>
    <mergeCell ref="BB5:BB6"/>
    <mergeCell ref="G6:H6"/>
    <mergeCell ref="W4:X6"/>
    <mergeCell ref="Y4:Z6"/>
    <mergeCell ref="AB4:AH4"/>
    <mergeCell ref="AM4:AM6"/>
  </mergeCells>
  <conditionalFormatting sqref="BB1 BB55:BB65536 BB3:BB4">
    <cfRule type="cellIs" dxfId="9" priority="1" stopIfTrue="1" operator="lessThan">
      <formula>-10000</formula>
    </cfRule>
    <cfRule type="cellIs" dxfId="8" priority="2" stopIfTrue="1" operator="greaterThan">
      <formula>10000</formula>
    </cfRule>
  </conditionalFormatting>
  <printOptions horizontalCentered="1"/>
  <pageMargins left="0.11811023622047245" right="0.11811023622047245" top="0.35433070866141736" bottom="0.39370078740157483" header="0.19685039370078741" footer="0.19685039370078741"/>
  <pageSetup paperSize="8" scale="51" fitToWidth="2" orientation="landscape" cellComments="asDisplayed" r:id="rId1"/>
  <headerFooter>
    <oddFooter>&amp;R&amp;D&amp;T&amp;Z&amp;F&amp;A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BC77"/>
  <sheetViews>
    <sheetView topLeftCell="AB37" zoomScale="70" zoomScaleNormal="70" zoomScaleSheetLayoutView="80" workbookViewId="0">
      <selection activeCell="AU12" sqref="AU12"/>
    </sheetView>
  </sheetViews>
  <sheetFormatPr baseColWidth="10" defaultColWidth="11.453125" defaultRowHeight="12.5"/>
  <cols>
    <col min="1" max="1" width="2.1796875" style="431" hidden="1" customWidth="1"/>
    <col min="2" max="2" width="7.81640625" style="542" customWidth="1"/>
    <col min="3" max="3" width="48.453125" style="431" customWidth="1"/>
    <col min="4" max="4" width="2.7265625" style="431" customWidth="1"/>
    <col min="5" max="5" width="47" style="472" customWidth="1"/>
    <col min="6" max="6" width="2.1796875" style="640" customWidth="1"/>
    <col min="7" max="7" width="20.81640625" style="431" bestFit="1" customWidth="1"/>
    <col min="8" max="8" width="13.26953125" style="431" customWidth="1"/>
    <col min="9" max="9" width="1.54296875" style="431" customWidth="1"/>
    <col min="10" max="10" width="20.81640625" style="431" bestFit="1" customWidth="1"/>
    <col min="11" max="11" width="15.7265625" style="725" customWidth="1"/>
    <col min="12" max="12" width="1.81640625" style="725" customWidth="1"/>
    <col min="13" max="13" width="18.54296875" style="431" customWidth="1"/>
    <col min="14" max="14" width="16.1796875" style="431" customWidth="1"/>
    <col min="15" max="15" width="2" style="431" customWidth="1"/>
    <col min="16" max="16" width="38.26953125" style="431" hidden="1" customWidth="1"/>
    <col min="17" max="17" width="19.81640625" style="431" hidden="1" customWidth="1"/>
    <col min="18" max="18" width="0" style="431" hidden="1" customWidth="1"/>
    <col min="19" max="19" width="19.453125" style="431" hidden="1" customWidth="1"/>
    <col min="20" max="20" width="0" style="431" hidden="1" customWidth="1"/>
    <col min="21" max="21" width="19.81640625" style="431" hidden="1" customWidth="1"/>
    <col min="22" max="22" width="0" style="431" hidden="1" customWidth="1"/>
    <col min="23" max="23" width="19.453125" style="431" hidden="1" customWidth="1"/>
    <col min="24" max="24" width="0" style="431" hidden="1" customWidth="1"/>
    <col min="25" max="25" width="20.453125" style="431" hidden="1" customWidth="1"/>
    <col min="26" max="26" width="0" style="431" hidden="1" customWidth="1"/>
    <col min="27" max="27" width="15.453125" style="431" hidden="1" customWidth="1"/>
    <col min="28" max="28" width="18.453125" style="431" bestFit="1" customWidth="1"/>
    <col min="29" max="29" width="14.81640625" style="431" customWidth="1"/>
    <col min="30" max="30" width="22.1796875" style="431" customWidth="1"/>
    <col min="31" max="31" width="15" style="431" customWidth="1"/>
    <col min="32" max="32" width="2" style="431" customWidth="1"/>
    <col min="33" max="33" width="21.7265625" style="431" customWidth="1"/>
    <col min="34" max="34" width="15" style="431" customWidth="1"/>
    <col min="35" max="35" width="4.1796875" style="431" customWidth="1"/>
    <col min="36" max="36" width="18.54296875" style="431" customWidth="1"/>
    <col min="37" max="37" width="11.453125" style="431" customWidth="1"/>
    <col min="38" max="38" width="11.81640625" style="431" customWidth="1"/>
    <col min="39" max="39" width="42.81640625" style="472" customWidth="1"/>
    <col min="40" max="40" width="12.81640625" style="431" customWidth="1"/>
    <col min="41" max="41" width="13.453125" style="431" customWidth="1"/>
    <col min="42" max="47" width="11.453125" style="431" customWidth="1"/>
    <col min="48" max="48" width="12.1796875" style="431" customWidth="1"/>
    <col min="49" max="52" width="11.453125" style="431" customWidth="1"/>
    <col min="53" max="53" width="12.81640625" style="431" customWidth="1"/>
    <col min="54" max="54" width="20" style="431" customWidth="1"/>
    <col min="55" max="55" width="68.54296875" style="431" customWidth="1"/>
    <col min="56" max="16384" width="11.453125" style="431"/>
  </cols>
  <sheetData>
    <row r="1" spans="1:55" ht="40.5" customHeight="1">
      <c r="C1" s="846" t="s">
        <v>80</v>
      </c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  <c r="O1" s="847"/>
      <c r="P1" s="847"/>
      <c r="Q1" s="847"/>
      <c r="R1" s="847"/>
      <c r="S1" s="847"/>
      <c r="T1" s="847"/>
      <c r="U1" s="847"/>
      <c r="V1" s="847"/>
      <c r="W1" s="847"/>
      <c r="X1" s="847"/>
      <c r="Y1" s="847"/>
      <c r="Z1" s="847"/>
      <c r="AA1" s="847"/>
      <c r="AB1" s="847"/>
      <c r="AC1" s="847"/>
      <c r="AD1" s="847"/>
      <c r="AE1" s="847"/>
      <c r="AF1" s="847"/>
      <c r="AG1" s="847"/>
      <c r="AH1" s="848"/>
      <c r="AM1" s="431"/>
    </row>
    <row r="2" spans="1:55" ht="51" customHeight="1">
      <c r="C2" s="846" t="s">
        <v>119</v>
      </c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7"/>
      <c r="P2" s="847"/>
      <c r="Q2" s="847"/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8"/>
      <c r="AM2" s="431"/>
    </row>
    <row r="3" spans="1:55" ht="16.5" customHeight="1">
      <c r="C3" s="543"/>
      <c r="D3" s="432"/>
      <c r="E3" s="432"/>
      <c r="F3" s="432"/>
      <c r="G3" s="544"/>
      <c r="H3" s="544"/>
      <c r="I3" s="544"/>
      <c r="J3" s="544"/>
      <c r="K3" s="545"/>
      <c r="L3" s="545"/>
      <c r="M3" s="544"/>
      <c r="N3" s="544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544"/>
      <c r="AC3" s="544"/>
      <c r="AD3" s="544"/>
      <c r="AE3" s="544"/>
      <c r="AF3" s="544"/>
      <c r="AG3" s="544"/>
      <c r="AH3" s="546"/>
      <c r="AM3" s="432"/>
    </row>
    <row r="4" spans="1:55" s="433" customFormat="1" ht="49.5" customHeight="1">
      <c r="A4" s="547"/>
      <c r="B4" s="548"/>
      <c r="C4" s="849" t="s">
        <v>120</v>
      </c>
      <c r="D4" s="549"/>
      <c r="E4" s="849" t="s">
        <v>121</v>
      </c>
      <c r="F4" s="550"/>
      <c r="G4" s="868" t="s">
        <v>171</v>
      </c>
      <c r="H4" s="869"/>
      <c r="I4" s="869"/>
      <c r="J4" s="869"/>
      <c r="K4" s="869"/>
      <c r="L4" s="869"/>
      <c r="M4" s="869"/>
      <c r="N4" s="870"/>
      <c r="O4" s="551"/>
      <c r="P4" s="855" t="s">
        <v>50</v>
      </c>
      <c r="Q4" s="857" t="s">
        <v>52</v>
      </c>
      <c r="R4" s="858"/>
      <c r="S4" s="857" t="s">
        <v>53</v>
      </c>
      <c r="T4" s="858"/>
      <c r="U4" s="857" t="s">
        <v>54</v>
      </c>
      <c r="V4" s="858"/>
      <c r="W4" s="857" t="s">
        <v>55</v>
      </c>
      <c r="X4" s="858"/>
      <c r="Y4" s="857" t="s">
        <v>46</v>
      </c>
      <c r="Z4" s="863"/>
      <c r="AA4" s="551"/>
      <c r="AB4" s="868" t="s">
        <v>171</v>
      </c>
      <c r="AC4" s="869"/>
      <c r="AD4" s="869"/>
      <c r="AE4" s="869"/>
      <c r="AF4" s="869"/>
      <c r="AG4" s="869"/>
      <c r="AH4" s="870"/>
      <c r="AM4" s="849" t="s">
        <v>121</v>
      </c>
    </row>
    <row r="5" spans="1:55" s="433" customFormat="1" ht="49.5" customHeight="1">
      <c r="A5" s="547"/>
      <c r="B5" s="548"/>
      <c r="C5" s="850"/>
      <c r="D5" s="552"/>
      <c r="E5" s="850"/>
      <c r="F5" s="553"/>
      <c r="G5" s="865" t="s">
        <v>139</v>
      </c>
      <c r="H5" s="866"/>
      <c r="I5" s="866"/>
      <c r="J5" s="866"/>
      <c r="K5" s="866"/>
      <c r="L5" s="866"/>
      <c r="M5" s="866"/>
      <c r="N5" s="867"/>
      <c r="O5" s="551"/>
      <c r="P5" s="855"/>
      <c r="Q5" s="857"/>
      <c r="R5" s="858"/>
      <c r="S5" s="857"/>
      <c r="T5" s="858"/>
      <c r="U5" s="857"/>
      <c r="V5" s="858"/>
      <c r="W5" s="857"/>
      <c r="X5" s="858"/>
      <c r="Y5" s="857"/>
      <c r="Z5" s="863"/>
      <c r="AA5" s="551"/>
      <c r="AB5" s="865" t="s">
        <v>140</v>
      </c>
      <c r="AC5" s="866"/>
      <c r="AD5" s="866"/>
      <c r="AE5" s="866"/>
      <c r="AF5" s="866"/>
      <c r="AG5" s="866"/>
      <c r="AH5" s="867"/>
      <c r="AM5" s="850"/>
      <c r="BB5" s="845" t="s">
        <v>166</v>
      </c>
      <c r="BC5" s="845" t="s">
        <v>168</v>
      </c>
    </row>
    <row r="6" spans="1:55" s="434" customFormat="1" ht="35.25" customHeight="1">
      <c r="A6" s="554"/>
      <c r="B6" s="548"/>
      <c r="C6" s="851"/>
      <c r="D6" s="555"/>
      <c r="E6" s="851"/>
      <c r="F6" s="553"/>
      <c r="G6" s="861" t="e">
        <f>#REF!</f>
        <v>#REF!</v>
      </c>
      <c r="H6" s="862"/>
      <c r="I6" s="431"/>
      <c r="J6" s="556" t="s">
        <v>108</v>
      </c>
      <c r="K6" s="557" t="s">
        <v>109</v>
      </c>
      <c r="L6" s="431"/>
      <c r="M6" s="558" t="s">
        <v>111</v>
      </c>
      <c r="N6" s="559" t="s">
        <v>112</v>
      </c>
      <c r="O6" s="560"/>
      <c r="P6" s="856"/>
      <c r="Q6" s="859"/>
      <c r="R6" s="860"/>
      <c r="S6" s="859"/>
      <c r="T6" s="860"/>
      <c r="U6" s="859"/>
      <c r="V6" s="860"/>
      <c r="W6" s="859"/>
      <c r="X6" s="860"/>
      <c r="Y6" s="859"/>
      <c r="Z6" s="864"/>
      <c r="AA6" s="560" t="s">
        <v>56</v>
      </c>
      <c r="AB6" s="561" t="s">
        <v>163</v>
      </c>
      <c r="AC6" s="744" t="e">
        <f>G6</f>
        <v>#REF!</v>
      </c>
      <c r="AD6" s="562" t="s">
        <v>108</v>
      </c>
      <c r="AE6" s="563" t="s">
        <v>109</v>
      </c>
      <c r="AF6" s="431"/>
      <c r="AG6" s="558" t="s">
        <v>111</v>
      </c>
      <c r="AH6" s="559" t="str">
        <f>N6</f>
        <v>% vs  N-1</v>
      </c>
      <c r="AJ6" s="564"/>
      <c r="AM6" s="851"/>
      <c r="AO6" s="434">
        <v>1</v>
      </c>
      <c r="AP6" s="434">
        <v>2</v>
      </c>
      <c r="AQ6" s="434">
        <v>3</v>
      </c>
      <c r="AR6" s="434">
        <v>4</v>
      </c>
      <c r="AS6" s="434">
        <v>5</v>
      </c>
      <c r="AT6" s="434">
        <v>6</v>
      </c>
      <c r="AU6" s="434">
        <v>7</v>
      </c>
      <c r="AV6" s="434">
        <v>8</v>
      </c>
      <c r="AW6" s="434">
        <v>9</v>
      </c>
      <c r="AX6" s="434">
        <v>10</v>
      </c>
      <c r="AY6" s="434">
        <v>11</v>
      </c>
      <c r="AZ6" s="434">
        <v>12</v>
      </c>
      <c r="BB6" s="845"/>
      <c r="BC6" s="845"/>
    </row>
    <row r="7" spans="1:55" s="439" customFormat="1" ht="37.5" customHeight="1">
      <c r="A7" s="565"/>
      <c r="B7" s="566"/>
      <c r="C7" s="436" t="s">
        <v>81</v>
      </c>
      <c r="D7" s="567"/>
      <c r="E7" s="436" t="s">
        <v>114</v>
      </c>
      <c r="F7" s="568"/>
      <c r="G7" s="473">
        <f>SUM(G8:G10)</f>
        <v>6202246.54</v>
      </c>
      <c r="H7" s="569" t="s">
        <v>157</v>
      </c>
      <c r="I7" s="431"/>
      <c r="J7" s="494">
        <f>SUM(J8:J10)</f>
        <v>0</v>
      </c>
      <c r="K7" s="516" t="str">
        <f>IF(ISERROR((G7-J7)/J7),"",(G7-J7)/J7)</f>
        <v/>
      </c>
      <c r="L7" s="431"/>
      <c r="M7" s="494">
        <f>SUM(M8:M10)</f>
        <v>4976795.5</v>
      </c>
      <c r="N7" s="516">
        <f>IF(ISERROR((G7-M7)/M7),"",(G7-M7)/M7)</f>
        <v>0.24623295049997534</v>
      </c>
      <c r="O7" s="570"/>
      <c r="P7" s="571" t="s">
        <v>0</v>
      </c>
      <c r="Q7" s="572" t="e">
        <f>SUM(Q8:Q10)</f>
        <v>#REF!</v>
      </c>
      <c r="R7" s="573" t="e">
        <f>SUM(R8:R10)</f>
        <v>#REF!</v>
      </c>
      <c r="S7" s="572" t="e">
        <f t="shared" ref="S7:Z7" si="0">SUM(S8:S10)</f>
        <v>#REF!</v>
      </c>
      <c r="T7" s="573" t="e">
        <f t="shared" si="0"/>
        <v>#REF!</v>
      </c>
      <c r="U7" s="572" t="e">
        <f t="shared" si="0"/>
        <v>#REF!</v>
      </c>
      <c r="V7" s="573" t="e">
        <f t="shared" si="0"/>
        <v>#REF!</v>
      </c>
      <c r="W7" s="572" t="e">
        <f t="shared" si="0"/>
        <v>#REF!</v>
      </c>
      <c r="X7" s="573" t="e">
        <f t="shared" si="0"/>
        <v>#REF!</v>
      </c>
      <c r="Y7" s="572" t="e">
        <f t="shared" si="0"/>
        <v>#REF!</v>
      </c>
      <c r="Z7" s="573" t="e">
        <f t="shared" si="0"/>
        <v>#REF!</v>
      </c>
      <c r="AA7" s="570"/>
      <c r="AB7" s="473">
        <f>SUM(AB8:AB10)</f>
        <v>17848241.460000001</v>
      </c>
      <c r="AC7" s="569" t="str">
        <f>H7</f>
        <v>%  s/Net Rev.</v>
      </c>
      <c r="AD7" s="494">
        <f>SUM(AD8:AD10)</f>
        <v>0</v>
      </c>
      <c r="AE7" s="516" t="str">
        <f>IF(ISERROR((AB7-AD7)/AD7),"",(AB7-AD7)/AD7)</f>
        <v/>
      </c>
      <c r="AF7" s="431"/>
      <c r="AG7" s="494">
        <f>SUM(AG8:AG10)</f>
        <v>14930386.500000002</v>
      </c>
      <c r="AH7" s="516">
        <f>IF(ISERROR((AB7-AG7)/AG7),"",(AB7-AG7)/AG7)</f>
        <v>0.19543063804811742</v>
      </c>
      <c r="AJ7" s="574"/>
      <c r="AK7" s="435">
        <v>42460</v>
      </c>
      <c r="AL7" s="435">
        <v>42400</v>
      </c>
      <c r="AM7" s="436" t="s">
        <v>114</v>
      </c>
      <c r="AO7" s="740">
        <v>42400</v>
      </c>
      <c r="AP7" s="740">
        <v>42428</v>
      </c>
      <c r="AQ7" s="740">
        <v>42460</v>
      </c>
      <c r="AR7" s="740">
        <v>42490</v>
      </c>
      <c r="AS7" s="740">
        <v>42521</v>
      </c>
      <c r="AT7" s="740">
        <v>42551</v>
      </c>
      <c r="AU7" s="740">
        <v>42582</v>
      </c>
      <c r="AV7" s="740">
        <v>42613</v>
      </c>
      <c r="AW7" s="740">
        <v>42643</v>
      </c>
      <c r="AX7" s="740">
        <v>42674</v>
      </c>
      <c r="AY7" s="740">
        <v>42704</v>
      </c>
      <c r="AZ7" s="740">
        <v>42735</v>
      </c>
      <c r="BA7" s="439" t="s">
        <v>162</v>
      </c>
      <c r="BB7" s="748">
        <f>IF(AB7&lt;0,AD7-AB7,AB7-AD7)</f>
        <v>17848241.460000001</v>
      </c>
      <c r="BC7" s="751"/>
    </row>
    <row r="8" spans="1:55" ht="26.15" customHeight="1">
      <c r="A8" s="575"/>
      <c r="B8" s="548">
        <v>706</v>
      </c>
      <c r="C8" s="438" t="s">
        <v>82</v>
      </c>
      <c r="D8" s="576"/>
      <c r="E8" s="438" t="s">
        <v>1</v>
      </c>
      <c r="F8" s="577"/>
      <c r="G8" s="475">
        <f>6205467.56-3221.02-G9-G10</f>
        <v>5544048.3300000001</v>
      </c>
      <c r="H8" s="578">
        <f>G8/G7</f>
        <v>0.89387745137909336</v>
      </c>
      <c r="J8" s="529">
        <f>SUMIF($AO$7:$AZ$7,$G$6,AO8:AZ8)</f>
        <v>0</v>
      </c>
      <c r="K8" s="517" t="str">
        <f>IF(ISERROR((G8-J8)/J8),"",(G8-J8)/J8)</f>
        <v/>
      </c>
      <c r="L8" s="431"/>
      <c r="M8" s="579">
        <f>AG8/3</f>
        <v>4513630.873333334</v>
      </c>
      <c r="N8" s="517">
        <f t="shared" ref="N8:N53" si="1">IF(ISERROR((G8-M8)/M8),"",(G8-M8)/M8)</f>
        <v>0.22829014724141561</v>
      </c>
      <c r="O8" s="580"/>
      <c r="P8" s="581" t="s">
        <v>1</v>
      </c>
      <c r="Q8" s="582" t="e">
        <f>+#REF!+'31 dec 2016 BIOLAM'!AT4</f>
        <v>#REF!</v>
      </c>
      <c r="R8" s="583" t="e">
        <f>Q8/Q$7</f>
        <v>#REF!</v>
      </c>
      <c r="S8" s="582" t="e">
        <f>+'31 dec 2016 BIOLAM'!AV4+#REF!</f>
        <v>#REF!</v>
      </c>
      <c r="T8" s="583" t="e">
        <f>S8/S$7</f>
        <v>#REF!</v>
      </c>
      <c r="U8" s="582" t="e">
        <f>+'31 dec 2016 BIOLAM'!AX4+#REF!</f>
        <v>#REF!</v>
      </c>
      <c r="V8" s="583" t="e">
        <f>U8/U$7</f>
        <v>#REF!</v>
      </c>
      <c r="W8" s="582" t="e">
        <f>+'31 dec 2016 BIOLAM'!AZ4+#REF!</f>
        <v>#REF!</v>
      </c>
      <c r="X8" s="583" t="e">
        <f>W8/W$7</f>
        <v>#REF!</v>
      </c>
      <c r="Y8" s="582" t="e">
        <f>+W8+U8+S8+Q8</f>
        <v>#REF!</v>
      </c>
      <c r="Z8" s="583" t="e">
        <f>Y8/Y$7</f>
        <v>#REF!</v>
      </c>
      <c r="AA8" s="584" t="e">
        <f t="shared" ref="AA8:AA13" si="2">+G8-Y8</f>
        <v>#REF!</v>
      </c>
      <c r="AB8" s="475">
        <f>17860730.02-12488.56-AB9-AB10</f>
        <v>15733464.610000001</v>
      </c>
      <c r="AC8" s="578">
        <f>AB8/AB7</f>
        <v>0.88151343342483002</v>
      </c>
      <c r="AD8" s="495">
        <f>SUMIF($AO$7:$AZ$7,"&lt;="&amp;$AC$6,AO8:AZ8)</f>
        <v>0</v>
      </c>
      <c r="AE8" s="517" t="str">
        <f t="shared" ref="AE8:AE32" si="3">IF(ISERROR((AB8-AD8)/AD8),"",(AB8-AD8)/AD8)</f>
        <v/>
      </c>
      <c r="AG8" s="579">
        <f>8291946.69+386172.23-18705.7+6006277.04+264756.24-60-AG9-AG10</f>
        <v>13540892.620000001</v>
      </c>
      <c r="AH8" s="517">
        <f t="shared" ref="AH8:AH53" si="4">IF(ISERROR((AB8-AG8)/AG8),"",(AB8-AG8)/AG8)</f>
        <v>0.16192226402870627</v>
      </c>
      <c r="AJ8" s="585"/>
      <c r="AK8" s="437">
        <v>42551</v>
      </c>
      <c r="AL8" s="435">
        <v>42428</v>
      </c>
      <c r="AM8" s="438" t="s">
        <v>1</v>
      </c>
      <c r="AO8" s="743">
        <f>IF($AO$7=$AL$7,'[4]1 trim 2016 BIOGROUP'!Z4/3,IF($AO$7=$AL$8,'[4]1 trim 2016 BIOGROUP'!Z4/3,IF($AO$7=$AL$9,'[4]1 trim 2016 BIOGROUP'!Z4/3,IF($AO$7=$AL$10,'[4]2 trim 2016 BIOGROUP'!Z4/3,IF($AO$7=$AL$11,'[4]2 trim 2016 BIOGROUP'!Z4/3,IF($AO$7=$AL$12,'[4]2 trim 2016 BIOGROUP'!Z4/3,""))))))</f>
        <v>283479.41666666669</v>
      </c>
      <c r="AP8" s="743">
        <f>IF($AP$7=$AL$7,'[4]1 trim 2016 BIOGROUP'!Z4/3,IF($AP$7=$AL$8,'[4]1 trim 2016 BIOGROUP'!Z4/3,IF($AP$7=$AL$9,'[4]1 trim 2016 BIOGROUP'!Z4/3,IF($AP$7=$AL$10,'[4]2 trim 2016 BIOGROUP'!Z4/3,IF($AP$7=$AL$11,'[4]2 trim 2016 BIOGROUP'!Z4/3,IF($AP$7=$AL$12,'[4]2 trim 2016 BIOGROUP'!Z4/3,""))))))</f>
        <v>283479.41666666669</v>
      </c>
      <c r="AQ8" s="743">
        <f>IF($AQ$7=$AL$7,'[4]1 trim 2016 BIOGROUP'!Z4/3,IF($AQ$7=$AL$8,'[4]1 trim 2016 BIOGROUP'!Z4/3,IF($AQ$7=$AL$9,'[4]1 trim 2016 BIOGROUP'!Z4/3,IF($AQ$7=$AL$10,'[4]2 trim 2016 BIOGROUP'!Z4/3,IF($AQ$7=$AL$11,'[4]2 trim 2016 BIOGROUP'!Z4/3,IF($AQ$7=$AL$12,'[4]2 trim 2016 BIOGROUP'!Z4/3,""))))))</f>
        <v>283479.41666666669</v>
      </c>
      <c r="AR8" s="743">
        <f>IF($AR$7=$AL$7,'[4]1 trim 2016 BIOGROUP'!Z4/3,IF($AR$7=$AL$8,'[4]1 trim 2016 BIOGROUP'!Z4/3,IF($AR$7=$AL$9,'[4]1 trim 2016 BIOGROUP'!Z4/3,IF($AR$7=$AL$10,'[4]2 trim 2016 BIOGROUP'!Z4/3,IF($AR$7=$AL$11,'[4]2 trim 2016 BIOGROUP'!Z4/3,IF($AR$7=$AL$12,'[4]2 trim 2016 BIOGROUP'!Z4/3,""))))))</f>
        <v>285168.33333333331</v>
      </c>
      <c r="AS8" s="743">
        <f>IF($AS$7=$AL$7,'[4]1 trim 2016 BIOGROUP'!Z4/3,IF($AS$7=$AL$8,'[4]1 trim 2016 BIOGROUP'!Z4/3,IF($AS$7=$AL$9,'[4]1 trim 2016 BIOGROUP'!Z4/3,IF($AS$7=$AL$10,'[4]2 trim 2016 BIOGROUP'!Z4/3,IF($AS$7=$AL$11,'[4]2 trim 2016 BIOGROUP'!Z4/3,IF($AS$7=$AL$12,'[4]2 trim 2016 BIOGROUP'!Z4/3,""))))))</f>
        <v>285168.33333333331</v>
      </c>
      <c r="AT8" s="743">
        <f>IF($AT$7=$AL$7,'[4]1 trim 2016 BIOGROUP'!Z4/3,IF($AT$7=$AL$8,'[4]1 trim 2016 BIOGROUP'!Z4/3,IF($AT$7=$AL$9,'[4]1 trim 2016 BIOGROUP'!Z4/3,IF($AT$7=$AL$10,'[4]2 trim 2016 BIOGROUP'!Z4/3,IF($AT$7=$AL$11,'[4]2 trim 2016 BIOGROUP'!Z4/3,IF($AT$7=$AL$12,'[4]2 trim 2016 BIOGROUP'!Z4/3,""))))))</f>
        <v>285168.33333333331</v>
      </c>
      <c r="AU8" s="743">
        <f>IF($AU$7=$AL$13,'[4]3 trim 2016 BIOGROUP'!Z4/3,IF($AU$7=$AL$14,'[4]3 trim 2016 BIOGROUP'!Z4/3,IF($AU$7=$AL$15,'[4]3 trim 2016 BIOGROUP'!Z4/3,IF($AU$7=$AL$16,'[4]4 trim 2016 BIOGROUP'!Z4/3,IF($AU$7=$AL$18,'[4]4 trim 2016 BIOGROUP'!Z4/3,IF($AU$7=$AL$19,'[4]4 trim 2016 BIOGROUP'!Z4/3,""))))))</f>
        <v>285168.33333333331</v>
      </c>
      <c r="AV8" s="743">
        <f>IF($AV$7=$AL$13,'[4]3 trim 2016 BIOGROUP'!Z4/3,IF($AV$7=$AL$14,'[4]3 trim 2016 BIOGROUP'!Z4/3,IF($AV$7=$AL$15,'[4]3 trim 2016 BIOGROUP'!Z4/3,IF($AV$7=$AL$16,'[4]4 trim 2016 BIOGROUP'!Z4/3,IF($AV$7=$AL$18,'[4]4 trim 2016 BIOGROUP'!Z4/3,IF($AV$7=$AL$19,'[4]4 trim 2016 BIOGROUP'!Z4/3,""))))))</f>
        <v>285168.33333333331</v>
      </c>
      <c r="AW8" s="743">
        <f>IF($AW$7=$AL$13,'[4]3 trim 2016 BIOGROUP'!Z4/3,IF($AW$7=$AL$14,'[4]3 trim 2016 BIOGROUP'!Z4/3,IF($AW$7=$AL$15,'[4]3 trim 2016 BIOGROUP'!Z4/3,IF($AW$7=$AL$16,'[4]4 trim 2016 BIOGROUP'!Z4/3,IF($AW$7=$AL$18,'[4]4 trim 2016 BIOGROUP'!Z4/3,IF($AW$7=$AL$19,'[4]4 trim 2016 BIOGROUP'!Z4/3,""))))))</f>
        <v>285168.33333333331</v>
      </c>
      <c r="AX8" s="743">
        <f>IF($AX$7=$AL$13,'[4]3 trim 2016 BIOGROUP'!Z4/3,IF($AX$7=$AL$14,'[4]3 trim 2016 BIOGROUP'!Z4/3,IF($AX$7=$AL$15,'[4]3 trim 2016 BIOGROUP'!Z4/3,IF($AX$7=$AL$16,'[4]4 trim 2016 BIOGROUP'!Z4/3,IF($AX$7=$AL$18,'[4]4 trim 2016 BIOGROUP'!Z4/3,IF($AX$7=$AL$19,'[4]4 trim 2016 BIOGROUP'!Z4/3,""))))))</f>
        <v>285168.33333333331</v>
      </c>
      <c r="AY8" s="743">
        <f>IF($AY$7=$AL$13,'[4]3 trim 2016 BIOGROUP'!Z4/3,IF($AY$7=$AL$14,'[4]3 trim 2016 BIOGROUP'!Z4/3,IF($AY$7=$AL$15,'[4]3 trim 2016 BIOGROUP'!Z4/3,IF($AY$7=$AL$16,'[4]4 trim 2016 BIOGROUP'!Z4/3,IF($AY$7=$AL$18,'[4]4 trim 2016 BIOGROUP'!Z4/3,IF($AY$7=$AL$19,'[4]4 trim 2016 BIOGROUP'!Z4/3,""))))))</f>
        <v>285168.33333333331</v>
      </c>
      <c r="AZ8" s="743">
        <f>IF($AZ$7=$AL$13,'[4]3 trim 2016 BIOGROUP'!Z4/3,IF($AZ$7=$AL$14,'[4]3 trim 2016 BIOGROUP'!Z4/3,IF($AZ$7=$AL$15,'[4]3 trim 2016 BIOGROUP'!Z4/3,IF($AZ$7=$AL$16,'[4]4 trim 2016 BIOGROUP'!Z4/3,IF($AZ$7=$AL$18,'[4]4 trim 2016 BIOGROUP'!Z4/3,IF($AZ$7=$AL$19,'[4]4 trim 2016 BIOGROUP'!Z4/3,""))))))</f>
        <v>285168.33333333331</v>
      </c>
      <c r="BA8" s="431" t="str">
        <f>IF(SUM(AO8:AZ8)-('[4]4 trim 2016 BIOGROUP'!G4+'[4]3 trim 2016 BIOGROUP'!G4+'[4]2 trim 2016 BIOGROUP'!G4+'[4]1 trim 2016 BIOGROUP'!G4)&lt;1,"OK","ERREUR")</f>
        <v>OK</v>
      </c>
      <c r="BB8" s="511">
        <f t="shared" ref="BB8:BB53" si="5">IF(AB8&lt;0,AD8-AB8,AB8-AD8)</f>
        <v>15733464.610000001</v>
      </c>
      <c r="BC8" s="750"/>
    </row>
    <row r="9" spans="1:55" ht="26.15" customHeight="1">
      <c r="A9" s="575"/>
      <c r="B9" s="548">
        <v>7061</v>
      </c>
      <c r="C9" s="440" t="s">
        <v>141</v>
      </c>
      <c r="D9" s="576"/>
      <c r="E9" s="440" t="s">
        <v>2</v>
      </c>
      <c r="F9" s="577"/>
      <c r="G9" s="475">
        <v>576034</v>
      </c>
      <c r="H9" s="578">
        <f>G9/G7</f>
        <v>9.2875056849965207E-2</v>
      </c>
      <c r="J9" s="529">
        <f>SUMIF($AO$7:$AZ$7,$G$6,AO9:AZ9)</f>
        <v>0</v>
      </c>
      <c r="K9" s="517" t="str">
        <f t="shared" ref="K9:K53" si="6">IF(ISERROR((G9-J9)/J9),"",(G9-J9)/J9)</f>
        <v/>
      </c>
      <c r="L9" s="431"/>
      <c r="M9" s="579">
        <f>AG9/3</f>
        <v>339782.33333333331</v>
      </c>
      <c r="N9" s="517">
        <f t="shared" si="1"/>
        <v>0.69530297337413083</v>
      </c>
      <c r="O9" s="580"/>
      <c r="P9" s="586" t="s">
        <v>2</v>
      </c>
      <c r="Q9" s="582" t="e">
        <f>+#REF!+'31 dec 2016 BIOLAM'!AT5</f>
        <v>#REF!</v>
      </c>
      <c r="R9" s="583" t="e">
        <f>Q9/Q$7</f>
        <v>#REF!</v>
      </c>
      <c r="S9" s="582" t="e">
        <f>+'31 dec 2016 BIOLAM'!AV5+#REF!</f>
        <v>#REF!</v>
      </c>
      <c r="T9" s="583" t="e">
        <f>S9/S$7</f>
        <v>#REF!</v>
      </c>
      <c r="U9" s="582" t="e">
        <f>+'31 dec 2016 BIOLAM'!AX5+#REF!</f>
        <v>#REF!</v>
      </c>
      <c r="V9" s="583" t="e">
        <f>U9/U$7</f>
        <v>#REF!</v>
      </c>
      <c r="W9" s="582" t="e">
        <f>+'31 dec 2016 BIOLAM'!AZ5+#REF!</f>
        <v>#REF!</v>
      </c>
      <c r="X9" s="583" t="e">
        <f>W9/W$7</f>
        <v>#REF!</v>
      </c>
      <c r="Y9" s="582" t="e">
        <f>+W9+U9+S9+Q9</f>
        <v>#REF!</v>
      </c>
      <c r="Z9" s="583" t="e">
        <f>Y9/Y$7</f>
        <v>#REF!</v>
      </c>
      <c r="AA9" s="584" t="e">
        <f t="shared" si="2"/>
        <v>#REF!</v>
      </c>
      <c r="AB9" s="475">
        <f>406518+192437+511935+81765+66819+182501+113798+120004</f>
        <v>1675777</v>
      </c>
      <c r="AC9" s="578">
        <f>AB9/AB7</f>
        <v>9.3890314278614648E-2</v>
      </c>
      <c r="AD9" s="495">
        <f>SUMIF($AO$7:$AZ$7,"&lt;="&amp;$AC$6,AO9:AZ9)</f>
        <v>0</v>
      </c>
      <c r="AE9" s="517" t="str">
        <f t="shared" si="3"/>
        <v/>
      </c>
      <c r="AG9" s="579">
        <f>168505+230722+490656+57362+72102</f>
        <v>1019347</v>
      </c>
      <c r="AH9" s="517">
        <f t="shared" si="4"/>
        <v>0.64397109129668306</v>
      </c>
      <c r="AJ9" s="587"/>
      <c r="AK9" s="437">
        <v>42643</v>
      </c>
      <c r="AL9" s="435">
        <v>42460</v>
      </c>
      <c r="AM9" s="440" t="s">
        <v>2</v>
      </c>
      <c r="AO9" s="743">
        <f>IF($AO$7=$AL$7,'[4]1 trim 2016 BIOGROUP'!Z5/3,IF($AO$7=$AL$8,'[4]1 trim 2016 BIOGROUP'!Z5/3,IF($AO$7=$AL$9,'[4]1 trim 2016 BIOGROUP'!Z5/3,IF($AO$7=$AL$10,'[4]2 trim 2016 BIOGROUP'!Z5/3,IF($AO$7=$AL$11,'[4]2 trim 2016 BIOGROUP'!Z5/3,IF($AO$7=$AL$12,'[4]2 trim 2016 BIOGROUP'!Z5/3,""))))))</f>
        <v>45231.416666666664</v>
      </c>
      <c r="AP9" s="743">
        <f>IF($AP$7=$AL$7,'[4]1 trim 2016 BIOGROUP'!Z5/3,IF($AP$7=$AL$8,'[4]1 trim 2016 BIOGROUP'!Z5/3,IF($AP$7=$AL$9,'[4]1 trim 2016 BIOGROUP'!Z5/3,IF($AP$7=$AL$10,'[4]2 trim 2016 BIOGROUP'!Z5/3,IF($AP$7=$AL$11,'[4]2 trim 2016 BIOGROUP'!Z5/3,IF($AP$7=$AL$12,'[4]2 trim 2016 BIOGROUP'!Z5/3,""))))))</f>
        <v>45231.416666666664</v>
      </c>
      <c r="AQ9" s="743">
        <f>IF($AQ$7=$AL$7,'[4]1 trim 2016 BIOGROUP'!Z5/3,IF($AQ$7=$AL$8,'[4]1 trim 2016 BIOGROUP'!Z5/3,IF($AQ$7=$AL$9,'[4]1 trim 2016 BIOGROUP'!Z5/3,IF($AQ$7=$AL$10,'[4]2 trim 2016 BIOGROUP'!Z5/3,IF($AQ$7=$AL$11,'[4]2 trim 2016 BIOGROUP'!Z5/3,IF($AQ$7=$AL$12,'[4]2 trim 2016 BIOGROUP'!Z5/3,""))))))</f>
        <v>45231.416666666664</v>
      </c>
      <c r="AR9" s="743">
        <f>IF($AR$7=$AL$7,'[4]1 trim 2016 BIOGROUP'!Z5/3,IF($AR$7=$AL$8,'[4]1 trim 2016 BIOGROUP'!Z5/3,IF($AR$7=$AL$9,'[4]1 trim 2016 BIOGROUP'!Z5/3,IF($AR$7=$AL$10,'[4]2 trim 2016 BIOGROUP'!Z5/3,IF($AR$7=$AL$11,'[4]2 trim 2016 BIOGROUP'!Z5/3,IF($AR$7=$AL$12,'[4]2 trim 2016 BIOGROUP'!Z5/3,""))))))</f>
        <v>45231.416666666664</v>
      </c>
      <c r="AS9" s="743">
        <f>IF($AS$7=$AL$7,'[4]1 trim 2016 BIOGROUP'!Z5/3,IF($AS$7=$AL$8,'[4]1 trim 2016 BIOGROUP'!Z5/3,IF($AS$7=$AL$9,'[4]1 trim 2016 BIOGROUP'!Z5/3,IF($AS$7=$AL$10,'[4]2 trim 2016 BIOGROUP'!Z5/3,IF($AS$7=$AL$11,'[4]2 trim 2016 BIOGROUP'!Z5/3,IF($AS$7=$AL$12,'[4]2 trim 2016 BIOGROUP'!Z5/3,""))))))</f>
        <v>45231.416666666664</v>
      </c>
      <c r="AT9" s="743">
        <f>IF($AT$7=$AL$7,'[4]1 trim 2016 BIOGROUP'!Z5/3,IF($AT$7=$AL$8,'[4]1 trim 2016 BIOGROUP'!Z5/3,IF($AT$7=$AL$9,'[4]1 trim 2016 BIOGROUP'!Z5/3,IF($AT$7=$AL$10,'[4]2 trim 2016 BIOGROUP'!Z5/3,IF($AT$7=$AL$11,'[4]2 trim 2016 BIOGROUP'!Z5/3,IF($AT$7=$AL$12,'[4]2 trim 2016 BIOGROUP'!Z5/3,""))))))</f>
        <v>45231.416666666664</v>
      </c>
      <c r="AU9" s="743">
        <f>IF($AU$7=$AL$13,'[4]3 trim 2016 BIOGROUP'!Z5/3,IF($AU$7=$AL$14,'[4]3 trim 2016 BIOGROUP'!Z5/3,IF($AU$7=$AL$15,'[4]3 trim 2016 BIOGROUP'!Z5/3,IF($AU$7=$AL$16,'[4]4 trim 2016 BIOGROUP'!Z5/3,IF($AU$7=$AL$18,'[4]4 trim 2016 BIOGROUP'!Z5/3,IF($AU$7=$AL$19,'[4]4 trim 2016 BIOGROUP'!Z5/3,""))))))</f>
        <v>45231.416666666664</v>
      </c>
      <c r="AV9" s="743">
        <f>IF($AV$7=$AL$13,'[4]3 trim 2016 BIOGROUP'!Z5/3,IF($AV$7=$AL$14,'[4]3 trim 2016 BIOGROUP'!Z5/3,IF($AV$7=$AL$15,'[4]3 trim 2016 BIOGROUP'!Z5/3,IF($AV$7=$AL$16,'[4]4 trim 2016 BIOGROUP'!Z5/3,IF($AV$7=$AL$18,'[4]4 trim 2016 BIOGROUP'!Z5/3,IF($AV$7=$AL$19,'[4]4 trim 2016 BIOGROUP'!Z5/3,""))))))</f>
        <v>45231.416666666664</v>
      </c>
      <c r="AW9" s="743">
        <f>IF($AW$7=$AL$13,'[4]3 trim 2016 BIOGROUP'!Z5/3,IF($AW$7=$AL$14,'[4]3 trim 2016 BIOGROUP'!Z5/3,IF($AW$7=$AL$15,'[4]3 trim 2016 BIOGROUP'!Z5/3,IF($AW$7=$AL$16,'[4]4 trim 2016 BIOGROUP'!Z5/3,IF($AW$7=$AL$18,'[4]4 trim 2016 BIOGROUP'!Z5/3,IF($AW$7=$AL$19,'[4]4 trim 2016 BIOGROUP'!Z5/3,""))))))</f>
        <v>45231.416666666664</v>
      </c>
      <c r="AX9" s="743">
        <f>IF($AX$7=$AL$13,'[4]3 trim 2016 BIOGROUP'!Z5/3,IF($AX$7=$AL$14,'[4]3 trim 2016 BIOGROUP'!Z5/3,IF($AX$7=$AL$15,'[4]3 trim 2016 BIOGROUP'!Z5/3,IF($AX$7=$AL$16,'[4]4 trim 2016 BIOGROUP'!Z5/3,IF($AX$7=$AL$18,'[4]4 trim 2016 BIOGROUP'!Z5/3,IF($AX$7=$AL$19,'[4]4 trim 2016 BIOGROUP'!Z5/3,""))))))</f>
        <v>45231.416666666664</v>
      </c>
      <c r="AY9" s="743">
        <f>IF($AY$7=$AL$13,'[4]3 trim 2016 BIOGROUP'!Z5/3,IF($AY$7=$AL$14,'[4]3 trim 2016 BIOGROUP'!Z5/3,IF($AY$7=$AL$15,'[4]3 trim 2016 BIOGROUP'!Z5/3,IF($AY$7=$AL$16,'[4]4 trim 2016 BIOGROUP'!Z5/3,IF($AY$7=$AL$18,'[4]4 trim 2016 BIOGROUP'!Z5/3,IF($AY$7=$AL$19,'[4]4 trim 2016 BIOGROUP'!Z5/3,""))))))</f>
        <v>45231.416666666664</v>
      </c>
      <c r="AZ9" s="743">
        <f>IF($AZ$7=$AL$13,'[4]3 trim 2016 BIOGROUP'!Z5/3,IF($AZ$7=$AL$14,'[4]3 trim 2016 BIOGROUP'!Z5/3,IF($AZ$7=$AL$15,'[4]3 trim 2016 BIOGROUP'!Z5/3,IF($AZ$7=$AL$16,'[4]4 trim 2016 BIOGROUP'!Z5/3,IF($AZ$7=$AL$18,'[4]4 trim 2016 BIOGROUP'!Z5/3,IF($AZ$7=$AL$19,'[4]4 trim 2016 BIOGROUP'!Z5/3,""))))))</f>
        <v>45231.416666666664</v>
      </c>
      <c r="BA9" s="431" t="str">
        <f>IF(SUM(AO9:AZ9)-('[4]4 trim 2016 BIOGROUP'!G5+'[4]3 trim 2016 BIOGROUP'!G5+'[4]2 trim 2016 BIOGROUP'!G5+'[4]1 trim 2016 BIOGROUP'!G5)&lt;1,"OK","ERREUR")</f>
        <v>ERREUR</v>
      </c>
      <c r="BB9" s="511">
        <f t="shared" si="5"/>
        <v>1675777</v>
      </c>
      <c r="BC9" s="750"/>
    </row>
    <row r="10" spans="1:55" ht="26.15" customHeight="1">
      <c r="B10" s="588" t="s">
        <v>159</v>
      </c>
      <c r="C10" s="438" t="s">
        <v>83</v>
      </c>
      <c r="D10" s="576"/>
      <c r="E10" s="438" t="s">
        <v>113</v>
      </c>
      <c r="F10" s="577"/>
      <c r="G10" s="475">
        <f>45+85340.23-3221.02</f>
        <v>82164.209999999992</v>
      </c>
      <c r="H10" s="578">
        <f>G10/G7</f>
        <v>1.3247491770941436E-2</v>
      </c>
      <c r="J10" s="529">
        <f>SUMIF($AO$7:$AZ$7,$G$6,AO10:AZ10)</f>
        <v>0</v>
      </c>
      <c r="K10" s="517" t="str">
        <f t="shared" si="6"/>
        <v/>
      </c>
      <c r="L10" s="431"/>
      <c r="M10" s="579">
        <f>AG10/3</f>
        <v>123382.29333333332</v>
      </c>
      <c r="N10" s="517">
        <f t="shared" si="1"/>
        <v>-0.33406805968484726</v>
      </c>
      <c r="O10" s="580"/>
      <c r="P10" s="581" t="s">
        <v>113</v>
      </c>
      <c r="Q10" s="582" t="e">
        <f>+#REF!+'31 dec 2016 BIOLAM'!AT6</f>
        <v>#REF!</v>
      </c>
      <c r="R10" s="583" t="e">
        <f>Q10/Q$7</f>
        <v>#REF!</v>
      </c>
      <c r="S10" s="582" t="e">
        <f>+'31 dec 2016 BIOLAM'!AV6+#REF!</f>
        <v>#REF!</v>
      </c>
      <c r="T10" s="583" t="e">
        <f>S10/S$7</f>
        <v>#REF!</v>
      </c>
      <c r="U10" s="582" t="e">
        <f>+'31 dec 2016 BIOLAM'!AX6+#REF!</f>
        <v>#REF!</v>
      </c>
      <c r="V10" s="583" t="e">
        <f>U10/U$7</f>
        <v>#REF!</v>
      </c>
      <c r="W10" s="582" t="e">
        <f>+'31 dec 2016 BIOLAM'!AZ6+#REF!</f>
        <v>#REF!</v>
      </c>
      <c r="X10" s="583" t="e">
        <f>W10/W$7</f>
        <v>#REF!</v>
      </c>
      <c r="Y10" s="582" t="e">
        <f>+W10+U10+S10+Q10</f>
        <v>#REF!</v>
      </c>
      <c r="Z10" s="583" t="e">
        <f>Y10/Y$7</f>
        <v>#REF!</v>
      </c>
      <c r="AA10" s="584" t="e">
        <f t="shared" si="2"/>
        <v>#REF!</v>
      </c>
      <c r="AB10" s="475">
        <f>4849+249882.49+13485.25+170783.11</f>
        <v>438999.85</v>
      </c>
      <c r="AC10" s="578">
        <f>AB10/AB7</f>
        <v>2.459625229655538E-2</v>
      </c>
      <c r="AD10" s="495">
        <f>SUMIF($AO$7:$AZ$7,"&lt;="&amp;$AC$6,AO10:AZ10)</f>
        <v>0</v>
      </c>
      <c r="AE10" s="517" t="str">
        <f t="shared" si="3"/>
        <v/>
      </c>
      <c r="AG10" s="579">
        <f>64176+296.05+92121.94+19520.52+112057.33+15+63807.79+18152.25</f>
        <v>370146.87999999995</v>
      </c>
      <c r="AH10" s="517">
        <f t="shared" si="4"/>
        <v>0.18601526507531291</v>
      </c>
      <c r="AJ10" s="587"/>
      <c r="AK10" s="437">
        <v>42735</v>
      </c>
      <c r="AL10" s="435">
        <v>42490</v>
      </c>
      <c r="AM10" s="438" t="s">
        <v>113</v>
      </c>
      <c r="AO10" s="743">
        <f>IF($AO$7=$AL$7,'[4]1 trim 2016 BIOGROUP'!Z6/3,IF($AO$7=$AL$8,'[4]1 trim 2016 BIOGROUP'!Z6/3,IF($AO$7=$AL$9,'[4]1 trim 2016 BIOGROUP'!Z6/3,IF($AO$7=$AL$10,'[4]2 trim 2016 BIOGROUP'!Z6/3,IF($AO$7=$AL$11,'[4]2 trim 2016 BIOGROUP'!Z6/3,IF($AO$7=$AL$12,'[4]2 trim 2016 BIOGROUP'!Z6/3,""))))))</f>
        <v>1688.9166666666667</v>
      </c>
      <c r="AP10" s="743">
        <f>IF($AP$7=$AL$7,'[4]1 trim 2016 BIOGROUP'!Z6/3,IF($AP$7=$AL$8,'[4]1 trim 2016 BIOGROUP'!Z6/3,IF($AP$7=$AL$9,'[4]1 trim 2016 BIOGROUP'!Z6/3,IF($AP$7=$AL$10,'[4]2 trim 2016 BIOGROUP'!Z6/3,IF($AP$7=$AL$11,'[4]2 trim 2016 BIOGROUP'!Z6/3,IF($AP$7=$AL$12,'[4]2 trim 2016 BIOGROUP'!Z6/3,""))))))</f>
        <v>1688.9166666666667</v>
      </c>
      <c r="AQ10" s="743">
        <f>IF($AQ$7=$AL$7,'[4]1 trim 2016 BIOGROUP'!Z6/3,IF($AQ$7=$AL$8,'[4]1 trim 2016 BIOGROUP'!Z6/3,IF($AQ$7=$AL$9,'[4]1 trim 2016 BIOGROUP'!Z6/3,IF($AQ$7=$AL$10,'[4]2 trim 2016 BIOGROUP'!Z6/3,IF($AQ$7=$AL$11,'[4]2 trim 2016 BIOGROUP'!Z6/3,IF($AQ$7=$AL$12,'[4]2 trim 2016 BIOGROUP'!Z6/3,""))))))</f>
        <v>1688.9166666666667</v>
      </c>
      <c r="AR10" s="743">
        <f>IF($AR$7=$AL$7,'[4]1 trim 2016 BIOGROUP'!Z6/3,IF($AR$7=$AL$8,'[4]1 trim 2016 BIOGROUP'!Z6/3,IF($AR$7=$AL$9,'[4]1 trim 2016 BIOGROUP'!Z6/3,IF($AR$7=$AL$10,'[4]2 trim 2016 BIOGROUP'!Z6/3,IF($AR$7=$AL$11,'[4]2 trim 2016 BIOGROUP'!Z6/3,IF($AR$7=$AL$12,'[4]2 trim 2016 BIOGROUP'!Z6/3,""))))))</f>
        <v>1688.9166666666667</v>
      </c>
      <c r="AS10" s="743">
        <f>IF($AS$7=$AL$7,'[4]1 trim 2016 BIOGROUP'!Z6/3,IF($AS$7=$AL$8,'[4]1 trim 2016 BIOGROUP'!Z6/3,IF($AS$7=$AL$9,'[4]1 trim 2016 BIOGROUP'!Z6/3,IF($AS$7=$AL$10,'[4]2 trim 2016 BIOGROUP'!Z6/3,IF($AS$7=$AL$11,'[4]2 trim 2016 BIOGROUP'!Z6/3,IF($AS$7=$AL$12,'[4]2 trim 2016 BIOGROUP'!Z6/3,""))))))</f>
        <v>1688.9166666666667</v>
      </c>
      <c r="AT10" s="743">
        <f>IF($AT$7=$AL$7,'[4]1 trim 2016 BIOGROUP'!Z6/3,IF($AT$7=$AL$8,'[4]1 trim 2016 BIOGROUP'!Z6/3,IF($AT$7=$AL$9,'[4]1 trim 2016 BIOGROUP'!Z6/3,IF($AT$7=$AL$10,'[4]2 trim 2016 BIOGROUP'!Z6/3,IF($AT$7=$AL$11,'[4]2 trim 2016 BIOGROUP'!Z6/3,IF($AT$7=$AL$12,'[4]2 trim 2016 BIOGROUP'!Z6/3,""))))))</f>
        <v>1688.9166666666667</v>
      </c>
      <c r="AU10" s="743">
        <f>IF($AU$7=$AL$13,'[4]3 trim 2016 BIOGROUP'!Z6/3,IF($AU$7=$AL$14,'[4]3 trim 2016 BIOGROUP'!Z6/3,IF($AU$7=$AL$15,'[4]3 trim 2016 BIOGROUP'!Z6/3,IF($AU$7=$AL$16,'[4]4 trim 2016 BIOGROUP'!Z6/3,IF($AU$7=$AL$18,'[4]4 trim 2016 BIOGROUP'!Z6/3,IF($AU$7=$AL$19,'[4]4 trim 2016 BIOGROUP'!Z6/3,""))))))</f>
        <v>1688.9166666666667</v>
      </c>
      <c r="AV10" s="743">
        <f>IF($AV$7=$AL$13,'[4]3 trim 2016 BIOGROUP'!Z6/3,IF($AV$7=$AL$14,'[4]3 trim 2016 BIOGROUP'!Z6/3,IF($AV$7=$AL$15,'[4]3 trim 2016 BIOGROUP'!Z6/3,IF($AV$7=$AL$16,'[4]4 trim 2016 BIOGROUP'!Z6/3,IF($AV$7=$AL$18,'[4]4 trim 2016 BIOGROUP'!Z6/3,IF($AV$7=$AL$19,'[4]4 trim 2016 BIOGROUP'!Z6/3,""))))))</f>
        <v>1688.9166666666667</v>
      </c>
      <c r="AW10" s="743">
        <f>IF($AW$7=$AL$13,'[4]3 trim 2016 BIOGROUP'!Z6/3,IF($AW$7=$AL$14,'[4]3 trim 2016 BIOGROUP'!Z6/3,IF($AW$7=$AL$15,'[4]3 trim 2016 BIOGROUP'!Z6/3,IF($AW$7=$AL$16,'[4]4 trim 2016 BIOGROUP'!Z6/3,IF($AW$7=$AL$18,'[4]4 trim 2016 BIOGROUP'!Z6/3,IF($AW$7=$AL$19,'[4]4 trim 2016 BIOGROUP'!Z6/3,""))))))</f>
        <v>1688.9166666666667</v>
      </c>
      <c r="AX10" s="743">
        <f>IF($AX$7=$AL$13,'[4]3 trim 2016 BIOGROUP'!Z6/3,IF($AX$7=$AL$14,'[4]3 trim 2016 BIOGROUP'!Z6/3,IF($AX$7=$AL$15,'[4]3 trim 2016 BIOGROUP'!Z6/3,IF($AX$7=$AL$16,'[4]4 trim 2016 BIOGROUP'!Z6/3,IF($AX$7=$AL$18,'[4]4 trim 2016 BIOGROUP'!Z6/3,IF($AX$7=$AL$19,'[4]4 trim 2016 BIOGROUP'!Z6/3,""))))))</f>
        <v>1688.9166666666667</v>
      </c>
      <c r="AY10" s="743">
        <f>IF($AY$7=$AL$13,'[4]3 trim 2016 BIOGROUP'!Z6/3,IF($AY$7=$AL$14,'[4]3 trim 2016 BIOGROUP'!Z6/3,IF($AY$7=$AL$15,'[4]3 trim 2016 BIOGROUP'!Z6/3,IF($AY$7=$AL$16,'[4]4 trim 2016 BIOGROUP'!Z6/3,IF($AY$7=$AL$18,'[4]4 trim 2016 BIOGROUP'!Z6/3,IF($AY$7=$AL$19,'[4]4 trim 2016 BIOGROUP'!Z6/3,""))))))</f>
        <v>1688.9166666666667</v>
      </c>
      <c r="AZ10" s="743">
        <f>IF($AZ$7=$AL$13,'[4]3 trim 2016 BIOGROUP'!Z6/3,IF($AZ$7=$AL$14,'[4]3 trim 2016 BIOGROUP'!Z6/3,IF($AZ$7=$AL$15,'[4]3 trim 2016 BIOGROUP'!Z6/3,IF($AZ$7=$AL$16,'[4]4 trim 2016 BIOGROUP'!Z6/3,IF($AZ$7=$AL$18,'[4]4 trim 2016 BIOGROUP'!Z6/3,IF($AZ$7=$AL$19,'[4]4 trim 2016 BIOGROUP'!Z6/3,""))))))</f>
        <v>1688.9166666666667</v>
      </c>
      <c r="BA10" s="431" t="str">
        <f>IF(SUM(AO10:AZ10)-('[4]4 trim 2016 BIOGROUP'!G6+'[4]3 trim 2016 BIOGROUP'!G6+'[4]2 trim 2016 BIOGROUP'!G6+'[4]1 trim 2016 BIOGROUP'!G6)&lt;1,"OK","ERREUR")</f>
        <v>OK</v>
      </c>
      <c r="BB10" s="511">
        <f t="shared" si="5"/>
        <v>438999.85</v>
      </c>
      <c r="BC10" s="750"/>
    </row>
    <row r="11" spans="1:55" s="439" customFormat="1" ht="26.15" customHeight="1">
      <c r="A11" s="431"/>
      <c r="B11" s="542"/>
      <c r="C11" s="441" t="s">
        <v>87</v>
      </c>
      <c r="D11" s="589"/>
      <c r="E11" s="441" t="s">
        <v>115</v>
      </c>
      <c r="F11" s="590"/>
      <c r="G11" s="476">
        <f>SUM(G12:G13)</f>
        <v>-953257.30999999994</v>
      </c>
      <c r="H11" s="591">
        <f>G11/G7</f>
        <v>-0.1536954882157909</v>
      </c>
      <c r="I11" s="431"/>
      <c r="J11" s="496">
        <f>SUM(J12:J13)</f>
        <v>0</v>
      </c>
      <c r="K11" s="530" t="str">
        <f t="shared" si="6"/>
        <v/>
      </c>
      <c r="L11" s="431"/>
      <c r="M11" s="496">
        <f>SUM(M12:M13)</f>
        <v>-836751.05333333323</v>
      </c>
      <c r="N11" s="518">
        <f t="shared" si="1"/>
        <v>0.13923646250882526</v>
      </c>
      <c r="O11" s="592"/>
      <c r="P11" s="593" t="s">
        <v>3</v>
      </c>
      <c r="Q11" s="594" t="e">
        <f t="shared" ref="Q11:Z11" si="7">SUM(Q12:Q13)</f>
        <v>#REF!</v>
      </c>
      <c r="R11" s="595" t="e">
        <f t="shared" si="7"/>
        <v>#REF!</v>
      </c>
      <c r="S11" s="594" t="e">
        <f t="shared" si="7"/>
        <v>#REF!</v>
      </c>
      <c r="T11" s="595" t="e">
        <f t="shared" si="7"/>
        <v>#REF!</v>
      </c>
      <c r="U11" s="594" t="e">
        <f t="shared" si="7"/>
        <v>#REF!</v>
      </c>
      <c r="V11" s="595" t="e">
        <f t="shared" si="7"/>
        <v>#REF!</v>
      </c>
      <c r="W11" s="594" t="e">
        <f t="shared" si="7"/>
        <v>#REF!</v>
      </c>
      <c r="X11" s="595" t="e">
        <f t="shared" si="7"/>
        <v>#REF!</v>
      </c>
      <c r="Y11" s="594" t="e">
        <f t="shared" si="7"/>
        <v>#REF!</v>
      </c>
      <c r="Z11" s="595" t="e">
        <f t="shared" si="7"/>
        <v>#REF!</v>
      </c>
      <c r="AA11" s="584" t="e">
        <f t="shared" si="2"/>
        <v>#REF!</v>
      </c>
      <c r="AB11" s="476">
        <f>SUM(AB12:AB13)</f>
        <v>-2616023.77</v>
      </c>
      <c r="AC11" s="591">
        <f>AB11/AB7</f>
        <v>-0.14657039327167418</v>
      </c>
      <c r="AD11" s="496">
        <f>SUM(AD12:AD13)</f>
        <v>0</v>
      </c>
      <c r="AE11" s="518" t="str">
        <f t="shared" si="3"/>
        <v/>
      </c>
      <c r="AF11" s="431"/>
      <c r="AG11" s="496">
        <f>SUM(AG12:AG13)</f>
        <v>-2510253.16</v>
      </c>
      <c r="AH11" s="518">
        <f t="shared" si="4"/>
        <v>4.2135435455442218E-2</v>
      </c>
      <c r="AJ11" s="596"/>
      <c r="AL11" s="435">
        <v>42521</v>
      </c>
      <c r="AM11" s="441" t="s">
        <v>115</v>
      </c>
      <c r="AN11" s="746"/>
      <c r="AO11" s="741">
        <f>-SUM(AO12:AO13)</f>
        <v>-82240.75</v>
      </c>
      <c r="AP11" s="741">
        <f t="shared" ref="AP11:AZ11" si="8">-SUM(AP12:AP13)</f>
        <v>-82240.75</v>
      </c>
      <c r="AQ11" s="741">
        <f t="shared" si="8"/>
        <v>-82240.75</v>
      </c>
      <c r="AR11" s="741">
        <f t="shared" si="8"/>
        <v>-82240.75</v>
      </c>
      <c r="AS11" s="741">
        <f t="shared" si="8"/>
        <v>-82240.75</v>
      </c>
      <c r="AT11" s="741">
        <f t="shared" si="8"/>
        <v>-82240.75</v>
      </c>
      <c r="AU11" s="741">
        <f t="shared" si="8"/>
        <v>-82240.75</v>
      </c>
      <c r="AV11" s="741">
        <f t="shared" si="8"/>
        <v>-82240.75</v>
      </c>
      <c r="AW11" s="741">
        <f t="shared" si="8"/>
        <v>-82240.75</v>
      </c>
      <c r="AX11" s="741">
        <f t="shared" si="8"/>
        <v>-82240.75</v>
      </c>
      <c r="AY11" s="741">
        <f t="shared" si="8"/>
        <v>-82240.75</v>
      </c>
      <c r="AZ11" s="741">
        <f t="shared" si="8"/>
        <v>-82240.75</v>
      </c>
      <c r="BA11" s="431"/>
      <c r="BB11" s="748">
        <f t="shared" si="5"/>
        <v>2616023.77</v>
      </c>
      <c r="BC11" s="751"/>
    </row>
    <row r="12" spans="1:55" ht="26.15" customHeight="1">
      <c r="B12" s="588" t="s">
        <v>154</v>
      </c>
      <c r="C12" s="597" t="s">
        <v>84</v>
      </c>
      <c r="D12" s="576"/>
      <c r="E12" s="442" t="s">
        <v>135</v>
      </c>
      <c r="F12" s="577"/>
      <c r="G12" s="476">
        <f>-26549.34-671714.22</f>
        <v>-698263.55999999994</v>
      </c>
      <c r="H12" s="591">
        <f>G12/G7</f>
        <v>-0.11258236116489492</v>
      </c>
      <c r="J12" s="497">
        <f>-SUMIF($AO$7:$AZ$7,$G$6,AO12:AZ12)</f>
        <v>0</v>
      </c>
      <c r="K12" s="530" t="str">
        <f t="shared" si="6"/>
        <v/>
      </c>
      <c r="L12" s="431"/>
      <c r="M12" s="598">
        <f>AG12/3</f>
        <v>-619774.89666666661</v>
      </c>
      <c r="N12" s="518">
        <f t="shared" si="1"/>
        <v>0.12664059766774785</v>
      </c>
      <c r="O12" s="580"/>
      <c r="P12" s="581" t="s">
        <v>4</v>
      </c>
      <c r="Q12" s="582" t="e">
        <f>+#REF!+'31 dec 2016 BIOLAM'!AT8+'31 dec 2016 BIOLAM'!AT9</f>
        <v>#REF!</v>
      </c>
      <c r="R12" s="583" t="e">
        <f>Q12/Q$7</f>
        <v>#REF!</v>
      </c>
      <c r="S12" s="582" t="e">
        <f>+'31 dec 2016 BIOLAM'!AV8+'31 dec 2016 BIOLAM'!AV9+#REF!</f>
        <v>#REF!</v>
      </c>
      <c r="T12" s="583" t="e">
        <f>S12/S$7</f>
        <v>#REF!</v>
      </c>
      <c r="U12" s="582" t="e">
        <f>+'31 dec 2016 BIOLAM'!AX8+'31 dec 2016 BIOLAM'!AX9+#REF!</f>
        <v>#REF!</v>
      </c>
      <c r="V12" s="583" t="e">
        <f>U12/U$7</f>
        <v>#REF!</v>
      </c>
      <c r="W12" s="582" t="e">
        <f>+'31 dec 2016 BIOLAM'!AZ8+'31 dec 2016 BIOLAM'!AZ9+#REF!</f>
        <v>#REF!</v>
      </c>
      <c r="X12" s="583" t="e">
        <f>W12/W$7</f>
        <v>#REF!</v>
      </c>
      <c r="Y12" s="582" t="e">
        <f>+W12+U12+S12+Q12</f>
        <v>#REF!</v>
      </c>
      <c r="Z12" s="583" t="e">
        <f>Y12/Y$7</f>
        <v>#REF!</v>
      </c>
      <c r="AA12" s="584" t="e">
        <f t="shared" si="2"/>
        <v>#REF!</v>
      </c>
      <c r="AB12" s="476">
        <f>-25477.34-1856904.1</f>
        <v>-1882381.4400000002</v>
      </c>
      <c r="AC12" s="591">
        <f>AB12/AB7</f>
        <v>-0.10546593311271799</v>
      </c>
      <c r="AD12" s="497">
        <f>-SUMIF($AO$7:$AZ$7,"&lt;="&amp;$AC$6,AO12:AZ12)</f>
        <v>0</v>
      </c>
      <c r="AE12" s="518" t="str">
        <f t="shared" si="3"/>
        <v/>
      </c>
      <c r="AG12" s="598">
        <f>-1036333.24-11342.69-817266.76+5618</f>
        <v>-1859324.69</v>
      </c>
      <c r="AH12" s="518">
        <f t="shared" si="4"/>
        <v>1.2400604436657178E-2</v>
      </c>
      <c r="AJ12" s="599"/>
      <c r="AL12" s="435">
        <v>42551</v>
      </c>
      <c r="AM12" s="442" t="s">
        <v>135</v>
      </c>
      <c r="AN12" s="747"/>
      <c r="AO12" s="431">
        <f>IF($AO$7=$AL$7,'[4]1 trim 2016 BIOGROUP'!Z8/3,IF($AO$7=$AL$8,'[4]1 trim 2016 BIOGROUP'!Z8/3,IF($AO$7=$AL$9,'[4]1 trim 2016 BIOGROUP'!Z8/3,IF($AO$7=$AL$10,'[4]2 trim 2016 BIOGROUP'!Z8/3,IF($AO$7=$AL$11,'[4]2 trim 2016 BIOGROUP'!Z8/3,IF($AO$7=$AL$12,'[4]2 trim 2016 BIOGROUP'!Z8/3,""))))))</f>
        <v>36190.75</v>
      </c>
      <c r="AP12" s="431">
        <f>IF($AP$7=$AL$7,'[4]1 trim 2016 BIOGROUP'!Z8/3,IF($AP$7=$AL$8,'[4]1 trim 2016 BIOGROUP'!Z8/3,IF($AP$7=$AL$9,'[4]1 trim 2016 BIOGROUP'!Z8/3,IF($AP$7=$AL$10,'[4]2 trim 2016 BIOGROUP'!Z8/3,IF($AP$7=$AL$11,'[4]2 trim 2016 BIOGROUP'!Z8/3,IF($AP$7=$AL$12,'[4]2 trim 2016 BIOGROUP'!Z8/3,""))))))</f>
        <v>36190.75</v>
      </c>
      <c r="AQ12" s="431">
        <f>IF($AQ$7=$AL$7,'[4]1 trim 2016 BIOGROUP'!Z8/3,IF($AQ$7=$AL$8,'[4]1 trim 2016 BIOGROUP'!Z8/3,IF($AQ$7=$AL$9,'[4]1 trim 2016 BIOGROUP'!Z8/3,IF($AQ$7=$AL$10,'[4]2 trim 2016 BIOGROUP'!Z8/3,IF($AQ$7=$AL$11,'[4]2 trim 2016 BIOGROUP'!Z8/3,IF($AQ$7=$AL$12,'[4]2 trim 2016 BIOGROUP'!Z8/3,""))))))</f>
        <v>36190.75</v>
      </c>
      <c r="AR12" s="431">
        <f>IF($AR$7=$AL$7,'[4]1 trim 2016 BIOGROUP'!Z8/3,IF($AR$7=$AL$8,'[4]1 trim 2016 BIOGROUP'!Z8/3,IF($AR$7=$AL$9,'[4]1 trim 2016 BIOGROUP'!Z8/3,IF($AR$7=$AL$10,'[4]2 trim 2016 BIOGROUP'!Z8/3,IF($AR$7=$AL$11,'[4]2 trim 2016 BIOGROUP'!Z8/3,IF($AR$7=$AL$12,'[4]2 trim 2016 BIOGROUP'!Z8/3,""))))))</f>
        <v>36190.75</v>
      </c>
      <c r="AS12" s="431">
        <f>IF($AS$7=$AL$7,'[4]1 trim 2016 BIOGROUP'!Z8/3,IF($AS$7=$AL$8,'[4]1 trim 2016 BIOGROUP'!Z8/3,IF($AS$7=$AL$9,'[4]1 trim 2016 BIOGROUP'!Z8/3,IF($AS$7=$AL$10,'[4]2 trim 2016 BIOGROUP'!Z8/3,IF($AS$7=$AL$11,'[4]2 trim 2016 BIOGROUP'!Z8/3,IF($AS$7=$AL$12,'[4]2 trim 2016 BIOGROUP'!Z8/3,""))))))</f>
        <v>36190.75</v>
      </c>
      <c r="AT12" s="431">
        <f>IF($AT$7=$AL$7,'[4]1 trim 2016 BIOGROUP'!Z8/3,IF($AT$7=$AL$8,'[4]1 trim 2016 BIOGROUP'!Z8/3,IF($AT$7=$AL$9,'[4]1 trim 2016 BIOGROUP'!Z8/3,IF($AT$7=$AL$10,'[4]2 trim 2016 BIOGROUP'!Z8/3,IF($AT$7=$AL$11,'[4]2 trim 2016 BIOGROUP'!Z8/3,IF($AT$7=$AL$12,'[4]2 trim 2016 BIOGROUP'!Z8/3,""))))))</f>
        <v>36190.75</v>
      </c>
      <c r="AU12" s="431">
        <f>IF($AU$7=$AL$13,'[4]3 trim 2016 BIOGROUP'!Z8/3,IF($AU$7=$AL$14,'[4]3 trim 2016 BIOGROUP'!Z8/3,IF($AU$7=$AL$15,'[4]3 trim 2016 BIOGROUP'!Z8/3,IF($AU$7=$AL$16,'[4]4 trim 2016 BIOGROUP'!Z8/3,IF($AU$7=$AL$18,'[4]4 trim 2016 BIOGROUP'!Z8/3,IF($AU$7=$AL$19,'[4]4 trim 2016 BIOGROUP'!Z8/3,""))))))</f>
        <v>36190.75</v>
      </c>
      <c r="AV12" s="431">
        <f>IF($AV$7=$AL$13,'[4]3 trim 2016 BIOGROUP'!Z8/3,IF($AV$7=$AL$14,'[4]3 trim 2016 BIOGROUP'!Z8/3,IF($AV$7=$AL$15,'[4]3 trim 2016 BIOGROUP'!Z8/3,IF($AV$7=$AL$16,'[4]4 trim 2016 BIOGROUP'!Z8/3,IF($AV$7=$AL$18,'[4]4 trim 2016 BIOGROUP'!Z8/3,IF($AV$7=$AL$19,'[4]4 trim 2016 BIOGROUP'!Z8/3,""))))))</f>
        <v>36190.75</v>
      </c>
      <c r="AW12" s="431">
        <f>IF($AW$7=$AL$13,'[4]3 trim 2016 BIOGROUP'!Z8/3,IF($AW$7=$AL$14,'[4]3 trim 2016 BIOGROUP'!Z8/3,IF($AW$7=$AL$15,'[4]3 trim 2016 BIOGROUP'!Z8/3,IF($AW$7=$AL$16,'[4]4 trim 2016 BIOGROUP'!Z8/3,IF($AW$7=$AL$18,'[4]4 trim 2016 BIOGROUP'!Z8/3,IF($AW$7=$AL$19,'[4]4 trim 2016 BIOGROUP'!Z8/3,""))))))</f>
        <v>36190.75</v>
      </c>
      <c r="AX12" s="431">
        <f>IF($AX$7=$AL$13,'[4]3 trim 2016 BIOGROUP'!Z8/3,IF($AX$7=$AL$14,'[4]3 trim 2016 BIOGROUP'!Z8/3,IF($AX$7=$AL$15,'[4]3 trim 2016 BIOGROUP'!Z8/3,IF($AX$7=$AL$16,'[4]4 trim 2016 BIOGROUP'!Z8/3,IF($AX$7=$AL$18,'[4]4 trim 2016 BIOGROUP'!Z8/3,IF($AX$7=$AL$19,'[4]4 trim 2016 BIOGROUP'!Z8/3,""))))))</f>
        <v>36190.75</v>
      </c>
      <c r="AY12" s="431">
        <f>IF($AY$7=$AL$13,'[4]3 trim 2016 BIOGROUP'!Z8/3,IF($AY$7=$AL$14,'[4]3 trim 2016 BIOGROUP'!Z8/3,IF($AY$7=$AL$15,'[4]3 trim 2016 BIOGROUP'!Z8/3,IF($AY$7=$AL$16,'[4]4 trim 2016 BIOGROUP'!Z8/3,IF($AY$7=$AL$18,'[4]4 trim 2016 BIOGROUP'!Z8/3,IF($AY$7=$AL$19,'[4]4 trim 2016 BIOGROUP'!Z8/3,""))))))</f>
        <v>36190.75</v>
      </c>
      <c r="AZ12" s="431">
        <f>IF($AZ$7=$AL$13,'[4]3 trim 2016 BIOGROUP'!Z8/3,IF($AZ$7=$AL$14,'[4]3 trim 2016 BIOGROUP'!Z8/3,IF($AZ$7=$AL$15,'[4]3 trim 2016 BIOGROUP'!Z8/3,IF($AZ$7=$AL$16,'[4]4 trim 2016 BIOGROUP'!Z8/3,IF($AZ$7=$AL$18,'[4]4 trim 2016 BIOGROUP'!Z8/3,IF($AZ$7=$AL$19,'[4]4 trim 2016 BIOGROUP'!Z8/3,""))))))</f>
        <v>36190.75</v>
      </c>
      <c r="BB12" s="511">
        <f t="shared" si="5"/>
        <v>1882381.4400000002</v>
      </c>
      <c r="BC12" s="750"/>
    </row>
    <row r="13" spans="1:55" ht="26.15" customHeight="1">
      <c r="B13" s="542">
        <v>604</v>
      </c>
      <c r="C13" s="445" t="s">
        <v>85</v>
      </c>
      <c r="D13" s="600"/>
      <c r="E13" s="443" t="s">
        <v>134</v>
      </c>
      <c r="F13" s="601"/>
      <c r="G13" s="476">
        <v>-254993.75</v>
      </c>
      <c r="H13" s="591">
        <f>G13/G7</f>
        <v>-4.1113127050895981E-2</v>
      </c>
      <c r="J13" s="497">
        <f>-SUMIF($AO$7:$AZ$7,$G$6,AO13:AZ13)</f>
        <v>0</v>
      </c>
      <c r="K13" s="530" t="str">
        <f t="shared" si="6"/>
        <v/>
      </c>
      <c r="L13" s="431"/>
      <c r="M13" s="598">
        <f>AG13/3</f>
        <v>-216976.15666666665</v>
      </c>
      <c r="N13" s="518">
        <f t="shared" si="1"/>
        <v>0.17521553481905633</v>
      </c>
      <c r="O13" s="580"/>
      <c r="P13" s="602" t="s">
        <v>58</v>
      </c>
      <c r="Q13" s="582" t="e">
        <f>+'31 dec 2016 BIOLAM'!AT10+#REF!</f>
        <v>#REF!</v>
      </c>
      <c r="R13" s="583" t="e">
        <f>Q13/Q$7</f>
        <v>#REF!</v>
      </c>
      <c r="S13" s="582" t="e">
        <f>+'31 dec 2016 BIOLAM'!AV10+#REF!</f>
        <v>#REF!</v>
      </c>
      <c r="T13" s="583" t="e">
        <f>S13/S$7</f>
        <v>#REF!</v>
      </c>
      <c r="U13" s="582" t="e">
        <f>+'31 dec 2016 BIOLAM'!AX10+#REF!</f>
        <v>#REF!</v>
      </c>
      <c r="V13" s="583" t="e">
        <f>U13/U$7</f>
        <v>#REF!</v>
      </c>
      <c r="W13" s="582" t="e">
        <f>+'31 dec 2016 BIOLAM'!AZ10+#REF!</f>
        <v>#REF!</v>
      </c>
      <c r="X13" s="583" t="e">
        <f>W13/W$7</f>
        <v>#REF!</v>
      </c>
      <c r="Y13" s="582" t="e">
        <f>+W13+U13+S13+Q13</f>
        <v>#REF!</v>
      </c>
      <c r="Z13" s="583" t="e">
        <f>Y13/Y$7</f>
        <v>#REF!</v>
      </c>
      <c r="AA13" s="584" t="e">
        <f t="shared" si="2"/>
        <v>#REF!</v>
      </c>
      <c r="AB13" s="476">
        <f>-733642.33</f>
        <v>-733642.33</v>
      </c>
      <c r="AC13" s="591">
        <f>AB13/AB7</f>
        <v>-4.1104460158956184E-2</v>
      </c>
      <c r="AD13" s="497">
        <f>-SUMIF($AO$7:$AZ$7,"&lt;="&amp;$AC$6,AO13:AZ13)</f>
        <v>0</v>
      </c>
      <c r="AE13" s="518" t="str">
        <f t="shared" si="3"/>
        <v/>
      </c>
      <c r="AG13" s="598">
        <f>-386172.23-264756.24</f>
        <v>-650928.47</v>
      </c>
      <c r="AH13" s="518">
        <f t="shared" si="4"/>
        <v>0.12707058273238531</v>
      </c>
      <c r="AJ13" s="599"/>
      <c r="AL13" s="435">
        <v>42582</v>
      </c>
      <c r="AM13" s="443" t="s">
        <v>134</v>
      </c>
      <c r="AN13" s="747"/>
      <c r="AO13" s="431">
        <f>IF($AO$7=$AL$7,'[4]1 trim 2016 BIOGROUP'!Z9/3,IF($AO$7=$AL$8,'[4]1 trim 2016 BIOGROUP'!Z9/3,IF($AO$7=$AL$9,'[4]1 trim 2016 BIOGROUP'!Z9/3,IF($AO$7=$AL$10,'[4]2 trim 2016 BIOGROUP'!Z9/3,IF($AO$7=$AL$11,'[4]2 trim 2016 BIOGROUP'!Z9/3,IF($AO$7=$AL$12,'[4]2 trim 2016 BIOGROUP'!Z9/3,""))))))</f>
        <v>46050</v>
      </c>
      <c r="AP13" s="431">
        <f>IF($AP$7=$AL$7,'[4]1 trim 2016 BIOGROUP'!Z9/3,IF($AP$7=$AL$8,'[4]1 trim 2016 BIOGROUP'!Z9/3,IF($AP$7=$AL$9,'[4]1 trim 2016 BIOGROUP'!Z9/3,IF($AP$7=$AL$10,'[4]2 trim 2016 BIOGROUP'!Z9/3,IF($AP$7=$AL$11,'[4]2 trim 2016 BIOGROUP'!Z9/3,IF($AP$7=$AL$12,'[4]2 trim 2016 BIOGROUP'!Z9/3,""))))))</f>
        <v>46050</v>
      </c>
      <c r="AQ13" s="431">
        <f>IF($AQ$7=$AL$7,'[4]1 trim 2016 BIOGROUP'!Z9/3,IF($AQ$7=$AL$8,'[4]1 trim 2016 BIOGROUP'!Z9/3,IF($AQ$7=$AL$9,'[4]1 trim 2016 BIOGROUP'!Z9/3,IF($AQ$7=$AL$10,'[4]2 trim 2016 BIOGROUP'!Z9/3,IF($AQ$7=$AL$11,'[4]2 trim 2016 BIOGROUP'!Z9/3,IF($AQ$7=$AL$12,'[4]2 trim 2016 BIOGROUP'!Z9/3,""))))))</f>
        <v>46050</v>
      </c>
      <c r="AR13" s="431">
        <f>IF($AR$7=$AL$7,'[4]1 trim 2016 BIOGROUP'!Z9/3,IF($AR$7=$AL$8,'[4]1 trim 2016 BIOGROUP'!Z9/3,IF($AR$7=$AL$9,'[4]1 trim 2016 BIOGROUP'!Z9/3,IF($AR$7=$AL$10,'[4]2 trim 2016 BIOGROUP'!Z9/3,IF($AR$7=$AL$11,'[4]2 trim 2016 BIOGROUP'!Z9/3,IF($AR$7=$AL$12,'[4]2 trim 2016 BIOGROUP'!Z9/3,""))))))</f>
        <v>46050</v>
      </c>
      <c r="AS13" s="431">
        <f>IF($AS$7=$AL$7,'[4]1 trim 2016 BIOGROUP'!Z9/3,IF($AS$7=$AL$8,'[4]1 trim 2016 BIOGROUP'!Z9/3,IF($AS$7=$AL$9,'[4]1 trim 2016 BIOGROUP'!Z9/3,IF($AS$7=$AL$10,'[4]2 trim 2016 BIOGROUP'!Z9/3,IF($AS$7=$AL$11,'[4]2 trim 2016 BIOGROUP'!Z9/3,IF($AS$7=$AL$12,'[4]2 trim 2016 BIOGROUP'!Z9/3,""))))))</f>
        <v>46050</v>
      </c>
      <c r="AT13" s="431">
        <f>IF($AT$7=$AL$7,'[4]1 trim 2016 BIOGROUP'!Z9/3,IF($AT$7=$AL$8,'[4]1 trim 2016 BIOGROUP'!Z9/3,IF($AT$7=$AL$9,'[4]1 trim 2016 BIOGROUP'!Z9/3,IF($AT$7=$AL$10,'[4]2 trim 2016 BIOGROUP'!Z9/3,IF($AT$7=$AL$11,'[4]2 trim 2016 BIOGROUP'!Z9/3,IF($AT$7=$AL$12,'[4]2 trim 2016 BIOGROUP'!Z9/3,""))))))</f>
        <v>46050</v>
      </c>
      <c r="AU13" s="431">
        <f>IF($AU$7=$AL$13,'[4]3 trim 2016 BIOGROUP'!Z9/3,IF($AU$7=$AL$14,'[4]3 trim 2016 BIOGROUP'!Z9/3,IF($AU$7=$AL$15,'[4]3 trim 2016 BIOGROUP'!Z9/3,IF($AU$7=$AL$16,'[4]4 trim 2016 BIOGROUP'!Z9/3,IF($AU$7=$AL$18,'[4]4 trim 2016 BIOGROUP'!Z9/3,IF($AU$7=$AL$19,'[4]4 trim 2016 BIOGROUP'!Z9/3,""))))))</f>
        <v>46050</v>
      </c>
      <c r="AV13" s="431">
        <f>IF($AV$7=$AL$13,'[4]3 trim 2016 BIOGROUP'!Z9/3,IF($AV$7=$AL$14,'[4]3 trim 2016 BIOGROUP'!Z9/3,IF($AV$7=$AL$15,'[4]3 trim 2016 BIOGROUP'!Z9/3,IF($AV$7=$AL$16,'[4]4 trim 2016 BIOGROUP'!Z9/3,IF($AV$7=$AL$18,'[4]4 trim 2016 BIOGROUP'!Z9/3,IF($AV$7=$AL$19,'[4]4 trim 2016 BIOGROUP'!Z9/3,""))))))</f>
        <v>46050</v>
      </c>
      <c r="AW13" s="431">
        <f>IF($AW$7=$AL$13,'[4]3 trim 2016 BIOGROUP'!Z9/3,IF($AW$7=$AL$14,'[4]3 trim 2016 BIOGROUP'!Z9/3,IF($AW$7=$AL$15,'[4]3 trim 2016 BIOGROUP'!Z9/3,IF($AW$7=$AL$16,'[4]4 trim 2016 BIOGROUP'!Z9/3,IF($AW$7=$AL$18,'[4]4 trim 2016 BIOGROUP'!Z9/3,IF($AW$7=$AL$19,'[4]4 trim 2016 BIOGROUP'!Z9/3,""))))))</f>
        <v>46050</v>
      </c>
      <c r="AX13" s="431">
        <f>IF($AX$7=$AL$13,'[4]3 trim 2016 BIOGROUP'!Z9/3,IF($AX$7=$AL$14,'[4]3 trim 2016 BIOGROUP'!Z9/3,IF($AX$7=$AL$15,'[4]3 trim 2016 BIOGROUP'!Z9/3,IF($AX$7=$AL$16,'[4]4 trim 2016 BIOGROUP'!Z9/3,IF($AX$7=$AL$18,'[4]4 trim 2016 BIOGROUP'!Z9/3,IF($AX$7=$AL$19,'[4]4 trim 2016 BIOGROUP'!Z9/3,""))))))</f>
        <v>46050</v>
      </c>
      <c r="AY13" s="431">
        <f>IF($AY$7=$AL$13,'[4]3 trim 2016 BIOGROUP'!Z9/3,IF($AY$7=$AL$14,'[4]3 trim 2016 BIOGROUP'!Z9/3,IF($AY$7=$AL$15,'[4]3 trim 2016 BIOGROUP'!Z9/3,IF($AY$7=$AL$16,'[4]4 trim 2016 BIOGROUP'!Z9/3,IF($AY$7=$AL$18,'[4]4 trim 2016 BIOGROUP'!Z9/3,IF($AY$7=$AL$19,'[4]4 trim 2016 BIOGROUP'!Z9/3,""))))))</f>
        <v>46050</v>
      </c>
      <c r="AZ13" s="431">
        <f>IF($AZ$7=$AL$13,'[4]3 trim 2016 BIOGROUP'!Z9/3,IF($AZ$7=$AL$14,'[4]3 trim 2016 BIOGROUP'!Z9/3,IF($AZ$7=$AL$15,'[4]3 trim 2016 BIOGROUP'!Z9/3,IF($AZ$7=$AL$16,'[4]4 trim 2016 BIOGROUP'!Z9/3,IF($AZ$7=$AL$18,'[4]4 trim 2016 BIOGROUP'!Z9/3,IF($AZ$7=$AL$19,'[4]4 trim 2016 BIOGROUP'!Z9/3,""))))))</f>
        <v>46050</v>
      </c>
      <c r="BB13" s="511">
        <f t="shared" si="5"/>
        <v>733642.33</v>
      </c>
      <c r="BC13" s="750"/>
    </row>
    <row r="14" spans="1:55" ht="36.75" customHeight="1">
      <c r="C14" s="603" t="s">
        <v>95</v>
      </c>
      <c r="D14" s="604"/>
      <c r="E14" s="444" t="s">
        <v>116</v>
      </c>
      <c r="F14" s="577"/>
      <c r="G14" s="473">
        <f>+G7+G11</f>
        <v>5248989.2300000004</v>
      </c>
      <c r="H14" s="605">
        <f>+G14/G7</f>
        <v>0.84630451178420918</v>
      </c>
      <c r="J14" s="498">
        <f>+J7+J11</f>
        <v>0</v>
      </c>
      <c r="K14" s="531" t="str">
        <f t="shared" si="6"/>
        <v/>
      </c>
      <c r="L14" s="431"/>
      <c r="M14" s="498">
        <f>+M7+M11</f>
        <v>4140044.4466666668</v>
      </c>
      <c r="N14" s="516">
        <f t="shared" si="1"/>
        <v>0.26785818307486875</v>
      </c>
      <c r="O14" s="592"/>
      <c r="P14" s="606"/>
      <c r="Q14" s="607"/>
      <c r="R14" s="608"/>
      <c r="S14" s="607"/>
      <c r="T14" s="608"/>
      <c r="U14" s="607"/>
      <c r="V14" s="608"/>
      <c r="W14" s="607"/>
      <c r="X14" s="608"/>
      <c r="Y14" s="607"/>
      <c r="Z14" s="608"/>
      <c r="AA14" s="609"/>
      <c r="AB14" s="477">
        <f>+AB7+AB11</f>
        <v>15232217.690000001</v>
      </c>
      <c r="AC14" s="605">
        <f>AB14/AB7</f>
        <v>0.85342960672832591</v>
      </c>
      <c r="AD14" s="498">
        <f>AD7+AD11</f>
        <v>0</v>
      </c>
      <c r="AE14" s="519" t="str">
        <f t="shared" si="3"/>
        <v/>
      </c>
      <c r="AG14" s="498">
        <f>AG7+AG11</f>
        <v>12420133.340000002</v>
      </c>
      <c r="AH14" s="520">
        <f t="shared" si="4"/>
        <v>0.22641337842513043</v>
      </c>
      <c r="AJ14" s="599"/>
      <c r="AL14" s="435">
        <v>42613</v>
      </c>
      <c r="AM14" s="444" t="s">
        <v>116</v>
      </c>
      <c r="AN14" s="747"/>
      <c r="AO14" s="741">
        <f>AO8+AO9+AO10+AO11</f>
        <v>248159.00000000006</v>
      </c>
      <c r="AP14" s="741">
        <f t="shared" ref="AP14:AZ14" si="9">AP8+AP9+AP10+AP11</f>
        <v>248159.00000000006</v>
      </c>
      <c r="AQ14" s="741">
        <f t="shared" si="9"/>
        <v>248159.00000000006</v>
      </c>
      <c r="AR14" s="741">
        <f t="shared" si="9"/>
        <v>249847.91666666669</v>
      </c>
      <c r="AS14" s="741">
        <f t="shared" si="9"/>
        <v>249847.91666666669</v>
      </c>
      <c r="AT14" s="741">
        <f t="shared" si="9"/>
        <v>249847.91666666669</v>
      </c>
      <c r="AU14" s="741">
        <f t="shared" si="9"/>
        <v>249847.91666666669</v>
      </c>
      <c r="AV14" s="741">
        <f t="shared" si="9"/>
        <v>249847.91666666669</v>
      </c>
      <c r="AW14" s="741">
        <f t="shared" si="9"/>
        <v>249847.91666666669</v>
      </c>
      <c r="AX14" s="741">
        <f t="shared" si="9"/>
        <v>249847.91666666669</v>
      </c>
      <c r="AY14" s="741">
        <f t="shared" si="9"/>
        <v>249847.91666666669</v>
      </c>
      <c r="AZ14" s="741">
        <f t="shared" si="9"/>
        <v>249847.91666666669</v>
      </c>
      <c r="BB14" s="748">
        <f t="shared" si="5"/>
        <v>15232217.690000001</v>
      </c>
      <c r="BC14" s="752"/>
    </row>
    <row r="15" spans="1:55" ht="26.15" customHeight="1">
      <c r="C15" s="445" t="s">
        <v>142</v>
      </c>
      <c r="D15" s="610"/>
      <c r="E15" s="445" t="s">
        <v>143</v>
      </c>
      <c r="F15" s="577"/>
      <c r="G15" s="476">
        <f>SUM(G16:G20)</f>
        <v>-873766.52</v>
      </c>
      <c r="H15" s="591">
        <f>G15/G7</f>
        <v>-0.14087903703357138</v>
      </c>
      <c r="J15" s="496">
        <f>SUM(J16:J20)</f>
        <v>0</v>
      </c>
      <c r="K15" s="530" t="str">
        <f t="shared" si="6"/>
        <v/>
      </c>
      <c r="L15" s="431"/>
      <c r="M15" s="496">
        <f>SUM(M16:M20)</f>
        <v>-861136.13666666672</v>
      </c>
      <c r="N15" s="518">
        <f t="shared" si="1"/>
        <v>1.4667115680714186E-2</v>
      </c>
      <c r="O15" s="580"/>
      <c r="P15" s="611" t="s">
        <v>5</v>
      </c>
      <c r="Q15" s="594" t="e">
        <f t="shared" ref="Q15:Z15" si="10">SUM(Q16:Q20)</f>
        <v>#REF!</v>
      </c>
      <c r="R15" s="595" t="e">
        <f t="shared" si="10"/>
        <v>#REF!</v>
      </c>
      <c r="S15" s="594" t="e">
        <f t="shared" si="10"/>
        <v>#REF!</v>
      </c>
      <c r="T15" s="595" t="e">
        <f t="shared" si="10"/>
        <v>#REF!</v>
      </c>
      <c r="U15" s="594" t="e">
        <f t="shared" si="10"/>
        <v>#REF!</v>
      </c>
      <c r="V15" s="595" t="e">
        <f t="shared" si="10"/>
        <v>#REF!</v>
      </c>
      <c r="W15" s="594" t="e">
        <f t="shared" si="10"/>
        <v>#REF!</v>
      </c>
      <c r="X15" s="595" t="e">
        <f t="shared" si="10"/>
        <v>#REF!</v>
      </c>
      <c r="Y15" s="594" t="e">
        <f t="shared" si="10"/>
        <v>#REF!</v>
      </c>
      <c r="Z15" s="595" t="e">
        <f t="shared" si="10"/>
        <v>#REF!</v>
      </c>
      <c r="AA15" s="584" t="e">
        <f>+G15-Y15</f>
        <v>#REF!</v>
      </c>
      <c r="AB15" s="476">
        <f>SUM(AB16:AB20)</f>
        <v>-2747655.05</v>
      </c>
      <c r="AC15" s="591">
        <f>AB15/AB7</f>
        <v>-0.15394542124263708</v>
      </c>
      <c r="AD15" s="496">
        <f>SUM(AD16:AD20)</f>
        <v>0</v>
      </c>
      <c r="AE15" s="518" t="str">
        <f t="shared" si="3"/>
        <v/>
      </c>
      <c r="AG15" s="496">
        <f>SUM(AG16:AG20)</f>
        <v>-2583408.41</v>
      </c>
      <c r="AH15" s="518">
        <f t="shared" si="4"/>
        <v>6.3577496831017766E-2</v>
      </c>
      <c r="AJ15" s="599"/>
      <c r="AL15" s="435">
        <v>42643</v>
      </c>
      <c r="AM15" s="445" t="s">
        <v>143</v>
      </c>
      <c r="AN15" s="747"/>
      <c r="AO15" s="741">
        <f>-AO16-AO19</f>
        <v>-40517.25</v>
      </c>
      <c r="AP15" s="741">
        <f t="shared" ref="AP15:AZ15" si="11">-AP16-AP19</f>
        <v>-40517.25</v>
      </c>
      <c r="AQ15" s="741">
        <f t="shared" si="11"/>
        <v>-40517.25</v>
      </c>
      <c r="AR15" s="741">
        <f t="shared" si="11"/>
        <v>-40517.25</v>
      </c>
      <c r="AS15" s="741">
        <f t="shared" si="11"/>
        <v>-40517.25</v>
      </c>
      <c r="AT15" s="741">
        <f t="shared" si="11"/>
        <v>-40517.25</v>
      </c>
      <c r="AU15" s="741">
        <f t="shared" si="11"/>
        <v>-40517.25</v>
      </c>
      <c r="AV15" s="741">
        <f t="shared" si="11"/>
        <v>-40517.25</v>
      </c>
      <c r="AW15" s="741">
        <f t="shared" si="11"/>
        <v>-40517.25</v>
      </c>
      <c r="AX15" s="741">
        <f t="shared" si="11"/>
        <v>-40517.25</v>
      </c>
      <c r="AY15" s="741">
        <f t="shared" si="11"/>
        <v>-40517.25</v>
      </c>
      <c r="AZ15" s="741">
        <f t="shared" si="11"/>
        <v>-40517.25</v>
      </c>
      <c r="BB15" s="748">
        <f t="shared" si="5"/>
        <v>2747655.05</v>
      </c>
      <c r="BC15" s="752"/>
    </row>
    <row r="16" spans="1:55" ht="26.15" customHeight="1">
      <c r="B16" s="542">
        <v>628</v>
      </c>
      <c r="C16" s="446" t="s">
        <v>86</v>
      </c>
      <c r="D16" s="610"/>
      <c r="E16" s="446" t="s">
        <v>137</v>
      </c>
      <c r="F16" s="577"/>
      <c r="G16" s="475">
        <f>-1128760.27-G13</f>
        <v>-873766.52</v>
      </c>
      <c r="H16" s="578">
        <f>G16/G7</f>
        <v>-0.14087903703357138</v>
      </c>
      <c r="J16" s="495">
        <f>-SUMIF($AO$7:$AZ$7,$G$6,AO16:AZ16)</f>
        <v>0</v>
      </c>
      <c r="K16" s="532" t="str">
        <f t="shared" si="6"/>
        <v/>
      </c>
      <c r="L16" s="431"/>
      <c r="M16" s="579">
        <f>AG16/3</f>
        <v>-851656.01666666672</v>
      </c>
      <c r="N16" s="517">
        <f t="shared" si="1"/>
        <v>2.5961776704017839E-2</v>
      </c>
      <c r="O16" s="580"/>
      <c r="P16" s="612" t="s">
        <v>6</v>
      </c>
      <c r="Q16" s="582" t="e">
        <f>+#REF!+'31 dec 2016 BIOLAM'!AT13+'31 dec 2016 BIOLAM'!AT14+'31 dec 2016 BIOLAM'!AT15</f>
        <v>#REF!</v>
      </c>
      <c r="R16" s="583" t="e">
        <f>Q16/Q$7</f>
        <v>#REF!</v>
      </c>
      <c r="S16" s="582" t="e">
        <f>+'31 dec 2016 BIOLAM'!AV13+#REF!+'31 dec 2016 BIOLAM'!AV14+'31 dec 2016 BIOLAM'!AV15</f>
        <v>#REF!</v>
      </c>
      <c r="T16" s="583" t="e">
        <f>S16/S$7</f>
        <v>#REF!</v>
      </c>
      <c r="U16" s="582" t="e">
        <f>+'31 dec 2016 BIOLAM'!AX13+#REF!+'31 dec 2016 BIOLAM'!AX14+'31 dec 2016 BIOLAM'!AX15</f>
        <v>#REF!</v>
      </c>
      <c r="V16" s="583" t="e">
        <f>U16/U$7</f>
        <v>#REF!</v>
      </c>
      <c r="W16" s="582" t="e">
        <f>+'31 dec 2016 BIOLAM'!AZ13+#REF!+'31 dec 2016 BIOLAM'!AZ14+'31 dec 2016 BIOLAM'!AZ15</f>
        <v>#REF!</v>
      </c>
      <c r="X16" s="583" t="e">
        <f>W16/W$7</f>
        <v>#REF!</v>
      </c>
      <c r="Y16" s="582" t="e">
        <f>+W16+U16+S16+Q16</f>
        <v>#REF!</v>
      </c>
      <c r="Z16" s="583" t="e">
        <f>Y16/Y$7</f>
        <v>#REF!</v>
      </c>
      <c r="AA16" s="584" t="e">
        <f>+G16-Y16</f>
        <v>#REF!</v>
      </c>
      <c r="AB16" s="475">
        <f>-3481297.38-AB13-AB18</f>
        <v>-2710746.52</v>
      </c>
      <c r="AC16" s="578">
        <f>AB16/AB7</f>
        <v>-0.1518775127552538</v>
      </c>
      <c r="AD16" s="495">
        <f>-SUMIF($AO$7:$AZ$7,"&lt;="&amp;$AC$6,AO16:AZ16)</f>
        <v>0</v>
      </c>
      <c r="AE16" s="517" t="str">
        <f t="shared" si="3"/>
        <v/>
      </c>
      <c r="AG16" s="579">
        <f>-1432637.94-1150770.47-AG18</f>
        <v>-2554968.0500000003</v>
      </c>
      <c r="AH16" s="517">
        <f t="shared" si="4"/>
        <v>6.0970809400140921E-2</v>
      </c>
      <c r="AL16" s="435">
        <v>42674</v>
      </c>
      <c r="AM16" s="446" t="s">
        <v>137</v>
      </c>
      <c r="AN16" s="747"/>
      <c r="AO16" s="431">
        <f>IF($AO$7=$AL$7,'[4]1 trim 2016 BIOGROUP'!$Z$13/3,IF($AO$7=$AL$8,'[4]1 trim 2016 BIOGROUP'!$Z$13/3,IF($AO$7=$AL$9,'[4]1 trim 2016 BIOGROUP'!$Z$13/3,IF($AO$7=$AL$10,'[4]2 trim 2016 BIOGROUP'!$Z$13/3,IF($AO$7=$AL$11,'[4]2 trim 2016 BIOGROUP'!$Z$13/3,IF($AO$7=$AL$12,'[4]2 trim 2016 BIOGROUP'!$Z$13/3,""))))))</f>
        <v>40517.25</v>
      </c>
      <c r="AP16" s="431">
        <f>IF($AP$7=$AL$7,'[4]1 trim 2016 BIOGROUP'!$Z$13/3,IF($AP$7=$AL$8,'[4]1 trim 2016 BIOGROUP'!$Z$13/3,IF($AP$7=$AL$9,'[4]1 trim 2016 BIOGROUP'!$Z$13/3,IF($AP$7=$AL$10,'[4]2 trim 2016 BIOGROUP'!$Z$13/3,IF($AP$7=$AL$11,'[4]2 trim 2016 BIOGROUP'!$Z$13/3,IF($AP$7=$AL$12,'[4]2 trim 2016 BIOGROUP'!$Z$13/3,""))))))</f>
        <v>40517.25</v>
      </c>
      <c r="AQ16" s="431">
        <f>IF($AQ$7=$AL$7,'[4]1 trim 2016 BIOGROUP'!$Z$13/3,IF($AQ$7=$AL$8,'[4]1 trim 2016 BIOGROUP'!$Z$13/3,IF($AQ$7=$AL$9,'[4]1 trim 2016 BIOGROUP'!$Z$13/3,IF($AQ$7=$AL$10,'[4]2 trim 2016 BIOGROUP'!$Z$13/3,IF($AQ$7=$AL$11,'[4]2 trim 2016 BIOGROUP'!$Z$13/3,IF($AQ$7=$AL$12,'[4]2 trim 2016 BIOGROUP'!$Z$13/3,""))))))</f>
        <v>40517.25</v>
      </c>
      <c r="AR16" s="431">
        <f>IF($AR$7=$AL$7,'[4]1 trim 2016 BIOGROUP'!$Z$13/3,IF($AR$7=$AL$8,'[4]1 trim 2016 BIOGROUP'!$Z$13/3,IF($AR$7=$AL$9,'[4]1 trim 2016 BIOGROUP'!$Z$13/3,IF($AR$7=$AL$10,'[4]2 trim 2016 BIOGROUP'!$Z$13/3,IF($AR$7=$AL$11,'[4]2 trim 2016 BIOGROUP'!$Z$13/3,IF($AR$7=$AL$12,'[4]2 trim 2016 BIOGROUP'!$Z$13/3,""))))))</f>
        <v>40517.25</v>
      </c>
      <c r="AS16" s="431">
        <f>IF($AS$7=$AL$7,'[4]1 trim 2016 BIOGROUP'!$Z$13/3,IF($AS$7=$AL$8,'[4]1 trim 2016 BIOGROUP'!$Z$13/3,IF($AS$7=$AL$9,'[4]1 trim 2016 BIOGROUP'!$Z$13/3,IF($AS$7=$AL$10,'[4]2 trim 2016 BIOGROUP'!$Z$13/3,IF($AS$7=$AL$11,'[4]2 trim 2016 BIOGROUP'!$Z$13/3,IF($AS$7=$AL$12,'[4]2 trim 2016 BIOGROUP'!$Z$13/3,""))))))</f>
        <v>40517.25</v>
      </c>
      <c r="AT16" s="431">
        <f>IF($AT$7=$AL$7,'[4]1 trim 2016 BIOGROUP'!$Z$13/3,IF($AT$7=$AL$8,'[4]1 trim 2016 BIOGROUP'!$Z$13/3,IF($AT$7=$AL$9,'[4]1 trim 2016 BIOGROUP'!$Z$13/3,IF($AT$7=$AL$10,'[4]2 trim 2016 BIOGROUP'!$Z$13/3,IF($AT$7=$AL$11,'[4]2 trim 2016 BIOGROUP'!$Z$13/3,IF($AT$7=$AL$12,'[4]2 trim 2016 BIOGROUP'!$Z$13/3,""))))))</f>
        <v>40517.25</v>
      </c>
      <c r="AU16" s="431">
        <f>IF($AU$7=$AL$13,'[4]3 trim 2016 BIOGROUP'!$Z$13/3,IF($AU$7=$AL$14,'[4]3 trim 2016 BIOGROUP'!$Z$13/3,IF($AU$7=$AL$15,'[4]3 trim 2016 BIOGROUP'!$Z$13/3,IF($AU$7=$AL$16,'[4]4 trim 2016 BIOGROUP'!$Z$13/3,IF($AU$7=$AL$18,'[4]4 trim 2016 BIOGROUP'!$Z$13/3,IF($AU$7=$AL$19,'[4]4 trim 2016 BIOGROUP'!$Z$13/3,""))))))</f>
        <v>40517.25</v>
      </c>
      <c r="AV16" s="431">
        <f>IF($AV$7=$AL$13,'[4]3 trim 2016 BIOGROUP'!$Z$13/3,IF($AV$7=$AL$14,'[4]3 trim 2016 BIOGROUP'!$Z$13/3,IF($AV$7=$AL$15,'[4]3 trim 2016 BIOGROUP'!$Z$13/3,IF($AV$7=$AL$16,'[4]4 trim 2016 BIOGROUP'!$Z$13/3,IF($AV$7=$AL$18,'[4]4 trim 2016 BIOGROUP'!$Z$13/3,IF($AV$7=$AL$19,'[4]4 trim 2016 BIOGROUP'!$Z$13/3,""))))))</f>
        <v>40517.25</v>
      </c>
      <c r="AW16" s="431">
        <f>IF($AW$7=$AL$13,'[4]3 trim 2016 BIOGROUP'!$Z$13/3,IF($AW$7=$AL$14,'[4]3 trim 2016 BIOGROUP'!$Z$13/3,IF($AW$7=$AL$15,'[4]3 trim 2016 BIOGROUP'!$Z$13/3,IF($AW$7=$AL$16,'[4]4 trim 2016 BIOGROUP'!$Z$13/3,IF($AW$7=$AL$18,'[4]4 trim 2016 BIOGROUP'!$Z$13/3,IF($AW$7=$AL$19,'[4]4 trim 2016 BIOGROUP'!$Z$13/3,""))))))</f>
        <v>40517.25</v>
      </c>
      <c r="AX16" s="431">
        <f>IF($AX$7=$AL$13,'[4]3 trim 2016 BIOGROUP'!$Z$13/3,IF($AX$7=$AL$14,'[4]3 trim 2016 BIOGROUP'!$Z$13/3,IF($AX$7=$AL$15,'[4]3 trim 2016 BIOGROUP'!$Z$13/3,IF($AX$7=$AL$16,'[4]4 trim 2016 BIOGROUP'!$Z$13/3,IF($AX$7=$AL$18,'[4]4 trim 2016 BIOGROUP'!$Z$13/3,IF($AX$7=$AL$19,'[4]4 trim 2016 BIOGROUP'!$Z$13/3,""))))))</f>
        <v>40517.25</v>
      </c>
      <c r="AY16" s="431">
        <f>IF($AY$7=$AL$13,'[4]3 trim 2016 BIOGROUP'!$Z$13/3,IF($AY$7=$AL$14,'[4]3 trim 2016 BIOGROUP'!$Z$13/3,IF($AY$7=$AL$15,'[4]3 trim 2016 BIOGROUP'!$Z$13/3,IF($AY$7=$AL$16,'[4]4 trim 2016 BIOGROUP'!$Z$13/3,IF($AY$7=$AL$18,'[4]4 trim 2016 BIOGROUP'!$Z$13/3,IF($AY$7=$AL$19,'[4]4 trim 2016 BIOGROUP'!$Z$13/3,""))))))</f>
        <v>40517.25</v>
      </c>
      <c r="AZ16" s="431">
        <f>IF($AZ$7=$AL$13,'[4]3 trim 2016 BIOGROUP'!$Z$13/3,IF($AZ$7=$AL$14,'[4]3 trim 2016 BIOGROUP'!$Z$13/3,IF($AZ$7=$AL$15,'[4]3 trim 2016 BIOGROUP'!$Z$13/3,IF($AZ$7=$AL$16,'[4]4 trim 2016 BIOGROUP'!$Z$13/3,IF($AZ$7=$AL$18,'[4]4 trim 2016 BIOGROUP'!$Z$13/3,IF($AZ$7=$AL$19,'[4]4 trim 2016 BIOGROUP'!$Z$13/3,""))))))</f>
        <v>40517.25</v>
      </c>
      <c r="BB16" s="511">
        <f t="shared" si="5"/>
        <v>2710746.52</v>
      </c>
      <c r="BC16" s="750"/>
    </row>
    <row r="17" spans="1:55" ht="26.15" hidden="1" customHeight="1">
      <c r="C17" s="446" t="s">
        <v>136</v>
      </c>
      <c r="D17" s="610"/>
      <c r="E17" s="446" t="s">
        <v>123</v>
      </c>
      <c r="F17" s="577"/>
      <c r="G17" s="475"/>
      <c r="H17" s="578"/>
      <c r="J17" s="495"/>
      <c r="K17" s="532" t="str">
        <f t="shared" si="6"/>
        <v/>
      </c>
      <c r="L17" s="431"/>
      <c r="M17" s="579"/>
      <c r="N17" s="517" t="str">
        <f t="shared" si="1"/>
        <v/>
      </c>
      <c r="O17" s="580"/>
      <c r="P17" s="612"/>
      <c r="Q17" s="582"/>
      <c r="R17" s="583"/>
      <c r="S17" s="582"/>
      <c r="T17" s="583"/>
      <c r="U17" s="582"/>
      <c r="V17" s="583"/>
      <c r="W17" s="582"/>
      <c r="X17" s="583"/>
      <c r="Y17" s="582"/>
      <c r="Z17" s="583"/>
      <c r="AA17" s="584"/>
      <c r="AB17" s="475"/>
      <c r="AC17" s="578"/>
      <c r="AD17" s="495"/>
      <c r="AE17" s="517" t="str">
        <f t="shared" si="3"/>
        <v/>
      </c>
      <c r="AG17" s="579"/>
      <c r="AH17" s="517" t="str">
        <f t="shared" si="4"/>
        <v/>
      </c>
      <c r="AL17" s="435"/>
      <c r="AM17" s="446" t="s">
        <v>123</v>
      </c>
      <c r="AN17" s="747"/>
      <c r="AO17" s="431">
        <f>IF($AO$7=$AL$7,'[4]1 trim 2016 BIOGROUP'!$Z$13/3,IF($AO$7=$AL$8,'[4]1 trim 2016 BIOGROUP'!$Z$13/3,IF($AO$7=$AL$9,'[4]1 trim 2016 BIOGROUP'!$Z$13/3,IF($AO$7=$AL$10,'[4]2 trim 2016 BIOGROUP'!$Z$13/3,IF($AO$7=$AL$11,'[4]2 trim 2016 BIOGROUP'!$Z$13/3,IF($AO$7=$AL$12,'[4]2 trim 2016 BIOGROUP'!$Z$13/3,""))))))</f>
        <v>40517.25</v>
      </c>
      <c r="AP17" s="431">
        <f>IF($AP$7=$AL$7,'[4]1 trim 2016 BIOGROUP'!$Z$13/3,IF($AP$7=$AL$8,'[4]1 trim 2016 BIOGROUP'!$Z$13/3,IF($AP$7=$AL$9,'[4]1 trim 2016 BIOGROUP'!$Z$13/3,IF($AP$7=$AL$10,'[4]2 trim 2016 BIOGROUP'!$Z$13/3,IF($AP$7=$AL$11,'[4]2 trim 2016 BIOGROUP'!$Z$13/3,IF($AP$7=$AL$12,'[4]2 trim 2016 BIOGROUP'!$Z$13/3,""))))))</f>
        <v>40517.25</v>
      </c>
      <c r="AQ17" s="431">
        <f>IF($AQ$7=$AL$7,'[4]1 trim 2016 BIOGROUP'!$Z$13/3,IF($AQ$7=$AL$8,'[4]1 trim 2016 BIOGROUP'!$Z$13/3,IF($AQ$7=$AL$9,'[4]1 trim 2016 BIOGROUP'!$Z$13/3,IF($AQ$7=$AL$10,'[4]2 trim 2016 BIOGROUP'!$Z$13/3,IF($AQ$7=$AL$11,'[4]2 trim 2016 BIOGROUP'!$Z$13/3,IF($AQ$7=$AL$12,'[4]2 trim 2016 BIOGROUP'!$Z$13/3,""))))))</f>
        <v>40517.25</v>
      </c>
      <c r="AR17" s="431">
        <f>IF($AR$7=$AL$7,'[4]1 trim 2016 BIOGROUP'!$Z$13/3,IF($AR$7=$AL$8,'[4]1 trim 2016 BIOGROUP'!$Z$13/3,IF($AR$7=$AL$9,'[4]1 trim 2016 BIOGROUP'!$Z$13/3,IF($AR$7=$AL$10,'[4]2 trim 2016 BIOGROUP'!$Z$13/3,IF($AR$7=$AL$11,'[4]2 trim 2016 BIOGROUP'!$Z$13/3,IF($AR$7=$AL$12,'[4]2 trim 2016 BIOGROUP'!$Z$13/3,""))))))</f>
        <v>40517.25</v>
      </c>
      <c r="AS17" s="431">
        <f>IF($AS$7=$AL$7,'[4]1 trim 2016 BIOGROUP'!$Z$13/3,IF($AS$7=$AL$8,'[4]1 trim 2016 BIOGROUP'!$Z$13/3,IF($AS$7=$AL$9,'[4]1 trim 2016 BIOGROUP'!$Z$13/3,IF($AS$7=$AL$10,'[4]2 trim 2016 BIOGROUP'!$Z$13/3,IF($AS$7=$AL$11,'[4]2 trim 2016 BIOGROUP'!$Z$13/3,IF($AS$7=$AL$12,'[4]2 trim 2016 BIOGROUP'!$Z$13/3,""))))))</f>
        <v>40517.25</v>
      </c>
      <c r="AT17" s="431">
        <f>IF($AT$7=$AL$7,'[4]1 trim 2016 BIOGROUP'!$Z$13/3,IF($AT$7=$AL$8,'[4]1 trim 2016 BIOGROUP'!$Z$13/3,IF($AT$7=$AL$9,'[4]1 trim 2016 BIOGROUP'!$Z$13/3,IF($AT$7=$AL$10,'[4]2 trim 2016 BIOGROUP'!$Z$13/3,IF($AT$7=$AL$11,'[4]2 trim 2016 BIOGROUP'!$Z$13/3,IF($AT$7=$AL$12,'[4]2 trim 2016 BIOGROUP'!$Z$13/3,""))))))</f>
        <v>40517.25</v>
      </c>
      <c r="AU17" s="431">
        <f>IF($AU$7=$AL$13,'[4]3 trim 2016 BIOGROUP'!$Z$13/3,IF($AU$7=$AL$14,'[4]3 trim 2016 BIOGROUP'!$Z$13/3,IF($AU$7=$AL$15,'[4]3 trim 2016 BIOGROUP'!$Z$13/3,IF($AU$7=$AL$16,'[4]4 trim 2016 BIOGROUP'!$Z$13/3,IF($AU$7=$AL$18,'[4]4 trim 2016 BIOGROUP'!$Z$13/3,IF($AU$7=$AL$19,'[4]4 trim 2016 BIOGROUP'!$Z$13/3,""))))))</f>
        <v>40517.25</v>
      </c>
      <c r="AV17" s="431">
        <f>IF($AV$7=$AL$13,'[4]3 trim 2016 BIOGROUP'!$Z$13/3,IF($AV$7=$AL$14,'[4]3 trim 2016 BIOGROUP'!$Z$13/3,IF($AV$7=$AL$15,'[4]3 trim 2016 BIOGROUP'!$Z$13/3,IF($AV$7=$AL$16,'[4]4 trim 2016 BIOGROUP'!$Z$13/3,IF($AV$7=$AL$18,'[4]4 trim 2016 BIOGROUP'!$Z$13/3,IF($AV$7=$AL$19,'[4]4 trim 2016 BIOGROUP'!$Z$13/3,""))))))</f>
        <v>40517.25</v>
      </c>
      <c r="AW17" s="431">
        <f>IF($AW$7=$AL$13,'[4]3 trim 2016 BIOGROUP'!$Z$13/3,IF($AW$7=$AL$14,'[4]3 trim 2016 BIOGROUP'!$Z$13/3,IF($AW$7=$AL$15,'[4]3 trim 2016 BIOGROUP'!$Z$13/3,IF($AW$7=$AL$16,'[4]4 trim 2016 BIOGROUP'!$Z$13/3,IF($AW$7=$AL$18,'[4]4 trim 2016 BIOGROUP'!$Z$13/3,IF($AW$7=$AL$19,'[4]4 trim 2016 BIOGROUP'!$Z$13/3,""))))))</f>
        <v>40517.25</v>
      </c>
      <c r="AX17" s="431">
        <f>IF($AX$7=$AL$13,'[4]3 trim 2016 BIOGROUP'!$Z$13/3,IF($AX$7=$AL$14,'[4]3 trim 2016 BIOGROUP'!$Z$13/3,IF($AX$7=$AL$15,'[4]3 trim 2016 BIOGROUP'!$Z$13/3,IF($AX$7=$AL$16,'[4]4 trim 2016 BIOGROUP'!$Z$13/3,IF($AX$7=$AL$18,'[4]4 trim 2016 BIOGROUP'!$Z$13/3,IF($AX$7=$AL$19,'[4]4 trim 2016 BIOGROUP'!$Z$13/3,""))))))</f>
        <v>40517.25</v>
      </c>
      <c r="AY17" s="431">
        <f>IF($AY$7=$AL$13,'[4]3 trim 2016 BIOGROUP'!$Z$13/3,IF($AY$7=$AL$14,'[4]3 trim 2016 BIOGROUP'!$Z$13/3,IF($AY$7=$AL$15,'[4]3 trim 2016 BIOGROUP'!$Z$13/3,IF($AY$7=$AL$16,'[4]4 trim 2016 BIOGROUP'!$Z$13/3,IF($AY$7=$AL$18,'[4]4 trim 2016 BIOGROUP'!$Z$13/3,IF($AY$7=$AL$19,'[4]4 trim 2016 BIOGROUP'!$Z$13/3,""))))))</f>
        <v>40517.25</v>
      </c>
      <c r="AZ17" s="431">
        <f>IF($AZ$7=$AL$13,'[4]3 trim 2016 BIOGROUP'!$Z$13/3,IF($AZ$7=$AL$14,'[4]3 trim 2016 BIOGROUP'!$Z$13/3,IF($AZ$7=$AL$15,'[4]3 trim 2016 BIOGROUP'!$Z$13/3,IF($AZ$7=$AL$16,'[4]4 trim 2016 BIOGROUP'!$Z$13/3,IF($AZ$7=$AL$18,'[4]4 trim 2016 BIOGROUP'!$Z$13/3,IF($AZ$7=$AL$19,'[4]4 trim 2016 BIOGROUP'!$Z$13/3,""))))))</f>
        <v>40517.25</v>
      </c>
      <c r="BB17" s="511">
        <f t="shared" si="5"/>
        <v>0</v>
      </c>
      <c r="BC17" s="750"/>
    </row>
    <row r="18" spans="1:55" ht="20.25" customHeight="1">
      <c r="C18" s="446" t="s">
        <v>156</v>
      </c>
      <c r="D18" s="610"/>
      <c r="E18" s="446" t="s">
        <v>155</v>
      </c>
      <c r="F18" s="577"/>
      <c r="G18" s="475">
        <v>0</v>
      </c>
      <c r="H18" s="578">
        <f>G18/G7</f>
        <v>0</v>
      </c>
      <c r="J18" s="499">
        <v>0</v>
      </c>
      <c r="K18" s="532" t="str">
        <f t="shared" si="6"/>
        <v/>
      </c>
      <c r="L18" s="431"/>
      <c r="M18" s="579">
        <f>AG18/3</f>
        <v>-9480.119999999999</v>
      </c>
      <c r="N18" s="517">
        <f t="shared" si="1"/>
        <v>-1</v>
      </c>
      <c r="O18" s="580"/>
      <c r="P18" s="612"/>
      <c r="Q18" s="582"/>
      <c r="R18" s="583"/>
      <c r="S18" s="582"/>
      <c r="T18" s="583"/>
      <c r="U18" s="582"/>
      <c r="V18" s="583"/>
      <c r="W18" s="582"/>
      <c r="X18" s="583"/>
      <c r="Y18" s="582"/>
      <c r="Z18" s="583"/>
      <c r="AA18" s="584"/>
      <c r="AB18" s="475">
        <f>-31988.96-4919.57</f>
        <v>-36908.53</v>
      </c>
      <c r="AC18" s="578">
        <f>AB18/AB7</f>
        <v>-2.0679084873832716E-3</v>
      </c>
      <c r="AD18" s="499">
        <v>0</v>
      </c>
      <c r="AE18" s="517" t="str">
        <f t="shared" si="3"/>
        <v/>
      </c>
      <c r="AG18" s="579">
        <f>-16844.51-3229.36-1241.57-5977.71-1147.21</f>
        <v>-28440.359999999997</v>
      </c>
      <c r="AH18" s="517">
        <f t="shared" si="4"/>
        <v>0.29775185686819727</v>
      </c>
      <c r="AL18" s="435">
        <v>42704</v>
      </c>
      <c r="AM18" s="446" t="s">
        <v>155</v>
      </c>
      <c r="AN18" s="747"/>
      <c r="BB18" s="511">
        <f t="shared" si="5"/>
        <v>36908.53</v>
      </c>
      <c r="BC18" s="750"/>
    </row>
    <row r="19" spans="1:55" ht="26.15" customHeight="1">
      <c r="C19" s="446" t="s">
        <v>60</v>
      </c>
      <c r="D19" s="613"/>
      <c r="E19" s="446" t="s">
        <v>60</v>
      </c>
      <c r="F19" s="577"/>
      <c r="G19" s="475">
        <v>0</v>
      </c>
      <c r="H19" s="578">
        <f>G19/G7</f>
        <v>0</v>
      </c>
      <c r="J19" s="499">
        <v>0</v>
      </c>
      <c r="K19" s="532" t="str">
        <f t="shared" si="6"/>
        <v/>
      </c>
      <c r="L19" s="431"/>
      <c r="M19" s="579">
        <v>0</v>
      </c>
      <c r="N19" s="517" t="str">
        <f t="shared" si="1"/>
        <v/>
      </c>
      <c r="O19" s="580"/>
      <c r="P19" s="614" t="s">
        <v>60</v>
      </c>
      <c r="Q19" s="582" t="e">
        <f>+#REF!</f>
        <v>#REF!</v>
      </c>
      <c r="R19" s="583" t="e">
        <f>Q19/Q$7</f>
        <v>#REF!</v>
      </c>
      <c r="S19" s="582" t="e">
        <f>+#REF!</f>
        <v>#REF!</v>
      </c>
      <c r="T19" s="583" t="e">
        <f>S19/S$7</f>
        <v>#REF!</v>
      </c>
      <c r="U19" s="582" t="e">
        <f>+#REF!</f>
        <v>#REF!</v>
      </c>
      <c r="V19" s="583" t="e">
        <f>U19/U$7</f>
        <v>#REF!</v>
      </c>
      <c r="W19" s="582" t="e">
        <f>+#REF!</f>
        <v>#REF!</v>
      </c>
      <c r="X19" s="583" t="e">
        <f>W19/W$7</f>
        <v>#REF!</v>
      </c>
      <c r="Y19" s="582" t="e">
        <f>+W19+U19+S19+Q19</f>
        <v>#REF!</v>
      </c>
      <c r="Z19" s="583" t="e">
        <f>Y19/Y$7</f>
        <v>#REF!</v>
      </c>
      <c r="AA19" s="584" t="e">
        <f t="shared" ref="AA19:AA27" si="12">+G19-Y19</f>
        <v>#REF!</v>
      </c>
      <c r="AB19" s="475">
        <v>0</v>
      </c>
      <c r="AC19" s="578">
        <f>AB19/AB7</f>
        <v>0</v>
      </c>
      <c r="AD19" s="499">
        <v>0</v>
      </c>
      <c r="AE19" s="517" t="str">
        <f t="shared" si="3"/>
        <v/>
      </c>
      <c r="AG19" s="579">
        <v>0</v>
      </c>
      <c r="AH19" s="517" t="str">
        <f t="shared" si="4"/>
        <v/>
      </c>
      <c r="AL19" s="435">
        <v>42735</v>
      </c>
      <c r="AM19" s="446" t="s">
        <v>60</v>
      </c>
      <c r="AN19" s="747"/>
      <c r="AO19" s="431">
        <f>IF($AO$7=$AL$7,'[4]1 trim 2016 BIOGROUP'!$Z$14/3,IF($AO$7=$AL$8,'[4]1 trim 2016 BIOGROUP'!$Z$14/3,IF($AO$7=$AL$9,'[4]1 trim 2016 BIOGROUP'!$Z$14/3,IF($AO$7=$AL$10,'[4]2 trim 2016 BIOGROUP'!$Z$14/3,IF($AO$7=$AL$11,'[4]2 trim 2016 BIOGROUP'!$Z$14/3,IF($AO$7=$AL$12,'[4]2 trim 2016 BIOGROUP'!$Z$14/3,""))))))</f>
        <v>0</v>
      </c>
      <c r="AP19" s="431">
        <f>IF($AP$7=$AL$7,'[4]1 trim 2016 BIOGROUP'!$Z$14/3,IF($AP$7=$AL$8,'[4]1 trim 2016 BIOGROUP'!$Z$14/3,IF($AP$7=$AL$9,'[4]1 trim 2016 BIOGROUP'!$Z$14/3,IF($AP$7=$AL$10,'[4]2 trim 2016 BIOGROUP'!$Z$14/3,IF($AP$7=$AL$11,'[4]2 trim 2016 BIOGROUP'!$Z$14/3,IF($AP$7=$AL$12,'[4]2 trim 2016 BIOGROUP'!$Z$14/3,""))))))</f>
        <v>0</v>
      </c>
      <c r="AQ19" s="431">
        <f>IF($AQ$7=$AL$7,'[4]1 trim 2016 BIOGROUP'!$Z$14/3,IF($AQ$7=$AL$8,'[4]1 trim 2016 BIOGROUP'!$Z$14/3,IF($AQ$7=$AL$9,'[4]1 trim 2016 BIOGROUP'!$Z$14/3,IF($AQ$7=$AL$10,'[4]2 trim 2016 BIOGROUP'!$Z$14/3,IF($AQ$7=$AL$11,'[4]2 trim 2016 BIOGROUP'!$Z$14/3,IF($AQ$7=$AL$12,'[4]2 trim 2016 BIOGROUP'!$Z$14/3,""))))))</f>
        <v>0</v>
      </c>
      <c r="AR19" s="431">
        <f>IF($AR$7=$AL$7,'[4]1 trim 2016 BIOGROUP'!$Z$14/3,IF($AR$7=$AL$8,'[4]1 trim 2016 BIOGROUP'!$Z$14/3,IF($AR$7=$AL$9,'[4]1 trim 2016 BIOGROUP'!$Z$14/3,IF($AR$7=$AL$10,'[4]2 trim 2016 BIOGROUP'!$Z$14/3,IF($AR$7=$AL$11,'[4]2 trim 2016 BIOGROUP'!$Z$14/3,IF($AR$7=$AL$12,'[4]2 trim 2016 BIOGROUP'!$Z$14/3,""))))))</f>
        <v>0</v>
      </c>
      <c r="AS19" s="431">
        <f>IF($AS$7=$AL$7,'[4]1 trim 2016 BIOGROUP'!$Z$14/3,IF($AS$7=$AL$8,'[4]1 trim 2016 BIOGROUP'!$Z$14/3,IF($AS$7=$AL$9,'[4]1 trim 2016 BIOGROUP'!$Z$14/3,IF($AS$7=$AL$10,'[4]2 trim 2016 BIOGROUP'!$Z$14/3,IF($AS$7=$AL$11,'[4]2 trim 2016 BIOGROUP'!$Z$14/3,IF($AS$7=$AL$12,'[4]2 trim 2016 BIOGROUP'!$Z$14/3,""))))))</f>
        <v>0</v>
      </c>
      <c r="AT19" s="431">
        <f>IF($AT$7=$AL$7,'[4]1 trim 2016 BIOGROUP'!$Z$14/3,IF($AT$7=$AL$8,'[4]1 trim 2016 BIOGROUP'!$Z$14/3,IF($AT$7=$AL$9,'[4]1 trim 2016 BIOGROUP'!$Z$14/3,IF($AT$7=$AL$10,'[4]2 trim 2016 BIOGROUP'!$Z$14/3,IF($AT$7=$AL$11,'[4]2 trim 2016 BIOGROUP'!$Z$14/3,IF($AT$7=$AL$12,'[4]2 trim 2016 BIOGROUP'!$Z$14/3,""))))))</f>
        <v>0</v>
      </c>
      <c r="AU19" s="431">
        <f>IF($AU$7=$AL$13,'[4]3 trim 2016 BIOGROUP'!$Z$14/3,IF($AU$7=$AL$14,'[4]3 trim 2016 BIOGROUP'!$Z$14/3,IF($AU$7=$AL$15,'[4]3 trim 2016 BIOGROUP'!$Z$14/3,IF($AU$7=$AL$16,'[4]4 trim 2016 BIOGROUP'!$Z$14/3,IF($AU$7=$AL$18,'[4]4 trim 2016 BIOGROUP'!$Z$14/3,IF($AU$7=$AL$19,'[4]4 trim 2016 BIOGROUP'!$Z$14/3,""))))))</f>
        <v>0</v>
      </c>
      <c r="AV19" s="431">
        <f>IF($AV$7=$AL$13,'[4]3 trim 2016 BIOGROUP'!$Z$14/3,IF($AV$7=$AL$14,'[4]3 trim 2016 BIOGROUP'!$Z$14/3,IF($AV$7=$AL$15,'[4]3 trim 2016 BIOGROUP'!$Z$14/3,IF($AV$7=$AL$16,'[4]4 trim 2016 BIOGROUP'!$Z$14/3,IF($AV$7=$AL$18,'[4]4 trim 2016 BIOGROUP'!$Z$14/3,IF($AV$7=$AL$19,'[4]4 trim 2016 BIOGROUP'!$Z$14/3,""))))))</f>
        <v>0</v>
      </c>
      <c r="AW19" s="431">
        <f>IF($AW$7=$AL$13,'[4]3 trim 2016 BIOGROUP'!$Z$14/3,IF($AW$7=$AL$14,'[4]3 trim 2016 BIOGROUP'!$Z$14/3,IF($AW$7=$AL$15,'[4]3 trim 2016 BIOGROUP'!$Z$14/3,IF($AW$7=$AL$16,'[4]4 trim 2016 BIOGROUP'!$Z$14/3,IF($AW$7=$AL$18,'[4]4 trim 2016 BIOGROUP'!$Z$14/3,IF($AW$7=$AL$19,'[4]4 trim 2016 BIOGROUP'!$Z$14/3,""))))))</f>
        <v>0</v>
      </c>
      <c r="AX19" s="431">
        <f>IF($AX$7=$AL$13,'[4]3 trim 2016 BIOGROUP'!$Z$14/3,IF($AX$7=$AL$14,'[4]3 trim 2016 BIOGROUP'!$Z$14/3,IF($AX$7=$AL$15,'[4]3 trim 2016 BIOGROUP'!$Z$14/3,IF($AX$7=$AL$16,'[4]4 trim 2016 BIOGROUP'!$Z$14/3,IF($AX$7=$AL$18,'[4]4 trim 2016 BIOGROUP'!$Z$14/3,IF($AX$7=$AL$19,'[4]4 trim 2016 BIOGROUP'!$Z$14/3,""))))))</f>
        <v>0</v>
      </c>
      <c r="AY19" s="431">
        <f>IF($AY$7=$AL$13,'[4]3 trim 2016 BIOGROUP'!$Z$14/3,IF($AY$7=$AL$14,'[4]3 trim 2016 BIOGROUP'!$Z$14/3,IF($AY$7=$AL$15,'[4]3 trim 2016 BIOGROUP'!$Z$14/3,IF($AY$7=$AL$16,'[4]4 trim 2016 BIOGROUP'!$Z$14/3,IF($AY$7=$AL$18,'[4]4 trim 2016 BIOGROUP'!$Z$14/3,IF($AY$7=$AL$19,'[4]4 trim 2016 BIOGROUP'!$Z$14/3,""))))))</f>
        <v>0</v>
      </c>
      <c r="AZ19" s="431">
        <f>IF($AZ$7=$AL$13,'[4]3 trim 2016 BIOGROUP'!$Z$14/3,IF($AZ$7=$AL$14,'[4]3 trim 2016 BIOGROUP'!$Z$14/3,IF($AZ$7=$AL$15,'[4]3 trim 2016 BIOGROUP'!$Z$14/3,IF($AZ$7=$AL$16,'[4]4 trim 2016 BIOGROUP'!$Z$14/3,IF($AZ$7=$AL$18,'[4]4 trim 2016 BIOGROUP'!$Z$14/3,IF($AZ$7=$AL$19,'[4]4 trim 2016 BIOGROUP'!$Z$14/3,""))))))</f>
        <v>0</v>
      </c>
      <c r="BB19" s="511">
        <f t="shared" si="5"/>
        <v>0</v>
      </c>
      <c r="BC19" s="750"/>
    </row>
    <row r="20" spans="1:55" ht="26.15" customHeight="1">
      <c r="B20" s="542">
        <v>624</v>
      </c>
      <c r="C20" s="440" t="s">
        <v>90</v>
      </c>
      <c r="D20" s="610"/>
      <c r="E20" s="440" t="s">
        <v>91</v>
      </c>
      <c r="F20" s="577"/>
      <c r="G20" s="475">
        <v>0</v>
      </c>
      <c r="H20" s="578">
        <f>G20/G7</f>
        <v>0</v>
      </c>
      <c r="J20" s="499">
        <v>0</v>
      </c>
      <c r="K20" s="532" t="str">
        <f t="shared" si="6"/>
        <v/>
      </c>
      <c r="L20" s="431"/>
      <c r="M20" s="579">
        <v>0</v>
      </c>
      <c r="N20" s="517" t="str">
        <f t="shared" si="1"/>
        <v/>
      </c>
      <c r="O20" s="580"/>
      <c r="P20" s="602"/>
      <c r="Q20" s="582" t="e">
        <f>+#REF!</f>
        <v>#REF!</v>
      </c>
      <c r="R20" s="583" t="e">
        <f>Q20/Q$7</f>
        <v>#REF!</v>
      </c>
      <c r="S20" s="582" t="e">
        <f>+#REF!</f>
        <v>#REF!</v>
      </c>
      <c r="T20" s="583" t="e">
        <f>S20/S$7</f>
        <v>#REF!</v>
      </c>
      <c r="U20" s="582" t="e">
        <f>+#REF!</f>
        <v>#REF!</v>
      </c>
      <c r="V20" s="583" t="e">
        <f>U20/U$7</f>
        <v>#REF!</v>
      </c>
      <c r="W20" s="582" t="e">
        <f>+#REF!</f>
        <v>#REF!</v>
      </c>
      <c r="X20" s="583" t="e">
        <f>W20/W$7</f>
        <v>#REF!</v>
      </c>
      <c r="Y20" s="582" t="e">
        <f>+W20+U20+S20+Q20</f>
        <v>#REF!</v>
      </c>
      <c r="Z20" s="583" t="e">
        <f>Y20/Y$7</f>
        <v>#REF!</v>
      </c>
      <c r="AA20" s="584" t="e">
        <f t="shared" si="12"/>
        <v>#REF!</v>
      </c>
      <c r="AB20" s="475">
        <v>0</v>
      </c>
      <c r="AC20" s="578">
        <f>AB20/AB7</f>
        <v>0</v>
      </c>
      <c r="AD20" s="499">
        <v>0</v>
      </c>
      <c r="AE20" s="517" t="str">
        <f t="shared" si="3"/>
        <v/>
      </c>
      <c r="AG20" s="579">
        <v>0</v>
      </c>
      <c r="AH20" s="517" t="str">
        <f t="shared" si="4"/>
        <v/>
      </c>
      <c r="AL20" s="435"/>
      <c r="AM20" s="440" t="s">
        <v>91</v>
      </c>
      <c r="AN20" s="747"/>
      <c r="BB20" s="511">
        <f t="shared" si="5"/>
        <v>0</v>
      </c>
      <c r="BC20" s="750"/>
    </row>
    <row r="21" spans="1:55" ht="26.15" customHeight="1">
      <c r="C21" s="445" t="s">
        <v>88</v>
      </c>
      <c r="D21" s="555"/>
      <c r="E21" s="445" t="s">
        <v>7</v>
      </c>
      <c r="F21" s="577"/>
      <c r="G21" s="478">
        <f>SUM(G22:G22)</f>
        <v>-260652.17</v>
      </c>
      <c r="H21" s="591">
        <f>G21/G7</f>
        <v>-4.2025444864047599E-2</v>
      </c>
      <c r="J21" s="500">
        <f>SUM(J22:J22)</f>
        <v>0</v>
      </c>
      <c r="K21" s="533" t="str">
        <f t="shared" si="6"/>
        <v/>
      </c>
      <c r="L21" s="431"/>
      <c r="M21" s="500">
        <f>SUM(M22)</f>
        <v>-196930.40333333332</v>
      </c>
      <c r="N21" s="518">
        <f t="shared" si="1"/>
        <v>0.32357505792951807</v>
      </c>
      <c r="O21" s="580"/>
      <c r="P21" s="611" t="s">
        <v>7</v>
      </c>
      <c r="Q21" s="594" t="e">
        <f t="shared" ref="Q21:Z21" si="13">SUM(Q22:Q22)</f>
        <v>#REF!</v>
      </c>
      <c r="R21" s="595" t="e">
        <f t="shared" si="13"/>
        <v>#REF!</v>
      </c>
      <c r="S21" s="594" t="e">
        <f t="shared" si="13"/>
        <v>#REF!</v>
      </c>
      <c r="T21" s="595" t="e">
        <f t="shared" si="13"/>
        <v>#REF!</v>
      </c>
      <c r="U21" s="594" t="e">
        <f t="shared" si="13"/>
        <v>#REF!</v>
      </c>
      <c r="V21" s="595" t="e">
        <f t="shared" si="13"/>
        <v>#REF!</v>
      </c>
      <c r="W21" s="594" t="e">
        <f t="shared" si="13"/>
        <v>#REF!</v>
      </c>
      <c r="X21" s="595" t="e">
        <f t="shared" si="13"/>
        <v>#REF!</v>
      </c>
      <c r="Y21" s="594" t="e">
        <f t="shared" si="13"/>
        <v>#REF!</v>
      </c>
      <c r="Z21" s="595" t="e">
        <f t="shared" si="13"/>
        <v>#REF!</v>
      </c>
      <c r="AA21" s="584" t="e">
        <f t="shared" si="12"/>
        <v>#REF!</v>
      </c>
      <c r="AB21" s="478">
        <f>SUM(AB22:AB22)</f>
        <v>-643245.75</v>
      </c>
      <c r="AC21" s="591">
        <f>AB21/AB7</f>
        <v>-3.6039727019694857E-2</v>
      </c>
      <c r="AD21" s="500">
        <f>SUM(AD22:AD22)</f>
        <v>0</v>
      </c>
      <c r="AE21" s="518" t="str">
        <f t="shared" si="3"/>
        <v/>
      </c>
      <c r="AG21" s="500">
        <f>SUM(AG22)</f>
        <v>-590791.21</v>
      </c>
      <c r="AH21" s="518">
        <f t="shared" si="4"/>
        <v>8.8786933712165492E-2</v>
      </c>
      <c r="AJ21" s="615"/>
      <c r="AL21" s="435"/>
      <c r="AM21" s="445" t="s">
        <v>7</v>
      </c>
      <c r="AN21" s="747"/>
      <c r="AO21" s="741">
        <f>-SUM(AO22:AO22)</f>
        <v>-11964.166666666666</v>
      </c>
      <c r="AP21" s="741">
        <f t="shared" ref="AP21:AZ21" si="14">-SUM(AP22:AP22)</f>
        <v>-11964.166666666666</v>
      </c>
      <c r="AQ21" s="741">
        <f t="shared" si="14"/>
        <v>-11964.166666666666</v>
      </c>
      <c r="AR21" s="741">
        <f t="shared" si="14"/>
        <v>-11964.166666666666</v>
      </c>
      <c r="AS21" s="741">
        <f t="shared" si="14"/>
        <v>-11964.166666666666</v>
      </c>
      <c r="AT21" s="741">
        <f t="shared" si="14"/>
        <v>-11964.166666666666</v>
      </c>
      <c r="AU21" s="741">
        <f t="shared" si="14"/>
        <v>-11964.166666666666</v>
      </c>
      <c r="AV21" s="741">
        <f t="shared" si="14"/>
        <v>-11964.166666666666</v>
      </c>
      <c r="AW21" s="741">
        <f t="shared" si="14"/>
        <v>-11964.166666666666</v>
      </c>
      <c r="AX21" s="741">
        <f t="shared" si="14"/>
        <v>-11964.166666666666</v>
      </c>
      <c r="AY21" s="741">
        <f t="shared" si="14"/>
        <v>-11964.166666666666</v>
      </c>
      <c r="AZ21" s="741">
        <f t="shared" si="14"/>
        <v>-11964.166666666666</v>
      </c>
      <c r="BB21" s="748">
        <f t="shared" si="5"/>
        <v>643245.75</v>
      </c>
      <c r="BC21" s="752"/>
    </row>
    <row r="22" spans="1:55" ht="26.15" customHeight="1">
      <c r="B22" s="542">
        <v>63</v>
      </c>
      <c r="C22" s="447" t="s">
        <v>88</v>
      </c>
      <c r="D22" s="551"/>
      <c r="E22" s="447" t="s">
        <v>8</v>
      </c>
      <c r="F22" s="577"/>
      <c r="G22" s="475">
        <v>-260652.17</v>
      </c>
      <c r="H22" s="578">
        <f>G22/G7</f>
        <v>-4.2025444864047599E-2</v>
      </c>
      <c r="J22" s="495">
        <f>-SUMIF($AO$7:$AZ$7,$G$6,AO22:AZ22)</f>
        <v>0</v>
      </c>
      <c r="K22" s="532" t="str">
        <f t="shared" si="6"/>
        <v/>
      </c>
      <c r="L22" s="431"/>
      <c r="M22" s="579">
        <f>AG22/3</f>
        <v>-196930.40333333332</v>
      </c>
      <c r="N22" s="517">
        <f t="shared" si="1"/>
        <v>0.32357505792951807</v>
      </c>
      <c r="O22" s="580"/>
      <c r="P22" s="616" t="s">
        <v>8</v>
      </c>
      <c r="Q22" s="582" t="e">
        <f>+#REF!+'31 dec 2016 BIOLAM'!AT18+'31 dec 2016 BIOLAM'!AT19+'31 dec 2016 BIOLAM'!AT20</f>
        <v>#REF!</v>
      </c>
      <c r="R22" s="583" t="e">
        <f>Q22/Q$7</f>
        <v>#REF!</v>
      </c>
      <c r="S22" s="582" t="e">
        <f>+'31 dec 2016 BIOLAM'!AV18+#REF!+'31 dec 2016 BIOLAM'!AV19+'31 dec 2016 BIOLAM'!AV20</f>
        <v>#REF!</v>
      </c>
      <c r="T22" s="583" t="e">
        <f>S22/S$7</f>
        <v>#REF!</v>
      </c>
      <c r="U22" s="582" t="e">
        <f>+'31 dec 2016 BIOLAM'!AX18+#REF!+'31 dec 2016 BIOLAM'!AX19+'31 dec 2016 BIOLAM'!AX20</f>
        <v>#REF!</v>
      </c>
      <c r="V22" s="583" t="e">
        <f>U22/U$7</f>
        <v>#REF!</v>
      </c>
      <c r="W22" s="582" t="e">
        <f>+'31 dec 2016 BIOLAM'!AZ18+#REF!+'31 dec 2016 BIOLAM'!AZ19+'31 dec 2016 BIOLAM'!AZ20</f>
        <v>#REF!</v>
      </c>
      <c r="X22" s="583" t="e">
        <f>W22/W$7</f>
        <v>#REF!</v>
      </c>
      <c r="Y22" s="582" t="e">
        <f>+W22+U22+S22+Q22</f>
        <v>#REF!</v>
      </c>
      <c r="Z22" s="583" t="e">
        <f>Y22/Y$7</f>
        <v>#REF!</v>
      </c>
      <c r="AA22" s="584" t="e">
        <f t="shared" si="12"/>
        <v>#REF!</v>
      </c>
      <c r="AB22" s="475">
        <v>-643245.75</v>
      </c>
      <c r="AC22" s="578">
        <f>AB22/AB7</f>
        <v>-3.6039727019694857E-2</v>
      </c>
      <c r="AD22" s="495">
        <f>-SUMIF($AO$7:$AZ$7,"&lt;="&amp;$AC$6,AO22:AZ22)</f>
        <v>0</v>
      </c>
      <c r="AE22" s="517" t="str">
        <f t="shared" si="3"/>
        <v/>
      </c>
      <c r="AG22" s="579">
        <f>-338114.77-252676.44</f>
        <v>-590791.21</v>
      </c>
      <c r="AH22" s="517">
        <f t="shared" si="4"/>
        <v>8.8786933712165492E-2</v>
      </c>
      <c r="AL22" s="435"/>
      <c r="AM22" s="447" t="s">
        <v>8</v>
      </c>
      <c r="AN22" s="747"/>
      <c r="AO22" s="431">
        <f>IF($AO$7=$AL$7,'[4]1 trim 2016 BIOGROUP'!$Z$18/3,IF($AO$7=$AL$8,'[4]1 trim 2016 BIOGROUP'!$Z$18/3,IF($AO$7=$AL$9,'[4]1 trim 2016 BIOGROUP'!$Z$18/3,IF($AO$7=$AL$10,'[4]2 trim 2016 BIOGROUP'!$Z$18/3,IF($AO$7=$AL$11,'[4]2 trim 2016 BIOGROUP'!$Z$18/3,IF($AO$7=$AL$12,'[4]2 trim 2016 BIOGROUP'!$Z$18/3,""))))))</f>
        <v>11964.166666666666</v>
      </c>
      <c r="AP22" s="431">
        <f>IF($AP$7=$AL$7,'[4]1 trim 2016 BIOGROUP'!$Z$18/3,IF($AP$7=$AL$8,'[4]1 trim 2016 BIOGROUP'!$Z$18/3,IF($AP$7=$AL$9,'[4]1 trim 2016 BIOGROUP'!$Z$18/3,IF($AP$7=$AL$10,'[4]2 trim 2016 BIOGROUP'!$Z$18/3,IF($AP$7=$AL$11,'[4]2 trim 2016 BIOGROUP'!$Z$18/3,IF($AP$7=$AL$12,'[4]2 trim 2016 BIOGROUP'!$Z$18/3,""))))))</f>
        <v>11964.166666666666</v>
      </c>
      <c r="AQ22" s="431">
        <f>IF($AQ$7=$AL$7,'[4]1 trim 2016 BIOGROUP'!$Z$18/3,IF($AQ$7=$AL$8,'[4]1 trim 2016 BIOGROUP'!$Z$18/3,IF($AQ$7=$AL$9,'[4]1 trim 2016 BIOGROUP'!$Z$18/3,IF($AQ$7=$AL$10,'[4]2 trim 2016 BIOGROUP'!$Z$18/3,IF($AQ$7=$AL$11,'[4]2 trim 2016 BIOGROUP'!$Z$18/3,IF($AQ$7=$AL$12,'[4]2 trim 2016 BIOGROUP'!$Z$18/3,""))))))</f>
        <v>11964.166666666666</v>
      </c>
      <c r="AR22" s="431">
        <f>IF($AR$7=$AL$7,'[4]1 trim 2016 BIOGROUP'!$Z$18/3,IF($AR$7=$AL$8,'[4]1 trim 2016 BIOGROUP'!$Z$18/3,IF($AR$7=$AL$9,'[4]1 trim 2016 BIOGROUP'!$Z$18/3,IF($AR$7=$AL$10,'[4]2 trim 2016 BIOGROUP'!$Z$18/3,IF($AR$7=$AL$11,'[4]2 trim 2016 BIOGROUP'!$Z$18/3,IF($AR$7=$AL$12,'[4]2 trim 2016 BIOGROUP'!$Z$18/3,""))))))</f>
        <v>11964.166666666666</v>
      </c>
      <c r="AS22" s="431">
        <f>IF($AS$7=$AL$7,'[4]1 trim 2016 BIOGROUP'!$Z$18/3,IF($AS$7=$AL$8,'[4]1 trim 2016 BIOGROUP'!$Z$18/3,IF($AS$7=$AL$9,'[4]1 trim 2016 BIOGROUP'!$Z$18/3,IF($AS$7=$AL$10,'[4]2 trim 2016 BIOGROUP'!$Z$18/3,IF($AS$7=$AL$11,'[4]2 trim 2016 BIOGROUP'!$Z$18/3,IF($AS$7=$AL$12,'[4]2 trim 2016 BIOGROUP'!$Z$18/3,""))))))</f>
        <v>11964.166666666666</v>
      </c>
      <c r="AT22" s="431">
        <f>IF($AT$7=$AL$7,'[4]1 trim 2016 BIOGROUP'!$Z$18/3,IF($AT$7=$AL$8,'[4]1 trim 2016 BIOGROUP'!$Z$18/3,IF($AT$7=$AL$9,'[4]1 trim 2016 BIOGROUP'!$Z$18/3,IF($AT$7=$AL$10,'[4]2 trim 2016 BIOGROUP'!$Z$18/3,IF($AT$7=$AL$11,'[4]2 trim 2016 BIOGROUP'!$Z$18/3,IF($AT$7=$AL$12,'[4]2 trim 2016 BIOGROUP'!$Z$18/3,""))))))</f>
        <v>11964.166666666666</v>
      </c>
      <c r="AU22" s="431">
        <f>IF($AU$7=$AL$13,'[4]3 trim 2016 BIOGROUP'!$Z$18/3,IF($AU$7=$AL$14,'[4]3 trim 2016 BIOGROUP'!$Z$18/3,IF($AU$7=$AL$15,'[4]3 trim 2016 BIOGROUP'!$Z$18/3,IF($AU$7=$AL$16,'[4]4 trim 2016 BIOGROUP'!$Z$18/3,IF($AU$7=$AL$18,'[4]4 trim 2016 BIOGROUP'!$Z$18/3,IF($AU$7=$AL$19,'[4]4 trim 2016 BIOGROUP'!$Z$18/3,""))))))</f>
        <v>11964.166666666666</v>
      </c>
      <c r="AV22" s="431">
        <f>IF($AV$7=$AL$13,'[4]3 trim 2016 BIOGROUP'!$Z$18/3,IF($AV$7=$AL$14,'[4]3 trim 2016 BIOGROUP'!$Z$18/3,IF($AV$7=$AL$15,'[4]3 trim 2016 BIOGROUP'!$Z$18/3,IF($AV$7=$AL$16,'[4]4 trim 2016 BIOGROUP'!$Z$18/3,IF($AV$7=$AL$18,'[4]4 trim 2016 BIOGROUP'!$Z$18/3,IF($AV$7=$AL$19,'[4]4 trim 2016 BIOGROUP'!$Z$18/3,""))))))</f>
        <v>11964.166666666666</v>
      </c>
      <c r="AW22" s="431">
        <f>IF($AW$7=$AL$13,'[4]3 trim 2016 BIOGROUP'!$Z$18/3,IF($AW$7=$AL$14,'[4]3 trim 2016 BIOGROUP'!$Z$18/3,IF($AW$7=$AL$15,'[4]3 trim 2016 BIOGROUP'!$Z$18/3,IF($AW$7=$AL$16,'[4]4 trim 2016 BIOGROUP'!$Z$18/3,IF($AW$7=$AL$18,'[4]4 trim 2016 BIOGROUP'!$Z$18/3,IF($AW$7=$AL$19,'[4]4 trim 2016 BIOGROUP'!$Z$18/3,""))))))</f>
        <v>11964.166666666666</v>
      </c>
      <c r="AX22" s="431">
        <f>IF($AX$7=$AL$13,'[4]3 trim 2016 BIOGROUP'!$Z$18/3,IF($AX$7=$AL$14,'[4]3 trim 2016 BIOGROUP'!$Z$18/3,IF($AX$7=$AL$15,'[4]3 trim 2016 BIOGROUP'!$Z$18/3,IF($AX$7=$AL$16,'[4]4 trim 2016 BIOGROUP'!$Z$18/3,IF($AX$7=$AL$18,'[4]4 trim 2016 BIOGROUP'!$Z$18/3,IF($AX$7=$AL$19,'[4]4 trim 2016 BIOGROUP'!$Z$18/3,""))))))</f>
        <v>11964.166666666666</v>
      </c>
      <c r="AY22" s="431">
        <f>IF($AY$7=$AL$13,'[4]3 trim 2016 BIOGROUP'!$Z$18/3,IF($AY$7=$AL$14,'[4]3 trim 2016 BIOGROUP'!$Z$18/3,IF($AY$7=$AL$15,'[4]3 trim 2016 BIOGROUP'!$Z$18/3,IF($AY$7=$AL$16,'[4]4 trim 2016 BIOGROUP'!$Z$18/3,IF($AY$7=$AL$18,'[4]4 trim 2016 BIOGROUP'!$Z$18/3,IF($AY$7=$AL$19,'[4]4 trim 2016 BIOGROUP'!$Z$18/3,""))))))</f>
        <v>11964.166666666666</v>
      </c>
      <c r="AZ22" s="431">
        <f>IF($AZ$7=$AL$13,'[4]3 trim 2016 BIOGROUP'!$Z$18/3,IF($AZ$7=$AL$14,'[4]3 trim 2016 BIOGROUP'!$Z$18/3,IF($AZ$7=$AL$15,'[4]3 trim 2016 BIOGROUP'!$Z$18/3,IF($AZ$7=$AL$16,'[4]4 trim 2016 BIOGROUP'!$Z$18/3,IF($AZ$7=$AL$18,'[4]4 trim 2016 BIOGROUP'!$Z$18/3,IF($AZ$7=$AL$19,'[4]4 trim 2016 BIOGROUP'!$Z$18/3,""))))))</f>
        <v>11964.166666666666</v>
      </c>
      <c r="BB22" s="511">
        <f t="shared" si="5"/>
        <v>643245.75</v>
      </c>
      <c r="BC22" s="750"/>
    </row>
    <row r="23" spans="1:55" ht="34.5" customHeight="1">
      <c r="C23" s="448" t="s">
        <v>89</v>
      </c>
      <c r="D23" s="551"/>
      <c r="E23" s="448" t="s">
        <v>158</v>
      </c>
      <c r="F23" s="577"/>
      <c r="G23" s="476">
        <f>SUM(G24:G27)</f>
        <v>-2215485.16</v>
      </c>
      <c r="H23" s="591">
        <f>G23/G7</f>
        <v>-0.35720688394305594</v>
      </c>
      <c r="J23" s="496">
        <f>SUM(J24:J27)</f>
        <v>0</v>
      </c>
      <c r="K23" s="530" t="str">
        <f t="shared" si="6"/>
        <v/>
      </c>
      <c r="L23" s="431"/>
      <c r="M23" s="496">
        <f>SUM(M24:M27)</f>
        <v>-1928294.4433333336</v>
      </c>
      <c r="N23" s="518">
        <f t="shared" si="1"/>
        <v>0.14893509529084997</v>
      </c>
      <c r="O23" s="580"/>
      <c r="P23" s="617" t="s">
        <v>9</v>
      </c>
      <c r="Q23" s="618" t="e">
        <f>SUM(Q24:Q30)</f>
        <v>#REF!</v>
      </c>
      <c r="R23" s="595" t="e">
        <f>SUM(R24:R27)</f>
        <v>#REF!</v>
      </c>
      <c r="S23" s="618" t="e">
        <f>SUM(S24:S30)</f>
        <v>#REF!</v>
      </c>
      <c r="T23" s="595" t="e">
        <f>SUM(T24:T27)</f>
        <v>#REF!</v>
      </c>
      <c r="U23" s="618" t="e">
        <f>SUM(U24:U30)</f>
        <v>#REF!</v>
      </c>
      <c r="V23" s="595" t="e">
        <f>SUM(V24:V27)</f>
        <v>#REF!</v>
      </c>
      <c r="W23" s="618" t="e">
        <f>SUM(W24:W30)</f>
        <v>#REF!</v>
      </c>
      <c r="X23" s="595" t="e">
        <f>SUM(X24:X27)</f>
        <v>#REF!</v>
      </c>
      <c r="Y23" s="618" t="e">
        <f>SUM(Y24:Y30)</f>
        <v>#REF!</v>
      </c>
      <c r="Z23" s="595" t="e">
        <f>SUM(Z24:Z27)</f>
        <v>#REF!</v>
      </c>
      <c r="AA23" s="584" t="e">
        <f t="shared" si="12"/>
        <v>#REF!</v>
      </c>
      <c r="AB23" s="476">
        <f>SUM(AB24:AB27)</f>
        <v>-6589077.6400000006</v>
      </c>
      <c r="AC23" s="591">
        <f>AB23/AB7</f>
        <v>-0.36917237223436805</v>
      </c>
      <c r="AD23" s="496">
        <f>SUM(AD24:AD27)</f>
        <v>0</v>
      </c>
      <c r="AE23" s="518" t="str">
        <f t="shared" si="3"/>
        <v/>
      </c>
      <c r="AG23" s="496">
        <f>SUM(AG24:AG28)</f>
        <v>-5784883.3300000001</v>
      </c>
      <c r="AH23" s="518">
        <f t="shared" si="4"/>
        <v>0.13901651323363864</v>
      </c>
      <c r="AJ23" s="587"/>
      <c r="AL23" s="435"/>
      <c r="AM23" s="448" t="s">
        <v>158</v>
      </c>
      <c r="AN23" s="747"/>
      <c r="AO23" s="741">
        <f>-SUM(AO24:AO27)</f>
        <v>-108497.16666666666</v>
      </c>
      <c r="AP23" s="741">
        <f t="shared" ref="AP23:AZ23" si="15">-SUM(AP24:AP27)</f>
        <v>-108497.16666666666</v>
      </c>
      <c r="AQ23" s="741">
        <f t="shared" si="15"/>
        <v>-108497.16666666666</v>
      </c>
      <c r="AR23" s="741">
        <f t="shared" si="15"/>
        <v>-108497.16666666666</v>
      </c>
      <c r="AS23" s="741">
        <f t="shared" si="15"/>
        <v>-108497.16666666666</v>
      </c>
      <c r="AT23" s="741">
        <f t="shared" si="15"/>
        <v>-108497.16666666666</v>
      </c>
      <c r="AU23" s="741">
        <f t="shared" si="15"/>
        <v>-108497.16666666666</v>
      </c>
      <c r="AV23" s="741">
        <f t="shared" si="15"/>
        <v>-108497.16666666666</v>
      </c>
      <c r="AW23" s="741">
        <f t="shared" si="15"/>
        <v>-108497.16666666666</v>
      </c>
      <c r="AX23" s="741">
        <f t="shared" si="15"/>
        <v>-108497.16666666666</v>
      </c>
      <c r="AY23" s="741">
        <f t="shared" si="15"/>
        <v>-108497.16666666666</v>
      </c>
      <c r="AZ23" s="741">
        <f t="shared" si="15"/>
        <v>-108497.16666666666</v>
      </c>
      <c r="BB23" s="748">
        <f t="shared" si="5"/>
        <v>6589077.6400000006</v>
      </c>
      <c r="BC23" s="752"/>
    </row>
    <row r="24" spans="1:55" ht="26.15" customHeight="1">
      <c r="B24" s="542">
        <v>641</v>
      </c>
      <c r="C24" s="438" t="s">
        <v>144</v>
      </c>
      <c r="D24" s="555"/>
      <c r="E24" s="438" t="s">
        <v>10</v>
      </c>
      <c r="F24" s="577"/>
      <c r="G24" s="475">
        <f>-1596316.04-G25</f>
        <v>-1281372.3900000001</v>
      </c>
      <c r="H24" s="578">
        <f>G24/G7</f>
        <v>-0.20659810630488096</v>
      </c>
      <c r="J24" s="495">
        <f>-SUMIF($AO$7:$AZ$7,$G$6,AO24:AZ24)</f>
        <v>0</v>
      </c>
      <c r="K24" s="532" t="str">
        <f t="shared" si="6"/>
        <v/>
      </c>
      <c r="L24" s="431"/>
      <c r="M24" s="579">
        <f>AG24/3</f>
        <v>-1039698.6566666667</v>
      </c>
      <c r="N24" s="517">
        <f t="shared" si="1"/>
        <v>0.23244594170021646</v>
      </c>
      <c r="O24" s="580"/>
      <c r="P24" s="581" t="s">
        <v>10</v>
      </c>
      <c r="Q24" s="582" t="e">
        <f>+#REF!+'31 dec 2016 BIOLAM'!AT23+'31 dec 2016 BIOLAM'!AT24+'31 dec 2016 BIOLAM'!AT25</f>
        <v>#REF!</v>
      </c>
      <c r="R24" s="583" t="e">
        <f>Q24/Q$7</f>
        <v>#REF!</v>
      </c>
      <c r="S24" s="582" t="e">
        <f>+'31 dec 2016 BIOLAM'!AV23+#REF!+'31 dec 2016 BIOLAM'!AV24+'31 dec 2016 BIOLAM'!AV25</f>
        <v>#REF!</v>
      </c>
      <c r="T24" s="583" t="e">
        <f>S24/S$7</f>
        <v>#REF!</v>
      </c>
      <c r="U24" s="582" t="e">
        <f>+'31 dec 2016 BIOLAM'!AX23+#REF!+'31 dec 2016 BIOLAM'!AX24+'31 dec 2016 BIOLAM'!AX25</f>
        <v>#REF!</v>
      </c>
      <c r="V24" s="583" t="e">
        <f>U24/U$7</f>
        <v>#REF!</v>
      </c>
      <c r="W24" s="582" t="e">
        <f>+'31 dec 2016 BIOLAM'!AZ23+#REF!+'31 dec 2016 BIOLAM'!AZ24+'31 dec 2016 BIOLAM'!AZ25</f>
        <v>#REF!</v>
      </c>
      <c r="X24" s="583" t="e">
        <f>W24/W$7</f>
        <v>#REF!</v>
      </c>
      <c r="Y24" s="582" t="e">
        <f t="shared" ref="Y24:Y30" si="16">+W24+U24+S24+Q24</f>
        <v>#REF!</v>
      </c>
      <c r="Z24" s="583" t="e">
        <f>Y24/Y$7</f>
        <v>#REF!</v>
      </c>
      <c r="AA24" s="584" t="e">
        <f t="shared" si="12"/>
        <v>#REF!</v>
      </c>
      <c r="AB24" s="475">
        <f>-4664154.01-AB25</f>
        <v>-3706607.8</v>
      </c>
      <c r="AC24" s="578">
        <f>AB24/AB7</f>
        <v>-0.20767355754946176</v>
      </c>
      <c r="AD24" s="495">
        <f>-SUMIF($AO$7:$AZ$7,"&lt;="&amp;$AC$6,AO24:AZ24)</f>
        <v>0</v>
      </c>
      <c r="AE24" s="517" t="str">
        <f t="shared" si="3"/>
        <v/>
      </c>
      <c r="AG24" s="579">
        <f>-2417576.68-1642541.87-AG25</f>
        <v>-3119095.97</v>
      </c>
      <c r="AH24" s="517">
        <f t="shared" si="4"/>
        <v>0.18835965153069642</v>
      </c>
      <c r="AJ24" s="587"/>
      <c r="AL24" s="435"/>
      <c r="AM24" s="438" t="s">
        <v>10</v>
      </c>
      <c r="AN24" s="747"/>
      <c r="AO24" s="431">
        <f>IF($AO$7=$AL$7,'[4]1 trim 2016 BIOGROUP'!$Z$23/3,IF($AO$7=$AL$8,'[4]1 trim 2016 BIOGROUP'!$Z$23/3,IF($AO$7=$AL$9,'[4]1 trim 2016 BIOGROUP'!$Z$23/3,IF($AO$7=$AL$10,'[4]2 trim 2016 BIOGROUP'!$Z$23/3,IF($AO$7=$AL$11,'[4]2 trim 2016 BIOGROUP'!$Z$23/3,IF($AO$7=$AL$12,'[4]2 trim 2016 BIOGROUP'!$Z$23/3,""))))))</f>
        <v>77373.083333333328</v>
      </c>
      <c r="AP24" s="431">
        <f>IF($AP$7=$AL$7,'[4]1 trim 2016 BIOGROUP'!$Z$23/3,IF($AP$7=$AL$8,'[4]1 trim 2016 BIOGROUP'!$Z$23/3,IF($AP$7=$AL$9,'[4]1 trim 2016 BIOGROUP'!$Z$23/3,IF($AP$7=$AL$10,'[4]2 trim 2016 BIOGROUP'!$Z$23/3,IF($AP$7=$AL$11,'[4]2 trim 2016 BIOGROUP'!$Z$23/3,IF($AP$7=$AL$12,'[4]2 trim 2016 BIOGROUP'!$Z$23/3,""))))))</f>
        <v>77373.083333333328</v>
      </c>
      <c r="AQ24" s="431">
        <f>IF($AQ$7=$AL$7,'[4]1 trim 2016 BIOGROUP'!$Z$23/3,IF($AQ$7=$AL$8,'[4]1 trim 2016 BIOGROUP'!$Z$23/3,IF($AQ$7=$AL$9,'[4]1 trim 2016 BIOGROUP'!$Z$23/3,IF($AQ$7=$AL$10,'[4]2 trim 2016 BIOGROUP'!$Z$23/3,IF($AQ$7=$AL$11,'[4]2 trim 2016 BIOGROUP'!$Z$23/3,IF($AQ$7=$AL$12,'[4]2 trim 2016 BIOGROUP'!$Z$23/3,""))))))</f>
        <v>77373.083333333328</v>
      </c>
      <c r="AR24" s="431">
        <f>IF($AR$7=$AL$7,'[4]1 trim 2016 BIOGROUP'!$Z$23/3,IF($AR$7=$AL$8,'[4]1 trim 2016 BIOGROUP'!$Z$23/3,IF($AR$7=$AL$9,'[4]1 trim 2016 BIOGROUP'!$Z$23/3,IF($AR$7=$AL$10,'[4]2 trim 2016 BIOGROUP'!$Z$23/3,IF($AR$7=$AL$11,'[4]2 trim 2016 BIOGROUP'!$Z$23/3,IF($AR$7=$AL$12,'[4]2 trim 2016 BIOGROUP'!$Z$23/3,""))))))</f>
        <v>77373.083333333328</v>
      </c>
      <c r="AS24" s="431">
        <f>IF($AS$7=$AL$7,'[4]1 trim 2016 BIOGROUP'!$Z$23/3,IF($AS$7=$AL$8,'[4]1 trim 2016 BIOGROUP'!$Z$23/3,IF($AS$7=$AL$9,'[4]1 trim 2016 BIOGROUP'!$Z$23/3,IF($AS$7=$AL$10,'[4]2 trim 2016 BIOGROUP'!$Z$23/3,IF($AS$7=$AL$11,'[4]2 trim 2016 BIOGROUP'!$Z$23/3,IF($AS$7=$AL$12,'[4]2 trim 2016 BIOGROUP'!$Z$23/3,""))))))</f>
        <v>77373.083333333328</v>
      </c>
      <c r="AT24" s="431">
        <f>IF($AT$7=$AL$7,'[4]1 trim 2016 BIOGROUP'!$Z$23/3,IF($AT$7=$AL$8,'[4]1 trim 2016 BIOGROUP'!$Z$23/3,IF($AT$7=$AL$9,'[4]1 trim 2016 BIOGROUP'!$Z$23/3,IF($AT$7=$AL$10,'[4]2 trim 2016 BIOGROUP'!$Z$23/3,IF($AT$7=$AL$11,'[4]2 trim 2016 BIOGROUP'!$Z$23/3,IF($AT$7=$AL$12,'[4]2 trim 2016 BIOGROUP'!$Z$23/3,""))))))</f>
        <v>77373.083333333328</v>
      </c>
      <c r="AU24" s="431">
        <f>IF($AU$7=$AL$13,'[4]3 trim 2016 BIOGROUP'!$Z$23/3,IF($AU$7=$AL$14,'[4]3 trim 2016 BIOGROUP'!$Z$23/3,IF($AU$7=$AL$15,'[4]3 trim 2016 BIOGROUP'!$Z$23/3,IF($AU$7=$AL$16,'[4]4 trim 2016 BIOGROUP'!$Z$23/3,IF($AU$7=$AL$18,'[4]4 trim 2016 BIOGROUP'!$Z$23/3,IF($AU$7=$AL$19,'[4]4 trim 2016 BIOGROUP'!$Z$23/3,""))))))</f>
        <v>77373.083333333328</v>
      </c>
      <c r="AV24" s="431">
        <f>IF($AV$7=$AL$13,'[4]3 trim 2016 BIOGROUP'!$Z$23/3,IF($AV$7=$AL$14,'[4]3 trim 2016 BIOGROUP'!$Z$23/3,IF($AV$7=$AL$15,'[4]3 trim 2016 BIOGROUP'!$Z$23/3,IF($AV$7=$AL$16,'[4]4 trim 2016 BIOGROUP'!$Z$23/3,IF($AV$7=$AL$18,'[4]4 trim 2016 BIOGROUP'!$Z$23/3,IF($AV$7=$AL$19,'[4]4 trim 2016 BIOGROUP'!$Z$23/3,""))))))</f>
        <v>77373.083333333328</v>
      </c>
      <c r="AW24" s="431">
        <f>IF($AW$7=$AL$13,'[4]3 trim 2016 BIOGROUP'!$Z$23/3,IF($AW$7=$AL$14,'[4]3 trim 2016 BIOGROUP'!$Z$23/3,IF($AW$7=$AL$15,'[4]3 trim 2016 BIOGROUP'!$Z$23/3,IF($AW$7=$AL$16,'[4]4 trim 2016 BIOGROUP'!$Z$23/3,IF($AW$7=$AL$18,'[4]4 trim 2016 BIOGROUP'!$Z$23/3,IF($AW$7=$AL$19,'[4]4 trim 2016 BIOGROUP'!$Z$23/3,""))))))</f>
        <v>77373.083333333328</v>
      </c>
      <c r="AX24" s="431">
        <f>IF($AX$7=$AL$13,'[4]3 trim 2016 BIOGROUP'!$Z$23/3,IF($AX$7=$AL$14,'[4]3 trim 2016 BIOGROUP'!$Z$23/3,IF($AX$7=$AL$15,'[4]3 trim 2016 BIOGROUP'!$Z$23/3,IF($AX$7=$AL$16,'[4]4 trim 2016 BIOGROUP'!$Z$23/3,IF($AX$7=$AL$18,'[4]4 trim 2016 BIOGROUP'!$Z$23/3,IF($AX$7=$AL$19,'[4]4 trim 2016 BIOGROUP'!$Z$23/3,""))))))</f>
        <v>77373.083333333328</v>
      </c>
      <c r="AY24" s="431">
        <f>IF($AY$7=$AL$13,'[4]3 trim 2016 BIOGROUP'!$Z$23/3,IF($AY$7=$AL$14,'[4]3 trim 2016 BIOGROUP'!$Z$23/3,IF($AY$7=$AL$15,'[4]3 trim 2016 BIOGROUP'!$Z$23/3,IF($AY$7=$AL$16,'[4]4 trim 2016 BIOGROUP'!$Z$23/3,IF($AY$7=$AL$18,'[4]4 trim 2016 BIOGROUP'!$Z$23/3,IF($AY$7=$AL$19,'[4]4 trim 2016 BIOGROUP'!$Z$23/3,""))))))</f>
        <v>77373.083333333328</v>
      </c>
      <c r="AZ24" s="431">
        <f>IF($AZ$7=$AL$13,'[4]3 trim 2016 BIOGROUP'!$Z$23/3,IF($AZ$7=$AL$14,'[4]3 trim 2016 BIOGROUP'!$Z$23/3,IF($AZ$7=$AL$15,'[4]3 trim 2016 BIOGROUP'!$Z$23/3,IF($AZ$7=$AL$16,'[4]4 trim 2016 BIOGROUP'!$Z$23/3,IF($AZ$7=$AL$18,'[4]4 trim 2016 BIOGROUP'!$Z$23/3,IF($AZ$7=$AL$19,'[4]4 trim 2016 BIOGROUP'!$Z$23/3,""))))))</f>
        <v>77373.083333333328</v>
      </c>
      <c r="BB24" s="511">
        <f t="shared" si="5"/>
        <v>3706607.8</v>
      </c>
      <c r="BC24" s="750"/>
    </row>
    <row r="25" spans="1:55" ht="26.15" customHeight="1">
      <c r="A25" s="575"/>
      <c r="B25" s="548">
        <v>644</v>
      </c>
      <c r="C25" s="449" t="s">
        <v>145</v>
      </c>
      <c r="D25" s="555"/>
      <c r="E25" s="449" t="s">
        <v>28</v>
      </c>
      <c r="F25" s="577"/>
      <c r="G25" s="475">
        <v>-314943.65000000002</v>
      </c>
      <c r="H25" s="578">
        <f>G25/G7</f>
        <v>-5.0778963391545542E-2</v>
      </c>
      <c r="J25" s="495">
        <f>-SUMIF($AO$7:$AZ$7,$G$6,AO25:AZ25)</f>
        <v>0</v>
      </c>
      <c r="K25" s="532" t="str">
        <f t="shared" si="6"/>
        <v/>
      </c>
      <c r="L25" s="431"/>
      <c r="M25" s="579">
        <f>AG25/3</f>
        <v>-313674.19333333336</v>
      </c>
      <c r="N25" s="517">
        <f t="shared" si="1"/>
        <v>4.0470548538803341E-3</v>
      </c>
      <c r="O25" s="580"/>
      <c r="P25" s="586" t="s">
        <v>28</v>
      </c>
      <c r="Q25" s="582" t="e">
        <f>+#REF!+'31 dec 2016 BIOLAM'!AT27</f>
        <v>#REF!</v>
      </c>
      <c r="R25" s="583" t="e">
        <f>Q25/Q$7</f>
        <v>#REF!</v>
      </c>
      <c r="S25" s="582" t="e">
        <f>+'31 dec 2016 BIOLAM'!AV27+#REF!</f>
        <v>#REF!</v>
      </c>
      <c r="T25" s="583" t="e">
        <f>S25/S$7</f>
        <v>#REF!</v>
      </c>
      <c r="U25" s="582" t="e">
        <f>+'31 dec 2016 BIOLAM'!AX27+#REF!</f>
        <v>#REF!</v>
      </c>
      <c r="V25" s="583" t="e">
        <f>U25/U$7</f>
        <v>#REF!</v>
      </c>
      <c r="W25" s="582" t="e">
        <f>+'31 dec 2016 BIOLAM'!AZ27+#REF!</f>
        <v>#REF!</v>
      </c>
      <c r="X25" s="583" t="e">
        <f>W25/W$7</f>
        <v>#REF!</v>
      </c>
      <c r="Y25" s="582" t="e">
        <f t="shared" si="16"/>
        <v>#REF!</v>
      </c>
      <c r="Z25" s="583" t="e">
        <f>Y25/Y$7</f>
        <v>#REF!</v>
      </c>
      <c r="AA25" s="584" t="e">
        <f t="shared" si="12"/>
        <v>#REF!</v>
      </c>
      <c r="AB25" s="475">
        <v>-957546.21</v>
      </c>
      <c r="AC25" s="578">
        <f>AB25/AB7</f>
        <v>-5.3649330783986378E-2</v>
      </c>
      <c r="AD25" s="495">
        <f>-SUMIF($AO$7:$AZ$7,"&lt;="&amp;$AC$6,AO25:AZ25)</f>
        <v>0</v>
      </c>
      <c r="AE25" s="517" t="str">
        <f t="shared" si="3"/>
        <v/>
      </c>
      <c r="AG25" s="579">
        <f>-544884.29-396138.29</f>
        <v>-941022.58000000007</v>
      </c>
      <c r="AH25" s="517">
        <f t="shared" si="4"/>
        <v>1.7559227962414978E-2</v>
      </c>
      <c r="AJ25" s="587"/>
      <c r="AL25" s="435"/>
      <c r="AM25" s="449" t="s">
        <v>28</v>
      </c>
      <c r="AN25" s="747"/>
      <c r="AO25" s="431">
        <f>IF($AO$7=$AL$7,'[4]1 trim 2016 BIOGROUP'!$Z$25/3+'[4]1 trim 2016 BIOGROUP'!$Z$27/3+'[4]1 trim 2016 BIOGROUP'!$Z$28/3,IF($AO$7=$AL$8,'[4]1 trim 2016 BIOGROUP'!$Z$25/3+'[4]1 trim 2016 BIOGROUP'!$Z$27/3+'[4]1 trim 2016 BIOGROUP'!$Z$28/3,IF($AO$7=$AL$9,'[4]1 trim 2016 BIOGROUP'!$Z$25/3+'[4]1 trim 2016 BIOGROUP'!$Z$27/3+'[4]1 trim 2016 BIOGROUP'!$Z$28/3,IF($AO$7=$AL$10,'[4]2 trim 2016 BIOGROUP'!$Z$25/3+'[4]2 trim 2016 BIOGROUP'!$Z$27/3+'[4]2 trim 2016 BIOGROUP'!$Z$28/3,IF($AO$7=$AL$11,'[4]2 trim 2016 BIOGROUP'!$Z$25/3+'[4]2 trim 2016 BIOGROUP'!$Z$27/3+'[4]2 trim 2016 BIOGROUP'!$Z$28/3,IF($AO$7=$AL$12,'[4]2 trim 2016 BIOGROUP'!$Z$25/3+'[4]2 trim 2016 BIOGROUP'!$Z$27/3+'[4]2 trim 2016 BIOGROUP'!$Z$28/3,""))))))</f>
        <v>0</v>
      </c>
      <c r="AP25" s="431">
        <f>IF($AP$7=$AL$7,'[4]1 trim 2016 BIOGROUP'!$Z$25/3+'[4]1 trim 2016 BIOGROUP'!$Z$27/3+'[4]1 trim 2016 BIOGROUP'!$Z$28/3,IF($AP$7=$AL$8,'[4]1 trim 2016 BIOGROUP'!$Z$25/3+'[4]1 trim 2016 BIOGROUP'!$Z$27/3+'[4]1 trim 2016 BIOGROUP'!$Z$28/3,IF($AP$7=$AL$9,'[4]1 trim 2016 BIOGROUP'!$Z$25/3+'[4]1 trim 2016 BIOGROUP'!$Z$27/3+'[4]1 trim 2016 BIOGROUP'!$Z$28/3,IF($AP$7=$AL$10,'[4]2 trim 2016 BIOGROUP'!$Z$25/3+'[4]2 trim 2016 BIOGROUP'!$Z$27/3+'[4]2 trim 2016 BIOGROUP'!$Z$28/3,IF($AP$7=$AL$11,'[4]2 trim 2016 BIOGROUP'!$Z$25/3+'[4]2 trim 2016 BIOGROUP'!$Z$27/3+'[4]2 trim 2016 BIOGROUP'!$Z$28/3,IF($AP$7=$AL$12,'[4]2 trim 2016 BIOGROUP'!$Z$25/3+'[4]2 trim 2016 BIOGROUP'!$Z$27/3+'[4]2 trim 2016 BIOGROUP'!$Z$28/3,""))))))</f>
        <v>0</v>
      </c>
      <c r="AQ25" s="431">
        <f>IF($AQ$7=$AL$7,'[4]1 trim 2016 BIOGROUP'!$Z$25/3+'[4]1 trim 2016 BIOGROUP'!$Z$27/3+'[4]1 trim 2016 BIOGROUP'!$Z$28/3,IF($AQ$7=$AL$8,'[4]1 trim 2016 BIOGROUP'!$Z$25/3+'[4]1 trim 2016 BIOGROUP'!$Z$27/3+'[4]1 trim 2016 BIOGROUP'!$Z$28/3,IF($AQ$7=$AL$9,'[4]1 trim 2016 BIOGROUP'!$Z$25/3+'[4]1 trim 2016 BIOGROUP'!$Z$27/3+'[4]1 trim 2016 BIOGROUP'!$Z$28/3,IF($AQ$7=$AL$10,'[4]2 trim 2016 BIOGROUP'!$Z$25/3+'[4]2 trim 2016 BIOGROUP'!$Z$27/3+'[4]2 trim 2016 BIOGROUP'!$Z$28/3,IF($AQ$7=$AL$11,'[4]2 trim 2016 BIOGROUP'!$Z$25/3+'[4]2 trim 2016 BIOGROUP'!$Z$27/3+'[4]2 trim 2016 BIOGROUP'!$Z$28/3,IF($AQ$7=$AL$12,'[4]2 trim 2016 BIOGROUP'!$Z$25/3+'[4]2 trim 2016 BIOGROUP'!$Z$27/3+'[4]2 trim 2016 BIOGROUP'!$Z$28/3,""))))))</f>
        <v>0</v>
      </c>
      <c r="AR25" s="431">
        <f>IF($AR$7=$AL$7,'[4]1 trim 2016 BIOGROUP'!$Z$25/3+'[4]1 trim 2016 BIOGROUP'!$Z$27/3+'[4]1 trim 2016 BIOGROUP'!$Z$28/3,IF($AR$7=$AL$8,'[4]1 trim 2016 BIOGROUP'!$Z$25/3+'[4]1 trim 2016 BIOGROUP'!$Z$27/3+'[4]1 trim 2016 BIOGROUP'!$Z$28/3,IF($AR$7=$AL$9,'[4]1 trim 2016 BIOGROUP'!$Z$25/3+'[4]1 trim 2016 BIOGROUP'!$Z$27/3+'[4]1 trim 2016 BIOGROUP'!$Z$28/3,IF($AR$7=$AL$10,'[4]2 trim 2016 BIOGROUP'!$Z$25/3+'[4]2 trim 2016 BIOGROUP'!$Z$27/3+'[4]2 trim 2016 BIOGROUP'!$Z$28/3,IF($AR$7=$AL$11,'[4]2 trim 2016 BIOGROUP'!$Z$25/3+'[4]2 trim 2016 BIOGROUP'!$Z$27/3+'[4]2 trim 2016 BIOGROUP'!$Z$28/3,IF($AR$7=$AL$12,'[4]2 trim 2016 BIOGROUP'!$Z$25/3+'[4]2 trim 2016 BIOGROUP'!$Z$27/3+'[4]2 trim 2016 BIOGROUP'!$Z$28/3,""))))))</f>
        <v>0</v>
      </c>
      <c r="AS25" s="431">
        <f>IF($AS$7=$AL$7,'[4]1 trim 2016 BIOGROUP'!$Z$25/3+'[4]1 trim 2016 BIOGROUP'!$Z$27/3+'[4]1 trim 2016 BIOGROUP'!$Z$28/3,IF($AS$7=$AL$8,'[4]1 trim 2016 BIOGROUP'!$Z$25/3+'[4]1 trim 2016 BIOGROUP'!$Z$27/3+'[4]1 trim 2016 BIOGROUP'!$Z$28/3,IF($AS$7=$AL$9,'[4]1 trim 2016 BIOGROUP'!$Z$25/3+'[4]1 trim 2016 BIOGROUP'!$Z$27/3+'[4]1 trim 2016 BIOGROUP'!$Z$28/3,IF($AS$7=$AL$10,'[4]2 trim 2016 BIOGROUP'!$Z$25/3+'[4]2 trim 2016 BIOGROUP'!$Z$27/3+'[4]2 trim 2016 BIOGROUP'!$Z$28/3,IF($AS$7=$AL$11,'[4]2 trim 2016 BIOGROUP'!$Z$25/3+'[4]2 trim 2016 BIOGROUP'!$Z$27/3+'[4]2 trim 2016 BIOGROUP'!$Z$28/3,IF($AS$7=$AL$12,'[4]2 trim 2016 BIOGROUP'!$Z$25/3+'[4]2 trim 2016 BIOGROUP'!$Z$27/3+'[4]2 trim 2016 BIOGROUP'!$Z$28/3,""))))))</f>
        <v>0</v>
      </c>
      <c r="AT25" s="431">
        <f>IF($AT$7=$AL$7,'[4]1 trim 2016 BIOGROUP'!$Z$25/3+'[4]1 trim 2016 BIOGROUP'!$Z$27/3+'[4]1 trim 2016 BIOGROUP'!$Z$28/3,IF($AT$7=$AL$8,'[4]1 trim 2016 BIOGROUP'!$Z$25/3+'[4]1 trim 2016 BIOGROUP'!$Z$27/3+'[4]1 trim 2016 BIOGROUP'!$Z$28/3,IF($AT$7=$AL$9,'[4]1 trim 2016 BIOGROUP'!$Z$25/3+'[4]1 trim 2016 BIOGROUP'!$Z$27/3+'[4]1 trim 2016 BIOGROUP'!$Z$28/3,IF($AT$7=$AL$10,'[4]2 trim 2016 BIOGROUP'!$Z$25/3+'[4]2 trim 2016 BIOGROUP'!$Z$27/3+'[4]2 trim 2016 BIOGROUP'!$Z$28/3,IF($AT$7=$AL$11,'[4]2 trim 2016 BIOGROUP'!$Z$25/3+'[4]2 trim 2016 BIOGROUP'!$Z$27/3+'[4]2 trim 2016 BIOGROUP'!$Z$28/3,IF($AT$7=$AL$12,'[4]2 trim 2016 BIOGROUP'!$Z$25/3+'[4]2 trim 2016 BIOGROUP'!$Z$27/3+'[4]2 trim 2016 BIOGROUP'!$Z$28/3,""))))))</f>
        <v>0</v>
      </c>
      <c r="AU25" s="431">
        <f>IF($AU$7=$AL$13,'[4]3 trim 2016 BIOGROUP'!$Z$25/3+'[4]3 trim 2016 BIOGROUP'!$Z$27/3+'[4]3 trim 2016 BIOGROUP'!$Z$28/3,IF($AU$7=$AL$14,'[4]3 trim 2016 BIOGROUP'!$Z$25/3+'[4]3 trim 2016 BIOGROUP'!$Z$27/3+'[4]3 trim 2016 BIOGROUP'!$Z$28/3,IF($AU$7=$AL$15,'[4]3 trim 2016 BIOGROUP'!$Z$25/3+'[4]3 trim 2016 BIOGROUP'!$Z$27/3+'[4]3 trim 2016 BIOGROUP'!$Z$28/3,IF($AU$7=$AL$16,'[4]4 trim 2016 BIOGROUP'!$Z$25/3+'[4]4 trim 2016 BIOGROUP'!$Z$27/3+'[4]4 trim 2016 BIOGROUP'!$Z$28/3,IF($AU$7=$AL$18,'[4]4 trim 2016 BIOGROUP'!$Z$25/3+'[4]4 trim 2016 BIOGROUP'!$Z$27/3+'[4]4 trim 2016 BIOGROUP'!$Z$28/3,IF($AU$7=$AL$19,'[4]4 trim 2016 BIOGROUP'!$Z$25/3+'[4]4 trim 2016 BIOGROUP'!$Z$27/3+'[4]4 trim 2016 BIOGROUP'!$Z$28/3,""))))))</f>
        <v>0</v>
      </c>
      <c r="AV25" s="431">
        <f>IF($AV$7=$AL$13,'[4]3 trim 2016 BIOGROUP'!$Z$25/3+'[4]3 trim 2016 BIOGROUP'!$Z$27/3+'[4]3 trim 2016 BIOGROUP'!$Z$28/3,IF($AV$7=$AL$14,'[4]3 trim 2016 BIOGROUP'!$Z$25/3+'[4]3 trim 2016 BIOGROUP'!$Z$27/3+'[4]3 trim 2016 BIOGROUP'!$Z$28/3,IF($AV$7=$AL$15,'[4]3 trim 2016 BIOGROUP'!$Z$25/3+'[4]3 trim 2016 BIOGROUP'!$Z$27/3+'[4]3 trim 2016 BIOGROUP'!$Z$28/3,IF($AV$7=$AL$16,'[4]4 trim 2016 BIOGROUP'!$Z$25/3+'[4]4 trim 2016 BIOGROUP'!$Z$27/3+'[4]4 trim 2016 BIOGROUP'!$Z$28/3,IF($AV$7=$AL$18,'[4]4 trim 2016 BIOGROUP'!$Z$25/3+'[4]4 trim 2016 BIOGROUP'!$Z$27/3+'[4]4 trim 2016 BIOGROUP'!$Z$28/3,IF($AV$7=$AL$19,'[4]4 trim 2016 BIOGROUP'!$Z$25/3+'[4]4 trim 2016 BIOGROUP'!$Z$27/3+'[4]4 trim 2016 BIOGROUP'!$Z$28/3,""))))))</f>
        <v>0</v>
      </c>
      <c r="AW25" s="431">
        <f>IF($AW$7=$AL$13,'[4]3 trim 2016 BIOGROUP'!$Z$25/3+'[4]3 trim 2016 BIOGROUP'!$Z$27/3+'[4]3 trim 2016 BIOGROUP'!$Z$28/3,IF($AW$7=$AL$14,'[4]3 trim 2016 BIOGROUP'!$Z$25/3+'[4]3 trim 2016 BIOGROUP'!$Z$27/3+'[4]3 trim 2016 BIOGROUP'!$Z$28/3,IF($AW$7=$AL$15,'[4]3 trim 2016 BIOGROUP'!$Z$25/3+'[4]3 trim 2016 BIOGROUP'!$Z$27/3+'[4]3 trim 2016 BIOGROUP'!$Z$28/3,IF($AW$7=$AL$16,'[4]4 trim 2016 BIOGROUP'!$Z$25/3+'[4]4 trim 2016 BIOGROUP'!$Z$27/3+'[4]4 trim 2016 BIOGROUP'!$Z$28/3,IF($AW$7=$AL$18,'[4]4 trim 2016 BIOGROUP'!$Z$25/3+'[4]4 trim 2016 BIOGROUP'!$Z$27/3+'[4]4 trim 2016 BIOGROUP'!$Z$28/3,IF($AW$7=$AL$19,'[4]4 trim 2016 BIOGROUP'!$Z$25/3+'[4]4 trim 2016 BIOGROUP'!$Z$27/3+'[4]4 trim 2016 BIOGROUP'!$Z$28/3,""))))))</f>
        <v>0</v>
      </c>
      <c r="AX25" s="431">
        <f>IF($AX$7=$AL$13,'[4]3 trim 2016 BIOGROUP'!$Z$25/3+'[4]3 trim 2016 BIOGROUP'!$Z$27/3+'[4]3 trim 2016 BIOGROUP'!$Z$28/3,IF($AX$7=$AL$14,'[4]3 trim 2016 BIOGROUP'!$Z$25/3+'[4]3 trim 2016 BIOGROUP'!$Z$27/3+'[4]3 trim 2016 BIOGROUP'!$Z$28/3,IF($AX$7=$AL$15,'[4]3 trim 2016 BIOGROUP'!$Z$25/3+'[4]3 trim 2016 BIOGROUP'!$Z$27/3+'[4]3 trim 2016 BIOGROUP'!$Z$28/3,IF($AX$7=$AL$16,'[4]4 trim 2016 BIOGROUP'!$Z$25/3+'[4]4 trim 2016 BIOGROUP'!$Z$27/3+'[4]4 trim 2016 BIOGROUP'!$Z$28/3,IF($AX$7=$AL$18,'[4]4 trim 2016 BIOGROUP'!$Z$25/3+'[4]4 trim 2016 BIOGROUP'!$Z$27/3+'[4]4 trim 2016 BIOGROUP'!$Z$28/3,IF($AX$7=$AL$19,'[4]4 trim 2016 BIOGROUP'!$Z$25/3+'[4]4 trim 2016 BIOGROUP'!$Z$27/3+'[4]4 trim 2016 BIOGROUP'!$Z$28/3,""))))))</f>
        <v>0</v>
      </c>
      <c r="AY25" s="431">
        <f>IF($AY$7=$AL$13,'[4]3 trim 2016 BIOGROUP'!$Z$25/3+'[4]3 trim 2016 BIOGROUP'!$Z$27/3+'[4]3 trim 2016 BIOGROUP'!$Z$28/3,IF($AY$7=$AL$14,'[4]3 trim 2016 BIOGROUP'!$Z$25/3+'[4]3 trim 2016 BIOGROUP'!$Z$27/3+'[4]3 trim 2016 BIOGROUP'!$Z$28/3,IF($AY$7=$AL$15,'[4]3 trim 2016 BIOGROUP'!$Z$25/3+'[4]3 trim 2016 BIOGROUP'!$Z$27/3+'[4]3 trim 2016 BIOGROUP'!$Z$28/3,IF($AY$7=$AL$16,'[4]4 trim 2016 BIOGROUP'!$Z$25/3+'[4]4 trim 2016 BIOGROUP'!$Z$27/3+'[4]4 trim 2016 BIOGROUP'!$Z$28/3,IF($AY$7=$AL$18,'[4]4 trim 2016 BIOGROUP'!$Z$25/3+'[4]4 trim 2016 BIOGROUP'!$Z$27/3+'[4]4 trim 2016 BIOGROUP'!$Z$28/3,IF($AY$7=$AL$19,'[4]4 trim 2016 BIOGROUP'!$Z$25/3+'[4]4 trim 2016 BIOGROUP'!$Z$27/3+'[4]4 trim 2016 BIOGROUP'!$Z$28/3,""))))))</f>
        <v>0</v>
      </c>
      <c r="AZ25" s="431">
        <f>IF($AZ$7=$AL$13,'[4]3 trim 2016 BIOGROUP'!$Z$25/3+'[4]3 trim 2016 BIOGROUP'!$Z$27/3+'[4]3 trim 2016 BIOGROUP'!$Z$28/3,IF($AZ$7=$AL$14,'[4]3 trim 2016 BIOGROUP'!$Z$25/3+'[4]3 trim 2016 BIOGROUP'!$Z$27/3+'[4]3 trim 2016 BIOGROUP'!$Z$28/3,IF($AZ$7=$AL$15,'[4]3 trim 2016 BIOGROUP'!$Z$25/3+'[4]3 trim 2016 BIOGROUP'!$Z$27/3+'[4]3 trim 2016 BIOGROUP'!$Z$28/3,IF($AZ$7=$AL$16,'[4]4 trim 2016 BIOGROUP'!$Z$25/3+'[4]4 trim 2016 BIOGROUP'!$Z$27/3+'[4]4 trim 2016 BIOGROUP'!$Z$28/3,IF($AZ$7=$AL$18,'[4]4 trim 2016 BIOGROUP'!$Z$25/3+'[4]4 trim 2016 BIOGROUP'!$Z$27/3+'[4]4 trim 2016 BIOGROUP'!$Z$28/3,IF($AZ$7=$AL$19,'[4]4 trim 2016 BIOGROUP'!$Z$25/3+'[4]4 trim 2016 BIOGROUP'!$Z$27/3+'[4]4 trim 2016 BIOGROUP'!$Z$28/3,""))))))</f>
        <v>0</v>
      </c>
      <c r="BB25" s="511">
        <f t="shared" si="5"/>
        <v>957546.21</v>
      </c>
      <c r="BC25" s="750"/>
    </row>
    <row r="26" spans="1:55" ht="26.15" customHeight="1">
      <c r="A26" s="575"/>
      <c r="B26" s="548">
        <v>645</v>
      </c>
      <c r="C26" s="450" t="s">
        <v>147</v>
      </c>
      <c r="D26" s="619"/>
      <c r="E26" s="450" t="s">
        <v>11</v>
      </c>
      <c r="F26" s="577"/>
      <c r="G26" s="475">
        <f>-577331.07-G27-G30</f>
        <v>-529379.28</v>
      </c>
      <c r="H26" s="578">
        <f>G26/G7</f>
        <v>-8.5352827654606583E-2</v>
      </c>
      <c r="J26" s="495">
        <f>-SUMIF($AO$7:$AZ$7,$G$6,AO26:AZ26)</f>
        <v>0</v>
      </c>
      <c r="K26" s="532" t="str">
        <f t="shared" si="6"/>
        <v/>
      </c>
      <c r="L26" s="431"/>
      <c r="M26" s="579">
        <f>AG26/3</f>
        <v>-476437.33</v>
      </c>
      <c r="N26" s="517">
        <f t="shared" si="1"/>
        <v>0.11112049091535293</v>
      </c>
      <c r="O26" s="580"/>
      <c r="P26" s="581" t="s">
        <v>11</v>
      </c>
      <c r="Q26" s="582" t="e">
        <f>+#REF!+'31 dec 2016 BIOLAM'!AT29+'31 dec 2016 BIOLAM'!AT30+'31 dec 2016 BIOLAM'!AT31</f>
        <v>#REF!</v>
      </c>
      <c r="R26" s="583" t="e">
        <f>Q26/Q$7</f>
        <v>#REF!</v>
      </c>
      <c r="S26" s="582" t="e">
        <f>+'31 dec 2016 BIOLAM'!AV29+#REF!+'31 dec 2016 BIOLAM'!AV30+'31 dec 2016 BIOLAM'!AV31</f>
        <v>#REF!</v>
      </c>
      <c r="T26" s="583" t="e">
        <f>S26/S$7</f>
        <v>#REF!</v>
      </c>
      <c r="U26" s="582" t="e">
        <f>+'31 dec 2016 BIOLAM'!AX29+#REF!+'31 dec 2016 BIOLAM'!AX30+'31 dec 2016 BIOLAM'!AX31</f>
        <v>#REF!</v>
      </c>
      <c r="V26" s="583" t="e">
        <f>U26/U$7</f>
        <v>#REF!</v>
      </c>
      <c r="W26" s="582" t="e">
        <f>+'31 dec 2016 BIOLAM'!AZ29+#REF!+'31 dec 2016 BIOLAM'!AZ30+'31 dec 2016 BIOLAM'!AZ31</f>
        <v>#REF!</v>
      </c>
      <c r="X26" s="583" t="e">
        <f>W26/W$7</f>
        <v>#REF!</v>
      </c>
      <c r="Y26" s="582" t="e">
        <f t="shared" si="16"/>
        <v>#REF!</v>
      </c>
      <c r="Z26" s="583" t="e">
        <f>Y26/Y$7</f>
        <v>#REF!</v>
      </c>
      <c r="AA26" s="584" t="e">
        <f t="shared" si="12"/>
        <v>#REF!</v>
      </c>
      <c r="AB26" s="475">
        <f>-1798710.63-AB27-AB30</f>
        <v>-1656126.15</v>
      </c>
      <c r="AC26" s="578">
        <f>AB26/AB7</f>
        <v>-9.2789317855855577E-2</v>
      </c>
      <c r="AD26" s="495">
        <f>-SUMIF($AO$7:$AZ$7,"&lt;="&amp;$AC$6,AO26:AZ26)</f>
        <v>0</v>
      </c>
      <c r="AE26" s="517" t="str">
        <f t="shared" si="3"/>
        <v/>
      </c>
      <c r="AG26" s="579">
        <f>-961446.56-637673.31-AG27-AG30</f>
        <v>-1429311.99</v>
      </c>
      <c r="AH26" s="517">
        <f t="shared" si="4"/>
        <v>0.15868764943334723</v>
      </c>
      <c r="AJ26" s="620"/>
      <c r="AL26" s="435"/>
      <c r="AM26" s="450" t="s">
        <v>11</v>
      </c>
      <c r="AN26" s="747"/>
      <c r="AO26" s="431">
        <f>IF($AO$7=$AL$7,'[4]1 trim 2016 BIOGROUP'!$Z$29/3,IF($AO$7=$AL$8,'[4]1 trim 2016 BIOGROUP'!$Z$29/3,IF($AO$7=$AL$9,'[4]1 trim 2016 BIOGROUP'!$Z$29/3,IF($AO$7=$AL$10,'[4]2 trim 2016 BIOGROUP'!$Z$29/3,IF($AO$7=$AL$11,'[4]2 trim 2016 BIOGROUP'!$Z$29/3,IF($AO$7=$AL$12,'[4]2 trim 2016 BIOGROUP'!$Z$29/3,""))))))</f>
        <v>31124.083333333332</v>
      </c>
      <c r="AP26" s="431">
        <f>IF($AP$7=$AL$7,'[4]1 trim 2016 BIOGROUP'!$Z$29/3,IF($AP$7=$AL$8,'[4]1 trim 2016 BIOGROUP'!$Z$29/3,IF($AP$7=$AL$9,'[4]1 trim 2016 BIOGROUP'!$Z$29/3,IF($AP$7=$AL$10,'[4]2 trim 2016 BIOGROUP'!$Z$29/3,IF($AP$7=$AL$11,'[4]2 trim 2016 BIOGROUP'!$Z$29/3,IF($AP$7=$AL$12,'[4]2 trim 2016 BIOGROUP'!$Z$29/3,""))))))</f>
        <v>31124.083333333332</v>
      </c>
      <c r="AQ26" s="431">
        <f>IF($AQ$7=$AL$7,'[4]1 trim 2016 BIOGROUP'!$Z$29/3,IF($AQ$7=$AL$8,'[4]1 trim 2016 BIOGROUP'!$Z$29/3,IF($AQ$7=$AL$9,'[4]1 trim 2016 BIOGROUP'!$Z$29/3,IF($AQ$7=$AL$10,'[4]2 trim 2016 BIOGROUP'!$Z$29/3,IF($AQ$7=$AL$11,'[4]2 trim 2016 BIOGROUP'!$Z$29/3,IF($AQ$7=$AL$12,'[4]2 trim 2016 BIOGROUP'!$Z$29/3,""))))))</f>
        <v>31124.083333333332</v>
      </c>
      <c r="AR26" s="431">
        <f>IF($AR$7=$AL$7,'[4]1 trim 2016 BIOGROUP'!$Z$29/3,IF($AR$7=$AL$8,'[4]1 trim 2016 BIOGROUP'!$Z$29/3,IF($AR$7=$AL$9,'[4]1 trim 2016 BIOGROUP'!$Z$29/3,IF($AR$7=$AL$10,'[4]2 trim 2016 BIOGROUP'!$Z$29/3,IF($AR$7=$AL$11,'[4]2 trim 2016 BIOGROUP'!$Z$29/3,IF($AR$7=$AL$12,'[4]2 trim 2016 BIOGROUP'!$Z$29/3,""))))))</f>
        <v>31124.083333333332</v>
      </c>
      <c r="AS26" s="431">
        <f>IF($AS$7=$AL$7,'[4]1 trim 2016 BIOGROUP'!$Z$29/3,IF($AS$7=$AL$8,'[4]1 trim 2016 BIOGROUP'!$Z$29/3,IF($AS$7=$AL$9,'[4]1 trim 2016 BIOGROUP'!$Z$29/3,IF($AS$7=$AL$10,'[4]2 trim 2016 BIOGROUP'!$Z$29/3,IF($AS$7=$AL$11,'[4]2 trim 2016 BIOGROUP'!$Z$29/3,IF($AS$7=$AL$12,'[4]2 trim 2016 BIOGROUP'!$Z$29/3,""))))))</f>
        <v>31124.083333333332</v>
      </c>
      <c r="AT26" s="431">
        <f>IF($AT$7=$AL$7,'[4]1 trim 2016 BIOGROUP'!$Z$29/3,IF($AT$7=$AL$8,'[4]1 trim 2016 BIOGROUP'!$Z$29/3,IF($AT$7=$AL$9,'[4]1 trim 2016 BIOGROUP'!$Z$29/3,IF($AT$7=$AL$10,'[4]2 trim 2016 BIOGROUP'!$Z$29/3,IF($AT$7=$AL$11,'[4]2 trim 2016 BIOGROUP'!$Z$29/3,IF($AT$7=$AL$12,'[4]2 trim 2016 BIOGROUP'!$Z$29/3,""))))))</f>
        <v>31124.083333333332</v>
      </c>
      <c r="AU26" s="431">
        <f>IF($AU$7=$AL$13,'[4]3 trim 2016 BIOGROUP'!$Z$29/3,IF($AU$7=$AL$14,'[4]3 trim 2016 BIOGROUP'!$Z$29/3,IF($AU$7=$AL$15,'[4]3 trim 2016 BIOGROUP'!$Z$29/3,IF($AU$7=$AL$16,'[4]4 trim 2016 BIOGROUP'!$Z$29/3,IF($AU$7=$AL$18,'[4]4 trim 2016 BIOGROUP'!$Z$29/3,IF($AU$7=$AL$19,'[4]4 trim 2016 BIOGROUP'!$Z$29/3,""))))))</f>
        <v>31124.083333333332</v>
      </c>
      <c r="AV26" s="431">
        <f>IF($AV$7=$AL$13,'[4]3 trim 2016 BIOGROUP'!$Z$29/3,IF($AV$7=$AL$14,'[4]3 trim 2016 BIOGROUP'!$Z$29/3,IF($AV$7=$AL$15,'[4]3 trim 2016 BIOGROUP'!$Z$29/3,IF($AV$7=$AL$16,'[4]4 trim 2016 BIOGROUP'!$Z$29/3,IF($AV$7=$AL$18,'[4]4 trim 2016 BIOGROUP'!$Z$29/3,IF($AV$7=$AL$19,'[4]4 trim 2016 BIOGROUP'!$Z$29/3,""))))))</f>
        <v>31124.083333333332</v>
      </c>
      <c r="AW26" s="431">
        <f>IF($AW$7=$AL$13,'[4]3 trim 2016 BIOGROUP'!$Z$29/3,IF($AW$7=$AL$14,'[4]3 trim 2016 BIOGROUP'!$Z$29/3,IF($AW$7=$AL$15,'[4]3 trim 2016 BIOGROUP'!$Z$29/3,IF($AW$7=$AL$16,'[4]4 trim 2016 BIOGROUP'!$Z$29/3,IF($AW$7=$AL$18,'[4]4 trim 2016 BIOGROUP'!$Z$29/3,IF($AW$7=$AL$19,'[4]4 trim 2016 BIOGROUP'!$Z$29/3,""))))))</f>
        <v>31124.083333333332</v>
      </c>
      <c r="AX26" s="431">
        <f>IF($AX$7=$AL$13,'[4]3 trim 2016 BIOGROUP'!$Z$29/3,IF($AX$7=$AL$14,'[4]3 trim 2016 BIOGROUP'!$Z$29/3,IF($AX$7=$AL$15,'[4]3 trim 2016 BIOGROUP'!$Z$29/3,IF($AX$7=$AL$16,'[4]4 trim 2016 BIOGROUP'!$Z$29/3,IF($AX$7=$AL$18,'[4]4 trim 2016 BIOGROUP'!$Z$29/3,IF($AX$7=$AL$19,'[4]4 trim 2016 BIOGROUP'!$Z$29/3,""))))))</f>
        <v>31124.083333333332</v>
      </c>
      <c r="AY26" s="431">
        <f>IF($AY$7=$AL$13,'[4]3 trim 2016 BIOGROUP'!$Z$29/3,IF($AY$7=$AL$14,'[4]3 trim 2016 BIOGROUP'!$Z$29/3,IF($AY$7=$AL$15,'[4]3 trim 2016 BIOGROUP'!$Z$29/3,IF($AY$7=$AL$16,'[4]4 trim 2016 BIOGROUP'!$Z$29/3,IF($AY$7=$AL$18,'[4]4 trim 2016 BIOGROUP'!$Z$29/3,IF($AY$7=$AL$19,'[4]4 trim 2016 BIOGROUP'!$Z$29/3,""))))))</f>
        <v>31124.083333333332</v>
      </c>
      <c r="AZ26" s="431">
        <f>IF($AZ$7=$AL$13,'[4]3 trim 2016 BIOGROUP'!$Z$29/3,IF($AZ$7=$AL$14,'[4]3 trim 2016 BIOGROUP'!$Z$29/3,IF($AZ$7=$AL$15,'[4]3 trim 2016 BIOGROUP'!$Z$29/3,IF($AZ$7=$AL$16,'[4]4 trim 2016 BIOGROUP'!$Z$29/3,IF($AZ$7=$AL$18,'[4]4 trim 2016 BIOGROUP'!$Z$29/3,IF($AZ$7=$AL$19,'[4]4 trim 2016 BIOGROUP'!$Z$29/3,""))))))</f>
        <v>31124.083333333332</v>
      </c>
      <c r="BB26" s="511">
        <f t="shared" si="5"/>
        <v>1656126.15</v>
      </c>
      <c r="BC26" s="750"/>
    </row>
    <row r="27" spans="1:55" ht="26.15" customHeight="1">
      <c r="A27" s="575"/>
      <c r="B27" s="548">
        <v>646</v>
      </c>
      <c r="C27" s="446" t="s">
        <v>146</v>
      </c>
      <c r="D27" s="555"/>
      <c r="E27" s="446" t="s">
        <v>32</v>
      </c>
      <c r="F27" s="577"/>
      <c r="G27" s="475">
        <v>-89789.84</v>
      </c>
      <c r="H27" s="578">
        <f>G27/G7</f>
        <v>-1.4476986592022831E-2</v>
      </c>
      <c r="J27" s="495">
        <f>-SUMIF($AO$7:$AZ$7,$G$6,AO27:AZ27)</f>
        <v>0</v>
      </c>
      <c r="K27" s="532" t="str">
        <f t="shared" si="6"/>
        <v/>
      </c>
      <c r="L27" s="431"/>
      <c r="M27" s="579">
        <f>AG27/3</f>
        <v>-98484.263333333351</v>
      </c>
      <c r="N27" s="517">
        <f t="shared" si="1"/>
        <v>-8.8282361456123185E-2</v>
      </c>
      <c r="O27" s="580"/>
      <c r="P27" s="586" t="s">
        <v>32</v>
      </c>
      <c r="Q27" s="582" t="e">
        <f>+#REF!+'31 dec 2016 BIOLAM'!AT33</f>
        <v>#REF!</v>
      </c>
      <c r="R27" s="583" t="e">
        <f>Q27/Q$7</f>
        <v>#REF!</v>
      </c>
      <c r="S27" s="582" t="e">
        <f>+'31 dec 2016 BIOLAM'!AV33+#REF!</f>
        <v>#REF!</v>
      </c>
      <c r="T27" s="583" t="e">
        <f>S27/S$7</f>
        <v>#REF!</v>
      </c>
      <c r="U27" s="582" t="e">
        <f>+'31 dec 2016 BIOLAM'!AX33+#REF!</f>
        <v>#REF!</v>
      </c>
      <c r="V27" s="583" t="e">
        <f>U27/U$7</f>
        <v>#REF!</v>
      </c>
      <c r="W27" s="582" t="e">
        <f>+'31 dec 2016 BIOLAM'!AZ33+#REF!</f>
        <v>#REF!</v>
      </c>
      <c r="X27" s="583" t="e">
        <f>W27/W$7</f>
        <v>#REF!</v>
      </c>
      <c r="Y27" s="582" t="e">
        <f t="shared" si="16"/>
        <v>#REF!</v>
      </c>
      <c r="Z27" s="583" t="e">
        <f>Y27/Y$7</f>
        <v>#REF!</v>
      </c>
      <c r="AA27" s="584" t="e">
        <f t="shared" si="12"/>
        <v>#REF!</v>
      </c>
      <c r="AB27" s="475">
        <f>-268797.48</f>
        <v>-268797.48</v>
      </c>
      <c r="AC27" s="578">
        <f>AB27/AB7</f>
        <v>-1.5060166045064249E-2</v>
      </c>
      <c r="AD27" s="495">
        <f>-SUMIF($AO$7:$AZ$7,"&lt;="&amp;$AC$6,AO27:AZ27)</f>
        <v>0</v>
      </c>
      <c r="AE27" s="517" t="str">
        <f t="shared" si="3"/>
        <v/>
      </c>
      <c r="AG27" s="579">
        <f>-189033.29-106419.5</f>
        <v>-295452.79000000004</v>
      </c>
      <c r="AH27" s="517">
        <f t="shared" si="4"/>
        <v>-9.0218508344429751E-2</v>
      </c>
      <c r="AJ27" s="587"/>
      <c r="AL27" s="435"/>
      <c r="AM27" s="446" t="s">
        <v>32</v>
      </c>
      <c r="AN27" s="747"/>
      <c r="AO27" s="431">
        <f>IF($AO$7=$AL$7,'[4]1 trim 2016 BIOGROUP'!$Z$33/3+'[4]1 trim 2016 BIOGROUP'!$Z$34/3,IF($AO$7=$AL$8,'[4]1 trim 2016 BIOGROUP'!$Z$33/3+'[4]1 trim 2016 BIOGROUP'!$Z$34/3,IF($AO$7=$AL$9,'[4]1 trim 2016 BIOGROUP'!$Z$33/3+'[4]1 trim 2016 BIOGROUP'!$Z$34/3,IF($AO$7=$AL$10,'[4]2 trim 2016 BIOGROUP'!$Z$33/3+'[4]2 trim 2016 BIOGROUP'!$Z$34/3,IF($AO$7=$AL$11,'[4]2 trim 2016 BIOGROUP'!$Z$33/3+'[4]2 trim 2016 BIOGROUP'!$Z$34/3,IF($AO$7=$AL$12,'[4]2 trim 2016 BIOGROUP'!$Z$33/3+'[4]2 trim 2016 BIOGROUP'!$Z$34/3,""))))))</f>
        <v>0</v>
      </c>
      <c r="AP27" s="431">
        <f>IF($AP$7=$AL$7,'[4]1 trim 2016 BIOGROUP'!$Z$33/3+'[4]1 trim 2016 BIOGROUP'!$Z$34/3,IF($AP$7=$AL$8,'[4]1 trim 2016 BIOGROUP'!$Z$33/3+'[4]1 trim 2016 BIOGROUP'!$Z$34/3,IF($AP$7=$AL$9,'[4]1 trim 2016 BIOGROUP'!$Z$33/3+'[4]1 trim 2016 BIOGROUP'!$Z$34/3,IF($AP$7=$AL$10,'[4]2 trim 2016 BIOGROUP'!$Z$33/3+'[4]2 trim 2016 BIOGROUP'!$Z$34/3,IF($AP$7=$AL$11,'[4]2 trim 2016 BIOGROUP'!$Z$33/3+'[4]2 trim 2016 BIOGROUP'!$Z$34/3,IF($AP$7=$AL$12,'[4]2 trim 2016 BIOGROUP'!$Z$33/3+'[4]2 trim 2016 BIOGROUP'!$Z$34/3,""))))))</f>
        <v>0</v>
      </c>
      <c r="AQ27" s="431">
        <f>IF($AQ$7=$AL$7,'[4]1 trim 2016 BIOGROUP'!$Z$33/3+'[4]1 trim 2016 BIOGROUP'!$Z$34/3,IF($AQ$7=$AL$8,'[4]1 trim 2016 BIOGROUP'!$Z$33/3+'[4]1 trim 2016 BIOGROUP'!$Z$34/3,IF($AQ$7=$AL$9,'[4]1 trim 2016 BIOGROUP'!$Z$33/3+'[4]1 trim 2016 BIOGROUP'!$Z$34/3,IF($AQ$7=$AL$10,'[4]2 trim 2016 BIOGROUP'!$Z$33/3+'[4]2 trim 2016 BIOGROUP'!$Z$34/3,IF($AQ$7=$AL$11,'[4]2 trim 2016 BIOGROUP'!$Z$33/3+'[4]2 trim 2016 BIOGROUP'!$Z$34/3,IF($AQ$7=$AL$12,'[4]2 trim 2016 BIOGROUP'!$Z$33/3+'[4]2 trim 2016 BIOGROUP'!$Z$34/3,""))))))</f>
        <v>0</v>
      </c>
      <c r="AR27" s="431">
        <f>IF($AR$7=$AL$7,'[4]1 trim 2016 BIOGROUP'!$Z$33/3+'[4]1 trim 2016 BIOGROUP'!$Z$34/3,IF($AR$7=$AL$8,'[4]1 trim 2016 BIOGROUP'!$Z$33/3+'[4]1 trim 2016 BIOGROUP'!$Z$34/3,IF($AR$7=$AL$9,'[4]1 trim 2016 BIOGROUP'!$Z$33/3+'[4]1 trim 2016 BIOGROUP'!$Z$34/3,IF($AR$7=$AL$10,'[4]2 trim 2016 BIOGROUP'!$Z$33/3+'[4]2 trim 2016 BIOGROUP'!$Z$34/3,IF($AR$7=$AL$11,'[4]2 trim 2016 BIOGROUP'!$Z$33/3+'[4]2 trim 2016 BIOGROUP'!$Z$34/3,IF($AR$7=$AL$12,'[4]2 trim 2016 BIOGROUP'!$Z$33/3+'[4]2 trim 2016 BIOGROUP'!$Z$34/3,""))))))</f>
        <v>0</v>
      </c>
      <c r="AS27" s="431">
        <f>IF($AS$7=$AL$7,'[4]1 trim 2016 BIOGROUP'!$Z$33/3+'[4]1 trim 2016 BIOGROUP'!$Z$34/3,IF($AS$7=$AL$8,'[4]1 trim 2016 BIOGROUP'!$Z$33/3+'[4]1 trim 2016 BIOGROUP'!$Z$34/3,IF($AS$7=$AL$9,'[4]1 trim 2016 BIOGROUP'!$Z$33/3+'[4]1 trim 2016 BIOGROUP'!$Z$34/3,IF($AS$7=$AL$10,'[4]2 trim 2016 BIOGROUP'!$Z$33/3+'[4]2 trim 2016 BIOGROUP'!$Z$34/3,IF($AS$7=$AL$11,'[4]2 trim 2016 BIOGROUP'!$Z$33/3+'[4]2 trim 2016 BIOGROUP'!$Z$34/3,IF($AS$7=$AL$12,'[4]2 trim 2016 BIOGROUP'!$Z$33/3+'[4]2 trim 2016 BIOGROUP'!$Z$34/3,""))))))</f>
        <v>0</v>
      </c>
      <c r="AT27" s="431">
        <f>IF($AT$7=$AL$7,'[4]1 trim 2016 BIOGROUP'!$Z$33/3+'[4]1 trim 2016 BIOGROUP'!$Z$34/3,IF($AT$7=$AL$8,'[4]1 trim 2016 BIOGROUP'!$Z$33/3+'[4]1 trim 2016 BIOGROUP'!$Z$34/3,IF($AT$7=$AL$9,'[4]1 trim 2016 BIOGROUP'!$Z$33/3+'[4]1 trim 2016 BIOGROUP'!$Z$34/3,IF($AT$7=$AL$10,'[4]2 trim 2016 BIOGROUP'!$Z$33/3+'[4]2 trim 2016 BIOGROUP'!$Z$34/3,IF($AT$7=$AL$11,'[4]2 trim 2016 BIOGROUP'!$Z$33/3+'[4]2 trim 2016 BIOGROUP'!$Z$34/3,IF($AT$7=$AL$12,'[4]2 trim 2016 BIOGROUP'!$Z$33/3+'[4]2 trim 2016 BIOGROUP'!$Z$34/3,""))))))</f>
        <v>0</v>
      </c>
      <c r="AU27" s="431">
        <f>IF($AU$7=$AL$13,'[4]3 trim 2016 BIOGROUP'!$Z$33/3+'[4]3 trim 2016 BIOGROUP'!$Z$34/3,IF($AU$7=$AL$14,'[4]3 trim 2016 BIOGROUP'!$Z$33/3+'[4]3 trim 2016 BIOGROUP'!$Z$34/3,IF($AU$7=$AL$15,'[4]3 trim 2016 BIOGROUP'!$Z$33/3+'[4]3 trim 2016 BIOGROUP'!$Z$34/3,IF($AU$7=$AL$16,'[4]4 trim 2016 BIOGROUP'!$Z$33/3+'[4]4 trim 2016 BIOGROUP'!$Z$34/3,IF($AU$7=$AL$18,'[4]4 trim 2016 BIOGROUP'!$Z$33/3+'[4]4 trim 2016 BIOGROUP'!$Z$34/3,IF($AU$7=$AL$19,'[4]4 trim 2016 BIOGROUP'!$Z$33/3+'[4]4 trim 2016 BIOGROUP'!$Z$34/3,""))))))</f>
        <v>0</v>
      </c>
      <c r="AV27" s="431">
        <f>IF($AV$7=$AL$13,'[4]3 trim 2016 BIOGROUP'!$Z$33/3+'[4]3 trim 2016 BIOGROUP'!$Z$34/3,IF($AV$7=$AL$14,'[4]3 trim 2016 BIOGROUP'!$Z$33/3+'[4]3 trim 2016 BIOGROUP'!$Z$34/3,IF($AV$7=$AL$15,'[4]3 trim 2016 BIOGROUP'!$Z$33/3+'[4]3 trim 2016 BIOGROUP'!$Z$34/3,IF($AV$7=$AL$16,'[4]4 trim 2016 BIOGROUP'!$Z$33/3+'[4]4 trim 2016 BIOGROUP'!$Z$34/3,IF($AV$7=$AL$18,'[4]4 trim 2016 BIOGROUP'!$Z$33/3+'[4]4 trim 2016 BIOGROUP'!$Z$34/3,IF($AV$7=$AL$19,'[4]4 trim 2016 BIOGROUP'!$Z$33/3+'[4]4 trim 2016 BIOGROUP'!$Z$34/3,""))))))</f>
        <v>0</v>
      </c>
      <c r="AW27" s="431">
        <f>IF($AW$7=$AL$13,'[4]3 trim 2016 BIOGROUP'!$Z$33/3+'[4]3 trim 2016 BIOGROUP'!$Z$34/3,IF($AW$7=$AL$14,'[4]3 trim 2016 BIOGROUP'!$Z$33/3+'[4]3 trim 2016 BIOGROUP'!$Z$34/3,IF($AW$7=$AL$15,'[4]3 trim 2016 BIOGROUP'!$Z$33/3+'[4]3 trim 2016 BIOGROUP'!$Z$34/3,IF($AW$7=$AL$16,'[4]4 trim 2016 BIOGROUP'!$Z$33/3+'[4]4 trim 2016 BIOGROUP'!$Z$34/3,IF($AW$7=$AL$18,'[4]4 trim 2016 BIOGROUP'!$Z$33/3+'[4]4 trim 2016 BIOGROUP'!$Z$34/3,IF($AW$7=$AL$19,'[4]4 trim 2016 BIOGROUP'!$Z$33/3+'[4]4 trim 2016 BIOGROUP'!$Z$34/3,""))))))</f>
        <v>0</v>
      </c>
      <c r="AX27" s="431">
        <f>IF($AX$7=$AL$13,'[4]3 trim 2016 BIOGROUP'!$Z$33/3+'[4]3 trim 2016 BIOGROUP'!$Z$34/3,IF($AX$7=$AL$14,'[4]3 trim 2016 BIOGROUP'!$Z$33/3+'[4]3 trim 2016 BIOGROUP'!$Z$34/3,IF($AX$7=$AL$15,'[4]3 trim 2016 BIOGROUP'!$Z$33/3+'[4]3 trim 2016 BIOGROUP'!$Z$34/3,IF($AX$7=$AL$16,'[4]4 trim 2016 BIOGROUP'!$Z$33/3+'[4]4 trim 2016 BIOGROUP'!$Z$34/3,IF($AX$7=$AL$18,'[4]4 trim 2016 BIOGROUP'!$Z$33/3+'[4]4 trim 2016 BIOGROUP'!$Z$34/3,IF($AX$7=$AL$19,'[4]4 trim 2016 BIOGROUP'!$Z$33/3+'[4]4 trim 2016 BIOGROUP'!$Z$34/3,""))))))</f>
        <v>0</v>
      </c>
      <c r="AY27" s="431">
        <f>IF($AY$7=$AL$13,'[4]3 trim 2016 BIOGROUP'!$Z$33/3+'[4]3 trim 2016 BIOGROUP'!$Z$34/3,IF($AY$7=$AL$14,'[4]3 trim 2016 BIOGROUP'!$Z$33/3+'[4]3 trim 2016 BIOGROUP'!$Z$34/3,IF($AY$7=$AL$15,'[4]3 trim 2016 BIOGROUP'!$Z$33/3+'[4]3 trim 2016 BIOGROUP'!$Z$34/3,IF($AY$7=$AL$16,'[4]4 trim 2016 BIOGROUP'!$Z$33/3+'[4]4 trim 2016 BIOGROUP'!$Z$34/3,IF($AY$7=$AL$18,'[4]4 trim 2016 BIOGROUP'!$Z$33/3+'[4]4 trim 2016 BIOGROUP'!$Z$34/3,IF($AY$7=$AL$19,'[4]4 trim 2016 BIOGROUP'!$Z$33/3+'[4]4 trim 2016 BIOGROUP'!$Z$34/3,""))))))</f>
        <v>0</v>
      </c>
      <c r="AZ27" s="431">
        <f>IF($AZ$7=$AL$13,'[4]3 trim 2016 BIOGROUP'!$Z$33/3+'[4]3 trim 2016 BIOGROUP'!$Z$34/3,IF($AZ$7=$AL$14,'[4]3 trim 2016 BIOGROUP'!$Z$33/3+'[4]3 trim 2016 BIOGROUP'!$Z$34/3,IF($AZ$7=$AL$15,'[4]3 trim 2016 BIOGROUP'!$Z$33/3+'[4]3 trim 2016 BIOGROUP'!$Z$34/3,IF($AZ$7=$AL$16,'[4]4 trim 2016 BIOGROUP'!$Z$33/3+'[4]4 trim 2016 BIOGROUP'!$Z$34/3,IF($AZ$7=$AL$18,'[4]4 trim 2016 BIOGROUP'!$Z$33/3+'[4]4 trim 2016 BIOGROUP'!$Z$34/3,IF($AZ$7=$AL$19,'[4]4 trim 2016 BIOGROUP'!$Z$33/3+'[4]4 trim 2016 BIOGROUP'!$Z$34/3,""))))))</f>
        <v>0</v>
      </c>
      <c r="BB27" s="511">
        <f t="shared" si="5"/>
        <v>268797.48</v>
      </c>
      <c r="BC27" s="750"/>
    </row>
    <row r="28" spans="1:55" ht="26.15" customHeight="1">
      <c r="A28" s="575"/>
      <c r="B28" s="548">
        <v>654</v>
      </c>
      <c r="C28" s="451" t="s">
        <v>92</v>
      </c>
      <c r="D28" s="439"/>
      <c r="E28" s="451" t="s">
        <v>93</v>
      </c>
      <c r="F28" s="577"/>
      <c r="G28" s="476">
        <v>0</v>
      </c>
      <c r="H28" s="591">
        <f>+G28/G7</f>
        <v>0</v>
      </c>
      <c r="J28" s="501">
        <v>0</v>
      </c>
      <c r="K28" s="530" t="str">
        <f t="shared" si="6"/>
        <v/>
      </c>
      <c r="L28" s="431"/>
      <c r="M28" s="598">
        <f>AG28/3</f>
        <v>0</v>
      </c>
      <c r="N28" s="518" t="str">
        <f t="shared" si="1"/>
        <v/>
      </c>
      <c r="O28" s="592"/>
      <c r="P28" s="621"/>
      <c r="Q28" s="607"/>
      <c r="R28" s="622"/>
      <c r="S28" s="607"/>
      <c r="T28" s="622"/>
      <c r="U28" s="607"/>
      <c r="V28" s="622"/>
      <c r="W28" s="607"/>
      <c r="X28" s="622"/>
      <c r="Y28" s="607"/>
      <c r="Z28" s="622"/>
      <c r="AA28" s="609"/>
      <c r="AB28" s="476">
        <v>0</v>
      </c>
      <c r="AC28" s="591">
        <f>AB28/AB7</f>
        <v>0</v>
      </c>
      <c r="AD28" s="501">
        <v>0</v>
      </c>
      <c r="AE28" s="518" t="str">
        <f t="shared" si="3"/>
        <v/>
      </c>
      <c r="AG28" s="598">
        <v>0</v>
      </c>
      <c r="AH28" s="518" t="str">
        <f t="shared" si="4"/>
        <v/>
      </c>
      <c r="AL28" s="435"/>
      <c r="AM28" s="451" t="s">
        <v>93</v>
      </c>
      <c r="AN28" s="747"/>
      <c r="BB28" s="511">
        <f t="shared" si="5"/>
        <v>0</v>
      </c>
      <c r="BC28" s="750"/>
    </row>
    <row r="29" spans="1:55" ht="37.5" customHeight="1">
      <c r="A29" s="575"/>
      <c r="B29" s="548"/>
      <c r="C29" s="452" t="s">
        <v>94</v>
      </c>
      <c r="D29" s="439"/>
      <c r="E29" s="452" t="s">
        <v>117</v>
      </c>
      <c r="F29" s="577"/>
      <c r="G29" s="479">
        <f>+G11+G15+G21+G23+G28</f>
        <v>-4303161.16</v>
      </c>
      <c r="H29" s="623">
        <f>+G29/G7</f>
        <v>-0.6938068540564658</v>
      </c>
      <c r="J29" s="502">
        <f>+J11+J15+J21+J23+J28</f>
        <v>0</v>
      </c>
      <c r="K29" s="534" t="str">
        <f t="shared" si="6"/>
        <v/>
      </c>
      <c r="L29" s="431"/>
      <c r="M29" s="502">
        <f>+M11+M15+M21+M23+M28</f>
        <v>-3823112.0366666671</v>
      </c>
      <c r="N29" s="520">
        <f>IF(ISERROR((G29-M29)/M29),"",(G29-M29)/M29)</f>
        <v>0.12556501581153845</v>
      </c>
      <c r="O29" s="624"/>
      <c r="P29" s="625"/>
      <c r="Q29" s="594" t="e">
        <f>+#REF!+'31 dec 2016 BIOLAM'!AT35</f>
        <v>#REF!</v>
      </c>
      <c r="R29" s="517"/>
      <c r="S29" s="594" t="e">
        <f>+'31 dec 2016 BIOLAM'!AV35+#REF!</f>
        <v>#REF!</v>
      </c>
      <c r="T29" s="517"/>
      <c r="U29" s="594" t="e">
        <f>+'31 dec 2016 BIOLAM'!AX35+#REF!</f>
        <v>#REF!</v>
      </c>
      <c r="V29" s="517"/>
      <c r="W29" s="594" t="e">
        <f>+'31 dec 2016 BIOLAM'!AZ35+#REF!</f>
        <v>#REF!</v>
      </c>
      <c r="X29" s="517"/>
      <c r="Y29" s="594" t="e">
        <f t="shared" si="16"/>
        <v>#REF!</v>
      </c>
      <c r="Z29" s="517"/>
      <c r="AA29" s="626" t="e">
        <f>+G29-Y29</f>
        <v>#REF!</v>
      </c>
      <c r="AB29" s="479">
        <f>+AB11+AB15+AB21+AB23+AB28</f>
        <v>-12596002.210000001</v>
      </c>
      <c r="AC29" s="623">
        <f>AB29/AB7</f>
        <v>-0.70572791376837418</v>
      </c>
      <c r="AD29" s="502">
        <f>+AD11+AD15+AD21+AD23+AD28</f>
        <v>0</v>
      </c>
      <c r="AE29" s="520" t="str">
        <f t="shared" si="3"/>
        <v/>
      </c>
      <c r="AG29" s="502">
        <f>+AG11+AG15+AG21+AG23+AG28</f>
        <v>-11469336.109999999</v>
      </c>
      <c r="AH29" s="520">
        <f t="shared" si="4"/>
        <v>9.8232895888165014E-2</v>
      </c>
      <c r="AJ29" s="627"/>
      <c r="AL29" s="435"/>
      <c r="AM29" s="452" t="s">
        <v>117</v>
      </c>
      <c r="AN29" s="747"/>
      <c r="AO29" s="741">
        <f>+AO11+AO15+AO21+AO23+AO28</f>
        <v>-243219.33333333331</v>
      </c>
      <c r="AP29" s="741">
        <f t="shared" ref="AP29:AZ29" si="17">+AP11+AP15+AP21+AP23+AP28</f>
        <v>-243219.33333333331</v>
      </c>
      <c r="AQ29" s="741">
        <f t="shared" si="17"/>
        <v>-243219.33333333331</v>
      </c>
      <c r="AR29" s="741">
        <f t="shared" si="17"/>
        <v>-243219.33333333331</v>
      </c>
      <c r="AS29" s="741">
        <f t="shared" si="17"/>
        <v>-243219.33333333331</v>
      </c>
      <c r="AT29" s="741">
        <f t="shared" si="17"/>
        <v>-243219.33333333331</v>
      </c>
      <c r="AU29" s="741">
        <f t="shared" si="17"/>
        <v>-243219.33333333331</v>
      </c>
      <c r="AV29" s="741">
        <f t="shared" si="17"/>
        <v>-243219.33333333331</v>
      </c>
      <c r="AW29" s="741">
        <f t="shared" si="17"/>
        <v>-243219.33333333331</v>
      </c>
      <c r="AX29" s="741">
        <f t="shared" si="17"/>
        <v>-243219.33333333331</v>
      </c>
      <c r="AY29" s="741">
        <f t="shared" si="17"/>
        <v>-243219.33333333331</v>
      </c>
      <c r="AZ29" s="741">
        <f t="shared" si="17"/>
        <v>-243219.33333333331</v>
      </c>
      <c r="BB29" s="748">
        <f t="shared" si="5"/>
        <v>12596002.210000001</v>
      </c>
      <c r="BC29" s="752"/>
    </row>
    <row r="30" spans="1:55" s="439" customFormat="1" ht="33" customHeight="1">
      <c r="A30" s="628"/>
      <c r="B30" s="629"/>
      <c r="C30" s="453" t="s">
        <v>125</v>
      </c>
      <c r="D30" s="630"/>
      <c r="E30" s="453" t="s">
        <v>126</v>
      </c>
      <c r="F30" s="631"/>
      <c r="G30" s="480">
        <v>41838.050000000003</v>
      </c>
      <c r="H30" s="632">
        <f>G30/G7</f>
        <v>6.7456283348581629E-3</v>
      </c>
      <c r="I30" s="431"/>
      <c r="J30" s="503">
        <f>-SUMIF($AO$7:$AZ$7,$G$6,AO30:AZ30)</f>
        <v>0</v>
      </c>
      <c r="K30" s="535" t="str">
        <f t="shared" si="6"/>
        <v/>
      </c>
      <c r="L30" s="431"/>
      <c r="M30" s="633">
        <f>AG30/3</f>
        <v>41881.636666666665</v>
      </c>
      <c r="N30" s="527">
        <f t="shared" si="1"/>
        <v>-1.040710682191483E-3</v>
      </c>
      <c r="O30" s="634"/>
      <c r="P30" s="635" t="s">
        <v>61</v>
      </c>
      <c r="Q30" s="636" t="e">
        <f>+#REF!+'31 dec 2016 BIOLAM'!AT36</f>
        <v>#REF!</v>
      </c>
      <c r="R30" s="637" t="e">
        <f>Q30/Q$7</f>
        <v>#REF!</v>
      </c>
      <c r="S30" s="636" t="e">
        <f>+'31 dec 2016 BIOLAM'!AV36+#REF!</f>
        <v>#REF!</v>
      </c>
      <c r="T30" s="637" t="e">
        <f>S30/S$7</f>
        <v>#REF!</v>
      </c>
      <c r="U30" s="636" t="e">
        <f>+'31 dec 2016 BIOLAM'!AX36+#REF!</f>
        <v>#REF!</v>
      </c>
      <c r="V30" s="637" t="e">
        <f>U30/U$7</f>
        <v>#REF!</v>
      </c>
      <c r="W30" s="636" t="e">
        <f>+'31 dec 2016 BIOLAM'!AZ36+#REF!</f>
        <v>#REF!</v>
      </c>
      <c r="X30" s="637" t="e">
        <f>W30/W$7</f>
        <v>#REF!</v>
      </c>
      <c r="Y30" s="638" t="e">
        <f t="shared" si="16"/>
        <v>#REF!</v>
      </c>
      <c r="Z30" s="637" t="e">
        <f>Y30/Y$7</f>
        <v>#REF!</v>
      </c>
      <c r="AA30" s="639" t="e">
        <f>+G30-Y30</f>
        <v>#REF!</v>
      </c>
      <c r="AB30" s="480">
        <f>126213</f>
        <v>126213</v>
      </c>
      <c r="AC30" s="632">
        <f>AB30/AB7</f>
        <v>7.0714529654284496E-3</v>
      </c>
      <c r="AD30" s="503">
        <f>-SUMIF($AO$7:$AZ$7,"&lt;="&amp;$AC$6,AO30:AZ30)</f>
        <v>0</v>
      </c>
      <c r="AE30" s="521" t="str">
        <f t="shared" si="3"/>
        <v/>
      </c>
      <c r="AF30" s="431"/>
      <c r="AG30" s="633">
        <f>71003+54641.91</f>
        <v>125644.91</v>
      </c>
      <c r="AH30" s="527">
        <f t="shared" si="4"/>
        <v>4.5213928682029097E-3</v>
      </c>
      <c r="AM30" s="453" t="s">
        <v>126</v>
      </c>
      <c r="AN30" s="747"/>
      <c r="AO30" s="431">
        <f>IF($AO$7=$AL$7,'[4]1 trim 2016 BIOGROUP'!$Z$36/3,IF($AO$7=$AL$8,'[4]1 trim 2016 BIOGROUP'!$Z$36/3,IF($AO$7=$AL$9,'[4]1 trim 2016 BIOGROUP'!$Z$36/3,IF($AO$7=$AL$10,'[4]2 trim 2016 BIOGROUP'!$Z$36/3,IF($AO$7=$AL$11,'[4]2 trim 2016 BIOGROUP'!$Z$36/3,IF($AO$7=$AL$12,'[4]2 trim 2016 BIOGROUP'!$Z$36/3,""))))))</f>
        <v>-2998.5833333333335</v>
      </c>
      <c r="AP30" s="431">
        <f>IF($AP$7=$AL$7,'[4]1 trim 2016 BIOGROUP'!$Z$36/3,IF($AP$7=$AL$8,'[4]1 trim 2016 BIOGROUP'!$Z$36/3,IF($AP$7=$AL$9,'[4]1 trim 2016 BIOGROUP'!$Z$36/3,IF($AP$7=$AL$10,'[4]2 trim 2016 BIOGROUP'!$Z$36/3,IF($AP$7=$AL$11,'[4]2 trim 2016 BIOGROUP'!$Z$36/3,IF($AP$7=$AL$12,'[4]2 trim 2016 BIOGROUP'!$Z$36/3,""))))))</f>
        <v>-2998.5833333333335</v>
      </c>
      <c r="AQ30" s="431">
        <f>IF($AQ$7=$AL$7,'[4]1 trim 2016 BIOGROUP'!$Z$36/3,IF($AQ$7=$AL$8,'[4]1 trim 2016 BIOGROUP'!$Z$36/3,IF($AQ$7=$AL$9,'[4]1 trim 2016 BIOGROUP'!$Z$36/3,IF($AQ$7=$AL$10,'[4]2 trim 2016 BIOGROUP'!$Z$36/3,IF($AQ$7=$AL$11,'[4]2 trim 2016 BIOGROUP'!$Z$36/3,IF($AQ$7=$AL$12,'[4]2 trim 2016 BIOGROUP'!$Z$36/3,""))))))</f>
        <v>-2998.5833333333335</v>
      </c>
      <c r="AR30" s="431">
        <f>IF($AR$7=$AL$7,'[4]1 trim 2016 BIOGROUP'!$Z$36/3,IF($AR$7=$AL$8,'[4]1 trim 2016 BIOGROUP'!$Z$36/3,IF($AR$7=$AL$9,'[4]1 trim 2016 BIOGROUP'!$Z$36/3,IF($AR$7=$AL$10,'[4]2 trim 2016 BIOGROUP'!$Z$36/3,IF($AR$7=$AL$11,'[4]2 trim 2016 BIOGROUP'!$Z$36/3,IF($AR$7=$AL$12,'[4]2 trim 2016 BIOGROUP'!$Z$36/3,""))))))</f>
        <v>-2998.5833333333335</v>
      </c>
      <c r="AS30" s="431">
        <f>IF($AS$7=$AL$7,'[4]1 trim 2016 BIOGROUP'!$Z$36/3,IF($AS$7=$AL$8,'[4]1 trim 2016 BIOGROUP'!$Z$36/3,IF($AS$7=$AL$9,'[4]1 trim 2016 BIOGROUP'!$Z$36/3,IF($AS$7=$AL$10,'[4]2 trim 2016 BIOGROUP'!$Z$36/3,IF($AS$7=$AL$11,'[4]2 trim 2016 BIOGROUP'!$Z$36/3,IF($AS$7=$AL$12,'[4]2 trim 2016 BIOGROUP'!$Z$36/3,""))))))</f>
        <v>-2998.5833333333335</v>
      </c>
      <c r="AT30" s="431">
        <f>IF($AT$7=$AL$7,'[4]1 trim 2016 BIOGROUP'!$Z$36/3,IF($AT$7=$AL$8,'[4]1 trim 2016 BIOGROUP'!$Z$36/3,IF($AT$7=$AL$9,'[4]1 trim 2016 BIOGROUP'!$Z$36/3,IF($AT$7=$AL$10,'[4]2 trim 2016 BIOGROUP'!$Z$36/3,IF($AT$7=$AL$11,'[4]2 trim 2016 BIOGROUP'!$Z$36/3,IF($AT$7=$AL$12,'[4]2 trim 2016 BIOGROUP'!$Z$36/3,""))))))</f>
        <v>-2998.5833333333335</v>
      </c>
      <c r="AU30" s="431">
        <f>IF($AU$7=$AL$13,'[4]3 trim 2016 BIOGROUP'!$Z$36/3,IF($AU$7=$AL$14,'[4]3 trim 2016 BIOGROUP'!$Z$36/3,IF($AU$7=$AL$15,'[4]3 trim 2016 BIOGROUP'!$Z$36/3,IF($AU$7=$AL$16,'[4]4 trim 2016 BIOGROUP'!$Z$36/3,IF($AU$7=$AL$18,'[4]4 trim 2016 BIOGROUP'!$Z$36/3,IF($AU$7=$AL$19,'[4]4 trim 2016 BIOGROUP'!$Z$36/3,""))))))</f>
        <v>-2998.5833333333335</v>
      </c>
      <c r="AV30" s="431">
        <f>IF($AV$7=$AL$13,'[4]3 trim 2016 BIOGROUP'!$Z$36/3,IF($AV$7=$AL$14,'[4]3 trim 2016 BIOGROUP'!$Z$36/3,IF($AV$7=$AL$15,'[4]3 trim 2016 BIOGROUP'!$Z$36/3,IF($AV$7=$AL$16,'[4]4 trim 2016 BIOGROUP'!$Z$36/3,IF($AV$7=$AL$18,'[4]4 trim 2016 BIOGROUP'!$Z$36/3,IF($AV$7=$AL$19,'[4]4 trim 2016 BIOGROUP'!$Z$36/3,""))))))</f>
        <v>-2998.5833333333335</v>
      </c>
      <c r="AW30" s="431">
        <f>IF($AW$7=$AL$13,'[4]3 trim 2016 BIOGROUP'!$Z$36/3,IF($AW$7=$AL$14,'[4]3 trim 2016 BIOGROUP'!$Z$36/3,IF($AW$7=$AL$15,'[4]3 trim 2016 BIOGROUP'!$Z$36/3,IF($AW$7=$AL$16,'[4]4 trim 2016 BIOGROUP'!$Z$36/3,IF($AW$7=$AL$18,'[4]4 trim 2016 BIOGROUP'!$Z$36/3,IF($AW$7=$AL$19,'[4]4 trim 2016 BIOGROUP'!$Z$36/3,""))))))</f>
        <v>-2998.5833333333335</v>
      </c>
      <c r="AX30" s="431">
        <f>IF($AX$7=$AL$13,'[4]3 trim 2016 BIOGROUP'!$Z$36/3,IF($AX$7=$AL$14,'[4]3 trim 2016 BIOGROUP'!$Z$36/3,IF($AX$7=$AL$15,'[4]3 trim 2016 BIOGROUP'!$Z$36/3,IF($AX$7=$AL$16,'[4]4 trim 2016 BIOGROUP'!$Z$36/3,IF($AX$7=$AL$18,'[4]4 trim 2016 BIOGROUP'!$Z$36/3,IF($AX$7=$AL$19,'[4]4 trim 2016 BIOGROUP'!$Z$36/3,""))))))</f>
        <v>-2998.5833333333335</v>
      </c>
      <c r="AY30" s="431">
        <f>IF($AY$7=$AL$13,'[4]3 trim 2016 BIOGROUP'!$Z$36/3,IF($AY$7=$AL$14,'[4]3 trim 2016 BIOGROUP'!$Z$36/3,IF($AY$7=$AL$15,'[4]3 trim 2016 BIOGROUP'!$Z$36/3,IF($AY$7=$AL$16,'[4]4 trim 2016 BIOGROUP'!$Z$36/3,IF($AY$7=$AL$18,'[4]4 trim 2016 BIOGROUP'!$Z$36/3,IF($AY$7=$AL$19,'[4]4 trim 2016 BIOGROUP'!$Z$36/3,""))))))</f>
        <v>-2998.5833333333335</v>
      </c>
      <c r="AZ30" s="431">
        <f>IF($AZ$7=$AL$13,'[4]3 trim 2016 BIOGROUP'!$Z$36/3,IF($AZ$7=$AL$14,'[4]3 trim 2016 BIOGROUP'!$Z$36/3,IF($AZ$7=$AL$15,'[4]3 trim 2016 BIOGROUP'!$Z$36/3,IF($AZ$7=$AL$16,'[4]4 trim 2016 BIOGROUP'!$Z$36/3,IF($AZ$7=$AL$18,'[4]4 trim 2016 BIOGROUP'!$Z$36/3,IF($AZ$7=$AL$19,'[4]4 trim 2016 BIOGROUP'!$Z$36/3,""))))))</f>
        <v>-2998.5833333333335</v>
      </c>
      <c r="BB30" s="511">
        <f t="shared" si="5"/>
        <v>126213</v>
      </c>
      <c r="BC30" s="749"/>
    </row>
    <row r="31" spans="1:55" ht="26.15" customHeight="1">
      <c r="A31" s="565"/>
      <c r="B31" s="566"/>
      <c r="C31" s="454" t="s">
        <v>97</v>
      </c>
      <c r="D31" s="439"/>
      <c r="E31" s="454" t="s">
        <v>12</v>
      </c>
      <c r="G31" s="481">
        <f>G7+G29+G30</f>
        <v>1940923.43</v>
      </c>
      <c r="H31" s="641">
        <f>G31/G7</f>
        <v>0.31293877427839234</v>
      </c>
      <c r="J31" s="504">
        <f>J7+J29+J30</f>
        <v>0</v>
      </c>
      <c r="K31" s="505" t="str">
        <f t="shared" si="6"/>
        <v/>
      </c>
      <c r="L31" s="431"/>
      <c r="M31" s="504">
        <f>M7+M29+M30</f>
        <v>1195565.0999999996</v>
      </c>
      <c r="N31" s="522">
        <f t="shared" si="1"/>
        <v>0.62343600528319243</v>
      </c>
      <c r="O31" s="580"/>
      <c r="P31" s="611" t="s">
        <v>12</v>
      </c>
      <c r="Q31" s="618" t="e">
        <f>+Q7-Q11-Q15-Q21-Q23</f>
        <v>#REF!</v>
      </c>
      <c r="R31" s="517" t="e">
        <f>Q31/Q$7</f>
        <v>#REF!</v>
      </c>
      <c r="S31" s="618" t="e">
        <f>+S7-S11-S15-S21-S23</f>
        <v>#REF!</v>
      </c>
      <c r="T31" s="517" t="e">
        <f>S31/S$7</f>
        <v>#REF!</v>
      </c>
      <c r="U31" s="618" t="e">
        <f>+U7-U11-U15-U21-U23</f>
        <v>#REF!</v>
      </c>
      <c r="V31" s="517" t="e">
        <f>U31/U$7</f>
        <v>#REF!</v>
      </c>
      <c r="W31" s="618" t="e">
        <f>+W7-W11-W15-W21-W23</f>
        <v>#REF!</v>
      </c>
      <c r="X31" s="517" t="e">
        <f>W31/W$7</f>
        <v>#REF!</v>
      </c>
      <c r="Y31" s="618" t="e">
        <f>+Y7-Y11-Y15-Y21-Y23</f>
        <v>#REF!</v>
      </c>
      <c r="Z31" s="517" t="e">
        <f>Y31/Y$7</f>
        <v>#REF!</v>
      </c>
      <c r="AA31" s="584" t="e">
        <f>+G31-Y31</f>
        <v>#REF!</v>
      </c>
      <c r="AB31" s="481">
        <f>AB7+AB29+AB30</f>
        <v>5378452.25</v>
      </c>
      <c r="AC31" s="641">
        <f>AB31/AB7</f>
        <v>0.30134353919705431</v>
      </c>
      <c r="AD31" s="504">
        <f>AD7+AD29+AD30</f>
        <v>0</v>
      </c>
      <c r="AE31" s="522" t="str">
        <f t="shared" si="3"/>
        <v/>
      </c>
      <c r="AG31" s="504">
        <f>+AG7+AG29+AG30</f>
        <v>3586695.3000000026</v>
      </c>
      <c r="AH31" s="522">
        <f t="shared" si="4"/>
        <v>0.49955649982310907</v>
      </c>
      <c r="AM31" s="454" t="s">
        <v>12</v>
      </c>
      <c r="AN31" s="747"/>
      <c r="AO31" s="741">
        <f>AO8+AO9+AO10+AO29-AO30</f>
        <v>90179.000000000073</v>
      </c>
      <c r="AP31" s="741">
        <f t="shared" ref="AP31:AZ31" si="18">AP8+AP9+AP10+AP29-AP30</f>
        <v>90179.000000000073</v>
      </c>
      <c r="AQ31" s="741">
        <f t="shared" si="18"/>
        <v>90179.000000000073</v>
      </c>
      <c r="AR31" s="741">
        <f t="shared" si="18"/>
        <v>91867.916666666701</v>
      </c>
      <c r="AS31" s="741">
        <f t="shared" si="18"/>
        <v>91867.916666666701</v>
      </c>
      <c r="AT31" s="741">
        <f t="shared" si="18"/>
        <v>91867.916666666701</v>
      </c>
      <c r="AU31" s="741">
        <f t="shared" si="18"/>
        <v>91867.916666666701</v>
      </c>
      <c r="AV31" s="741">
        <f t="shared" si="18"/>
        <v>91867.916666666701</v>
      </c>
      <c r="AW31" s="741">
        <f t="shared" si="18"/>
        <v>91867.916666666701</v>
      </c>
      <c r="AX31" s="741">
        <f t="shared" si="18"/>
        <v>91867.916666666701</v>
      </c>
      <c r="AY31" s="741">
        <f t="shared" si="18"/>
        <v>91867.916666666701</v>
      </c>
      <c r="AZ31" s="741">
        <f t="shared" si="18"/>
        <v>91867.916666666701</v>
      </c>
      <c r="BB31" s="748">
        <f t="shared" si="5"/>
        <v>5378452.25</v>
      </c>
      <c r="BC31" s="752"/>
    </row>
    <row r="32" spans="1:55" ht="26.15" hidden="1" customHeight="1">
      <c r="A32" s="565"/>
      <c r="B32" s="566"/>
      <c r="C32" s="455" t="s">
        <v>96</v>
      </c>
      <c r="D32" s="439"/>
      <c r="E32" s="455" t="str">
        <f>+C32</f>
        <v>EBITDA (% of net revenues)</v>
      </c>
      <c r="G32" s="483"/>
      <c r="H32" s="642"/>
      <c r="J32" s="536" t="e">
        <f>J31/J7</f>
        <v>#DIV/0!</v>
      </c>
      <c r="K32" s="536" t="str">
        <f t="shared" si="6"/>
        <v/>
      </c>
      <c r="L32" s="431"/>
      <c r="M32" s="643"/>
      <c r="N32" s="517" t="str">
        <f t="shared" si="1"/>
        <v/>
      </c>
      <c r="O32" s="580"/>
      <c r="P32" s="644"/>
      <c r="Q32" s="645"/>
      <c r="R32" s="517"/>
      <c r="S32" s="645"/>
      <c r="T32" s="517"/>
      <c r="U32" s="645"/>
      <c r="V32" s="517"/>
      <c r="W32" s="645"/>
      <c r="X32" s="517"/>
      <c r="Y32" s="645"/>
      <c r="Z32" s="517"/>
      <c r="AA32" s="584"/>
      <c r="AB32" s="482">
        <f>AB31/AB7</f>
        <v>0.30134353919705431</v>
      </c>
      <c r="AC32" s="641"/>
      <c r="AD32" s="505" t="e">
        <f>AD31/AD7</f>
        <v>#DIV/0!</v>
      </c>
      <c r="AE32" s="522" t="str">
        <f t="shared" si="3"/>
        <v/>
      </c>
      <c r="AG32" s="504"/>
      <c r="AH32" s="517" t="str">
        <f t="shared" si="4"/>
        <v/>
      </c>
      <c r="AM32" s="455">
        <f>+AL32</f>
        <v>0</v>
      </c>
      <c r="AN32" s="745"/>
      <c r="BB32" s="511" t="e">
        <f t="shared" si="5"/>
        <v>#DIV/0!</v>
      </c>
      <c r="BC32" s="752"/>
    </row>
    <row r="33" spans="1:55" ht="26.15" customHeight="1">
      <c r="A33" s="565"/>
      <c r="B33" s="566"/>
      <c r="C33" s="456" t="s">
        <v>124</v>
      </c>
      <c r="D33" s="439"/>
      <c r="E33" s="456" t="s">
        <v>98</v>
      </c>
      <c r="G33" s="476">
        <f>SUM(G34:G35)</f>
        <v>3221.02</v>
      </c>
      <c r="H33" s="591">
        <f>+G33/G7</f>
        <v>5.1933117769936308E-4</v>
      </c>
      <c r="J33" s="496">
        <f>SUM(J34:J35)</f>
        <v>0</v>
      </c>
      <c r="K33" s="530" t="str">
        <f t="shared" si="6"/>
        <v/>
      </c>
      <c r="L33" s="431"/>
      <c r="M33" s="496">
        <f>SUM(M34:M35)</f>
        <v>4412.2133333333331</v>
      </c>
      <c r="N33" s="518">
        <f t="shared" si="1"/>
        <v>-0.26997636862527041</v>
      </c>
      <c r="O33" s="580"/>
      <c r="P33" s="644"/>
      <c r="Q33" s="645"/>
      <c r="R33" s="517"/>
      <c r="S33" s="645"/>
      <c r="T33" s="517"/>
      <c r="U33" s="645"/>
      <c r="V33" s="517"/>
      <c r="W33" s="645"/>
      <c r="X33" s="517"/>
      <c r="Y33" s="645"/>
      <c r="Z33" s="517"/>
      <c r="AA33" s="584"/>
      <c r="AB33" s="476">
        <f>SUM(AB34:AB35)</f>
        <v>12488.56</v>
      </c>
      <c r="AC33" s="591">
        <f>AB33/AB7</f>
        <v>6.9970814928677007E-4</v>
      </c>
      <c r="AD33" s="496">
        <f>SUM(AD34:AD35)</f>
        <v>0</v>
      </c>
      <c r="AE33" s="518" t="str">
        <f>IF(ISERROR((AB33-AD33)/AD33),"",(AB33-AD33)/AD33)</f>
        <v/>
      </c>
      <c r="AG33" s="496">
        <f>SUM(AG34:AG35)</f>
        <v>13236.64</v>
      </c>
      <c r="AH33" s="518">
        <f t="shared" si="4"/>
        <v>-5.6515852965707304E-2</v>
      </c>
      <c r="AM33" s="456" t="s">
        <v>98</v>
      </c>
      <c r="AN33" s="747"/>
      <c r="AO33" s="741">
        <f>-SUM(AO34:AO35)</f>
        <v>0</v>
      </c>
      <c r="AP33" s="741">
        <f t="shared" ref="AP33:AZ33" si="19">-SUM(AP34:AP35)</f>
        <v>0</v>
      </c>
      <c r="AQ33" s="741">
        <f t="shared" si="19"/>
        <v>0</v>
      </c>
      <c r="AR33" s="741">
        <f t="shared" si="19"/>
        <v>0</v>
      </c>
      <c r="AS33" s="741">
        <f t="shared" si="19"/>
        <v>0</v>
      </c>
      <c r="AT33" s="741">
        <f t="shared" si="19"/>
        <v>0</v>
      </c>
      <c r="AU33" s="741">
        <f t="shared" si="19"/>
        <v>0</v>
      </c>
      <c r="AV33" s="741">
        <f t="shared" si="19"/>
        <v>0</v>
      </c>
      <c r="AW33" s="741">
        <f t="shared" si="19"/>
        <v>0</v>
      </c>
      <c r="AX33" s="741">
        <f t="shared" si="19"/>
        <v>0</v>
      </c>
      <c r="AY33" s="741">
        <f t="shared" si="19"/>
        <v>0</v>
      </c>
      <c r="AZ33" s="741">
        <f t="shared" si="19"/>
        <v>0</v>
      </c>
      <c r="BB33" s="748">
        <f t="shared" si="5"/>
        <v>12488.56</v>
      </c>
      <c r="BC33" s="752"/>
    </row>
    <row r="34" spans="1:55" ht="26.15" customHeight="1">
      <c r="A34" s="565"/>
      <c r="B34" s="566">
        <v>758</v>
      </c>
      <c r="C34" s="457" t="s">
        <v>127</v>
      </c>
      <c r="D34" s="439"/>
      <c r="E34" s="457" t="s">
        <v>14</v>
      </c>
      <c r="G34" s="475">
        <v>3221.02</v>
      </c>
      <c r="H34" s="578">
        <f>+G34/$G$7</f>
        <v>5.1933117769936308E-4</v>
      </c>
      <c r="J34" s="506">
        <v>0</v>
      </c>
      <c r="K34" s="532" t="str">
        <f t="shared" si="6"/>
        <v/>
      </c>
      <c r="L34" s="431"/>
      <c r="M34" s="506">
        <f>AG34/3</f>
        <v>6255.2333333333336</v>
      </c>
      <c r="N34" s="517">
        <f t="shared" si="1"/>
        <v>-0.48506796975332656</v>
      </c>
      <c r="O34" s="580"/>
      <c r="P34" s="644"/>
      <c r="Q34" s="645"/>
      <c r="R34" s="517"/>
      <c r="S34" s="645"/>
      <c r="T34" s="517"/>
      <c r="U34" s="645"/>
      <c r="V34" s="517"/>
      <c r="W34" s="645"/>
      <c r="X34" s="517"/>
      <c r="Y34" s="645"/>
      <c r="Z34" s="517"/>
      <c r="AA34" s="584"/>
      <c r="AB34" s="475">
        <v>12488.56</v>
      </c>
      <c r="AC34" s="578">
        <f>+AB34/AB7</f>
        <v>6.9970814928677007E-4</v>
      </c>
      <c r="AD34" s="506">
        <f>-SUMIF($AO$7:$AZ$7,"&lt;="&amp;$AC$6,AO34:AZ34)</f>
        <v>0</v>
      </c>
      <c r="AE34" s="517" t="str">
        <f t="shared" ref="AE34:AE53" si="20">IF(ISERROR((AB34-AD34)/AD34),"",(AB34-AD34)/AD34)</f>
        <v/>
      </c>
      <c r="AG34" s="506">
        <f>18705.7+60</f>
        <v>18765.7</v>
      </c>
      <c r="AH34" s="517">
        <f t="shared" si="4"/>
        <v>-0.33450071140431753</v>
      </c>
      <c r="AM34" s="457" t="s">
        <v>14</v>
      </c>
      <c r="AN34" s="747"/>
      <c r="AO34" s="431">
        <f>IF($AO$7=$AL$7,'[4]1 trim 2016 BIOGROUP'!$Z$42/3,IF($AO$7=$AL$8,'[4]1 trim 2016 BIOGROUP'!$Z$42/3,IF($AO$7=$AL$9,'[4]1 trim 2016 BIOGROUP'!$Z$42/3,IF($AO$7=$AL$10,'[4]2 trim 2016 BIOGROUP'!$Z$42/3,IF($AO$7=$AL$11,'[4]2 trim 2016 BIOGROUP'!$Z$42/3,IF($AO$7=$AL$12,'[4]2 trim 2016 BIOGROUP'!$Z$42/3,""))))))</f>
        <v>0</v>
      </c>
      <c r="AP34" s="431">
        <f>IF($AP$7=$AL$7,'[4]1 trim 2016 BIOGROUP'!$Z$42/3,IF($AP$7=$AL$8,'[4]1 trim 2016 BIOGROUP'!$Z$42/3,IF($AP$7=$AL$9,'[4]1 trim 2016 BIOGROUP'!$Z$42/3,IF($AP$7=$AL$10,'[4]2 trim 2016 BIOGROUP'!$Z$42/3,IF($AP$7=$AL$11,'[4]2 trim 2016 BIOGROUP'!$Z$42/3,IF($AP$7=$AL$12,'[4]2 trim 2016 BIOGROUP'!$Z$42/3,""))))))</f>
        <v>0</v>
      </c>
      <c r="AQ34" s="431">
        <f>IF($AQ$7=$AL$7,'[4]1 trim 2016 BIOGROUP'!$Z$42/3,IF($AQ$7=$AL$8,'[4]1 trim 2016 BIOGROUP'!$Z$42/3,IF($AQ$7=$AL$9,'[4]1 trim 2016 BIOGROUP'!$Z$42/3,IF($AQ$7=$AL$10,'[4]2 trim 2016 BIOGROUP'!$Z$42/3,IF($AQ$7=$AL$11,'[4]2 trim 2016 BIOGROUP'!$Z$42/3,IF($AQ$7=$AL$12,'[4]2 trim 2016 BIOGROUP'!$Z$42/3,""))))))</f>
        <v>0</v>
      </c>
      <c r="AR34" s="431">
        <f>IF($AR$7=$AL$7,'[4]1 trim 2016 BIOGROUP'!$Z$42/3,IF($AR$7=$AL$8,'[4]1 trim 2016 BIOGROUP'!$Z$42/3,IF($AR$7=$AL$9,'[4]1 trim 2016 BIOGROUP'!$Z$42/3,IF($AR$7=$AL$10,'[4]2 trim 2016 BIOGROUP'!$Z$42/3,IF($AR$7=$AL$11,'[4]2 trim 2016 BIOGROUP'!$Z$42/3,IF($AR$7=$AL$12,'[4]2 trim 2016 BIOGROUP'!$Z$42/3,""))))))</f>
        <v>0</v>
      </c>
      <c r="AS34" s="431">
        <f>IF($AS$7=$AL$7,'[4]1 trim 2016 BIOGROUP'!$Z$42/3,IF($AS$7=$AL$8,'[4]1 trim 2016 BIOGROUP'!$Z$42/3,IF($AS$7=$AL$9,'[4]1 trim 2016 BIOGROUP'!$Z$42/3,IF($AS$7=$AL$10,'[4]2 trim 2016 BIOGROUP'!$Z$42/3,IF($AS$7=$AL$11,'[4]2 trim 2016 BIOGROUP'!$Z$42/3,IF($AS$7=$AL$12,'[4]2 trim 2016 BIOGROUP'!$Z$42/3,""))))))</f>
        <v>0</v>
      </c>
      <c r="AT34" s="431">
        <f>IF($AT$7=$AL$7,'[4]1 trim 2016 BIOGROUP'!$Z$42/3,IF($AT$7=$AL$8,'[4]1 trim 2016 BIOGROUP'!$Z$42/3,IF($AT$7=$AL$9,'[4]1 trim 2016 BIOGROUP'!$Z$42/3,IF($AT$7=$AL$10,'[4]2 trim 2016 BIOGROUP'!$Z$42/3,IF($AT$7=$AL$11,'[4]2 trim 2016 BIOGROUP'!$Z$42/3,IF($AT$7=$AL$12,'[4]2 trim 2016 BIOGROUP'!$Z$42/3,""))))))</f>
        <v>0</v>
      </c>
      <c r="AU34" s="431">
        <f>IF($AU$7=$AL$13,'[4]3 trim 2016 BIOGROUP'!$Z$42/3,IF($AU$7=$AL$14,'[4]3 trim 2016 BIOGROUP'!$Z$42/3,IF($AU$7=$AL$15,'[4]3 trim 2016 BIOGROUP'!$Z$42/3,IF($AU$7=$AL$16,'[4]4 trim 2016 BIOGROUP'!$Z$42/3,IF($AU$7=$AL$18,'[4]4 trim 2016 BIOGROUP'!$Z$42/3,IF($AU$7=$AL$19,'[4]4 trim 2016 BIOGROUP'!$Z$42/3,""))))))</f>
        <v>0</v>
      </c>
      <c r="AV34" s="431">
        <f>IF($AV$7=$AL$13,'[4]3 trim 2016 BIOGROUP'!$Z$42/3,IF($AV$7=$AL$14,'[4]3 trim 2016 BIOGROUP'!$Z$42/3,IF($AV$7=$AL$15,'[4]3 trim 2016 BIOGROUP'!$Z$42/3,IF($AV$7=$AL$16,'[4]4 trim 2016 BIOGROUP'!$Z$42/3,IF($AV$7=$AL$18,'[4]4 trim 2016 BIOGROUP'!$Z$42/3,IF($AV$7=$AL$19,'[4]4 trim 2016 BIOGROUP'!$Z$42/3,""))))))</f>
        <v>0</v>
      </c>
      <c r="AW34" s="431">
        <f>IF($AW$7=$AL$13,'[4]3 trim 2016 BIOGROUP'!$Z$42/3,IF($AW$7=$AL$14,'[4]3 trim 2016 BIOGROUP'!$Z$42/3,IF($AW$7=$AL$15,'[4]3 trim 2016 BIOGROUP'!$Z$42/3,IF($AW$7=$AL$16,'[4]4 trim 2016 BIOGROUP'!$Z$42/3,IF($AW$7=$AL$18,'[4]4 trim 2016 BIOGROUP'!$Z$42/3,IF($AW$7=$AL$19,'[4]4 trim 2016 BIOGROUP'!$Z$42/3,""))))))</f>
        <v>0</v>
      </c>
      <c r="AX34" s="431">
        <f>IF($AX$7=$AL$13,'[4]3 trim 2016 BIOGROUP'!$Z$42/3,IF($AX$7=$AL$14,'[4]3 trim 2016 BIOGROUP'!$Z$42/3,IF($AX$7=$AL$15,'[4]3 trim 2016 BIOGROUP'!$Z$42/3,IF($AX$7=$AL$16,'[4]4 trim 2016 BIOGROUP'!$Z$42/3,IF($AX$7=$AL$18,'[4]4 trim 2016 BIOGROUP'!$Z$42/3,IF($AX$7=$AL$19,'[4]4 trim 2016 BIOGROUP'!$Z$42/3,""))))))</f>
        <v>0</v>
      </c>
      <c r="AY34" s="431">
        <f>IF($AY$7=$AL$13,'[4]3 trim 2016 BIOGROUP'!$Z$42/3,IF($AY$7=$AL$14,'[4]3 trim 2016 BIOGROUP'!$Z$42/3,IF($AY$7=$AL$15,'[4]3 trim 2016 BIOGROUP'!$Z$42/3,IF($AY$7=$AL$16,'[4]4 trim 2016 BIOGROUP'!$Z$42/3,IF($AY$7=$AL$18,'[4]4 trim 2016 BIOGROUP'!$Z$42/3,IF($AY$7=$AL$19,'[4]4 trim 2016 BIOGROUP'!$Z$42/3,""))))))</f>
        <v>0</v>
      </c>
      <c r="AZ34" s="431">
        <f>IF($AZ$7=$AL$13,'[4]3 trim 2016 BIOGROUP'!$Z$42/3,IF($AZ$7=$AL$14,'[4]3 trim 2016 BIOGROUP'!$Z$42/3,IF($AZ$7=$AL$15,'[4]3 trim 2016 BIOGROUP'!$Z$42/3,IF($AZ$7=$AL$16,'[4]4 trim 2016 BIOGROUP'!$Z$42/3,IF($AZ$7=$AL$18,'[4]4 trim 2016 BIOGROUP'!$Z$42/3,IF($AZ$7=$AL$19,'[4]4 trim 2016 BIOGROUP'!$Z$42/3,""))))))</f>
        <v>0</v>
      </c>
      <c r="BB34" s="511">
        <f t="shared" si="5"/>
        <v>12488.56</v>
      </c>
      <c r="BC34" s="750"/>
    </row>
    <row r="35" spans="1:55" ht="26.15" customHeight="1">
      <c r="A35" s="565"/>
      <c r="B35" s="566">
        <v>658</v>
      </c>
      <c r="C35" s="457" t="s">
        <v>128</v>
      </c>
      <c r="D35" s="439"/>
      <c r="E35" s="457" t="s">
        <v>15</v>
      </c>
      <c r="G35" s="475">
        <v>0</v>
      </c>
      <c r="H35" s="578">
        <f>+G35/$G$7</f>
        <v>0</v>
      </c>
      <c r="J35" s="506">
        <v>0</v>
      </c>
      <c r="K35" s="532" t="str">
        <f t="shared" si="6"/>
        <v/>
      </c>
      <c r="L35" s="431"/>
      <c r="M35" s="506">
        <f>AG35/3</f>
        <v>-1843.0200000000002</v>
      </c>
      <c r="N35" s="517">
        <f t="shared" si="1"/>
        <v>-1</v>
      </c>
      <c r="O35" s="580"/>
      <c r="P35" s="644"/>
      <c r="Q35" s="645"/>
      <c r="R35" s="517"/>
      <c r="S35" s="645"/>
      <c r="T35" s="517"/>
      <c r="U35" s="645"/>
      <c r="V35" s="517"/>
      <c r="W35" s="645"/>
      <c r="X35" s="517"/>
      <c r="Y35" s="645"/>
      <c r="Z35" s="517"/>
      <c r="AA35" s="584"/>
      <c r="AB35" s="475">
        <v>0</v>
      </c>
      <c r="AC35" s="578">
        <f>AB35/$AB$7</f>
        <v>0</v>
      </c>
      <c r="AD35" s="506">
        <f>-SUMIF($AO$7:$AZ$7,"&lt;="&amp;$AC$6,AO35:AZ35)</f>
        <v>0</v>
      </c>
      <c r="AE35" s="517" t="str">
        <f t="shared" si="20"/>
        <v/>
      </c>
      <c r="AG35" s="506">
        <f>-5386.02-143.04</f>
        <v>-5529.06</v>
      </c>
      <c r="AH35" s="517">
        <f t="shared" si="4"/>
        <v>-1</v>
      </c>
      <c r="AM35" s="457" t="s">
        <v>15</v>
      </c>
      <c r="AN35" s="747"/>
      <c r="AO35" s="431">
        <f>IF($AO$7=$AL$7,'[4]1 trim 2016 BIOGROUP'!$Z$43/3,IF($AO$7=$AL$8,'[4]1 trim 2016 BIOGROUP'!$Z$43/3,IF($AO$7=$AL$9,'[4]1 trim 2016 BIOGROUP'!$Z$43/3,IF($AO$7=$AL$10,'[4]2 trim 2016 BIOGROUP'!$Z$43/3,IF($AO$7=$AL$11,'[4]2 trim 2016 BIOGROUP'!$Z$43/3,IF($AO$7=$AL$12,'[4]2 trim 2016 BIOGROUP'!$Z$43/3,""))))))</f>
        <v>0</v>
      </c>
      <c r="AP35" s="431">
        <f>IF($AP$7=$AL$7,'[4]1 trim 2016 BIOGROUP'!$Z$43/3,IF($AP$7=$AL$8,'[4]1 trim 2016 BIOGROUP'!$Z$43/3,IF($AP$7=$AL$9,'[4]1 trim 2016 BIOGROUP'!$Z$43/3,IF($AP$7=$AL$10,'[4]2 trim 2016 BIOGROUP'!$Z$43/3,IF($AP$7=$AL$11,'[4]2 trim 2016 BIOGROUP'!$Z$43/3,IF($AP$7=$AL$12,'[4]2 trim 2016 BIOGROUP'!$Z$43/3,""))))))</f>
        <v>0</v>
      </c>
      <c r="AQ35" s="431">
        <f>IF($AQ$7=$AL$7,'[4]1 trim 2016 BIOGROUP'!$Z$43/3,IF($AQ$7=$AL$8,'[4]1 trim 2016 BIOGROUP'!$Z$43/3,IF($AQ$7=$AL$9,'[4]1 trim 2016 BIOGROUP'!$Z$43/3,IF($AQ$7=$AL$10,'[4]2 trim 2016 BIOGROUP'!$Z$43/3,IF($AQ$7=$AL$11,'[4]2 trim 2016 BIOGROUP'!$Z$43/3,IF($AQ$7=$AL$12,'[4]2 trim 2016 BIOGROUP'!$Z$43/3,""))))))</f>
        <v>0</v>
      </c>
      <c r="AR35" s="431">
        <f>IF($AR$7=$AL$7,'[4]1 trim 2016 BIOGROUP'!$Z$43/3,IF($AR$7=$AL$8,'[4]1 trim 2016 BIOGROUP'!$Z$43/3,IF($AR$7=$AL$9,'[4]1 trim 2016 BIOGROUP'!$Z$43/3,IF($AR$7=$AL$10,'[4]2 trim 2016 BIOGROUP'!$Z$43/3,IF($AR$7=$AL$11,'[4]2 trim 2016 BIOGROUP'!$Z$43/3,IF($AR$7=$AL$12,'[4]2 trim 2016 BIOGROUP'!$Z$43/3,""))))))</f>
        <v>0</v>
      </c>
      <c r="AS35" s="431">
        <f>IF($AS$7=$AL$7,'[4]1 trim 2016 BIOGROUP'!$Z$43/3,IF($AS$7=$AL$8,'[4]1 trim 2016 BIOGROUP'!$Z$43/3,IF($AS$7=$AL$9,'[4]1 trim 2016 BIOGROUP'!$Z$43/3,IF($AS$7=$AL$10,'[4]2 trim 2016 BIOGROUP'!$Z$43/3,IF($AS$7=$AL$11,'[4]2 trim 2016 BIOGROUP'!$Z$43/3,IF($AS$7=$AL$12,'[4]2 trim 2016 BIOGROUP'!$Z$43/3,""))))))</f>
        <v>0</v>
      </c>
      <c r="AT35" s="431">
        <f>IF($AT$7=$AL$7,'[4]1 trim 2016 BIOGROUP'!$Z$43/3,IF($AT$7=$AL$8,'[4]1 trim 2016 BIOGROUP'!$Z$43/3,IF($AT$7=$AL$9,'[4]1 trim 2016 BIOGROUP'!$Z$43/3,IF($AT$7=$AL$10,'[4]2 trim 2016 BIOGROUP'!$Z$43/3,IF($AT$7=$AL$11,'[4]2 trim 2016 BIOGROUP'!$Z$43/3,IF($AT$7=$AL$12,'[4]2 trim 2016 BIOGROUP'!$Z$43/3,""))))))</f>
        <v>0</v>
      </c>
      <c r="AU35" s="431">
        <f>IF($AU$7=$AL$13,'[4]3 trim 2016 BIOGROUP'!$Z$43/3,IF($AU$7=$AL$14,'[4]3 trim 2016 BIOGROUP'!$Z$43/3,IF($AU$7=$AL$15,'[4]3 trim 2016 BIOGROUP'!$Z$43/3,IF($AU$7=$AL$16,'[4]4 trim 2016 BIOGROUP'!$Z$43/3,IF($AU$7=$AL$18,'[4]4 trim 2016 BIOGROUP'!$Z$43/3,IF($AU$7=$AL$19,'[4]4 trim 2016 BIOGROUP'!$Z$43/3,""))))))</f>
        <v>0</v>
      </c>
      <c r="AV35" s="431">
        <f>IF($AV$7=$AL$13,'[4]3 trim 2016 BIOGROUP'!$Z$43/3,IF($AV$7=$AL$14,'[4]3 trim 2016 BIOGROUP'!$Z$43/3,IF($AV$7=$AL$15,'[4]3 trim 2016 BIOGROUP'!$Z$43/3,IF($AV$7=$AL$16,'[4]4 trim 2016 BIOGROUP'!$Z$43/3,IF($AV$7=$AL$18,'[4]4 trim 2016 BIOGROUP'!$Z$43/3,IF($AV$7=$AL$19,'[4]4 trim 2016 BIOGROUP'!$Z$43/3,""))))))</f>
        <v>0</v>
      </c>
      <c r="AW35" s="431">
        <f>IF($AW$7=$AL$13,'[4]3 trim 2016 BIOGROUP'!$Z$43/3,IF($AW$7=$AL$14,'[4]3 trim 2016 BIOGROUP'!$Z$43/3,IF($AW$7=$AL$15,'[4]3 trim 2016 BIOGROUP'!$Z$43/3,IF($AW$7=$AL$16,'[4]4 trim 2016 BIOGROUP'!$Z$43/3,IF($AW$7=$AL$18,'[4]4 trim 2016 BIOGROUP'!$Z$43/3,IF($AW$7=$AL$19,'[4]4 trim 2016 BIOGROUP'!$Z$43/3,""))))))</f>
        <v>0</v>
      </c>
      <c r="AX35" s="431">
        <f>IF($AX$7=$AL$13,'[4]3 trim 2016 BIOGROUP'!$Z$43/3,IF($AX$7=$AL$14,'[4]3 trim 2016 BIOGROUP'!$Z$43/3,IF($AX$7=$AL$15,'[4]3 trim 2016 BIOGROUP'!$Z$43/3,IF($AX$7=$AL$16,'[4]4 trim 2016 BIOGROUP'!$Z$43/3,IF($AX$7=$AL$18,'[4]4 trim 2016 BIOGROUP'!$Z$43/3,IF($AX$7=$AL$19,'[4]4 trim 2016 BIOGROUP'!$Z$43/3,""))))))</f>
        <v>0</v>
      </c>
      <c r="AY35" s="431">
        <f>IF($AY$7=$AL$13,'[4]3 trim 2016 BIOGROUP'!$Z$43/3,IF($AY$7=$AL$14,'[4]3 trim 2016 BIOGROUP'!$Z$43/3,IF($AY$7=$AL$15,'[4]3 trim 2016 BIOGROUP'!$Z$43/3,IF($AY$7=$AL$16,'[4]4 trim 2016 BIOGROUP'!$Z$43/3,IF($AY$7=$AL$18,'[4]4 trim 2016 BIOGROUP'!$Z$43/3,IF($AY$7=$AL$19,'[4]4 trim 2016 BIOGROUP'!$Z$43/3,""))))))</f>
        <v>0</v>
      </c>
      <c r="AZ35" s="431">
        <f>IF($AZ$7=$AL$13,'[4]3 trim 2016 BIOGROUP'!$Z$43/3,IF($AZ$7=$AL$14,'[4]3 trim 2016 BIOGROUP'!$Z$43/3,IF($AZ$7=$AL$15,'[4]3 trim 2016 BIOGROUP'!$Z$43/3,IF($AZ$7=$AL$16,'[4]4 trim 2016 BIOGROUP'!$Z$43/3,IF($AZ$7=$AL$18,'[4]4 trim 2016 BIOGROUP'!$Z$43/3,IF($AZ$7=$AL$19,'[4]4 trim 2016 BIOGROUP'!$Z$43/3,""))))))</f>
        <v>0</v>
      </c>
      <c r="BB35" s="511">
        <f t="shared" si="5"/>
        <v>0</v>
      </c>
      <c r="BC35" s="750"/>
    </row>
    <row r="36" spans="1:55" ht="26.15" customHeight="1">
      <c r="A36" s="565"/>
      <c r="B36" s="566"/>
      <c r="C36" s="455" t="s">
        <v>96</v>
      </c>
      <c r="D36" s="439"/>
      <c r="E36" s="455" t="str">
        <f>+C36</f>
        <v>EBITDA (% of net revenues)</v>
      </c>
      <c r="G36" s="484">
        <f>+G31+G33</f>
        <v>1944144.45</v>
      </c>
      <c r="H36" s="641">
        <f>+G36/G7</f>
        <v>0.31345810545609171</v>
      </c>
      <c r="J36" s="504">
        <f>J31+J33</f>
        <v>0</v>
      </c>
      <c r="K36" s="505" t="str">
        <f t="shared" si="6"/>
        <v/>
      </c>
      <c r="L36" s="431"/>
      <c r="M36" s="504">
        <f>M31+M33</f>
        <v>1199977.313333333</v>
      </c>
      <c r="N36" s="522">
        <f t="shared" si="1"/>
        <v>0.6201510048548311</v>
      </c>
      <c r="O36" s="580"/>
      <c r="P36" s="644"/>
      <c r="Q36" s="645"/>
      <c r="R36" s="517"/>
      <c r="S36" s="645"/>
      <c r="T36" s="517"/>
      <c r="U36" s="645"/>
      <c r="V36" s="517"/>
      <c r="W36" s="645"/>
      <c r="X36" s="517"/>
      <c r="Y36" s="645"/>
      <c r="Z36" s="517"/>
      <c r="AA36" s="584"/>
      <c r="AB36" s="484">
        <f>AB31+AB33</f>
        <v>5390940.8099999996</v>
      </c>
      <c r="AC36" s="641">
        <f>AB36/AB7</f>
        <v>0.30204324734634103</v>
      </c>
      <c r="AD36" s="504">
        <f>AD31+AD33</f>
        <v>0</v>
      </c>
      <c r="AE36" s="522" t="str">
        <f t="shared" si="20"/>
        <v/>
      </c>
      <c r="AG36" s="504">
        <f>AG31+AG33</f>
        <v>3599931.9400000027</v>
      </c>
      <c r="AH36" s="522">
        <f t="shared" si="4"/>
        <v>0.49751186962717842</v>
      </c>
      <c r="AJ36" s="587"/>
      <c r="AM36" s="455" t="s">
        <v>96</v>
      </c>
      <c r="AN36" s="747"/>
      <c r="AO36" s="741">
        <f>AO31+AO33</f>
        <v>90179.000000000073</v>
      </c>
      <c r="AP36" s="741">
        <f t="shared" ref="AP36:AZ36" si="21">AP31+AP33</f>
        <v>90179.000000000073</v>
      </c>
      <c r="AQ36" s="741">
        <f t="shared" si="21"/>
        <v>90179.000000000073</v>
      </c>
      <c r="AR36" s="741">
        <f t="shared" si="21"/>
        <v>91867.916666666701</v>
      </c>
      <c r="AS36" s="741">
        <f t="shared" si="21"/>
        <v>91867.916666666701</v>
      </c>
      <c r="AT36" s="741">
        <f t="shared" si="21"/>
        <v>91867.916666666701</v>
      </c>
      <c r="AU36" s="741">
        <f t="shared" si="21"/>
        <v>91867.916666666701</v>
      </c>
      <c r="AV36" s="741">
        <f t="shared" si="21"/>
        <v>91867.916666666701</v>
      </c>
      <c r="AW36" s="741">
        <f t="shared" si="21"/>
        <v>91867.916666666701</v>
      </c>
      <c r="AX36" s="741">
        <f t="shared" si="21"/>
        <v>91867.916666666701</v>
      </c>
      <c r="AY36" s="741">
        <f t="shared" si="21"/>
        <v>91867.916666666701</v>
      </c>
      <c r="AZ36" s="741">
        <f t="shared" si="21"/>
        <v>91867.916666666701</v>
      </c>
      <c r="BB36" s="748">
        <f t="shared" si="5"/>
        <v>5390940.8099999996</v>
      </c>
      <c r="BC36" s="752"/>
    </row>
    <row r="37" spans="1:55" ht="26.15" customHeight="1" thickBot="1">
      <c r="A37" s="575"/>
      <c r="B37" s="548">
        <v>691</v>
      </c>
      <c r="C37" s="456" t="s">
        <v>99</v>
      </c>
      <c r="D37" s="439"/>
      <c r="E37" s="456" t="s">
        <v>99</v>
      </c>
      <c r="G37" s="485">
        <v>0</v>
      </c>
      <c r="H37" s="591">
        <f>G37/G7</f>
        <v>0</v>
      </c>
      <c r="J37" s="537">
        <v>0</v>
      </c>
      <c r="K37" s="538" t="str">
        <f t="shared" si="6"/>
        <v/>
      </c>
      <c r="L37" s="431"/>
      <c r="M37" s="507">
        <f>AG37/3</f>
        <v>0</v>
      </c>
      <c r="N37" s="518" t="str">
        <f t="shared" si="1"/>
        <v/>
      </c>
      <c r="O37" s="580"/>
      <c r="P37" s="646" t="s">
        <v>13</v>
      </c>
      <c r="Q37" s="582" t="e">
        <f>+#REF!+'31 dec 2016 BIOLAM'!AT39</f>
        <v>#REF!</v>
      </c>
      <c r="R37" s="583" t="e">
        <f>Q37/Q$7</f>
        <v>#REF!</v>
      </c>
      <c r="S37" s="582" t="e">
        <f>+'31 dec 2016 BIOLAM'!AV39+#REF!</f>
        <v>#REF!</v>
      </c>
      <c r="T37" s="583" t="e">
        <f>S37/S$7</f>
        <v>#REF!</v>
      </c>
      <c r="U37" s="582" t="e">
        <f>+'31 dec 2016 BIOLAM'!AX39+#REF!</f>
        <v>#REF!</v>
      </c>
      <c r="V37" s="583" t="e">
        <f>U37/U$7</f>
        <v>#REF!</v>
      </c>
      <c r="W37" s="582" t="e">
        <f>+'31 dec 2016 BIOLAM'!AZ39+#REF!</f>
        <v>#REF!</v>
      </c>
      <c r="X37" s="583" t="e">
        <f>W37/W$7</f>
        <v>#REF!</v>
      </c>
      <c r="Y37" s="582" t="e">
        <f>+W37+U37+S37+Q37</f>
        <v>#REF!</v>
      </c>
      <c r="Z37" s="583" t="e">
        <f>Y37/Y$7</f>
        <v>#REF!</v>
      </c>
      <c r="AA37" s="584" t="e">
        <f>+G37-Y37</f>
        <v>#REF!</v>
      </c>
      <c r="AB37" s="485">
        <v>0</v>
      </c>
      <c r="AC37" s="647">
        <f>AB37/AB7</f>
        <v>0</v>
      </c>
      <c r="AD37" s="507">
        <v>0</v>
      </c>
      <c r="AE37" s="518" t="str">
        <f t="shared" si="20"/>
        <v/>
      </c>
      <c r="AG37" s="507">
        <v>0</v>
      </c>
      <c r="AH37" s="518" t="str">
        <f t="shared" si="4"/>
        <v/>
      </c>
      <c r="AM37" s="456" t="s">
        <v>99</v>
      </c>
      <c r="AN37" s="747"/>
      <c r="BB37" s="511">
        <f t="shared" si="5"/>
        <v>0</v>
      </c>
      <c r="BC37" s="750"/>
    </row>
    <row r="38" spans="1:55" ht="26.15" customHeight="1">
      <c r="A38" s="575"/>
      <c r="B38" s="548"/>
      <c r="C38" s="454" t="s">
        <v>96</v>
      </c>
      <c r="D38" s="439"/>
      <c r="E38" s="454" t="str">
        <f>+C38</f>
        <v>EBITDA (% of net revenues)</v>
      </c>
      <c r="G38" s="484">
        <f>+G36+G37</f>
        <v>1944144.45</v>
      </c>
      <c r="H38" s="641">
        <f>+G38/G7</f>
        <v>0.31345810545609171</v>
      </c>
      <c r="J38" s="508">
        <f>J36+J37</f>
        <v>0</v>
      </c>
      <c r="K38" s="505" t="str">
        <f t="shared" si="6"/>
        <v/>
      </c>
      <c r="L38" s="431"/>
      <c r="M38" s="508">
        <f>M36+M37</f>
        <v>1199977.313333333</v>
      </c>
      <c r="N38" s="522">
        <f t="shared" si="1"/>
        <v>0.6201510048548311</v>
      </c>
      <c r="O38" s="580"/>
      <c r="P38" s="581"/>
      <c r="Q38" s="582"/>
      <c r="R38" s="583"/>
      <c r="S38" s="582"/>
      <c r="T38" s="583"/>
      <c r="U38" s="582"/>
      <c r="V38" s="583"/>
      <c r="W38" s="582"/>
      <c r="X38" s="583"/>
      <c r="Y38" s="582"/>
      <c r="Z38" s="583"/>
      <c r="AA38" s="584"/>
      <c r="AB38" s="484">
        <f>+AB36+AB37</f>
        <v>5390940.8099999996</v>
      </c>
      <c r="AC38" s="641">
        <f>+AB38/AB7</f>
        <v>0.30204324734634103</v>
      </c>
      <c r="AD38" s="508">
        <f>AD36+AD37</f>
        <v>0</v>
      </c>
      <c r="AE38" s="522" t="str">
        <f t="shared" si="20"/>
        <v/>
      </c>
      <c r="AG38" s="648">
        <f>AG36+AG37</f>
        <v>3599931.9400000027</v>
      </c>
      <c r="AH38" s="522">
        <f t="shared" si="4"/>
        <v>0.49751186962717842</v>
      </c>
      <c r="AM38" s="454" t="s">
        <v>96</v>
      </c>
      <c r="AN38" s="747"/>
      <c r="AO38" s="741">
        <f>AO36-AO37</f>
        <v>90179.000000000073</v>
      </c>
      <c r="AP38" s="741">
        <f t="shared" ref="AP38:AZ38" si="22">AP36-AP37</f>
        <v>90179.000000000073</v>
      </c>
      <c r="AQ38" s="741">
        <f t="shared" si="22"/>
        <v>90179.000000000073</v>
      </c>
      <c r="AR38" s="741">
        <f t="shared" si="22"/>
        <v>91867.916666666701</v>
      </c>
      <c r="AS38" s="741">
        <f t="shared" si="22"/>
        <v>91867.916666666701</v>
      </c>
      <c r="AT38" s="741">
        <f t="shared" si="22"/>
        <v>91867.916666666701</v>
      </c>
      <c r="AU38" s="741">
        <f t="shared" si="22"/>
        <v>91867.916666666701</v>
      </c>
      <c r="AV38" s="741">
        <f t="shared" si="22"/>
        <v>91867.916666666701</v>
      </c>
      <c r="AW38" s="741">
        <f t="shared" si="22"/>
        <v>91867.916666666701</v>
      </c>
      <c r="AX38" s="741">
        <f t="shared" si="22"/>
        <v>91867.916666666701</v>
      </c>
      <c r="AY38" s="741">
        <f t="shared" si="22"/>
        <v>91867.916666666701</v>
      </c>
      <c r="AZ38" s="741">
        <f t="shared" si="22"/>
        <v>91867.916666666701</v>
      </c>
      <c r="BB38" s="748">
        <f t="shared" si="5"/>
        <v>5390940.8099999996</v>
      </c>
      <c r="BC38" s="752"/>
    </row>
    <row r="39" spans="1:55" ht="26.15" customHeight="1" thickBot="1">
      <c r="A39" s="575"/>
      <c r="B39" s="548">
        <v>681</v>
      </c>
      <c r="C39" s="458" t="s">
        <v>100</v>
      </c>
      <c r="D39" s="439"/>
      <c r="E39" s="458" t="s">
        <v>118</v>
      </c>
      <c r="G39" s="475">
        <f>+-116980.71-G40</f>
        <v>-70636.300000000017</v>
      </c>
      <c r="H39" s="578">
        <f>+G39/G7</f>
        <v>-1.1388824927298039E-2</v>
      </c>
      <c r="J39" s="495">
        <f>-SUMIF($AO$7:$AZ$7,$G$6,AO39:AZ39)</f>
        <v>0</v>
      </c>
      <c r="K39" s="532" t="str">
        <f t="shared" si="6"/>
        <v/>
      </c>
      <c r="L39" s="431"/>
      <c r="M39" s="579">
        <f>AG39/3</f>
        <v>-61229.276666666672</v>
      </c>
      <c r="N39" s="517">
        <f t="shared" si="1"/>
        <v>0.1536360356589766</v>
      </c>
      <c r="O39" s="580"/>
      <c r="P39" s="581"/>
      <c r="Q39" s="582"/>
      <c r="R39" s="583"/>
      <c r="S39" s="582"/>
      <c r="T39" s="583"/>
      <c r="U39" s="582"/>
      <c r="V39" s="583"/>
      <c r="W39" s="582"/>
      <c r="X39" s="583"/>
      <c r="Y39" s="582"/>
      <c r="Z39" s="583"/>
      <c r="AA39" s="584"/>
      <c r="AB39" s="475">
        <f>-366120.54-AB40</f>
        <v>-182471.34</v>
      </c>
      <c r="AC39" s="578">
        <f>+AB39/AB7</f>
        <v>-1.0223491227913946E-2</v>
      </c>
      <c r="AD39" s="495">
        <f>-SUMIF($AO$7:$AZ$7,"&lt;="&amp;$AC$6,AO39:AZ39)</f>
        <v>0</v>
      </c>
      <c r="AE39" s="517" t="str">
        <f t="shared" si="20"/>
        <v/>
      </c>
      <c r="AG39" s="579">
        <f>(-337633.8-232212.7)-AG40</f>
        <v>-183687.83000000002</v>
      </c>
      <c r="AH39" s="517">
        <f t="shared" si="4"/>
        <v>-6.6225944309975231E-3</v>
      </c>
      <c r="AJ39" s="620"/>
      <c r="AM39" s="458" t="s">
        <v>118</v>
      </c>
      <c r="AN39" s="747"/>
      <c r="AO39" s="431">
        <f>IF($AO$7=$AL$7,'[4]1 trim 2016 BIOGROUP'!$Z$39/3,IF($AO$7=$AL$8,'[4]1 trim 2016 BIOGROUP'!$Z$39/3,IF($AO$7=$AL$9,'[4]1 trim 2016 BIOGROUP'!$Z$39/3,IF($AO$7=$AL$10,'[4]2 trim 2016 BIOGROUP'!$Z$39/3,IF($AO$7=$AL$11,'[4]2 trim 2016 BIOGROUP'!$Z$39/3,IF($AO$7=$AL$12,'[4]2 trim 2016 BIOGROUP'!$Z$39/3,""))))))</f>
        <v>9596.0833333333339</v>
      </c>
      <c r="AP39" s="431">
        <f>IF($AP$7=$AL$7,'[4]1 trim 2016 BIOGROUP'!$Z$39/3,IF($AP$7=$AL$8,'[4]1 trim 2016 BIOGROUP'!$Z$39/3,IF($AP$7=$AL$9,'[4]1 trim 2016 BIOGROUP'!$Z$39/3,IF($AP$7=$AL$10,'[4]2 trim 2016 BIOGROUP'!$Z$39/3,IF($AP$7=$AL$11,'[4]2 trim 2016 BIOGROUP'!$Z$39/3,IF($AP$7=$AL$12,'[4]2 trim 2016 BIOGROUP'!$Z$39/3,""))))))</f>
        <v>9596.0833333333339</v>
      </c>
      <c r="AQ39" s="431">
        <f>IF($AQ$7=$AL$7,'[4]1 trim 2016 BIOGROUP'!$Z$39/3,IF($AQ$7=$AL$8,'[4]1 trim 2016 BIOGROUP'!$Z$39/3,IF($AQ$7=$AL$9,'[4]1 trim 2016 BIOGROUP'!$Z$39/3,IF($AQ$7=$AL$10,'[4]2 trim 2016 BIOGROUP'!$Z$39/3,IF($AQ$7=$AL$11,'[4]2 trim 2016 BIOGROUP'!$Z$39/3,IF($AQ$7=$AL$12,'[4]2 trim 2016 BIOGROUP'!$Z$39/3,""))))))</f>
        <v>9596.0833333333339</v>
      </c>
      <c r="AR39" s="431">
        <f>IF($AR$7=$AL$7,'[4]1 trim 2016 BIOGROUP'!$Z$39/3,IF($AR$7=$AL$8,'[4]1 trim 2016 BIOGROUP'!$Z$39/3,IF($AR$7=$AL$9,'[4]1 trim 2016 BIOGROUP'!$Z$39/3,IF($AR$7=$AL$10,'[4]2 trim 2016 BIOGROUP'!$Z$39/3,IF($AR$7=$AL$11,'[4]2 trim 2016 BIOGROUP'!$Z$39/3,IF($AR$7=$AL$12,'[4]2 trim 2016 BIOGROUP'!$Z$39/3,""))))))</f>
        <v>9596.0833333333339</v>
      </c>
      <c r="AS39" s="431">
        <f>IF($AS$7=$AL$7,'[4]1 trim 2016 BIOGROUP'!$Z$39/3,IF($AS$7=$AL$8,'[4]1 trim 2016 BIOGROUP'!$Z$39/3,IF($AS$7=$AL$9,'[4]1 trim 2016 BIOGROUP'!$Z$39/3,IF($AS$7=$AL$10,'[4]2 trim 2016 BIOGROUP'!$Z$39/3,IF($AS$7=$AL$11,'[4]2 trim 2016 BIOGROUP'!$Z$39/3,IF($AS$7=$AL$12,'[4]2 trim 2016 BIOGROUP'!$Z$39/3,""))))))</f>
        <v>9596.0833333333339</v>
      </c>
      <c r="AT39" s="431">
        <f>IF($AT$7=$AL$7,'[4]1 trim 2016 BIOGROUP'!$Z$39/3,IF($AT$7=$AL$8,'[4]1 trim 2016 BIOGROUP'!$Z$39/3,IF($AT$7=$AL$9,'[4]1 trim 2016 BIOGROUP'!$Z$39/3,IF($AT$7=$AL$10,'[4]2 trim 2016 BIOGROUP'!$Z$39/3,IF($AT$7=$AL$11,'[4]2 trim 2016 BIOGROUP'!$Z$39/3,IF($AT$7=$AL$12,'[4]2 trim 2016 BIOGROUP'!$Z$39/3,""))))))</f>
        <v>9596.0833333333339</v>
      </c>
      <c r="AU39" s="431">
        <f>IF($AU$7=$AL$13,'[4]3 trim 2016 BIOGROUP'!$Z$39/3,IF($AU$7=$AL$14,'[4]3 trim 2016 BIOGROUP'!$Z$39/3,IF($AU$7=$AL$15,'[4]3 trim 2016 BIOGROUP'!$Z$39/3,IF($AU$7=$AL$16,'[4]4 trim 2016 BIOGROUP'!$Z$39/3,IF($AU$7=$AL$18,'[4]4 trim 2016 BIOGROUP'!$Z$39/3,IF($AU$7=$AL$19,'[4]4 trim 2016 BIOGROUP'!$Z$39/3,""))))))</f>
        <v>9596.0833333333339</v>
      </c>
      <c r="AV39" s="431">
        <f>IF($AV$7=$AL$13,'[4]3 trim 2016 BIOGROUP'!$Z$39/3,IF($AV$7=$AL$14,'[4]3 trim 2016 BIOGROUP'!$Z$39/3,IF($AV$7=$AL$15,'[4]3 trim 2016 BIOGROUP'!$Z$39/3,IF($AV$7=$AL$16,'[4]4 trim 2016 BIOGROUP'!$Z$39/3,IF($AV$7=$AL$18,'[4]4 trim 2016 BIOGROUP'!$Z$39/3,IF($AV$7=$AL$19,'[4]4 trim 2016 BIOGROUP'!$Z$39/3,""))))))</f>
        <v>9596.0833333333339</v>
      </c>
      <c r="AW39" s="431">
        <f>IF($AW$7=$AL$13,'[4]3 trim 2016 BIOGROUP'!$Z$39/3,IF($AW$7=$AL$14,'[4]3 trim 2016 BIOGROUP'!$Z$39/3,IF($AW$7=$AL$15,'[4]3 trim 2016 BIOGROUP'!$Z$39/3,IF($AW$7=$AL$16,'[4]4 trim 2016 BIOGROUP'!$Z$39/3,IF($AW$7=$AL$18,'[4]4 trim 2016 BIOGROUP'!$Z$39/3,IF($AW$7=$AL$19,'[4]4 trim 2016 BIOGROUP'!$Z$39/3,""))))))</f>
        <v>9596.0833333333339</v>
      </c>
      <c r="AX39" s="431">
        <f>IF($AX$7=$AL$13,'[4]3 trim 2016 BIOGROUP'!$Z$39/3,IF($AX$7=$AL$14,'[4]3 trim 2016 BIOGROUP'!$Z$39/3,IF($AX$7=$AL$15,'[4]3 trim 2016 BIOGROUP'!$Z$39/3,IF($AX$7=$AL$16,'[4]4 trim 2016 BIOGROUP'!$Z$39/3,IF($AX$7=$AL$18,'[4]4 trim 2016 BIOGROUP'!$Z$39/3,IF($AX$7=$AL$19,'[4]4 trim 2016 BIOGROUP'!$Z$39/3,""))))))</f>
        <v>9596.0833333333339</v>
      </c>
      <c r="AY39" s="431">
        <f>IF($AY$7=$AL$13,'[4]3 trim 2016 BIOGROUP'!$Z$39/3,IF($AY$7=$AL$14,'[4]3 trim 2016 BIOGROUP'!$Z$39/3,IF($AY$7=$AL$15,'[4]3 trim 2016 BIOGROUP'!$Z$39/3,IF($AY$7=$AL$16,'[4]4 trim 2016 BIOGROUP'!$Z$39/3,IF($AY$7=$AL$18,'[4]4 trim 2016 BIOGROUP'!$Z$39/3,IF($AY$7=$AL$19,'[4]4 trim 2016 BIOGROUP'!$Z$39/3,""))))))</f>
        <v>9596.0833333333339</v>
      </c>
      <c r="AZ39" s="431">
        <f>IF($AZ$7=$AL$13,'[4]3 trim 2016 BIOGROUP'!$Z$39/3,IF($AZ$7=$AL$14,'[4]3 trim 2016 BIOGROUP'!$Z$39/3,IF($AZ$7=$AL$15,'[4]3 trim 2016 BIOGROUP'!$Z$39/3,IF($AZ$7=$AL$16,'[4]4 trim 2016 BIOGROUP'!$Z$39/3,IF($AZ$7=$AL$18,'[4]4 trim 2016 BIOGROUP'!$Z$39/3,IF($AZ$7=$AL$19,'[4]4 trim 2016 BIOGROUP'!$Z$39/3,""))))))</f>
        <v>9596.0833333333339</v>
      </c>
      <c r="BB39" s="511">
        <f t="shared" si="5"/>
        <v>182471.34</v>
      </c>
      <c r="BC39" s="750"/>
    </row>
    <row r="40" spans="1:55" ht="27.75" customHeight="1">
      <c r="A40" s="649"/>
      <c r="B40" s="650">
        <v>681</v>
      </c>
      <c r="C40" s="459" t="s">
        <v>129</v>
      </c>
      <c r="D40" s="651"/>
      <c r="E40" s="459" t="s">
        <v>40</v>
      </c>
      <c r="F40" s="652"/>
      <c r="G40" s="486">
        <f>+-14402.7-22545-9396.71</f>
        <v>-46344.409999999996</v>
      </c>
      <c r="H40" s="653">
        <f>G40/G7</f>
        <v>-7.4721973241650592E-3</v>
      </c>
      <c r="J40" s="509">
        <f>-SUMIF($AO$7:$AZ$7,$G$6,AO40:AZ40)</f>
        <v>0</v>
      </c>
      <c r="K40" s="539" t="str">
        <f t="shared" si="6"/>
        <v/>
      </c>
      <c r="L40" s="431"/>
      <c r="M40" s="654">
        <f>AG40/3</f>
        <v>-128719.55666666666</v>
      </c>
      <c r="N40" s="523">
        <f t="shared" si="1"/>
        <v>-0.63995828450517511</v>
      </c>
      <c r="O40" s="655"/>
      <c r="P40" s="656" t="s">
        <v>40</v>
      </c>
      <c r="Q40" s="657" t="e">
        <f>+#REF!+'31 dec 2016 BIOLAM'!AT40</f>
        <v>#REF!</v>
      </c>
      <c r="R40" s="658" t="e">
        <f>Q40/Q$7</f>
        <v>#REF!</v>
      </c>
      <c r="S40" s="657" t="e">
        <f>+'31 dec 2016 BIOLAM'!AV40+#REF!</f>
        <v>#REF!</v>
      </c>
      <c r="T40" s="658" t="e">
        <f>S40/S$7</f>
        <v>#REF!</v>
      </c>
      <c r="U40" s="657" t="e">
        <f>+'31 dec 2016 BIOLAM'!AX40+#REF!</f>
        <v>#REF!</v>
      </c>
      <c r="V40" s="658" t="e">
        <f>U40/U$7</f>
        <v>#REF!</v>
      </c>
      <c r="W40" s="657" t="e">
        <f>+'31 dec 2016 BIOLAM'!AZ40+#REF!</f>
        <v>#REF!</v>
      </c>
      <c r="X40" s="658" t="e">
        <f>W40/W$7</f>
        <v>#REF!</v>
      </c>
      <c r="Y40" s="657" t="e">
        <f>+W40+U40+S40+Q40</f>
        <v>#REF!</v>
      </c>
      <c r="Z40" s="658" t="e">
        <f>Y40/Y$7</f>
        <v>#REF!</v>
      </c>
      <c r="AA40" s="659" t="e">
        <f>+G40-Y40</f>
        <v>#REF!</v>
      </c>
      <c r="AB40" s="486">
        <f>-49861.49-124391-9396.71</f>
        <v>-183649.19999999998</v>
      </c>
      <c r="AC40" s="653">
        <f>AB40/AB7</f>
        <v>-1.0289484284016402E-2</v>
      </c>
      <c r="AD40" s="509">
        <f>-SUMIF($AO$7:$AZ$7,"&lt;="&amp;$AC$6,AO40:AZ40)</f>
        <v>0</v>
      </c>
      <c r="AE40" s="523" t="str">
        <f t="shared" si="20"/>
        <v/>
      </c>
      <c r="AG40" s="654">
        <f>-20004-199383-31048.67-14071-116013-5639</f>
        <v>-386158.67</v>
      </c>
      <c r="AH40" s="523">
        <f t="shared" si="4"/>
        <v>-0.52442036326673702</v>
      </c>
      <c r="AJ40" s="620"/>
      <c r="AM40" s="459" t="s">
        <v>40</v>
      </c>
      <c r="AN40" s="747"/>
      <c r="AO40" s="431">
        <f>IF($AO$7=$AL$7,'[4]1 trim 2016 BIOGROUP'!$Z$40/3,IF($AO$7=$AL$8,'[4]1 trim 2016 BIOGROUP'!$Z$40/3,IF($AO$7=$AL$9,'[4]1 trim 2016 BIOGROUP'!$Z$40/3,IF($AO$7=$AL$10,'[4]2 trim 2016 BIOGROUP'!$Z$40/3,IF($AO$7=$AL$11,'[4]2 trim 2016 BIOGROUP'!$Z$40/3,IF($AO$7=$AL$12,'[4]2 trim 2016 BIOGROUP'!$Z$40/3,""))))))</f>
        <v>2582.21</v>
      </c>
      <c r="AP40" s="431">
        <f>IF($AP$7=$AL$7,'[4]1 trim 2016 BIOGROUP'!$Z$40/3,IF($AP$7=$AL$8,'[4]1 trim 2016 BIOGROUP'!$Z$40/3,IF($AP$7=$AL$9,'[4]1 trim 2016 BIOGROUP'!$Z$40/3,IF($AP$7=$AL$10,'[4]2 trim 2016 BIOGROUP'!$Z$40/3,IF($AP$7=$AL$11,'[4]2 trim 2016 BIOGROUP'!$Z$40/3,IF($AP$7=$AL$12,'[4]2 trim 2016 BIOGROUP'!$Z$40/3,""))))))</f>
        <v>2582.21</v>
      </c>
      <c r="AQ40" s="431">
        <f>IF($AQ$7=$AL$7,'[4]1 trim 2016 BIOGROUP'!$Z$40/3,IF($AQ$7=$AL$8,'[4]1 trim 2016 BIOGROUP'!$Z$40/3,IF($AQ$7=$AL$9,'[4]1 trim 2016 BIOGROUP'!$Z$40/3,IF($AQ$7=$AL$10,'[4]2 trim 2016 BIOGROUP'!$Z$40/3,IF($AQ$7=$AL$11,'[4]2 trim 2016 BIOGROUP'!$Z$40/3,IF($AQ$7=$AL$12,'[4]2 trim 2016 BIOGROUP'!$Z$40/3,""))))))</f>
        <v>2582.21</v>
      </c>
      <c r="AR40" s="431">
        <f>IF($AR$7=$AL$7,'[4]1 trim 2016 BIOGROUP'!$Z$40/3,IF($AR$7=$AL$8,'[4]1 trim 2016 BIOGROUP'!$Z$40/3,IF($AR$7=$AL$9,'[4]1 trim 2016 BIOGROUP'!$Z$40/3,IF($AR$7=$AL$10,'[4]2 trim 2016 BIOGROUP'!$Z$40/3,IF($AR$7=$AL$11,'[4]2 trim 2016 BIOGROUP'!$Z$40/3,IF($AR$7=$AL$12,'[4]2 trim 2016 BIOGROUP'!$Z$40/3,""))))))</f>
        <v>2582.21</v>
      </c>
      <c r="AS40" s="431">
        <f>IF($AS$7=$AL$7,'[4]1 trim 2016 BIOGROUP'!$Z$40/3,IF($AS$7=$AL$8,'[4]1 trim 2016 BIOGROUP'!$Z$40/3,IF($AS$7=$AL$9,'[4]1 trim 2016 BIOGROUP'!$Z$40/3,IF($AS$7=$AL$10,'[4]2 trim 2016 BIOGROUP'!$Z$40/3,IF($AS$7=$AL$11,'[4]2 trim 2016 BIOGROUP'!$Z$40/3,IF($AS$7=$AL$12,'[4]2 trim 2016 BIOGROUP'!$Z$40/3,""))))))</f>
        <v>2582.21</v>
      </c>
      <c r="AT40" s="431">
        <f>IF($AT$7=$AL$7,'[4]1 trim 2016 BIOGROUP'!$Z$40/3,IF($AT$7=$AL$8,'[4]1 trim 2016 BIOGROUP'!$Z$40/3,IF($AT$7=$AL$9,'[4]1 trim 2016 BIOGROUP'!$Z$40/3,IF($AT$7=$AL$10,'[4]2 trim 2016 BIOGROUP'!$Z$40/3,IF($AT$7=$AL$11,'[4]2 trim 2016 BIOGROUP'!$Z$40/3,IF($AT$7=$AL$12,'[4]2 trim 2016 BIOGROUP'!$Z$40/3,""))))))</f>
        <v>2582.21</v>
      </c>
      <c r="AU40" s="431">
        <f>IF($AU$7=$AL$13,'[4]3 trim 2016 BIOGROUP'!$Z$40/3,IF($AU$7=$AL$14,'[4]3 trim 2016 BIOGROUP'!$Z$40/3,IF($AU$7=$AL$15,'[4]3 trim 2016 BIOGROUP'!$Z$40/3,IF($AU$7=$AL$16,'[4]4 trim 2016 BIOGROUP'!$Z$40/3,IF($AU$7=$AL$18,'[4]4 trim 2016 BIOGROUP'!$Z$40/3,IF($AU$7=$AL$19,'[4]4 trim 2016 BIOGROUP'!$Z$40/3,""))))))</f>
        <v>2582.21</v>
      </c>
      <c r="AV40" s="431">
        <f>IF($AV$7=$AL$13,'[4]3 trim 2016 BIOGROUP'!$Z$40/3,IF($AV$7=$AL$14,'[4]3 trim 2016 BIOGROUP'!$Z$40/3,IF($AV$7=$AL$15,'[4]3 trim 2016 BIOGROUP'!$Z$40/3,IF($AV$7=$AL$16,'[4]4 trim 2016 BIOGROUP'!$Z$40/3,IF($AV$7=$AL$18,'[4]4 trim 2016 BIOGROUP'!$Z$40/3,IF($AV$7=$AL$19,'[4]4 trim 2016 BIOGROUP'!$Z$40/3,""))))))</f>
        <v>2582.21</v>
      </c>
      <c r="AW40" s="431">
        <f>IF($AW$7=$AL$13,'[4]3 trim 2016 BIOGROUP'!$Z$40/3,IF($AW$7=$AL$14,'[4]3 trim 2016 BIOGROUP'!$Z$40/3,IF($AW$7=$AL$15,'[4]3 trim 2016 BIOGROUP'!$Z$40/3,IF($AW$7=$AL$16,'[4]4 trim 2016 BIOGROUP'!$Z$40/3,IF($AW$7=$AL$18,'[4]4 trim 2016 BIOGROUP'!$Z$40/3,IF($AW$7=$AL$19,'[4]4 trim 2016 BIOGROUP'!$Z$40/3,""))))))</f>
        <v>2582.21</v>
      </c>
      <c r="AX40" s="431">
        <f>IF($AX$7=$AL$13,'[4]3 trim 2016 BIOGROUP'!$Z$40/3,IF($AX$7=$AL$14,'[4]3 trim 2016 BIOGROUP'!$Z$40/3,IF($AX$7=$AL$15,'[4]3 trim 2016 BIOGROUP'!$Z$40/3,IF($AX$7=$AL$16,'[4]4 trim 2016 BIOGROUP'!$Z$40/3,IF($AX$7=$AL$18,'[4]4 trim 2016 BIOGROUP'!$Z$40/3,IF($AX$7=$AL$19,'[4]4 trim 2016 BIOGROUP'!$Z$40/3,""))))))</f>
        <v>2582.21</v>
      </c>
      <c r="AY40" s="431">
        <f>IF($AY$7=$AL$13,'[4]3 trim 2016 BIOGROUP'!$Z$40/3,IF($AY$7=$AL$14,'[4]3 trim 2016 BIOGROUP'!$Z$40/3,IF($AY$7=$AL$15,'[4]3 trim 2016 BIOGROUP'!$Z$40/3,IF($AY$7=$AL$16,'[4]4 trim 2016 BIOGROUP'!$Z$40/3,IF($AY$7=$AL$18,'[4]4 trim 2016 BIOGROUP'!$Z$40/3,IF($AY$7=$AL$19,'[4]4 trim 2016 BIOGROUP'!$Z$40/3,""))))))</f>
        <v>2582.21</v>
      </c>
      <c r="AZ40" s="431">
        <f>IF($AZ$7=$AL$13,'[4]3 trim 2016 BIOGROUP'!$Z$40/3,IF($AZ$7=$AL$14,'[4]3 trim 2016 BIOGROUP'!$Z$40/3,IF($AZ$7=$AL$15,'[4]3 trim 2016 BIOGROUP'!$Z$40/3,IF($AZ$7=$AL$16,'[4]4 trim 2016 BIOGROUP'!$Z$40/3,IF($AZ$7=$AL$18,'[4]4 trim 2016 BIOGROUP'!$Z$40/3,IF($AZ$7=$AL$19,'[4]4 trim 2016 BIOGROUP'!$Z$40/3,""))))))</f>
        <v>2582.21</v>
      </c>
      <c r="BB40" s="511">
        <f t="shared" si="5"/>
        <v>183649.19999999998</v>
      </c>
      <c r="BC40" s="750"/>
    </row>
    <row r="41" spans="1:55" ht="26.15" customHeight="1">
      <c r="A41" s="649"/>
      <c r="B41" s="650"/>
      <c r="C41" s="460" t="s">
        <v>96</v>
      </c>
      <c r="D41" s="439"/>
      <c r="E41" s="460" t="str">
        <f>+C41</f>
        <v>EBITDA (% of net revenues)</v>
      </c>
      <c r="G41" s="487">
        <f>+G38+G39+G40</f>
        <v>1827163.74</v>
      </c>
      <c r="H41" s="641">
        <f>+G41/G7</f>
        <v>0.29459708320462863</v>
      </c>
      <c r="J41" s="504">
        <f>J38+J39+J40</f>
        <v>0</v>
      </c>
      <c r="K41" s="505" t="str">
        <f t="shared" si="6"/>
        <v/>
      </c>
      <c r="L41" s="431"/>
      <c r="M41" s="504">
        <f>M38+M39+M40</f>
        <v>1010028.4799999997</v>
      </c>
      <c r="N41" s="522">
        <f t="shared" si="1"/>
        <v>0.80902199906283878</v>
      </c>
      <c r="O41" s="580"/>
      <c r="P41" s="660"/>
      <c r="Q41" s="661"/>
      <c r="R41" s="583"/>
      <c r="S41" s="661"/>
      <c r="T41" s="583"/>
      <c r="U41" s="661"/>
      <c r="V41" s="583"/>
      <c r="W41" s="661"/>
      <c r="X41" s="583"/>
      <c r="Y41" s="661"/>
      <c r="Z41" s="583"/>
      <c r="AA41" s="584"/>
      <c r="AB41" s="487">
        <f>AB36+AB37+AB38</f>
        <v>10781881.619999999</v>
      </c>
      <c r="AC41" s="641">
        <f>+AB41/AB7</f>
        <v>0.60408649469268205</v>
      </c>
      <c r="AD41" s="504">
        <f>AD38+AD39+AD40</f>
        <v>0</v>
      </c>
      <c r="AE41" s="522" t="str">
        <f t="shared" si="20"/>
        <v/>
      </c>
      <c r="AG41" s="504">
        <f>AG38+AG39+AG40</f>
        <v>3030085.4400000027</v>
      </c>
      <c r="AH41" s="522">
        <f t="shared" si="4"/>
        <v>2.5582764359278229</v>
      </c>
      <c r="AM41" s="460" t="s">
        <v>96</v>
      </c>
      <c r="AN41" s="747"/>
      <c r="AO41" s="741">
        <f>AO38-AO39-AO40</f>
        <v>78000.706666666738</v>
      </c>
      <c r="AP41" s="741">
        <f t="shared" ref="AP41:AZ41" si="23">AP38-AP39-AP40</f>
        <v>78000.706666666738</v>
      </c>
      <c r="AQ41" s="741">
        <f t="shared" si="23"/>
        <v>78000.706666666738</v>
      </c>
      <c r="AR41" s="741">
        <f t="shared" si="23"/>
        <v>79689.623333333366</v>
      </c>
      <c r="AS41" s="741">
        <f t="shared" si="23"/>
        <v>79689.623333333366</v>
      </c>
      <c r="AT41" s="741">
        <f t="shared" si="23"/>
        <v>79689.623333333366</v>
      </c>
      <c r="AU41" s="741">
        <f t="shared" si="23"/>
        <v>79689.623333333366</v>
      </c>
      <c r="AV41" s="741">
        <f>AV38-AV39-AV40</f>
        <v>79689.623333333366</v>
      </c>
      <c r="AW41" s="741">
        <f t="shared" si="23"/>
        <v>79689.623333333366</v>
      </c>
      <c r="AX41" s="741">
        <f t="shared" si="23"/>
        <v>79689.623333333366</v>
      </c>
      <c r="AY41" s="741">
        <f t="shared" si="23"/>
        <v>79689.623333333366</v>
      </c>
      <c r="AZ41" s="741">
        <f t="shared" si="23"/>
        <v>79689.623333333366</v>
      </c>
      <c r="BB41" s="748">
        <f t="shared" si="5"/>
        <v>10781881.619999999</v>
      </c>
      <c r="BC41" s="752"/>
    </row>
    <row r="42" spans="1:55" ht="36.75" customHeight="1">
      <c r="A42" s="662"/>
      <c r="B42" s="566"/>
      <c r="C42" s="461" t="s">
        <v>101</v>
      </c>
      <c r="D42" s="439"/>
      <c r="E42" s="461" t="s">
        <v>102</v>
      </c>
      <c r="G42" s="488">
        <f>SUM(G43:G45)</f>
        <v>-160347.28</v>
      </c>
      <c r="H42" s="623">
        <f>G42/G7</f>
        <v>-2.585309677160947E-2</v>
      </c>
      <c r="J42" s="510">
        <f>SUM(J43:J45)</f>
        <v>0</v>
      </c>
      <c r="K42" s="534" t="str">
        <f t="shared" si="6"/>
        <v/>
      </c>
      <c r="L42" s="431"/>
      <c r="M42" s="510">
        <f>SUM(M43:M45)</f>
        <v>-238405.60000000003</v>
      </c>
      <c r="N42" s="520">
        <f t="shared" si="1"/>
        <v>-0.32741814789585488</v>
      </c>
      <c r="O42" s="592"/>
      <c r="P42" s="611" t="str">
        <f>+E42</f>
        <v>RESULTAT FINANCIER</v>
      </c>
      <c r="Q42" s="663" t="e">
        <f>+Q31-Q37-Q40</f>
        <v>#REF!</v>
      </c>
      <c r="R42" s="622" t="e">
        <f>Q42/Q$7</f>
        <v>#REF!</v>
      </c>
      <c r="S42" s="663" t="e">
        <f>+S31-S37-S40</f>
        <v>#REF!</v>
      </c>
      <c r="T42" s="622" t="e">
        <f>S42/S$7</f>
        <v>#REF!</v>
      </c>
      <c r="U42" s="663" t="e">
        <f>+U31-U37-U40</f>
        <v>#REF!</v>
      </c>
      <c r="V42" s="622" t="e">
        <f>U42/U$7</f>
        <v>#REF!</v>
      </c>
      <c r="W42" s="663" t="e">
        <f>+W31-W37-W40</f>
        <v>#REF!</v>
      </c>
      <c r="X42" s="622" t="e">
        <f>W42/W$7</f>
        <v>#REF!</v>
      </c>
      <c r="Y42" s="663" t="e">
        <f>+Y31-Y37-Y40</f>
        <v>#REF!</v>
      </c>
      <c r="Z42" s="622" t="e">
        <f>Y42/Y$7</f>
        <v>#REF!</v>
      </c>
      <c r="AA42" s="609" t="e">
        <f>+G42-Y42</f>
        <v>#REF!</v>
      </c>
      <c r="AB42" s="488">
        <f>SUM(AB43:AB45)</f>
        <v>-647845.48</v>
      </c>
      <c r="AC42" s="664">
        <f>AB42/AB7</f>
        <v>-3.6297440364189242E-2</v>
      </c>
      <c r="AD42" s="510">
        <f>SUM(AD43:AD45)</f>
        <v>0</v>
      </c>
      <c r="AE42" s="520" t="str">
        <f t="shared" si="20"/>
        <v/>
      </c>
      <c r="AG42" s="510">
        <f>SUM(AG43:AG45)</f>
        <v>-715216.8</v>
      </c>
      <c r="AH42" s="520">
        <f t="shared" si="4"/>
        <v>-9.4197060248025585E-2</v>
      </c>
      <c r="AM42" s="461" t="s">
        <v>102</v>
      </c>
      <c r="AN42" s="747"/>
      <c r="AO42" s="741">
        <f>-SUM(AO43:AO45)</f>
        <v>0</v>
      </c>
      <c r="AP42" s="741">
        <f t="shared" ref="AP42:AZ42" si="24">-SUM(AP43:AP45)</f>
        <v>0</v>
      </c>
      <c r="AQ42" s="741">
        <f t="shared" si="24"/>
        <v>0</v>
      </c>
      <c r="AR42" s="741">
        <f t="shared" si="24"/>
        <v>0</v>
      </c>
      <c r="AS42" s="741">
        <f t="shared" si="24"/>
        <v>0</v>
      </c>
      <c r="AT42" s="741">
        <f t="shared" si="24"/>
        <v>0</v>
      </c>
      <c r="AU42" s="741">
        <f t="shared" si="24"/>
        <v>0</v>
      </c>
      <c r="AV42" s="741">
        <f t="shared" si="24"/>
        <v>0</v>
      </c>
      <c r="AW42" s="741">
        <f t="shared" si="24"/>
        <v>0</v>
      </c>
      <c r="AX42" s="741">
        <f t="shared" si="24"/>
        <v>0</v>
      </c>
      <c r="AY42" s="741">
        <f t="shared" si="24"/>
        <v>0</v>
      </c>
      <c r="AZ42" s="741">
        <f t="shared" si="24"/>
        <v>0</v>
      </c>
      <c r="BB42" s="748">
        <f t="shared" si="5"/>
        <v>647845.48</v>
      </c>
      <c r="BC42" s="752"/>
    </row>
    <row r="43" spans="1:55" ht="26.15" customHeight="1">
      <c r="A43" s="575"/>
      <c r="B43" s="548">
        <v>76</v>
      </c>
      <c r="C43" s="450" t="s">
        <v>148</v>
      </c>
      <c r="D43" s="439"/>
      <c r="E43" s="450" t="s">
        <v>16</v>
      </c>
      <c r="F43" s="577"/>
      <c r="G43" s="475">
        <v>34821.81</v>
      </c>
      <c r="H43" s="578">
        <f>G43/G7</f>
        <v>5.6143866219158711E-3</v>
      </c>
      <c r="J43" s="511">
        <f>-SUMIF($AO$7:$AZ$7,$G$6,AO43:AZ43)</f>
        <v>0</v>
      </c>
      <c r="K43" s="532" t="str">
        <f t="shared" si="6"/>
        <v/>
      </c>
      <c r="L43" s="431"/>
      <c r="M43" s="579">
        <f>AG43/3</f>
        <v>16750.846666666668</v>
      </c>
      <c r="N43" s="517">
        <f t="shared" si="1"/>
        <v>1.0788089517465183</v>
      </c>
      <c r="O43" s="592"/>
      <c r="P43" s="616" t="s">
        <v>16</v>
      </c>
      <c r="Q43" s="607" t="e">
        <f>+#REF!+'31 dec 2016 BIOLAM'!AT45</f>
        <v>#REF!</v>
      </c>
      <c r="R43" s="622" t="e">
        <f>Q43/Q$7</f>
        <v>#REF!</v>
      </c>
      <c r="S43" s="607" t="e">
        <f>+'31 dec 2016 BIOLAM'!AV45+#REF!</f>
        <v>#REF!</v>
      </c>
      <c r="T43" s="622" t="e">
        <f>S43/S$7</f>
        <v>#REF!</v>
      </c>
      <c r="U43" s="607" t="e">
        <f>+'31 dec 2016 BIOLAM'!AX45+#REF!</f>
        <v>#REF!</v>
      </c>
      <c r="V43" s="622" t="e">
        <f>U43/U$7</f>
        <v>#REF!</v>
      </c>
      <c r="W43" s="607" t="e">
        <f>+'31 dec 2016 BIOLAM'!AZ45+#REF!</f>
        <v>#REF!</v>
      </c>
      <c r="X43" s="622" t="e">
        <f>W43/W$7</f>
        <v>#REF!</v>
      </c>
      <c r="Y43" s="607" t="e">
        <f>+W43+U43+S43+Q43</f>
        <v>#REF!</v>
      </c>
      <c r="Z43" s="622" t="e">
        <f>Y43/Y$7</f>
        <v>#REF!</v>
      </c>
      <c r="AA43" s="609" t="e">
        <f>+G43-Y43</f>
        <v>#REF!</v>
      </c>
      <c r="AB43" s="475">
        <v>35987.85</v>
      </c>
      <c r="AC43" s="578">
        <f>AB43/AB7</f>
        <v>2.0163246939847259E-3</v>
      </c>
      <c r="AD43" s="511">
        <f>-SUMIF($AO$7:$AZ$7,"&lt;="&amp;$AC$6,AO43:AZ43)</f>
        <v>0</v>
      </c>
      <c r="AE43" s="517" t="str">
        <f t="shared" si="20"/>
        <v/>
      </c>
      <c r="AG43" s="579">
        <f>50252.54</f>
        <v>50252.54</v>
      </c>
      <c r="AH43" s="517">
        <f t="shared" si="4"/>
        <v>-0.28386007951040887</v>
      </c>
      <c r="AM43" s="450" t="s">
        <v>16</v>
      </c>
      <c r="AN43" s="747"/>
      <c r="AO43" s="431">
        <f>IF($AO$7=$AL$7,'[4]1 trim 2016 BIOGROUP'!$Z$45/3,IF($AO$7=$AL$8,'[4]1 trim 2016 BIOGROUP'!$Z$45/3,IF($AO$7=$AL$9,'[4]1 trim 2016 BIOGROUP'!$Z$45/3,IF($AO$7=$AL$10,'[4]2 trim 2016 BIOGROUP'!$Z$45/3,IF($AO$7=$AL$11,'[4]2 trim 2016 BIOGROUP'!$Z$45/3,IF($AO$7=$AL$12,'[4]2 trim 2016 BIOGROUP'!$Z$45/3,""))))))</f>
        <v>0</v>
      </c>
      <c r="AP43" s="431">
        <f>IF($AP$7=$AL$7,'[4]1 trim 2016 BIOGROUP'!$Z$45/3,IF($AP$7=$AL$8,'[4]1 trim 2016 BIOGROUP'!$Z$45/3,IF($AP$7=$AL$9,'[4]1 trim 2016 BIOGROUP'!$Z$45/3,IF($AP$7=$AL$10,'[4]2 trim 2016 BIOGROUP'!$Z$45/3,IF($AP$7=$AL$11,'[4]2 trim 2016 BIOGROUP'!$Z$45/3,IF($AP$7=$AL$12,'[4]2 trim 2016 BIOGROUP'!$Z$45/3,""))))))</f>
        <v>0</v>
      </c>
      <c r="AQ43" s="431">
        <f>IF($AQ$7=$AL$7,'[4]1 trim 2016 BIOGROUP'!$Z$45/3,IF($AQ$7=$AL$8,'[4]1 trim 2016 BIOGROUP'!$Z$45/3,IF($AQ$7=$AL$9,'[4]1 trim 2016 BIOGROUP'!$Z$45/3,IF($AQ$7=$AL$10,'[4]2 trim 2016 BIOGROUP'!$Z$45/3,IF($AQ$7=$AL$11,'[4]2 trim 2016 BIOGROUP'!$Z$45/3,IF($AQ$7=$AL$12,'[4]2 trim 2016 BIOGROUP'!$Z$45/3,""))))))</f>
        <v>0</v>
      </c>
      <c r="AR43" s="431">
        <f>IF($AR$7=$AL$7,'[4]1 trim 2016 BIOGROUP'!$Z$45/3,IF($AR$7=$AL$8,'[4]1 trim 2016 BIOGROUP'!$Z$45/3,IF($AR$7=$AL$9,'[4]1 trim 2016 BIOGROUP'!$Z$45/3,IF($AR$7=$AL$10,'[4]2 trim 2016 BIOGROUP'!$Z$45/3,IF($AR$7=$AL$11,'[4]2 trim 2016 BIOGROUP'!$Z$45/3,IF($AR$7=$AL$12,'[4]2 trim 2016 BIOGROUP'!$Z$45/3,""))))))</f>
        <v>0</v>
      </c>
      <c r="AS43" s="431">
        <f>IF($AS$7=$AL$7,'[4]1 trim 2016 BIOGROUP'!$Z$45/3,IF($AS$7=$AL$8,'[4]1 trim 2016 BIOGROUP'!$Z$45/3,IF($AS$7=$AL$9,'[4]1 trim 2016 BIOGROUP'!$Z$45/3,IF($AS$7=$AL$10,'[4]2 trim 2016 BIOGROUP'!$Z$45/3,IF($AS$7=$AL$11,'[4]2 trim 2016 BIOGROUP'!$Z$45/3,IF($AS$7=$AL$12,'[4]2 trim 2016 BIOGROUP'!$Z$45/3,""))))))</f>
        <v>0</v>
      </c>
      <c r="AT43" s="431">
        <f>IF($AT$7=$AL$7,'[4]1 trim 2016 BIOGROUP'!$Z$45/3,IF($AT$7=$AL$8,'[4]1 trim 2016 BIOGROUP'!$Z$45/3,IF($AT$7=$AL$9,'[4]1 trim 2016 BIOGROUP'!$Z$45/3,IF($AT$7=$AL$10,'[4]2 trim 2016 BIOGROUP'!$Z$45/3,IF($AT$7=$AL$11,'[4]2 trim 2016 BIOGROUP'!$Z$45/3,IF($AT$7=$AL$12,'[4]2 trim 2016 BIOGROUP'!$Z$45/3,""))))))</f>
        <v>0</v>
      </c>
      <c r="AU43" s="431">
        <f>IF($AU$7=$AL$13,'[4]3 trim 2016 BIOGROUP'!$Z$45/3,IF($AU$7=$AL$14,'[4]3 trim 2016 BIOGROUP'!$Z$45/3,IF($AU$7=$AL$15,'[4]3 trim 2016 BIOGROUP'!$Z$45/3,IF($AU$7=$AL$16,'[4]4 trim 2016 BIOGROUP'!$Z$45/3,IF($AU$7=$AL$18,'[4]4 trim 2016 BIOGROUP'!$Z$45/3,IF($AU$7=$AL$19,'[4]4 trim 2016 BIOGROUP'!$Z$45/3,""))))))</f>
        <v>0</v>
      </c>
      <c r="AV43" s="431">
        <f>IF($AV$7=$AL$13,'[4]3 trim 2016 BIOGROUP'!$Z$45/3,IF($AV$7=$AL$14,'[4]3 trim 2016 BIOGROUP'!$Z$45/3,IF($AV$7=$AL$15,'[4]3 trim 2016 BIOGROUP'!$Z$45/3,IF($AV$7=$AL$16,'[4]4 trim 2016 BIOGROUP'!$Z$45/3,IF($AV$7=$AL$18,'[4]4 trim 2016 BIOGROUP'!$Z$45/3,IF($AV$7=$AL$19,'[4]4 trim 2016 BIOGROUP'!$Z$45/3,""))))))</f>
        <v>0</v>
      </c>
      <c r="AW43" s="431">
        <f>IF($AW$7=$AL$13,'[4]3 trim 2016 BIOGROUP'!$Z$45/3,IF($AW$7=$AL$14,'[4]3 trim 2016 BIOGROUP'!$Z$45/3,IF($AW$7=$AL$15,'[4]3 trim 2016 BIOGROUP'!$Z$45/3,IF($AW$7=$AL$16,'[4]4 trim 2016 BIOGROUP'!$Z$45/3,IF($AW$7=$AL$18,'[4]4 trim 2016 BIOGROUP'!$Z$45/3,IF($AW$7=$AL$19,'[4]4 trim 2016 BIOGROUP'!$Z$45/3,""))))))</f>
        <v>0</v>
      </c>
      <c r="AX43" s="431">
        <f>IF($AX$7=$AL$13,'[4]3 trim 2016 BIOGROUP'!$Z$45/3,IF($AX$7=$AL$14,'[4]3 trim 2016 BIOGROUP'!$Z$45/3,IF($AX$7=$AL$15,'[4]3 trim 2016 BIOGROUP'!$Z$45/3,IF($AX$7=$AL$16,'[4]4 trim 2016 BIOGROUP'!$Z$45/3,IF($AX$7=$AL$18,'[4]4 trim 2016 BIOGROUP'!$Z$45/3,IF($AX$7=$AL$19,'[4]4 trim 2016 BIOGROUP'!$Z$45/3,""))))))</f>
        <v>0</v>
      </c>
      <c r="AY43" s="431">
        <f>IF($AY$7=$AL$13,'[4]3 trim 2016 BIOGROUP'!$Z$45/3,IF($AY$7=$AL$14,'[4]3 trim 2016 BIOGROUP'!$Z$45/3,IF($AY$7=$AL$15,'[4]3 trim 2016 BIOGROUP'!$Z$45/3,IF($AY$7=$AL$16,'[4]4 trim 2016 BIOGROUP'!$Z$45/3,IF($AY$7=$AL$18,'[4]4 trim 2016 BIOGROUP'!$Z$45/3,IF($AY$7=$AL$19,'[4]4 trim 2016 BIOGROUP'!$Z$45/3,""))))))</f>
        <v>0</v>
      </c>
      <c r="AZ43" s="431">
        <f>IF($AZ$7=$AL$13,'[4]3 trim 2016 BIOGROUP'!$Z$45/3,IF($AZ$7=$AL$14,'[4]3 trim 2016 BIOGROUP'!$Z$45/3,IF($AZ$7=$AL$15,'[4]3 trim 2016 BIOGROUP'!$Z$45/3,IF($AZ$7=$AL$16,'[4]4 trim 2016 BIOGROUP'!$Z$45/3,IF($AZ$7=$AL$18,'[4]4 trim 2016 BIOGROUP'!$Z$45/3,IF($AZ$7=$AL$19,'[4]4 trim 2016 BIOGROUP'!$Z$45/3,""))))))</f>
        <v>0</v>
      </c>
      <c r="BB43" s="511">
        <f t="shared" si="5"/>
        <v>35987.85</v>
      </c>
      <c r="BC43" s="750"/>
    </row>
    <row r="44" spans="1:55" ht="26.15" customHeight="1">
      <c r="A44" s="575"/>
      <c r="B44" s="548">
        <v>66</v>
      </c>
      <c r="C44" s="450" t="s">
        <v>149</v>
      </c>
      <c r="D44" s="439"/>
      <c r="E44" s="450" t="s">
        <v>17</v>
      </c>
      <c r="F44" s="577"/>
      <c r="G44" s="489">
        <f>+-195169.09-G45</f>
        <v>-195013.19</v>
      </c>
      <c r="H44" s="665">
        <f>G44/G7</f>
        <v>-3.1442347340162331E-2</v>
      </c>
      <c r="J44" s="495">
        <f>-SUMIF($AO$7:$AZ$7,$G$6,AO44:AZ44)</f>
        <v>0</v>
      </c>
      <c r="K44" s="532" t="str">
        <f t="shared" si="6"/>
        <v/>
      </c>
      <c r="L44" s="431"/>
      <c r="M44" s="579">
        <f>AG44/3</f>
        <v>-238103.11333333337</v>
      </c>
      <c r="N44" s="517">
        <f t="shared" si="1"/>
        <v>-0.18097169218030956</v>
      </c>
      <c r="O44" s="580"/>
      <c r="P44" s="586" t="s">
        <v>17</v>
      </c>
      <c r="Q44" s="582" t="e">
        <f>+#REF!+'31 dec 2016 BIOLAM'!AT46</f>
        <v>#REF!</v>
      </c>
      <c r="R44" s="583" t="e">
        <f>Q44/Q$7</f>
        <v>#REF!</v>
      </c>
      <c r="S44" s="582" t="e">
        <f>+'31 dec 2016 BIOLAM'!AV46+#REF!</f>
        <v>#REF!</v>
      </c>
      <c r="T44" s="583" t="e">
        <f>S44/S$7</f>
        <v>#REF!</v>
      </c>
      <c r="U44" s="582" t="e">
        <f>+'31 dec 2016 BIOLAM'!AX46+#REF!</f>
        <v>#REF!</v>
      </c>
      <c r="V44" s="583" t="e">
        <f>U44/U$7</f>
        <v>#REF!</v>
      </c>
      <c r="W44" s="582" t="e">
        <f>+'31 dec 2016 BIOLAM'!AZ46+#REF!</f>
        <v>#REF!</v>
      </c>
      <c r="X44" s="583" t="e">
        <f>W44/W$7</f>
        <v>#REF!</v>
      </c>
      <c r="Y44" s="582" t="e">
        <f>+W44+U44+S44+Q44</f>
        <v>#REF!</v>
      </c>
      <c r="Z44" s="583" t="e">
        <f>Y44/Y$7</f>
        <v>#REF!</v>
      </c>
      <c r="AA44" s="584" t="e">
        <f>+G44-Y44</f>
        <v>#REF!</v>
      </c>
      <c r="AB44" s="475">
        <f>-683833.33-AB45</f>
        <v>-673186.14</v>
      </c>
      <c r="AC44" s="578">
        <f>AB44/AB7</f>
        <v>-3.7717225055963581E-2</v>
      </c>
      <c r="AD44" s="495">
        <f>-SUMIF($AO$7:$AZ$7,"&lt;="&amp;$AC$6,AO44:AZ44)</f>
        <v>0</v>
      </c>
      <c r="AE44" s="517" t="str">
        <f t="shared" si="20"/>
        <v/>
      </c>
      <c r="AG44" s="579">
        <f>-678897.04-86572.3-AG45</f>
        <v>-714309.34000000008</v>
      </c>
      <c r="AH44" s="517">
        <f t="shared" si="4"/>
        <v>-5.7570575795635077E-2</v>
      </c>
      <c r="AM44" s="450" t="s">
        <v>17</v>
      </c>
      <c r="AN44" s="747"/>
      <c r="AO44" s="431">
        <f>IF($AO$7=$AL$7,'[4]1 trim 2016 BIOGROUP'!$Z$46/3,IF($AO$7=$AL$8,'[4]1 trim 2016 BIOGROUP'!$Z$46/3,IF($AO$7=$AL$9,'[4]1 trim 2016 BIOGROUP'!$Z$46/3,IF($AO$7=$AL$10,'[4]2 trim 2016 BIOGROUP'!$Z$46/3,IF($AO$7=$AL$11,'[4]2 trim 2016 BIOGROUP'!$Z$46/3,IF($AO$7=$AL$12,'[4]2 trim 2016 BIOGROUP'!$Z$46/3,""))))))</f>
        <v>0</v>
      </c>
      <c r="AP44" s="431">
        <f>IF($AP$7=$AL$7,'[4]1 trim 2016 BIOGROUP'!$Z$46/3,IF($AP$7=$AL$8,'[4]1 trim 2016 BIOGROUP'!$Z$46/3,IF($AP$7=$AL$9,'[4]1 trim 2016 BIOGROUP'!$Z$46/3,IF($AP$7=$AL$10,'[4]2 trim 2016 BIOGROUP'!$Z$46/3,IF($AP$7=$AL$11,'[4]2 trim 2016 BIOGROUP'!$Z$46/3,IF($AP$7=$AL$12,'[4]2 trim 2016 BIOGROUP'!$Z$46/3,""))))))</f>
        <v>0</v>
      </c>
      <c r="AQ44" s="431">
        <f>IF($AQ$7=$AL$7,'[4]1 trim 2016 BIOGROUP'!$Z$46/3,IF($AQ$7=$AL$8,'[4]1 trim 2016 BIOGROUP'!$Z$46/3,IF($AQ$7=$AL$9,'[4]1 trim 2016 BIOGROUP'!$Z$46/3,IF($AQ$7=$AL$10,'[4]2 trim 2016 BIOGROUP'!$Z$46/3,IF($AQ$7=$AL$11,'[4]2 trim 2016 BIOGROUP'!$Z$46/3,IF($AQ$7=$AL$12,'[4]2 trim 2016 BIOGROUP'!$Z$46/3,""))))))</f>
        <v>0</v>
      </c>
      <c r="AR44" s="431">
        <f>IF($AR$7=$AL$7,'[4]1 trim 2016 BIOGROUP'!$Z$46/3,IF($AR$7=$AL$8,'[4]1 trim 2016 BIOGROUP'!$Z$46/3,IF($AR$7=$AL$9,'[4]1 trim 2016 BIOGROUP'!$Z$46/3,IF($AR$7=$AL$10,'[4]2 trim 2016 BIOGROUP'!$Z$46/3,IF($AR$7=$AL$11,'[4]2 trim 2016 BIOGROUP'!$Z$46/3,IF($AR$7=$AL$12,'[4]2 trim 2016 BIOGROUP'!$Z$46/3,""))))))</f>
        <v>0</v>
      </c>
      <c r="AS44" s="431">
        <f>IF($AS$7=$AL$7,'[4]1 trim 2016 BIOGROUP'!$Z$46/3,IF($AS$7=$AL$8,'[4]1 trim 2016 BIOGROUP'!$Z$46/3,IF($AS$7=$AL$9,'[4]1 trim 2016 BIOGROUP'!$Z$46/3,IF($AS$7=$AL$10,'[4]2 trim 2016 BIOGROUP'!$Z$46/3,IF($AS$7=$AL$11,'[4]2 trim 2016 BIOGROUP'!$Z$46/3,IF($AS$7=$AL$12,'[4]2 trim 2016 BIOGROUP'!$Z$46/3,""))))))</f>
        <v>0</v>
      </c>
      <c r="AT44" s="431">
        <f>IF($AT$7=$AL$7,'[4]1 trim 2016 BIOGROUP'!$Z$46/3,IF($AT$7=$AL$8,'[4]1 trim 2016 BIOGROUP'!$Z$46/3,IF($AT$7=$AL$9,'[4]1 trim 2016 BIOGROUP'!$Z$46/3,IF($AT$7=$AL$10,'[4]2 trim 2016 BIOGROUP'!$Z$46/3,IF($AT$7=$AL$11,'[4]2 trim 2016 BIOGROUP'!$Z$46/3,IF($AT$7=$AL$12,'[4]2 trim 2016 BIOGROUP'!$Z$46/3,""))))))</f>
        <v>0</v>
      </c>
      <c r="AU44" s="431">
        <f>IF($AU$7=$AL$13,'[4]3 trim 2016 BIOGROUP'!$Z$46/3,IF($AU$7=$AL$14,'[4]3 trim 2016 BIOGROUP'!$Z$46/3,IF($AU$7=$AL$15,'[4]3 trim 2016 BIOGROUP'!$Z$46/3,IF($AU$7=$AL$16,'[4]4 trim 2016 BIOGROUP'!$Z$46/3,IF($AU$7=$AL$18,'[4]4 trim 2016 BIOGROUP'!$Z$46/3,IF($AU$7=$AL$19,'[4]4 trim 2016 BIOGROUP'!$Z$46/3,""))))))</f>
        <v>0</v>
      </c>
      <c r="AV44" s="431">
        <f>IF($AV$7=$AL$13,'[4]3 trim 2016 BIOGROUP'!$Z$46/3,IF($AV$7=$AL$14,'[4]3 trim 2016 BIOGROUP'!$Z$46/3,IF($AV$7=$AL$15,'[4]3 trim 2016 BIOGROUP'!$Z$46/3,IF($AV$7=$AL$16,'[4]4 trim 2016 BIOGROUP'!$Z$46/3,IF($AV$7=$AL$18,'[4]4 trim 2016 BIOGROUP'!$Z$46/3,IF($AV$7=$AL$19,'[4]4 trim 2016 BIOGROUP'!$Z$46/3,""))))))</f>
        <v>0</v>
      </c>
      <c r="AW44" s="431">
        <f>IF($AW$7=$AL$13,'[4]3 trim 2016 BIOGROUP'!$Z$46/3,IF($AW$7=$AL$14,'[4]3 trim 2016 BIOGROUP'!$Z$46/3,IF($AW$7=$AL$15,'[4]3 trim 2016 BIOGROUP'!$Z$46/3,IF($AW$7=$AL$16,'[4]4 trim 2016 BIOGROUP'!$Z$46/3,IF($AW$7=$AL$18,'[4]4 trim 2016 BIOGROUP'!$Z$46/3,IF($AW$7=$AL$19,'[4]4 trim 2016 BIOGROUP'!$Z$46/3,""))))))</f>
        <v>0</v>
      </c>
      <c r="AX44" s="431">
        <f>IF($AX$7=$AL$13,'[4]3 trim 2016 BIOGROUP'!$Z$46/3,IF($AX$7=$AL$14,'[4]3 trim 2016 BIOGROUP'!$Z$46/3,IF($AX$7=$AL$15,'[4]3 trim 2016 BIOGROUP'!$Z$46/3,IF($AX$7=$AL$16,'[4]4 trim 2016 BIOGROUP'!$Z$46/3,IF($AX$7=$AL$18,'[4]4 trim 2016 BIOGROUP'!$Z$46/3,IF($AX$7=$AL$19,'[4]4 trim 2016 BIOGROUP'!$Z$46/3,""))))))</f>
        <v>0</v>
      </c>
      <c r="AY44" s="431">
        <f>IF($AY$7=$AL$13,'[4]3 trim 2016 BIOGROUP'!$Z$46/3,IF($AY$7=$AL$14,'[4]3 trim 2016 BIOGROUP'!$Z$46/3,IF($AY$7=$AL$15,'[4]3 trim 2016 BIOGROUP'!$Z$46/3,IF($AY$7=$AL$16,'[4]4 trim 2016 BIOGROUP'!$Z$46/3,IF($AY$7=$AL$18,'[4]4 trim 2016 BIOGROUP'!$Z$46/3,IF($AY$7=$AL$19,'[4]4 trim 2016 BIOGROUP'!$Z$46/3,""))))))</f>
        <v>0</v>
      </c>
      <c r="AZ44" s="431">
        <f>IF($AZ$7=$AL$13,'[4]3 trim 2016 BIOGROUP'!$Z$46/3,IF($AZ$7=$AL$14,'[4]3 trim 2016 BIOGROUP'!$Z$46/3,IF($AZ$7=$AL$15,'[4]3 trim 2016 BIOGROUP'!$Z$46/3,IF($AZ$7=$AL$16,'[4]4 trim 2016 BIOGROUP'!$Z$46/3,IF($AZ$7=$AL$18,'[4]4 trim 2016 BIOGROUP'!$Z$46/3,IF($AZ$7=$AL$19,'[4]4 trim 2016 BIOGROUP'!$Z$46/3,""))))))</f>
        <v>0</v>
      </c>
      <c r="BB44" s="511">
        <f t="shared" si="5"/>
        <v>673186.14</v>
      </c>
      <c r="BC44" s="750"/>
    </row>
    <row r="45" spans="1:55" ht="26.15" customHeight="1">
      <c r="A45" s="649"/>
      <c r="B45" s="650">
        <v>66</v>
      </c>
      <c r="C45" s="462" t="s">
        <v>151</v>
      </c>
      <c r="D45" s="439"/>
      <c r="E45" s="462" t="s">
        <v>41</v>
      </c>
      <c r="F45" s="666"/>
      <c r="G45" s="486">
        <f>+-1791.9+1636</f>
        <v>-155.90000000000009</v>
      </c>
      <c r="H45" s="653">
        <f>G45/G7</f>
        <v>-2.5136053363012571E-5</v>
      </c>
      <c r="J45" s="509">
        <f>-SUMIF($AO$7:$AZ$7,$G$6,AO45:AZ45)</f>
        <v>0</v>
      </c>
      <c r="K45" s="539" t="str">
        <f t="shared" si="6"/>
        <v/>
      </c>
      <c r="L45" s="431"/>
      <c r="M45" s="579">
        <f>AG45/3</f>
        <v>-17053.333333333332</v>
      </c>
      <c r="N45" s="517">
        <f t="shared" si="1"/>
        <v>-0.99085809225957766</v>
      </c>
      <c r="O45" s="580"/>
      <c r="P45" s="667" t="s">
        <v>41</v>
      </c>
      <c r="Q45" s="582" t="e">
        <f>+#REF!+'31 dec 2016 BIOLAM'!AT47</f>
        <v>#REF!</v>
      </c>
      <c r="R45" s="583" t="e">
        <f>Q45/Q$7</f>
        <v>#REF!</v>
      </c>
      <c r="S45" s="582" t="e">
        <f>+'31 dec 2016 BIOLAM'!AV47+#REF!</f>
        <v>#REF!</v>
      </c>
      <c r="T45" s="583" t="e">
        <f>S45/S$7</f>
        <v>#REF!</v>
      </c>
      <c r="U45" s="582" t="e">
        <f>+'31 dec 2016 BIOLAM'!AX47+#REF!</f>
        <v>#REF!</v>
      </c>
      <c r="V45" s="583" t="e">
        <f>U45/U$7</f>
        <v>#REF!</v>
      </c>
      <c r="W45" s="582" t="e">
        <f>+'31 dec 2016 BIOLAM'!AZ47+#REF!</f>
        <v>#REF!</v>
      </c>
      <c r="X45" s="583" t="e">
        <f>W45/W$7</f>
        <v>#REF!</v>
      </c>
      <c r="Y45" s="582" t="e">
        <f>+W45+U45+S45+Q45</f>
        <v>#REF!</v>
      </c>
      <c r="Z45" s="583" t="e">
        <f>Y45/Y$7</f>
        <v>#REF!</v>
      </c>
      <c r="AA45" s="584" t="e">
        <f>+G45-Y45</f>
        <v>#REF!</v>
      </c>
      <c r="AB45" s="486">
        <f>-4807.19-5840</f>
        <v>-10647.189999999999</v>
      </c>
      <c r="AC45" s="653">
        <f>AB45/AB8</f>
        <v>-6.7672253149079272E-4</v>
      </c>
      <c r="AD45" s="509">
        <f>-SUMIF($AO$7:$AZ$7,"&lt;="&amp;$AC$6,AO45:AZ45)</f>
        <v>0</v>
      </c>
      <c r="AE45" s="523" t="str">
        <f t="shared" si="20"/>
        <v/>
      </c>
      <c r="AG45" s="654">
        <f>-27924-5914-16248-1074</f>
        <v>-51160</v>
      </c>
      <c r="AH45" s="523">
        <f t="shared" si="4"/>
        <v>-0.79188448006254886</v>
      </c>
      <c r="AM45" s="462" t="s">
        <v>41</v>
      </c>
      <c r="AN45" s="747"/>
      <c r="AO45" s="431">
        <f>IF($AO$7=$AL$7,'[4]1 trim 2016 BIOGROUP'!$Z$47/3,IF($AO$7=$AL$8,'[4]1 trim 2016 BIOGROUP'!$Z$47/3,IF($AO$7=$AL$9,'[4]1 trim 2016 BIOGROUP'!$Z$47/3,IF($AO$7=$AL$10,'[4]2 trim 2016 BIOGROUP'!$Z$47/3,IF($AO$7=$AL$11,'[4]2 trim 2016 BIOGROUP'!$Z$47/3,IF($AO$7=$AL$12,'[4]2 trim 2016 BIOGROUP'!$Z$47/3,""))))))</f>
        <v>0</v>
      </c>
      <c r="AP45" s="431">
        <f>IF($AP$7=$AL$7,'[4]1 trim 2016 BIOGROUP'!$Z$47/3,IF($AP$7=$AL$8,'[4]1 trim 2016 BIOGROUP'!$Z$47/3,IF($AP$7=$AL$9,'[4]1 trim 2016 BIOGROUP'!$Z$47/3,IF($AP$7=$AL$10,'[4]2 trim 2016 BIOGROUP'!$Z$47/3,IF($AP$7=$AL$11,'[4]2 trim 2016 BIOGROUP'!$Z$47/3,IF($AP$7=$AL$12,'[4]2 trim 2016 BIOGROUP'!$Z$47/3,""))))))</f>
        <v>0</v>
      </c>
      <c r="AQ45" s="431">
        <f>IF($AQ$7=$AL$7,'[4]1 trim 2016 BIOGROUP'!$Z$47/3,IF($AQ$7=$AL$8,'[4]1 trim 2016 BIOGROUP'!$Z$47/3,IF($AQ$7=$AL$9,'[4]1 trim 2016 BIOGROUP'!$Z$47/3,IF($AQ$7=$AL$10,'[4]2 trim 2016 BIOGROUP'!$Z$47/3,IF($AQ$7=$AL$11,'[4]2 trim 2016 BIOGROUP'!$Z$47/3,IF($AQ$7=$AL$12,'[4]2 trim 2016 BIOGROUP'!$Z$47/3,""))))))</f>
        <v>0</v>
      </c>
      <c r="AR45" s="431">
        <f>IF($AR$7=$AL$7,'[4]1 trim 2016 BIOGROUP'!$Z$47/3,IF($AR$7=$AL$8,'[4]1 trim 2016 BIOGROUP'!$Z$47/3,IF($AR$7=$AL$9,'[4]1 trim 2016 BIOGROUP'!$Z$47/3,IF($AR$7=$AL$10,'[4]2 trim 2016 BIOGROUP'!$Z$47/3,IF($AR$7=$AL$11,'[4]2 trim 2016 BIOGROUP'!$Z$47/3,IF($AR$7=$AL$12,'[4]2 trim 2016 BIOGROUP'!$Z$47/3,""))))))</f>
        <v>0</v>
      </c>
      <c r="AS45" s="431">
        <f>IF($AS$7=$AL$7,'[4]1 trim 2016 BIOGROUP'!$Z$47/3,IF($AS$7=$AL$8,'[4]1 trim 2016 BIOGROUP'!$Z$47/3,IF($AS$7=$AL$9,'[4]1 trim 2016 BIOGROUP'!$Z$47/3,IF($AS$7=$AL$10,'[4]2 trim 2016 BIOGROUP'!$Z$47/3,IF($AS$7=$AL$11,'[4]2 trim 2016 BIOGROUP'!$Z$47/3,IF($AS$7=$AL$12,'[4]2 trim 2016 BIOGROUP'!$Z$47/3,""))))))</f>
        <v>0</v>
      </c>
      <c r="AT45" s="431">
        <f>IF($AT$7=$AL$7,'[4]1 trim 2016 BIOGROUP'!$Z$47/3,IF($AT$7=$AL$8,'[4]1 trim 2016 BIOGROUP'!$Z$47/3,IF($AT$7=$AL$9,'[4]1 trim 2016 BIOGROUP'!$Z$47/3,IF($AT$7=$AL$10,'[4]2 trim 2016 BIOGROUP'!$Z$47/3,IF($AT$7=$AL$11,'[4]2 trim 2016 BIOGROUP'!$Z$47/3,IF($AT$7=$AL$12,'[4]2 trim 2016 BIOGROUP'!$Z$47/3,""))))))</f>
        <v>0</v>
      </c>
      <c r="AU45" s="431">
        <f>IF($AU$7=$AL$13,'[4]3 trim 2016 BIOGROUP'!$Z$47/3,IF($AU$7=$AL$14,'[4]3 trim 2016 BIOGROUP'!$Z$47/3,IF($AU$7=$AL$15,'[4]3 trim 2016 BIOGROUP'!$Z$47/3,IF($AU$7=$AL$16,'[4]4 trim 2016 BIOGROUP'!$Z$47/3,IF($AU$7=$AL$18,'[4]4 trim 2016 BIOGROUP'!$Z$47/3,IF($AU$7=$AL$19,'[4]4 trim 2016 BIOGROUP'!$Z$47/3,""))))))</f>
        <v>0</v>
      </c>
      <c r="AV45" s="431">
        <f>IF($AV$7=$AL$13,'[4]3 trim 2016 BIOGROUP'!$Z$47/3,IF($AV$7=$AL$14,'[4]3 trim 2016 BIOGROUP'!$Z$47/3,IF($AV$7=$AL$15,'[4]3 trim 2016 BIOGROUP'!$Z$47/3,IF($AV$7=$AL$16,'[4]4 trim 2016 BIOGROUP'!$Z$47/3,IF($AV$7=$AL$18,'[4]4 trim 2016 BIOGROUP'!$Z$47/3,IF($AV$7=$AL$19,'[4]4 trim 2016 BIOGROUP'!$Z$47/3,""))))))</f>
        <v>0</v>
      </c>
      <c r="AW45" s="431">
        <f>IF($AW$7=$AL$13,'[4]3 trim 2016 BIOGROUP'!$Z$47/3,IF($AW$7=$AL$14,'[4]3 trim 2016 BIOGROUP'!$Z$47/3,IF($AW$7=$AL$15,'[4]3 trim 2016 BIOGROUP'!$Z$47/3,IF($AW$7=$AL$16,'[4]4 trim 2016 BIOGROUP'!$Z$47/3,IF($AW$7=$AL$18,'[4]4 trim 2016 BIOGROUP'!$Z$47/3,IF($AW$7=$AL$19,'[4]4 trim 2016 BIOGROUP'!$Z$47/3,""))))))</f>
        <v>0</v>
      </c>
      <c r="AX45" s="431">
        <f>IF($AX$7=$AL$13,'[4]3 trim 2016 BIOGROUP'!$Z$47/3,IF($AX$7=$AL$14,'[4]3 trim 2016 BIOGROUP'!$Z$47/3,IF($AX$7=$AL$15,'[4]3 trim 2016 BIOGROUP'!$Z$47/3,IF($AX$7=$AL$16,'[4]4 trim 2016 BIOGROUP'!$Z$47/3,IF($AX$7=$AL$18,'[4]4 trim 2016 BIOGROUP'!$Z$47/3,IF($AX$7=$AL$19,'[4]4 trim 2016 BIOGROUP'!$Z$47/3,""))))))</f>
        <v>0</v>
      </c>
      <c r="AY45" s="431">
        <f>IF($AY$7=$AL$13,'[4]3 trim 2016 BIOGROUP'!$Z$47/3,IF($AY$7=$AL$14,'[4]3 trim 2016 BIOGROUP'!$Z$47/3,IF($AY$7=$AL$15,'[4]3 trim 2016 BIOGROUP'!$Z$47/3,IF($AY$7=$AL$16,'[4]4 trim 2016 BIOGROUP'!$Z$47/3,IF($AY$7=$AL$18,'[4]4 trim 2016 BIOGROUP'!$Z$47/3,IF($AY$7=$AL$19,'[4]4 trim 2016 BIOGROUP'!$Z$47/3,""))))))</f>
        <v>0</v>
      </c>
      <c r="AZ45" s="431">
        <f>IF($AZ$7=$AL$13,'[4]3 trim 2016 BIOGROUP'!$Z$47/3,IF($AZ$7=$AL$14,'[4]3 trim 2016 BIOGROUP'!$Z$47/3,IF($AZ$7=$AL$15,'[4]3 trim 2016 BIOGROUP'!$Z$47/3,IF($AZ$7=$AL$16,'[4]4 trim 2016 BIOGROUP'!$Z$47/3,IF($AZ$7=$AL$18,'[4]4 trim 2016 BIOGROUP'!$Z$47/3,IF($AZ$7=$AL$19,'[4]4 trim 2016 BIOGROUP'!$Z$47/3,""))))))</f>
        <v>0</v>
      </c>
      <c r="BB45" s="511">
        <f t="shared" si="5"/>
        <v>10647.189999999999</v>
      </c>
      <c r="BC45" s="750"/>
    </row>
    <row r="46" spans="1:55" ht="26.15" customHeight="1">
      <c r="A46" s="662"/>
      <c r="B46" s="566">
        <v>77</v>
      </c>
      <c r="C46" s="451" t="s">
        <v>103</v>
      </c>
      <c r="D46" s="589"/>
      <c r="E46" s="451" t="s">
        <v>104</v>
      </c>
      <c r="F46" s="577"/>
      <c r="G46" s="476">
        <f>SUM(G47:G48)</f>
        <v>-7793.9199999999983</v>
      </c>
      <c r="H46" s="591">
        <f>G46/G7</f>
        <v>-1.2566285376975675E-3</v>
      </c>
      <c r="J46" s="496">
        <f>SUM(J47:J48)</f>
        <v>0</v>
      </c>
      <c r="K46" s="530" t="str">
        <f t="shared" si="6"/>
        <v/>
      </c>
      <c r="L46" s="431"/>
      <c r="M46" s="496">
        <f>SUM(M47:M48)</f>
        <v>49647.866666666669</v>
      </c>
      <c r="N46" s="518">
        <f t="shared" si="1"/>
        <v>-1.1569839858845898</v>
      </c>
      <c r="O46" s="592"/>
      <c r="P46" s="611" t="str">
        <f>+E46</f>
        <v>NON RECURRENT</v>
      </c>
      <c r="Q46" s="668" t="e">
        <f>Q72-Q73</f>
        <v>#REF!</v>
      </c>
      <c r="R46" s="622" t="e">
        <f>Q46/Q$7</f>
        <v>#REF!</v>
      </c>
      <c r="S46" s="668" t="e">
        <f>S72-S73</f>
        <v>#REF!</v>
      </c>
      <c r="T46" s="622" t="e">
        <f>S46/S$7</f>
        <v>#REF!</v>
      </c>
      <c r="U46" s="668" t="e">
        <f>U72-U73</f>
        <v>#REF!</v>
      </c>
      <c r="V46" s="622" t="e">
        <f>U46/U$7</f>
        <v>#REF!</v>
      </c>
      <c r="W46" s="668" t="e">
        <f>W72-W73</f>
        <v>#REF!</v>
      </c>
      <c r="X46" s="622" t="e">
        <f>W46/W$7</f>
        <v>#REF!</v>
      </c>
      <c r="Y46" s="668" t="e">
        <f>Y72-Y73</f>
        <v>#REF!</v>
      </c>
      <c r="Z46" s="622" t="e">
        <f>Y46/Y$7</f>
        <v>#REF!</v>
      </c>
      <c r="AA46" s="609" t="e">
        <f>+G46-Y46</f>
        <v>#REF!</v>
      </c>
      <c r="AB46" s="476">
        <f>SUM(AB47:AB48)</f>
        <v>-104765.45</v>
      </c>
      <c r="AC46" s="591">
        <f>AB46/AB7</f>
        <v>-5.869791163168183E-3</v>
      </c>
      <c r="AD46" s="496" t="e">
        <f>SUM(AD47:AD48)</f>
        <v>#REF!</v>
      </c>
      <c r="AE46" s="518" t="str">
        <f t="shared" si="20"/>
        <v/>
      </c>
      <c r="AG46" s="496">
        <f>SUM(AG47:AG48)</f>
        <v>148943.60000000003</v>
      </c>
      <c r="AH46" s="518">
        <f t="shared" si="4"/>
        <v>-1.7033900751693929</v>
      </c>
      <c r="AM46" s="451" t="s">
        <v>104</v>
      </c>
      <c r="AN46" s="747"/>
      <c r="AO46" s="741">
        <f>-SUM(AO47:AO48)</f>
        <v>0</v>
      </c>
      <c r="AP46" s="741">
        <f t="shared" ref="AP46:AZ46" si="25">-SUM(AP47:AP48)</f>
        <v>0</v>
      </c>
      <c r="AQ46" s="741">
        <f t="shared" si="25"/>
        <v>0</v>
      </c>
      <c r="AR46" s="741">
        <f t="shared" si="25"/>
        <v>0</v>
      </c>
      <c r="AS46" s="741">
        <f t="shared" si="25"/>
        <v>0</v>
      </c>
      <c r="AT46" s="741">
        <f t="shared" si="25"/>
        <v>0</v>
      </c>
      <c r="AU46" s="741">
        <f t="shared" si="25"/>
        <v>0</v>
      </c>
      <c r="AV46" s="741">
        <f t="shared" si="25"/>
        <v>0</v>
      </c>
      <c r="AW46" s="741">
        <f t="shared" si="25"/>
        <v>0</v>
      </c>
      <c r="AX46" s="741">
        <f t="shared" si="25"/>
        <v>0</v>
      </c>
      <c r="AY46" s="741">
        <f t="shared" si="25"/>
        <v>0</v>
      </c>
      <c r="AZ46" s="741">
        <f t="shared" si="25"/>
        <v>0</v>
      </c>
      <c r="BB46" s="748" t="e">
        <f t="shared" si="5"/>
        <v>#REF!</v>
      </c>
      <c r="BC46" s="752"/>
    </row>
    <row r="47" spans="1:55" ht="27" customHeight="1">
      <c r="A47" s="662"/>
      <c r="B47" s="566">
        <v>77</v>
      </c>
      <c r="C47" s="669" t="s">
        <v>150</v>
      </c>
      <c r="D47" s="670"/>
      <c r="E47" s="463" t="s">
        <v>131</v>
      </c>
      <c r="F47" s="577"/>
      <c r="G47" s="475">
        <v>54874.96</v>
      </c>
      <c r="H47" s="578">
        <f>G47/$G$7</f>
        <v>8.8475941170826147E-3</v>
      </c>
      <c r="J47" s="506">
        <f>-SUMIF($AO$7:$AZ$7,$G$6,AO47:AZ47)</f>
        <v>0</v>
      </c>
      <c r="K47" s="532" t="str">
        <f t="shared" si="6"/>
        <v/>
      </c>
      <c r="L47" s="431"/>
      <c r="M47" s="506">
        <f>AG47/3</f>
        <v>120736.07666666668</v>
      </c>
      <c r="N47" s="517">
        <f t="shared" si="1"/>
        <v>-0.54549657803192375</v>
      </c>
      <c r="O47" s="580"/>
      <c r="P47" s="581"/>
      <c r="Q47" s="671"/>
      <c r="R47" s="672"/>
      <c r="S47" s="671"/>
      <c r="T47" s="672"/>
      <c r="U47" s="671"/>
      <c r="V47" s="672"/>
      <c r="W47" s="671"/>
      <c r="X47" s="672"/>
      <c r="Y47" s="671"/>
      <c r="Z47" s="672"/>
      <c r="AA47" s="584"/>
      <c r="AB47" s="475">
        <v>88332.92</v>
      </c>
      <c r="AC47" s="578">
        <f>+AB47/$AB$7</f>
        <v>4.9491105439134955E-3</v>
      </c>
      <c r="AD47" s="506" t="e">
        <f>IF($AC$6=$AK$7,'31 dec 2016 BIOLAM'!AT49,IF($AC$6=$AK$8,'31 dec 2016 BIOLAM'!AV49,IF($AC$6=$AK$9,'31 dec 2016 BIOLAM'!AX49,IF($AC$6=$AK$10,'31 dec 2016 BIOLAM'!AZ49,""))))</f>
        <v>#REF!</v>
      </c>
      <c r="AE47" s="517" t="str">
        <f t="shared" si="20"/>
        <v/>
      </c>
      <c r="AG47" s="506">
        <f>343354.34+18853.89</f>
        <v>362208.23000000004</v>
      </c>
      <c r="AH47" s="517">
        <f t="shared" si="4"/>
        <v>-0.75612668988774778</v>
      </c>
      <c r="AM47" s="463" t="s">
        <v>131</v>
      </c>
      <c r="AN47" s="747"/>
      <c r="AO47" s="431">
        <f>IF($AO$7=$AL$7,'[4]1 trim 2016 BIOGROUP'!$Z$49/3,IF($AO$7=$AL$8,'[4]1 trim 2016 BIOGROUP'!$Z$49/3,IF($AO$7=$AL$9,'[4]1 trim 2016 BIOGROUP'!$Z$49/3,IF($AO$7=$AL$10,'[4]2 trim 2016 BIOGROUP'!$Z$49/3,IF($AO$7=$AL$11,'[4]2 trim 2016 BIOGROUP'!$Z$49/3,IF($AO$7=$AL$12,'[4]2 trim 2016 BIOGROUP'!$Z$49/3,""))))))</f>
        <v>0</v>
      </c>
      <c r="AP47" s="431">
        <f>IF($AP$7=$AL$7,'[4]1 trim 2016 BIOGROUP'!$Z$49/3,IF($AP$7=$AL$8,'[4]1 trim 2016 BIOGROUP'!$Z$49/3,IF($AP$7=$AL$9,'[4]1 trim 2016 BIOGROUP'!$Z$49/3,IF($AP$7=$AL$10,'[4]2 trim 2016 BIOGROUP'!$Z$49/3,IF($AP$7=$AL$11,'[4]2 trim 2016 BIOGROUP'!$Z$49/3,IF($AP$7=$AL$12,'[4]2 trim 2016 BIOGROUP'!$Z$49/3,""))))))</f>
        <v>0</v>
      </c>
      <c r="AQ47" s="431">
        <f>IF($AQ$7=$AL$7,'[4]1 trim 2016 BIOGROUP'!$Z$49/3,IF($AQ$7=$AL$8,'[4]1 trim 2016 BIOGROUP'!$Z$49/3,IF($AQ$7=$AL$9,'[4]1 trim 2016 BIOGROUP'!$Z$49/3,IF($AQ$7=$AL$10,'[4]2 trim 2016 BIOGROUP'!$Z$49/3,IF($AQ$7=$AL$11,'[4]2 trim 2016 BIOGROUP'!$Z$49/3,IF($AQ$7=$AL$12,'[4]2 trim 2016 BIOGROUP'!$Z$49/3,""))))))</f>
        <v>0</v>
      </c>
      <c r="AR47" s="431">
        <f>IF($AR$7=$AL$7,'[4]1 trim 2016 BIOGROUP'!$Z$49/3,IF($AR$7=$AL$8,'[4]1 trim 2016 BIOGROUP'!$Z$49/3,IF($AR$7=$AL$9,'[4]1 trim 2016 BIOGROUP'!$Z$49/3,IF($AR$7=$AL$10,'[4]2 trim 2016 BIOGROUP'!$Z$49/3,IF($AR$7=$AL$11,'[4]2 trim 2016 BIOGROUP'!$Z$49/3,IF($AR$7=$AL$12,'[4]2 trim 2016 BIOGROUP'!$Z$49/3,""))))))</f>
        <v>0</v>
      </c>
      <c r="AS47" s="431">
        <f>IF($AS$7=$AL$7,'[4]1 trim 2016 BIOGROUP'!$Z$49/3,IF($AS$7=$AL$8,'[4]1 trim 2016 BIOGROUP'!$Z$49/3,IF($AS$7=$AL$9,'[4]1 trim 2016 BIOGROUP'!$Z$49/3,IF($AS$7=$AL$10,'[4]2 trim 2016 BIOGROUP'!$Z$49/3,IF($AS$7=$AL$11,'[4]2 trim 2016 BIOGROUP'!$Z$49/3,IF($AS$7=$AL$12,'[4]2 trim 2016 BIOGROUP'!$Z$49/3,""))))))</f>
        <v>0</v>
      </c>
      <c r="AT47" s="431">
        <f>IF($AT$7=$AL$7,'[4]1 trim 2016 BIOGROUP'!$Z$49/3,IF($AT$7=$AL$8,'[4]1 trim 2016 BIOGROUP'!$Z$49/3,IF($AT$7=$AL$9,'[4]1 trim 2016 BIOGROUP'!$Z$49/3,IF($AT$7=$AL$10,'[4]2 trim 2016 BIOGROUP'!$Z$49/3,IF($AT$7=$AL$11,'[4]2 trim 2016 BIOGROUP'!$Z$49/3,IF($AT$7=$AL$12,'[4]2 trim 2016 BIOGROUP'!$Z$49/3,""))))))</f>
        <v>0</v>
      </c>
      <c r="AU47" s="431">
        <f>IF($AU$7=$AL$13,'[4]3 trim 2016 BIOGROUP'!$Z$49/3,IF($AU$7=$AL$14,'[4]3 trim 2016 BIOGROUP'!$Z$49/3,IF($AU$7=$AL$15,'[4]3 trim 2016 BIOGROUP'!$Z$49/3,IF($AU$7=$AL$16,'[4]4 trim 2016 BIOGROUP'!$Z$49/3,IF($AU$7=$AL$18,'[4]4 trim 2016 BIOGROUP'!$Z$49/3,IF($AU$7=$AL$19,'[4]4 trim 2016 BIOGROUP'!$Z$49/3,""))))))</f>
        <v>0</v>
      </c>
      <c r="AV47" s="431">
        <f>IF($AV$7=$AL$13,'[4]3 trim 2016 BIOGROUP'!$Z$49/3,IF($AV$7=$AL$14,'[4]3 trim 2016 BIOGROUP'!$Z$49/3,IF($AV$7=$AL$15,'[4]3 trim 2016 BIOGROUP'!$Z$49/3,IF($AV$7=$AL$16,'[4]4 trim 2016 BIOGROUP'!$Z$49/3,IF($AV$7=$AL$18,'[4]4 trim 2016 BIOGROUP'!$Z$49/3,IF($AV$7=$AL$19,'[4]4 trim 2016 BIOGROUP'!$Z$49/3,""))))))</f>
        <v>0</v>
      </c>
      <c r="AW47" s="431">
        <f>IF($AW$7=$AL$13,'[4]3 trim 2016 BIOGROUP'!$Z$49/3,IF($AW$7=$AL$14,'[4]3 trim 2016 BIOGROUP'!$Z$49/3,IF($AW$7=$AL$15,'[4]3 trim 2016 BIOGROUP'!$Z$49/3,IF($AW$7=$AL$16,'[4]4 trim 2016 BIOGROUP'!$Z$49/3,IF($AW$7=$AL$18,'[4]4 trim 2016 BIOGROUP'!$Z$49/3,IF($AW$7=$AL$19,'[4]4 trim 2016 BIOGROUP'!$Z$49/3,""))))))</f>
        <v>0</v>
      </c>
      <c r="AX47" s="431">
        <f>IF($AX$7=$AL$13,'[4]3 trim 2016 BIOGROUP'!$Z$49/3,IF($AX$7=$AL$14,'[4]3 trim 2016 BIOGROUP'!$Z$49/3,IF($AX$7=$AL$15,'[4]3 trim 2016 BIOGROUP'!$Z$49/3,IF($AX$7=$AL$16,'[4]4 trim 2016 BIOGROUP'!$Z$49/3,IF($AX$7=$AL$18,'[4]4 trim 2016 BIOGROUP'!$Z$49/3,IF($AX$7=$AL$19,'[4]4 trim 2016 BIOGROUP'!$Z$49/3,""))))))</f>
        <v>0</v>
      </c>
      <c r="AY47" s="431">
        <f>IF($AY$7=$AL$13,'[4]3 trim 2016 BIOGROUP'!$Z$49/3,IF($AY$7=$AL$14,'[4]3 trim 2016 BIOGROUP'!$Z$49/3,IF($AY$7=$AL$15,'[4]3 trim 2016 BIOGROUP'!$Z$49/3,IF($AY$7=$AL$16,'[4]4 trim 2016 BIOGROUP'!$Z$49/3,IF($AY$7=$AL$18,'[4]4 trim 2016 BIOGROUP'!$Z$49/3,IF($AY$7=$AL$19,'[4]4 trim 2016 BIOGROUP'!$Z$49/3,""))))))</f>
        <v>0</v>
      </c>
      <c r="AZ47" s="431">
        <f>IF($AZ$7=$AL$13,'[4]3 trim 2016 BIOGROUP'!$Z$49/3,IF($AZ$7=$AL$14,'[4]3 trim 2016 BIOGROUP'!$Z$49/3,IF($AZ$7=$AL$15,'[4]3 trim 2016 BIOGROUP'!$Z$49/3,IF($AZ$7=$AL$16,'[4]4 trim 2016 BIOGROUP'!$Z$49/3,IF($AZ$7=$AL$18,'[4]4 trim 2016 BIOGROUP'!$Z$49/3,IF($AZ$7=$AL$19,'[4]4 trim 2016 BIOGROUP'!$Z$49/3,""))))))</f>
        <v>0</v>
      </c>
      <c r="BB47" s="511" t="e">
        <f t="shared" si="5"/>
        <v>#REF!</v>
      </c>
      <c r="BC47" s="750"/>
    </row>
    <row r="48" spans="1:55" ht="26.15" customHeight="1">
      <c r="A48" s="662"/>
      <c r="B48" s="566">
        <v>67</v>
      </c>
      <c r="C48" s="463" t="s">
        <v>130</v>
      </c>
      <c r="D48" s="670"/>
      <c r="E48" s="463" t="s">
        <v>132</v>
      </c>
      <c r="F48" s="577"/>
      <c r="G48" s="475">
        <v>-62668.88</v>
      </c>
      <c r="H48" s="578">
        <f>G48/$G$7</f>
        <v>-1.0104222654780181E-2</v>
      </c>
      <c r="J48" s="506">
        <f>-SUMIF($AO$7:$AZ$7,$G$6,AO48:AZ48)</f>
        <v>0</v>
      </c>
      <c r="K48" s="532" t="str">
        <f t="shared" si="6"/>
        <v/>
      </c>
      <c r="L48" s="431"/>
      <c r="M48" s="506">
        <f>AG48/3</f>
        <v>-71088.210000000006</v>
      </c>
      <c r="N48" s="532">
        <f t="shared" si="1"/>
        <v>-0.1184349697368946</v>
      </c>
      <c r="O48" s="580"/>
      <c r="P48" s="581"/>
      <c r="Q48" s="671"/>
      <c r="R48" s="672"/>
      <c r="S48" s="671"/>
      <c r="T48" s="672"/>
      <c r="U48" s="671"/>
      <c r="V48" s="672"/>
      <c r="W48" s="671"/>
      <c r="X48" s="672"/>
      <c r="Y48" s="671"/>
      <c r="Z48" s="672"/>
      <c r="AA48" s="584"/>
      <c r="AB48" s="475">
        <v>-193098.37</v>
      </c>
      <c r="AC48" s="578">
        <f>+AB48/$AB$7</f>
        <v>-1.0818901707081678E-2</v>
      </c>
      <c r="AD48" s="579">
        <f>-SUMIF($AO$7:$AZ$7,"&lt;="&amp;$AC$6,AO48:AZ48)</f>
        <v>0</v>
      </c>
      <c r="AE48" s="517" t="str">
        <f t="shared" si="20"/>
        <v/>
      </c>
      <c r="AG48" s="579">
        <f>-55734.87-157529.76</f>
        <v>-213264.63</v>
      </c>
      <c r="AH48" s="517">
        <f t="shared" si="4"/>
        <v>-9.4559796436943191E-2</v>
      </c>
      <c r="AM48" s="463" t="s">
        <v>132</v>
      </c>
      <c r="AN48" s="747"/>
      <c r="AO48" s="431">
        <f>IF($AO$7=$AL$7,'[4]1 trim 2016 BIOGROUP'!$Z$50/3,IF($AO$7=$AL$8,'[4]1 trim 2016 BIOGROUP'!$Z$50/3,IF($AO$7=$AL$9,'[4]1 trim 2016 BIOGROUP'!$Z$50/3,IF($AO$7=$AL$10,'[4]2 trim 2016 BIOGROUP'!$Z$50/3,IF($AO$7=$AL$11,'[4]2 trim 2016 BIOGROUP'!$Z$50/3,IF($AO$7=$AL$12,'[4]2 trim 2016 BIOGROUP'!$Z$50/3,""))))))</f>
        <v>0</v>
      </c>
      <c r="AP48" s="431">
        <f>IF($AP$7=$AL$7,'[4]1 trim 2016 BIOGROUP'!$Z$50/3,IF($AP$7=$AL$8,'[4]1 trim 2016 BIOGROUP'!$Z$50/3,IF($AP$7=$AL$9,'[4]1 trim 2016 BIOGROUP'!$Z$50/3,IF($AP$7=$AL$10,'[4]2 trim 2016 BIOGROUP'!$Z$50/3,IF($AP$7=$AL$11,'[4]2 trim 2016 BIOGROUP'!$Z$50/3,IF($AP$7=$AL$12,'[4]2 trim 2016 BIOGROUP'!$Z$50/3,""))))))</f>
        <v>0</v>
      </c>
      <c r="AQ48" s="431">
        <f>IF($AQ$7=$AL$7,'[4]1 trim 2016 BIOGROUP'!$Z$50/3,IF($AQ$7=$AL$8,'[4]1 trim 2016 BIOGROUP'!$Z$50/3,IF($AQ$7=$AL$9,'[4]1 trim 2016 BIOGROUP'!$Z$50/3,IF($AQ$7=$AL$10,'[4]2 trim 2016 BIOGROUP'!$Z$50/3,IF($AQ$7=$AL$11,'[4]2 trim 2016 BIOGROUP'!$Z$50/3,IF($AQ$7=$AL$12,'[4]2 trim 2016 BIOGROUP'!$Z$50/3,""))))))</f>
        <v>0</v>
      </c>
      <c r="AR48" s="431">
        <f>IF($AR$7=$AL$7,'[4]1 trim 2016 BIOGROUP'!$Z$50/3,IF($AR$7=$AL$8,'[4]1 trim 2016 BIOGROUP'!$Z$50/3,IF($AR$7=$AL$9,'[4]1 trim 2016 BIOGROUP'!$Z$50/3,IF($AR$7=$AL$10,'[4]2 trim 2016 BIOGROUP'!$Z$50/3,IF($AR$7=$AL$11,'[4]2 trim 2016 BIOGROUP'!$Z$50/3,IF($AR$7=$AL$12,'[4]2 trim 2016 BIOGROUP'!$Z$50/3,""))))))</f>
        <v>0</v>
      </c>
      <c r="AS48" s="431">
        <f>IF($AS$7=$AL$7,'[4]1 trim 2016 BIOGROUP'!$Z$50/3,IF($AS$7=$AL$8,'[4]1 trim 2016 BIOGROUP'!$Z$50/3,IF($AS$7=$AL$9,'[4]1 trim 2016 BIOGROUP'!$Z$50/3,IF($AS$7=$AL$10,'[4]2 trim 2016 BIOGROUP'!$Z$50/3,IF($AS$7=$AL$11,'[4]2 trim 2016 BIOGROUP'!$Z$50/3,IF($AS$7=$AL$12,'[4]2 trim 2016 BIOGROUP'!$Z$50/3,""))))))</f>
        <v>0</v>
      </c>
      <c r="AT48" s="431">
        <f>IF($AT$7=$AL$7,'[4]1 trim 2016 BIOGROUP'!$Z$50/3,IF($AT$7=$AL$8,'[4]1 trim 2016 BIOGROUP'!$Z$50/3,IF($AT$7=$AL$9,'[4]1 trim 2016 BIOGROUP'!$Z$50/3,IF($AT$7=$AL$10,'[4]2 trim 2016 BIOGROUP'!$Z$50/3,IF($AT$7=$AL$11,'[4]2 trim 2016 BIOGROUP'!$Z$50/3,IF($AT$7=$AL$12,'[4]2 trim 2016 BIOGROUP'!$Z$50/3,""))))))</f>
        <v>0</v>
      </c>
      <c r="AU48" s="431">
        <f>IF($AU$7=$AL$13,'[4]3 trim 2016 BIOGROUP'!$Z$50/3,IF($AU$7=$AL$14,'[4]3 trim 2016 BIOGROUP'!$Z$50/3,IF($AU$7=$AL$15,'[4]3 trim 2016 BIOGROUP'!$Z$50/3,IF($AU$7=$AL$16,'[4]4 trim 2016 BIOGROUP'!$Z$50/3,IF($AU$7=$AL$18,'[4]4 trim 2016 BIOGROUP'!$Z$50/3,IF($AU$7=$AL$19,'[4]4 trim 2016 BIOGROUP'!$Z$50/3,""))))))</f>
        <v>0</v>
      </c>
      <c r="AV48" s="431">
        <f>IF($AV$7=$AL$13,'[4]3 trim 2016 BIOGROUP'!$Z$50/3,IF($AV$7=$AL$14,'[4]3 trim 2016 BIOGROUP'!$Z$50/3,IF($AV$7=$AL$15,'[4]3 trim 2016 BIOGROUP'!$Z$50/3,IF($AV$7=$AL$16,'[4]4 trim 2016 BIOGROUP'!$Z$50/3,IF($AV$7=$AL$18,'[4]4 trim 2016 BIOGROUP'!$Z$50/3,IF($AV$7=$AL$19,'[4]4 trim 2016 BIOGROUP'!$Z$50/3,""))))))</f>
        <v>0</v>
      </c>
      <c r="AW48" s="431">
        <f>IF($AW$7=$AL$13,'[4]3 trim 2016 BIOGROUP'!$Z$50/3,IF($AW$7=$AL$14,'[4]3 trim 2016 BIOGROUP'!$Z$50/3,IF($AW$7=$AL$15,'[4]3 trim 2016 BIOGROUP'!$Z$50/3,IF($AW$7=$AL$16,'[4]4 trim 2016 BIOGROUP'!$Z$50/3,IF($AW$7=$AL$18,'[4]4 trim 2016 BIOGROUP'!$Z$50/3,IF($AW$7=$AL$19,'[4]4 trim 2016 BIOGROUP'!$Z$50/3,""))))))</f>
        <v>0</v>
      </c>
      <c r="AX48" s="431">
        <f>IF($AX$7=$AL$13,'[4]3 trim 2016 BIOGROUP'!$Z$50/3,IF($AX$7=$AL$14,'[4]3 trim 2016 BIOGROUP'!$Z$50/3,IF($AX$7=$AL$15,'[4]3 trim 2016 BIOGROUP'!$Z$50/3,IF($AX$7=$AL$16,'[4]4 trim 2016 BIOGROUP'!$Z$50/3,IF($AX$7=$AL$18,'[4]4 trim 2016 BIOGROUP'!$Z$50/3,IF($AX$7=$AL$19,'[4]4 trim 2016 BIOGROUP'!$Z$50/3,""))))))</f>
        <v>0</v>
      </c>
      <c r="AY48" s="431">
        <f>IF($AY$7=$AL$13,'[4]3 trim 2016 BIOGROUP'!$Z$50/3,IF($AY$7=$AL$14,'[4]3 trim 2016 BIOGROUP'!$Z$50/3,IF($AY$7=$AL$15,'[4]3 trim 2016 BIOGROUP'!$Z$50/3,IF($AY$7=$AL$16,'[4]4 trim 2016 BIOGROUP'!$Z$50/3,IF($AY$7=$AL$18,'[4]4 trim 2016 BIOGROUP'!$Z$50/3,IF($AY$7=$AL$19,'[4]4 trim 2016 BIOGROUP'!$Z$50/3,""))))))</f>
        <v>0</v>
      </c>
      <c r="AZ48" s="431">
        <f>IF($AZ$7=$AL$13,'[4]3 trim 2016 BIOGROUP'!$Z$50/3,IF($AZ$7=$AL$14,'[4]3 trim 2016 BIOGROUP'!$Z$50/3,IF($AZ$7=$AL$15,'[4]3 trim 2016 BIOGROUP'!$Z$50/3,IF($AZ$7=$AL$16,'[4]4 trim 2016 BIOGROUP'!$Z$50/3,IF($AZ$7=$AL$18,'[4]4 trim 2016 BIOGROUP'!$Z$50/3,IF($AZ$7=$AL$19,'[4]4 trim 2016 BIOGROUP'!$Z$50/3,""))))))</f>
        <v>0</v>
      </c>
      <c r="BB48" s="511">
        <f t="shared" si="5"/>
        <v>193098.37</v>
      </c>
      <c r="BC48" s="750"/>
    </row>
    <row r="49" spans="1:55" ht="26.15" customHeight="1">
      <c r="A49" s="662"/>
      <c r="B49" s="566"/>
      <c r="C49" s="436" t="s">
        <v>153</v>
      </c>
      <c r="E49" s="436" t="s">
        <v>152</v>
      </c>
      <c r="F49" s="577"/>
      <c r="G49" s="474">
        <f>+G41+G42+G46</f>
        <v>1659022.54</v>
      </c>
      <c r="H49" s="673">
        <f>+G49/G7</f>
        <v>0.26748735789532158</v>
      </c>
      <c r="J49" s="494">
        <f>+J41+J42+J46</f>
        <v>0</v>
      </c>
      <c r="K49" s="531" t="str">
        <f t="shared" si="6"/>
        <v/>
      </c>
      <c r="L49" s="431"/>
      <c r="M49" s="494">
        <f>+M41+M42+M46</f>
        <v>821270.74666666635</v>
      </c>
      <c r="N49" s="516">
        <f t="shared" si="1"/>
        <v>1.0200677386033288</v>
      </c>
      <c r="O49" s="580"/>
      <c r="P49" s="581"/>
      <c r="Q49" s="671"/>
      <c r="R49" s="672"/>
      <c r="S49" s="671"/>
      <c r="T49" s="672"/>
      <c r="U49" s="671"/>
      <c r="V49" s="672"/>
      <c r="W49" s="671"/>
      <c r="X49" s="672"/>
      <c r="Y49" s="671"/>
      <c r="Z49" s="672"/>
      <c r="AA49" s="584"/>
      <c r="AB49" s="473">
        <f>AB41+AB42+AB46</f>
        <v>10029270.689999999</v>
      </c>
      <c r="AC49" s="673">
        <f>+AB49/AB7</f>
        <v>0.5619192631653247</v>
      </c>
      <c r="AD49" s="494" t="e">
        <f>+AD41+AD42+AD46</f>
        <v>#REF!</v>
      </c>
      <c r="AE49" s="516" t="str">
        <f t="shared" si="20"/>
        <v/>
      </c>
      <c r="AG49" s="494">
        <f>AG41+AG42+AG46</f>
        <v>2463812.2400000026</v>
      </c>
      <c r="AH49" s="520">
        <f t="shared" si="4"/>
        <v>3.0706310842907372</v>
      </c>
      <c r="AM49" s="436" t="s">
        <v>152</v>
      </c>
      <c r="AN49" s="747"/>
      <c r="AO49" s="741">
        <f>+AO41+AO42+AO46</f>
        <v>78000.706666666738</v>
      </c>
      <c r="AP49" s="741">
        <f t="shared" ref="AP49:AZ49" si="26">+AP41+AP42+AP46</f>
        <v>78000.706666666738</v>
      </c>
      <c r="AQ49" s="741">
        <f t="shared" si="26"/>
        <v>78000.706666666738</v>
      </c>
      <c r="AR49" s="741">
        <f t="shared" si="26"/>
        <v>79689.623333333366</v>
      </c>
      <c r="AS49" s="741">
        <f t="shared" si="26"/>
        <v>79689.623333333366</v>
      </c>
      <c r="AT49" s="741">
        <f t="shared" si="26"/>
        <v>79689.623333333366</v>
      </c>
      <c r="AU49" s="741">
        <f t="shared" si="26"/>
        <v>79689.623333333366</v>
      </c>
      <c r="AV49" s="741">
        <f>+AV41+AV42+AV46</f>
        <v>79689.623333333366</v>
      </c>
      <c r="AW49" s="741">
        <f t="shared" si="26"/>
        <v>79689.623333333366</v>
      </c>
      <c r="AX49" s="741">
        <f t="shared" si="26"/>
        <v>79689.623333333366</v>
      </c>
      <c r="AY49" s="741">
        <f t="shared" si="26"/>
        <v>79689.623333333366</v>
      </c>
      <c r="AZ49" s="741">
        <f t="shared" si="26"/>
        <v>79689.623333333366</v>
      </c>
      <c r="BB49" s="748" t="e">
        <f t="shared" si="5"/>
        <v>#REF!</v>
      </c>
      <c r="BC49" s="752"/>
    </row>
    <row r="50" spans="1:55" ht="26.15" customHeight="1" thickBot="1">
      <c r="A50" s="674"/>
      <c r="B50" s="675">
        <v>695</v>
      </c>
      <c r="C50" s="464" t="s">
        <v>105</v>
      </c>
      <c r="D50" s="676"/>
      <c r="E50" s="464" t="s">
        <v>21</v>
      </c>
      <c r="F50" s="677"/>
      <c r="G50" s="490">
        <f>-G49*33.3333%</f>
        <v>-553006.96032582002</v>
      </c>
      <c r="H50" s="678">
        <f>G50/G7</f>
        <v>-8.9162363469321229E-2</v>
      </c>
      <c r="J50" s="512">
        <f>-J49*33.3333%</f>
        <v>0</v>
      </c>
      <c r="K50" s="540" t="str">
        <f t="shared" si="6"/>
        <v/>
      </c>
      <c r="L50" s="431"/>
      <c r="M50" s="679">
        <f>-M49*33.3333%</f>
        <v>-273756.6417986399</v>
      </c>
      <c r="N50" s="524">
        <f t="shared" si="1"/>
        <v>1.0200677386033288</v>
      </c>
      <c r="O50" s="680"/>
      <c r="P50" s="681" t="s">
        <v>21</v>
      </c>
      <c r="Q50" s="682" t="e">
        <f>+#REF!+'31 dec 2016 BIOLAM'!AT53</f>
        <v>#REF!</v>
      </c>
      <c r="R50" s="683" t="e">
        <f>Q50/Q$7</f>
        <v>#REF!</v>
      </c>
      <c r="S50" s="682" t="e">
        <f>+'31 dec 2016 BIOLAM'!AV53+#REF!</f>
        <v>#REF!</v>
      </c>
      <c r="T50" s="683" t="e">
        <f>S50/S$7</f>
        <v>#REF!</v>
      </c>
      <c r="U50" s="682" t="e">
        <f>+'31 dec 2016 BIOLAM'!AX53+#REF!</f>
        <v>#REF!</v>
      </c>
      <c r="V50" s="683" t="e">
        <f>U50/U$7</f>
        <v>#REF!</v>
      </c>
      <c r="W50" s="682" t="e">
        <f>+'31 dec 2016 BIOLAM'!AZ53+#REF!</f>
        <v>#REF!</v>
      </c>
      <c r="X50" s="683" t="e">
        <f>W50/W$7</f>
        <v>#REF!</v>
      </c>
      <c r="Y50" s="682" t="e">
        <f>+W50+U50+S50+Q50</f>
        <v>#REF!</v>
      </c>
      <c r="Z50" s="683" t="e">
        <f>Y50/Y$7</f>
        <v>#REF!</v>
      </c>
      <c r="AA50" s="684" t="e">
        <f>+G50-Y50</f>
        <v>#REF!</v>
      </c>
      <c r="AB50" s="490">
        <f>-AB49*33.3333%</f>
        <v>-3343086.8869097698</v>
      </c>
      <c r="AC50" s="678">
        <f>AB50/AB7</f>
        <v>-0.18730623374868718</v>
      </c>
      <c r="AD50" s="512" t="e">
        <f>-AD49*33.3333%</f>
        <v>#REF!</v>
      </c>
      <c r="AE50" s="524" t="str">
        <f t="shared" si="20"/>
        <v/>
      </c>
      <c r="AG50" s="679">
        <f>-AG49*33.3333%</f>
        <v>-821269.92539592087</v>
      </c>
      <c r="AH50" s="524">
        <f t="shared" si="4"/>
        <v>3.0706310842907367</v>
      </c>
      <c r="AM50" s="464" t="s">
        <v>21</v>
      </c>
      <c r="AN50" s="433" t="s">
        <v>162</v>
      </c>
      <c r="AO50" s="742">
        <f>'[4]1 trim 2016 BIOGROUP'!$Z$52/3-AO49</f>
        <v>0</v>
      </c>
      <c r="AP50" s="742">
        <f>'[4]1 trim 2016 BIOGROUP'!$Z$52/3-AP49</f>
        <v>0</v>
      </c>
      <c r="AQ50" s="742">
        <f>'[4]1 trim 2016 BIOGROUP'!$Z$52/3-AQ49</f>
        <v>0</v>
      </c>
      <c r="AR50" s="742">
        <f>'[4]2 trim 2016 BIOGROUP'!$Z$52/3-AR49</f>
        <v>0</v>
      </c>
      <c r="AS50" s="742">
        <f>'[4]2 trim 2016 BIOGROUP'!$Z$52/3-AS49</f>
        <v>0</v>
      </c>
      <c r="AT50" s="742">
        <f>'[4]2 trim 2016 BIOGROUP'!$Z$52/3-AT49</f>
        <v>0</v>
      </c>
      <c r="AU50" s="742">
        <f>'[4]3 trim 2016 BIOGROUP'!$Z$52/3-AU49</f>
        <v>0</v>
      </c>
      <c r="AV50" s="742">
        <f>'[4]3 trim 2016 BIOGROUP'!$Z$52/3-AV49</f>
        <v>0</v>
      </c>
      <c r="AW50" s="742">
        <f>'[4]3 trim 2016 BIOGROUP'!$Z$52/3-AW49</f>
        <v>0</v>
      </c>
      <c r="AX50" s="742">
        <f>'[4]4 trim 2016 BIOGROUP'!$Z$52/3-AX49</f>
        <v>0</v>
      </c>
      <c r="AY50" s="742">
        <f>'[4]4 trim 2016 BIOGROUP'!$Z$52/3-AY49</f>
        <v>0</v>
      </c>
      <c r="AZ50" s="742">
        <f>'[4]4 trim 2016 BIOGROUP'!$Z$52/3-AZ49</f>
        <v>0</v>
      </c>
      <c r="BB50" s="511" t="e">
        <f t="shared" si="5"/>
        <v>#REF!</v>
      </c>
      <c r="BC50" s="750"/>
    </row>
    <row r="51" spans="1:55" ht="26.15" customHeight="1" thickBot="1">
      <c r="A51" s="565"/>
      <c r="B51" s="566"/>
      <c r="C51" s="465" t="s">
        <v>106</v>
      </c>
      <c r="D51" s="589"/>
      <c r="E51" s="465" t="s">
        <v>107</v>
      </c>
      <c r="F51" s="577"/>
      <c r="G51" s="491">
        <f>+G49+G50</f>
        <v>1106015.5796741801</v>
      </c>
      <c r="H51" s="673">
        <f>G51/G7</f>
        <v>0.17832499442600039</v>
      </c>
      <c r="J51" s="494">
        <f>+J49+J50</f>
        <v>0</v>
      </c>
      <c r="K51" s="531" t="str">
        <f t="shared" si="6"/>
        <v/>
      </c>
      <c r="L51" s="431"/>
      <c r="M51" s="494">
        <f>SUM(M49:M50)</f>
        <v>547514.10486802645</v>
      </c>
      <c r="N51" s="516">
        <f t="shared" si="1"/>
        <v>1.020067738603329</v>
      </c>
      <c r="O51" s="580"/>
      <c r="P51" s="685" t="s">
        <v>22</v>
      </c>
      <c r="Q51" s="686" t="e">
        <f>+Q75+Q50</f>
        <v>#REF!</v>
      </c>
      <c r="R51" s="687" t="e">
        <f>Q51/Q$7</f>
        <v>#REF!</v>
      </c>
      <c r="S51" s="686" t="e">
        <f>+S75+S50</f>
        <v>#REF!</v>
      </c>
      <c r="T51" s="687" t="e">
        <f>S51/S$7</f>
        <v>#REF!</v>
      </c>
      <c r="U51" s="686" t="e">
        <f>+U75+U50</f>
        <v>#REF!</v>
      </c>
      <c r="V51" s="688" t="e">
        <f>U51/U$7</f>
        <v>#REF!</v>
      </c>
      <c r="W51" s="686" t="e">
        <f>+W75+W50</f>
        <v>#REF!</v>
      </c>
      <c r="X51" s="687" t="e">
        <f>W51/W$7</f>
        <v>#REF!</v>
      </c>
      <c r="Y51" s="686" t="e">
        <f>+Y75+Y50</f>
        <v>#REF!</v>
      </c>
      <c r="Z51" s="687" t="e">
        <f>Y51/Y$7</f>
        <v>#REF!</v>
      </c>
      <c r="AA51" s="584" t="e">
        <f>+G51-Y51</f>
        <v>#REF!</v>
      </c>
      <c r="AB51" s="491">
        <f>+AB49+AB50</f>
        <v>6686183.8030902296</v>
      </c>
      <c r="AC51" s="673">
        <f>AB51/AB7</f>
        <v>0.37461302941663749</v>
      </c>
      <c r="AD51" s="494" t="e">
        <f>SUM(AD49:AD50)</f>
        <v>#REF!</v>
      </c>
      <c r="AE51" s="516" t="str">
        <f t="shared" si="20"/>
        <v/>
      </c>
      <c r="AG51" s="494">
        <f>SUM(AG49:AG50)</f>
        <v>1642542.3146040817</v>
      </c>
      <c r="AH51" s="520">
        <f t="shared" si="4"/>
        <v>3.0706310842907372</v>
      </c>
      <c r="AM51" s="465" t="s">
        <v>107</v>
      </c>
      <c r="BB51" s="748" t="e">
        <f t="shared" si="5"/>
        <v>#REF!</v>
      </c>
      <c r="BC51" s="752"/>
    </row>
    <row r="52" spans="1:55" ht="26.15" customHeight="1">
      <c r="A52" s="689"/>
      <c r="B52" s="690">
        <v>691</v>
      </c>
      <c r="C52" s="466" t="s">
        <v>138</v>
      </c>
      <c r="D52" s="691"/>
      <c r="E52" s="466" t="s">
        <v>62</v>
      </c>
      <c r="F52" s="692"/>
      <c r="G52" s="492">
        <v>0</v>
      </c>
      <c r="H52" s="525">
        <f>G52/$G$7</f>
        <v>0</v>
      </c>
      <c r="J52" s="513">
        <v>0</v>
      </c>
      <c r="K52" s="525" t="str">
        <f t="shared" si="6"/>
        <v/>
      </c>
      <c r="L52" s="431"/>
      <c r="M52" s="513">
        <f>AG52/3</f>
        <v>0</v>
      </c>
      <c r="N52" s="525" t="str">
        <f t="shared" si="1"/>
        <v/>
      </c>
      <c r="O52" s="693"/>
      <c r="P52" s="694" t="s">
        <v>62</v>
      </c>
      <c r="Q52" s="636" t="e">
        <f>+#REF!</f>
        <v>#REF!</v>
      </c>
      <c r="R52" s="695" t="e">
        <f>Q52/Q$7</f>
        <v>#REF!</v>
      </c>
      <c r="S52" s="636" t="e">
        <f>+#REF!</f>
        <v>#REF!</v>
      </c>
      <c r="T52" s="695" t="e">
        <f>S52/S$7</f>
        <v>#REF!</v>
      </c>
      <c r="U52" s="636" t="e">
        <f>+#REF!</f>
        <v>#REF!</v>
      </c>
      <c r="V52" s="695" t="e">
        <f>U52/U$7</f>
        <v>#REF!</v>
      </c>
      <c r="W52" s="636" t="e">
        <f>+#REF!</f>
        <v>#REF!</v>
      </c>
      <c r="X52" s="695" t="e">
        <f>W52/W$7</f>
        <v>#REF!</v>
      </c>
      <c r="Y52" s="636" t="e">
        <f>+W52+U52+S52+Q52</f>
        <v>#REF!</v>
      </c>
      <c r="Z52" s="695" t="e">
        <f>Y52/Y$7</f>
        <v>#REF!</v>
      </c>
      <c r="AA52" s="639" t="e">
        <f>+G52-Y52</f>
        <v>#REF!</v>
      </c>
      <c r="AB52" s="492">
        <v>0</v>
      </c>
      <c r="AC52" s="525">
        <f>AB52/$AB$7</f>
        <v>0</v>
      </c>
      <c r="AD52" s="513">
        <v>0</v>
      </c>
      <c r="AE52" s="525" t="str">
        <f t="shared" si="20"/>
        <v/>
      </c>
      <c r="AG52" s="513">
        <v>0</v>
      </c>
      <c r="AH52" s="525" t="str">
        <f t="shared" si="4"/>
        <v/>
      </c>
      <c r="AM52" s="466" t="s">
        <v>62</v>
      </c>
      <c r="AO52" s="431">
        <f>IF($AO$7=$AL$7,'[4]1 trim 2016 BIOGROUP'!$Z$31/3,IF($AO$7=$AL$8,'[4]1 trim 2016 BIOGROUP'!$Z$31/3,IF($AO$7=$AL$9,'[4]1 trim 2016 BIOGROUP'!$Z$31/3,IF($AO$7=$AL$10,'[4]2 trim 2016 BIOGROUP'!$Z$31/3,IF($AO$7=$AL$11,'[4]2 trim 2016 BIOGROUP'!$Z$31/3,IF($AO$7=$AL$12,'[4]2 trim 2016 BIOGROUP'!$Z$31/3,""))))))</f>
        <v>0</v>
      </c>
      <c r="AP52" s="431">
        <f>IF($AP$7=$AL$7,'[4]1 trim 2016 BIOGROUP'!$Z$31/3,IF($AP$7=$AL$8,'[4]1 trim 2016 BIOGROUP'!$Z$31/3,IF($AP$7=$AL$9,'[4]1 trim 2016 BIOGROUP'!$Z$31/3,IF($AP$7=$AL$10,'[4]2 trim 2016 BIOGROUP'!$Z$31/3,IF($AP$7=$AL$11,'[4]2 trim 2016 BIOGROUP'!$Z$31/3,IF($AP$7=$AL$12,'[4]2 trim 2016 BIOGROUP'!$Z$31/3,""))))))</f>
        <v>0</v>
      </c>
      <c r="AQ52" s="431">
        <f>IF($AQ$7=$AL$7,'[4]1 trim 2016 BIOGROUP'!$Z$31/3,IF($AQ$7=$AL$8,'[4]1 trim 2016 BIOGROUP'!$Z$31/3,IF($AQ$7=$AL$9,'[4]1 trim 2016 BIOGROUP'!$Z$31/3,IF($AQ$7=$AL$10,'[4]2 trim 2016 BIOGROUP'!$Z$31/3,IF($AQ$7=$AL$11,'[4]2 trim 2016 BIOGROUP'!$Z$31/3,IF($AQ$7=$AL$12,'[4]2 trim 2016 BIOGROUP'!$Z$31/3,""))))))</f>
        <v>0</v>
      </c>
      <c r="AR52" s="431">
        <f>IF($AR$7=$AL$7,'[4]1 trim 2016 BIOGROUP'!$Z$31/3,IF($AR$7=$AL$8,'[4]1 trim 2016 BIOGROUP'!$Z$31/3,IF($AR$7=$AL$9,'[4]1 trim 2016 BIOGROUP'!$Z$31/3,IF($AR$7=$AL$10,'[4]2 trim 2016 BIOGROUP'!$Z$31/3,IF($AR$7=$AL$11,'[4]2 trim 2016 BIOGROUP'!$Z$31/3,IF($AR$7=$AL$12,'[4]2 trim 2016 BIOGROUP'!$Z$31/3,""))))))</f>
        <v>0</v>
      </c>
      <c r="AS52" s="431">
        <f>IF($AS$7=$AL$7,'[4]1 trim 2016 BIOGROUP'!$Z$31/3,IF($AS$7=$AL$8,'[4]1 trim 2016 BIOGROUP'!$Z$31/3,IF($AS$7=$AL$9,'[4]1 trim 2016 BIOGROUP'!$Z$31/3,IF($AS$7=$AL$10,'[4]2 trim 2016 BIOGROUP'!$Z$31/3,IF($AS$7=$AL$11,'[4]2 trim 2016 BIOGROUP'!$Z$31/3,IF($AS$7=$AL$12,'[4]2 trim 2016 BIOGROUP'!$Z$31/3,""))))))</f>
        <v>0</v>
      </c>
      <c r="AT52" s="431">
        <f>IF($AT$7=$AL$7,'[4]1 trim 2016 BIOGROUP'!$Z$31/3,IF($AT$7=$AL$8,'[4]1 trim 2016 BIOGROUP'!$Z$31/3,IF($AT$7=$AL$9,'[4]1 trim 2016 BIOGROUP'!$Z$31/3,IF($AT$7=$AL$10,'[4]2 trim 2016 BIOGROUP'!$Z$31/3,IF($AT$7=$AL$11,'[4]2 trim 2016 BIOGROUP'!$Z$31/3,IF($AT$7=$AL$12,'[4]2 trim 2016 BIOGROUP'!$Z$31/3,""))))))</f>
        <v>0</v>
      </c>
      <c r="AU52" s="431">
        <f>IF($AU$7=$AL$13,'[4]3 trim 2016 BIOGROUP'!$Z$31/3,IF($AU$7=$AL$14,'[4]3 trim 2016 BIOGROUP'!$Z$31/3,IF($AU$7=$AL$15,'[4]3 trim 2016 BIOGROUP'!$Z$31/3,IF($AU$7=$AL$16,'[4]4 trim 2016 BIOGROUP'!$Z$31/3,IF($AU$7=$AL$18,'[4]4 trim 2016 BIOGROUP'!$Z$31/3,IF($AU$7=$AL$19,'[4]4 trim 2016 BIOGROUP'!$Z$31/3,""))))))</f>
        <v>0</v>
      </c>
      <c r="AV52" s="431">
        <f>IF($AV$7=$AL$13,'[4]3 trim 2016 BIOGROUP'!$Z$31/3,IF($AV$7=$AL$14,'[4]3 trim 2016 BIOGROUP'!$Z$31/3,IF($AV$7=$AL$15,'[4]3 trim 2016 BIOGROUP'!$Z$31/3,IF($AV$7=$AL$16,'[4]4 trim 2016 BIOGROUP'!$Z$31/3,IF($AV$7=$AL$18,'[4]4 trim 2016 BIOGROUP'!$Z$31/3,IF($AV$7=$AL$19,'[4]4 trim 2016 BIOGROUP'!$Z$31/3,""))))))</f>
        <v>0</v>
      </c>
      <c r="AW52" s="431">
        <f>IF($AW$7=$AL$13,'[4]3 trim 2016 BIOGROUP'!$Z$31/3,IF($AW$7=$AL$14,'[4]3 trim 2016 BIOGROUP'!$Z$31/3,IF($AW$7=$AL$15,'[4]3 trim 2016 BIOGROUP'!$Z$31/3,IF($AW$7=$AL$16,'[4]4 trim 2016 BIOGROUP'!$Z$31/3,IF($AW$7=$AL$18,'[4]4 trim 2016 BIOGROUP'!$Z$31/3,IF($AW$7=$AL$19,'[4]4 trim 2016 BIOGROUP'!$Z$31/3,""))))))</f>
        <v>0</v>
      </c>
      <c r="AX52" s="431">
        <f>IF($AX$7=$AL$13,'[4]3 trim 2016 BIOGROUP'!$Z$31/3,IF($AX$7=$AL$14,'[4]3 trim 2016 BIOGROUP'!$Z$31/3,IF($AX$7=$AL$15,'[4]3 trim 2016 BIOGROUP'!$Z$31/3,IF($AX$7=$AL$16,'[4]4 trim 2016 BIOGROUP'!$Z$31/3,IF($AX$7=$AL$18,'[4]4 trim 2016 BIOGROUP'!$Z$31/3,IF($AX$7=$AL$19,'[4]4 trim 2016 BIOGROUP'!$Z$31/3,""))))))</f>
        <v>0</v>
      </c>
      <c r="AY52" s="431">
        <f>IF($AY$7=$AL$13,'[4]3 trim 2016 BIOGROUP'!$Z$31/3,IF($AY$7=$AL$14,'[4]3 trim 2016 BIOGROUP'!$Z$31/3,IF($AY$7=$AL$15,'[4]3 trim 2016 BIOGROUP'!$Z$31/3,IF($AY$7=$AL$16,'[4]4 trim 2016 BIOGROUP'!$Z$31/3,IF($AY$7=$AL$18,'[4]4 trim 2016 BIOGROUP'!$Z$31/3,IF($AY$7=$AL$19,'[4]4 trim 2016 BIOGROUP'!$Z$31/3,""))))))</f>
        <v>0</v>
      </c>
      <c r="AZ52" s="431">
        <f>IF($AZ$7=$AL$13,'[4]3 trim 2016 BIOGROUP'!$Z$31/3,IF($AZ$7=$AL$14,'[4]3 trim 2016 BIOGROUP'!$Z$31/3,IF($AZ$7=$AL$15,'[4]3 trim 2016 BIOGROUP'!$Z$31/3,IF($AZ$7=$AL$16,'[4]4 trim 2016 BIOGROUP'!$Z$31/3,IF($AZ$7=$AL$18,'[4]4 trim 2016 BIOGROUP'!$Z$31/3,IF($AZ$7=$AL$19,'[4]4 trim 2016 BIOGROUP'!$Z$31/3,""))))))</f>
        <v>0</v>
      </c>
      <c r="BB52" s="511">
        <f t="shared" si="5"/>
        <v>0</v>
      </c>
      <c r="BC52" s="750"/>
    </row>
    <row r="53" spans="1:55" ht="26.15" customHeight="1">
      <c r="A53" s="689"/>
      <c r="B53" s="690"/>
      <c r="C53" s="436" t="s">
        <v>160</v>
      </c>
      <c r="D53" s="696"/>
      <c r="E53" s="436" t="s">
        <v>161</v>
      </c>
      <c r="F53" s="692"/>
      <c r="G53" s="473">
        <f>SUM(G51:G52)</f>
        <v>1106015.5796741801</v>
      </c>
      <c r="H53" s="673">
        <f>G53/$G$7</f>
        <v>0.17832499442600039</v>
      </c>
      <c r="J53" s="514">
        <f>SUM(J51:J52)</f>
        <v>0</v>
      </c>
      <c r="K53" s="531" t="str">
        <f t="shared" si="6"/>
        <v/>
      </c>
      <c r="L53" s="431"/>
      <c r="M53" s="697">
        <f>SUM(M51:M52)</f>
        <v>547514.10486802645</v>
      </c>
      <c r="N53" s="516">
        <f t="shared" si="1"/>
        <v>1.020067738603329</v>
      </c>
      <c r="O53" s="693"/>
      <c r="P53" s="698"/>
      <c r="Q53" s="699"/>
      <c r="R53" s="700"/>
      <c r="S53" s="699"/>
      <c r="T53" s="700"/>
      <c r="U53" s="699"/>
      <c r="V53" s="700"/>
      <c r="W53" s="699"/>
      <c r="X53" s="700"/>
      <c r="Y53" s="699"/>
      <c r="Z53" s="700"/>
      <c r="AA53" s="639"/>
      <c r="AB53" s="473">
        <f>SUM(AB51:AB52)</f>
        <v>6686183.8030902296</v>
      </c>
      <c r="AC53" s="673">
        <f>AB53/$AB$7</f>
        <v>0.37461302941663749</v>
      </c>
      <c r="AD53" s="514" t="e">
        <f>SUM(AD51:AD52)</f>
        <v>#REF!</v>
      </c>
      <c r="AE53" s="516" t="str">
        <f t="shared" si="20"/>
        <v/>
      </c>
      <c r="AG53" s="697">
        <f>SUM(AG51:AG52)</f>
        <v>1642542.3146040817</v>
      </c>
      <c r="AH53" s="516">
        <f t="shared" si="4"/>
        <v>3.0706310842907372</v>
      </c>
      <c r="AM53" s="436" t="s">
        <v>161</v>
      </c>
      <c r="BB53" s="748" t="e">
        <f t="shared" si="5"/>
        <v>#REF!</v>
      </c>
      <c r="BC53" s="752"/>
    </row>
    <row r="54" spans="1:55" ht="26.15" customHeight="1">
      <c r="A54" s="565"/>
      <c r="B54" s="566"/>
      <c r="C54" s="467" t="s">
        <v>122</v>
      </c>
      <c r="D54" s="701"/>
      <c r="E54" s="467" t="s">
        <v>133</v>
      </c>
      <c r="F54" s="577"/>
      <c r="G54" s="493"/>
      <c r="H54" s="702"/>
      <c r="J54" s="515"/>
      <c r="K54" s="541"/>
      <c r="L54" s="431"/>
      <c r="M54" s="515"/>
      <c r="N54" s="528"/>
      <c r="O54" s="703"/>
      <c r="P54" s="468"/>
      <c r="Q54" s="704"/>
      <c r="R54" s="705"/>
      <c r="S54" s="704"/>
      <c r="T54" s="705"/>
      <c r="U54" s="704"/>
      <c r="V54" s="706"/>
      <c r="W54" s="704"/>
      <c r="X54" s="705"/>
      <c r="Y54" s="704"/>
      <c r="Z54" s="705"/>
      <c r="AA54" s="707"/>
      <c r="AB54" s="493"/>
      <c r="AC54" s="702"/>
      <c r="AD54" s="515"/>
      <c r="AE54" s="526"/>
      <c r="AG54" s="515"/>
      <c r="AH54" s="528"/>
      <c r="AM54" s="467" t="s">
        <v>133</v>
      </c>
      <c r="AN54" s="433" t="s">
        <v>162</v>
      </c>
      <c r="AO54" s="742">
        <f>+AO52+AO50</f>
        <v>0</v>
      </c>
      <c r="AP54" s="742">
        <f t="shared" ref="AP54:AZ54" si="27">+AP52+AP50</f>
        <v>0</v>
      </c>
      <c r="AQ54" s="742">
        <f t="shared" si="27"/>
        <v>0</v>
      </c>
      <c r="AR54" s="742">
        <f t="shared" si="27"/>
        <v>0</v>
      </c>
      <c r="AS54" s="742">
        <f t="shared" si="27"/>
        <v>0</v>
      </c>
      <c r="AT54" s="742">
        <f t="shared" si="27"/>
        <v>0</v>
      </c>
      <c r="AU54" s="742">
        <f t="shared" si="27"/>
        <v>0</v>
      </c>
      <c r="AV54" s="742">
        <f t="shared" si="27"/>
        <v>0</v>
      </c>
      <c r="AW54" s="742">
        <f t="shared" si="27"/>
        <v>0</v>
      </c>
      <c r="AX54" s="742">
        <f t="shared" si="27"/>
        <v>0</v>
      </c>
      <c r="AY54" s="742">
        <f t="shared" si="27"/>
        <v>0</v>
      </c>
      <c r="AZ54" s="742">
        <f t="shared" si="27"/>
        <v>0</v>
      </c>
      <c r="BB54" s="511">
        <f>AB54-AD54</f>
        <v>0</v>
      </c>
      <c r="BC54" s="750"/>
    </row>
    <row r="55" spans="1:55" ht="26.15" customHeight="1">
      <c r="A55" s="565"/>
      <c r="B55" s="566"/>
      <c r="C55" s="468"/>
      <c r="D55" s="701"/>
      <c r="E55" s="468"/>
      <c r="F55" s="577"/>
      <c r="G55" s="708"/>
      <c r="H55" s="709"/>
      <c r="I55" s="709"/>
      <c r="J55" s="704"/>
      <c r="K55" s="710"/>
      <c r="L55" s="710"/>
      <c r="M55" s="704"/>
      <c r="N55" s="705"/>
      <c r="O55" s="703"/>
      <c r="P55" s="468"/>
      <c r="Q55" s="704"/>
      <c r="R55" s="705"/>
      <c r="S55" s="704"/>
      <c r="T55" s="705"/>
      <c r="U55" s="704"/>
      <c r="V55" s="706"/>
      <c r="W55" s="704"/>
      <c r="X55" s="705"/>
      <c r="Y55" s="704"/>
      <c r="Z55" s="705"/>
      <c r="AA55" s="707"/>
      <c r="AB55" s="708"/>
      <c r="AC55" s="709"/>
      <c r="AD55" s="704"/>
      <c r="AE55" s="711"/>
      <c r="AF55" s="711"/>
      <c r="AG55" s="704"/>
      <c r="AH55" s="705"/>
      <c r="AM55" s="468"/>
    </row>
    <row r="56" spans="1:55" ht="26.15" customHeight="1">
      <c r="A56" s="565"/>
      <c r="B56" s="567"/>
      <c r="C56" s="712" t="s">
        <v>162</v>
      </c>
      <c r="D56" s="701"/>
      <c r="E56" s="468"/>
      <c r="F56" s="577"/>
      <c r="G56" s="713">
        <v>-1659022</v>
      </c>
      <c r="H56" s="709"/>
      <c r="I56" s="709"/>
      <c r="J56" s="704"/>
      <c r="K56" s="710"/>
      <c r="L56" s="710"/>
      <c r="M56" s="714">
        <f>AG56/3</f>
        <v>-821270.7466666667</v>
      </c>
      <c r="N56" s="705"/>
      <c r="O56" s="703"/>
      <c r="P56" s="468"/>
      <c r="Q56" s="704"/>
      <c r="R56" s="705"/>
      <c r="S56" s="704"/>
      <c r="T56" s="705"/>
      <c r="U56" s="704"/>
      <c r="V56" s="706"/>
      <c r="W56" s="704"/>
      <c r="X56" s="705"/>
      <c r="Y56" s="704"/>
      <c r="Z56" s="705"/>
      <c r="AA56" s="707"/>
      <c r="AB56" s="713">
        <v>-4272209</v>
      </c>
      <c r="AC56" s="709"/>
      <c r="AD56" s="715">
        <f>-'31 dec 2016 BIOLAM'!AT52</f>
        <v>-3992613.5335298935</v>
      </c>
      <c r="AE56" s="711"/>
      <c r="AF56" s="711"/>
      <c r="AG56" s="714">
        <f>-1259632.96-150817-1053362.28</f>
        <v>-2463812.2400000002</v>
      </c>
      <c r="AH56" s="705"/>
      <c r="AM56" s="468"/>
    </row>
    <row r="57" spans="1:55" ht="15">
      <c r="B57" s="716"/>
      <c r="C57" s="551"/>
      <c r="D57" s="551"/>
      <c r="E57" s="469"/>
      <c r="F57" s="703"/>
      <c r="G57" s="717">
        <f>+G49+G56</f>
        <v>0.5400000000372529</v>
      </c>
      <c r="H57" s="551"/>
      <c r="I57" s="551"/>
      <c r="K57" s="718"/>
      <c r="L57" s="718"/>
      <c r="M57" s="719">
        <f>+M49+M56</f>
        <v>0</v>
      </c>
      <c r="N57" s="551"/>
      <c r="O57" s="551"/>
      <c r="P57" s="551" t="s">
        <v>56</v>
      </c>
      <c r="Q57" s="720" t="e">
        <f>+'31 dec 2016 BIOLAM'!AT54+#REF!</f>
        <v>#REF!</v>
      </c>
      <c r="R57" s="720"/>
      <c r="S57" s="720" t="e">
        <f>+'31 dec 2016 BIOLAM'!AV54+#REF!</f>
        <v>#REF!</v>
      </c>
      <c r="T57" s="551"/>
      <c r="U57" s="720" t="e">
        <f>+'31 dec 2016 BIOLAM'!AX54+#REF!</f>
        <v>#REF!</v>
      </c>
      <c r="V57" s="551"/>
      <c r="W57" s="720" t="e">
        <f>+'31 dec 2016 BIOLAM'!AZ54+#REF!</f>
        <v>#REF!</v>
      </c>
      <c r="X57" s="551"/>
      <c r="Y57" s="721" t="e">
        <f>+W51+U51+S51+Q51</f>
        <v>#REF!</v>
      </c>
      <c r="Z57" s="551"/>
      <c r="AA57" s="551"/>
      <c r="AB57" s="722">
        <f>+AB49+AB56</f>
        <v>5757061.6899999995</v>
      </c>
      <c r="AC57" s="551"/>
      <c r="AD57" s="723" t="e">
        <f>AD49+AD56</f>
        <v>#REF!</v>
      </c>
      <c r="AE57" s="551"/>
      <c r="AF57" s="551"/>
      <c r="AG57" s="717">
        <f>AG49+AG56</f>
        <v>0</v>
      </c>
      <c r="AH57" s="551"/>
      <c r="AM57" s="469"/>
    </row>
    <row r="58" spans="1:55">
      <c r="E58" s="470"/>
      <c r="G58" s="724"/>
      <c r="Q58" s="726" t="e">
        <f>SUM(#REF!)</f>
        <v>#REF!</v>
      </c>
      <c r="AM58" s="470"/>
    </row>
    <row r="59" spans="1:55" ht="25">
      <c r="E59" s="471"/>
      <c r="Q59" s="726" t="e">
        <f>SUM(#REF!)</f>
        <v>#REF!</v>
      </c>
      <c r="AM59" s="471"/>
    </row>
    <row r="60" spans="1:55">
      <c r="G60" s="726"/>
      <c r="Q60" s="726" t="e">
        <f>SUM(#REF!)</f>
        <v>#REF!</v>
      </c>
      <c r="W60" s="727" t="e">
        <f>+W50+U50+S50+Q50</f>
        <v>#REF!</v>
      </c>
    </row>
    <row r="61" spans="1:55">
      <c r="G61" s="726"/>
      <c r="Q61" s="726" t="e">
        <f>SUM(#REF!)</f>
        <v>#REF!</v>
      </c>
    </row>
    <row r="62" spans="1:55">
      <c r="Q62" s="726" t="e">
        <f>SUM(Q58:Q61)</f>
        <v>#REF!</v>
      </c>
    </row>
    <row r="65" spans="1:39">
      <c r="G65" s="615"/>
    </row>
    <row r="66" spans="1:39">
      <c r="G66" s="724"/>
    </row>
    <row r="67" spans="1:39">
      <c r="E67" s="431"/>
      <c r="F67" s="431"/>
      <c r="AM67" s="431"/>
    </row>
    <row r="68" spans="1:39">
      <c r="E68" s="431"/>
      <c r="F68" s="431"/>
      <c r="AM68" s="431"/>
    </row>
    <row r="69" spans="1:39" ht="26.15" customHeight="1">
      <c r="A69" s="662"/>
      <c r="B69" s="566"/>
      <c r="E69" s="431"/>
      <c r="F69" s="431"/>
      <c r="P69" s="728" t="s">
        <v>14</v>
      </c>
      <c r="Q69" s="729" t="e">
        <f>+#REF!+'31 dec 2016 BIOLAM'!AT42</f>
        <v>#REF!</v>
      </c>
      <c r="R69" s="730" t="e">
        <f>Q69/Q$7</f>
        <v>#REF!</v>
      </c>
      <c r="S69" s="729" t="e">
        <f>+'31 dec 2016 BIOLAM'!AV42+#REF!</f>
        <v>#REF!</v>
      </c>
      <c r="T69" s="730" t="e">
        <f>S69/S$7</f>
        <v>#REF!</v>
      </c>
      <c r="U69" s="729" t="e">
        <f>+'31 dec 2016 BIOLAM'!AX42+#REF!</f>
        <v>#REF!</v>
      </c>
      <c r="V69" s="730" t="e">
        <f>U69/U$7</f>
        <v>#REF!</v>
      </c>
      <c r="W69" s="729" t="e">
        <f>+'31 dec 2016 BIOLAM'!AZ42+#REF!</f>
        <v>#REF!</v>
      </c>
      <c r="X69" s="730" t="e">
        <f>W69/W$7</f>
        <v>#REF!</v>
      </c>
      <c r="Y69" s="729" t="e">
        <f>+W69+U69+S69+Q69</f>
        <v>#REF!</v>
      </c>
      <c r="Z69" s="730" t="e">
        <f>Y69/Y$7</f>
        <v>#REF!</v>
      </c>
      <c r="AA69" s="727" t="e">
        <f>+G69-Y69</f>
        <v>#REF!</v>
      </c>
      <c r="AM69" s="431"/>
    </row>
    <row r="70" spans="1:39" ht="26.15" customHeight="1">
      <c r="A70" s="662"/>
      <c r="B70" s="566"/>
      <c r="E70" s="431"/>
      <c r="F70" s="431"/>
      <c r="P70" s="731" t="s">
        <v>59</v>
      </c>
      <c r="Q70" s="729" t="e">
        <f>+#REF!+'31 dec 2016 BIOLAM'!AT43</f>
        <v>#REF!</v>
      </c>
      <c r="R70" s="730" t="e">
        <f>Q70/Q$7</f>
        <v>#REF!</v>
      </c>
      <c r="S70" s="729" t="e">
        <f>+'31 dec 2016 BIOLAM'!AV43+#REF!</f>
        <v>#REF!</v>
      </c>
      <c r="T70" s="730" t="e">
        <f>S70/S$7</f>
        <v>#REF!</v>
      </c>
      <c r="U70" s="729" t="e">
        <f>+'31 dec 2016 BIOLAM'!AX43+#REF!</f>
        <v>#REF!</v>
      </c>
      <c r="V70" s="730" t="e">
        <f>U70/U$7</f>
        <v>#REF!</v>
      </c>
      <c r="W70" s="729" t="e">
        <f>+'31 dec 2016 BIOLAM'!AZ43+#REF!</f>
        <v>#REF!</v>
      </c>
      <c r="X70" s="730" t="e">
        <f>W70/W$7</f>
        <v>#REF!</v>
      </c>
      <c r="Y70" s="729" t="e">
        <f>+W70+U70+S70+Q70</f>
        <v>#REF!</v>
      </c>
      <c r="Z70" s="730" t="e">
        <f>Y70/Y$7</f>
        <v>#REF!</v>
      </c>
      <c r="AA70" s="727" t="e">
        <f>+G70-Y70</f>
        <v>#REF!</v>
      </c>
      <c r="AM70" s="431"/>
    </row>
    <row r="71" spans="1:39">
      <c r="E71" s="431"/>
      <c r="F71" s="431"/>
      <c r="AM71" s="431"/>
    </row>
    <row r="72" spans="1:39" ht="26.15" customHeight="1" thickBot="1">
      <c r="A72" s="575"/>
      <c r="B72" s="548"/>
      <c r="E72" s="431"/>
      <c r="F72" s="431"/>
      <c r="P72" s="732" t="s">
        <v>18</v>
      </c>
      <c r="Q72" s="729" t="e">
        <f>+#REF!+'31 dec 2016 BIOLAM'!AT49</f>
        <v>#REF!</v>
      </c>
      <c r="R72" s="730" t="e">
        <f>Q72/Q$7</f>
        <v>#REF!</v>
      </c>
      <c r="S72" s="729" t="e">
        <f>+'31 dec 2016 BIOLAM'!AV49+#REF!</f>
        <v>#REF!</v>
      </c>
      <c r="T72" s="730" t="e">
        <f>S72/S$7</f>
        <v>#REF!</v>
      </c>
      <c r="U72" s="729" t="e">
        <f>+'31 dec 2016 BIOLAM'!AX49+#REF!</f>
        <v>#REF!</v>
      </c>
      <c r="V72" s="730" t="e">
        <f>U72/U$7</f>
        <v>#REF!</v>
      </c>
      <c r="W72" s="729" t="e">
        <f>+'31 dec 2016 BIOLAM'!AZ49+#REF!</f>
        <v>#REF!</v>
      </c>
      <c r="X72" s="730" t="e">
        <f>W72/W$7</f>
        <v>#REF!</v>
      </c>
      <c r="Y72" s="729" t="e">
        <f>+W72+U72+S72+Q72</f>
        <v>#REF!</v>
      </c>
      <c r="Z72" s="730" t="e">
        <f>Y72/Y$7</f>
        <v>#REF!</v>
      </c>
      <c r="AA72" s="727" t="e">
        <f>+G72-Y72</f>
        <v>#REF!</v>
      </c>
      <c r="AM72" s="431"/>
    </row>
    <row r="73" spans="1:39" ht="26.15" customHeight="1" thickBot="1">
      <c r="A73" s="575"/>
      <c r="B73" s="548"/>
      <c r="E73" s="431"/>
      <c r="F73" s="431"/>
      <c r="P73" s="733" t="s">
        <v>19</v>
      </c>
      <c r="Q73" s="729" t="e">
        <f>+#REF!+'31 dec 2016 BIOLAM'!AT50</f>
        <v>#REF!</v>
      </c>
      <c r="R73" s="730" t="e">
        <f>Q73/Q$7</f>
        <v>#REF!</v>
      </c>
      <c r="S73" s="729" t="e">
        <f>+'31 dec 2016 BIOLAM'!AV50+#REF!</f>
        <v>#REF!</v>
      </c>
      <c r="T73" s="730" t="e">
        <f>S73/S$7</f>
        <v>#REF!</v>
      </c>
      <c r="U73" s="729" t="e">
        <f>+'31 dec 2016 BIOLAM'!AX50+#REF!</f>
        <v>#REF!</v>
      </c>
      <c r="V73" s="730" t="e">
        <f>U73/U$7</f>
        <v>#REF!</v>
      </c>
      <c r="W73" s="729" t="e">
        <f>+'31 dec 2016 BIOLAM'!AZ50+#REF!</f>
        <v>#REF!</v>
      </c>
      <c r="X73" s="730" t="e">
        <f>W73/W$7</f>
        <v>#REF!</v>
      </c>
      <c r="Y73" s="729" t="e">
        <f>+W73+U73+S73+Q73</f>
        <v>#REF!</v>
      </c>
      <c r="Z73" s="730" t="e">
        <f>Y73/Y$7</f>
        <v>#REF!</v>
      </c>
      <c r="AA73" s="727" t="e">
        <f>+G73-Y73</f>
        <v>#REF!</v>
      </c>
      <c r="AM73" s="431"/>
    </row>
    <row r="74" spans="1:39" ht="26.15" customHeight="1">
      <c r="A74" s="575"/>
      <c r="B74" s="548"/>
      <c r="E74" s="431"/>
      <c r="F74" s="431"/>
      <c r="P74" s="734" t="s">
        <v>44</v>
      </c>
      <c r="Q74" s="735"/>
      <c r="R74" s="736"/>
      <c r="S74" s="735"/>
      <c r="T74" s="736"/>
      <c r="U74" s="735"/>
      <c r="V74" s="736"/>
      <c r="W74" s="735"/>
      <c r="X74" s="736"/>
      <c r="Y74" s="735"/>
      <c r="Z74" s="736"/>
      <c r="AA74" s="727">
        <f>+G74-Y74</f>
        <v>0</v>
      </c>
      <c r="AM74" s="431"/>
    </row>
    <row r="75" spans="1:39" ht="26.15" customHeight="1">
      <c r="A75" s="565"/>
      <c r="B75" s="566"/>
      <c r="E75" s="431"/>
      <c r="F75" s="431"/>
      <c r="P75" s="737" t="s">
        <v>20</v>
      </c>
      <c r="Q75" s="738" t="e">
        <f>+Q42+Q69-Q70+#REF!+Q46</f>
        <v>#REF!</v>
      </c>
      <c r="R75" s="739" t="e">
        <f>Q75/Q$7</f>
        <v>#REF!</v>
      </c>
      <c r="S75" s="738" t="e">
        <f>+S42+S69-S70+#REF!+S46</f>
        <v>#REF!</v>
      </c>
      <c r="T75" s="739" t="e">
        <f>S75/S$7</f>
        <v>#REF!</v>
      </c>
      <c r="U75" s="738" t="e">
        <f>+U42+U69-U70+#REF!+U46</f>
        <v>#REF!</v>
      </c>
      <c r="V75" s="739" t="e">
        <f>U75/U$7</f>
        <v>#REF!</v>
      </c>
      <c r="W75" s="738" t="e">
        <f>+W42+W69-W70+#REF!+W46</f>
        <v>#REF!</v>
      </c>
      <c r="X75" s="739" t="e">
        <f>W75/W$7</f>
        <v>#REF!</v>
      </c>
      <c r="Y75" s="738" t="e">
        <f>+Y42+Y69-Y70+#REF!+Y46</f>
        <v>#REF!</v>
      </c>
      <c r="Z75" s="739" t="e">
        <f>Y75/Y$7</f>
        <v>#REF!</v>
      </c>
      <c r="AA75" s="727" t="e">
        <f>+G75-Y75</f>
        <v>#REF!</v>
      </c>
      <c r="AM75" s="431"/>
    </row>
    <row r="76" spans="1:39">
      <c r="E76" s="431"/>
      <c r="F76" s="431"/>
      <c r="AM76" s="431"/>
    </row>
    <row r="77" spans="1:39">
      <c r="E77" s="431"/>
      <c r="F77" s="431"/>
      <c r="AM77" s="431"/>
    </row>
  </sheetData>
  <mergeCells count="18">
    <mergeCell ref="C1:AH1"/>
    <mergeCell ref="C2:AH2"/>
    <mergeCell ref="C4:C6"/>
    <mergeCell ref="E4:E6"/>
    <mergeCell ref="G4:N4"/>
    <mergeCell ref="P4:P6"/>
    <mergeCell ref="Q4:R6"/>
    <mergeCell ref="S4:T6"/>
    <mergeCell ref="U4:V6"/>
    <mergeCell ref="W4:X6"/>
    <mergeCell ref="BC5:BC6"/>
    <mergeCell ref="G6:H6"/>
    <mergeCell ref="Y4:Z6"/>
    <mergeCell ref="AB4:AH4"/>
    <mergeCell ref="AM4:AM6"/>
    <mergeCell ref="G5:N5"/>
    <mergeCell ref="AB5:AH5"/>
    <mergeCell ref="BB5:BB6"/>
  </mergeCells>
  <conditionalFormatting sqref="BB1:BB4 BB54:BB65536">
    <cfRule type="cellIs" dxfId="7" priority="1" stopIfTrue="1" operator="lessThan">
      <formula>-10000</formula>
    </cfRule>
    <cfRule type="cellIs" dxfId="6" priority="2" stopIfTrue="1" operator="greaterThan">
      <formula>10000</formula>
    </cfRule>
  </conditionalFormatting>
  <printOptions horizontalCentered="1"/>
  <pageMargins left="0.11811023622047245" right="0.11811023622047245" top="0.35433070866141736" bottom="0.39370078740157483" header="0.19685039370078741" footer="0.19685039370078741"/>
  <pageSetup paperSize="8" scale="52" fitToWidth="2" orientation="landscape" cellComments="asDisplayed" r:id="rId1"/>
  <headerFooter>
    <oddFooter>&amp;R&amp;D&amp;T&amp;Z&amp;F&amp;A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BC77"/>
  <sheetViews>
    <sheetView topLeftCell="AB28" zoomScale="70" zoomScaleNormal="70" zoomScaleSheetLayoutView="80" workbookViewId="0">
      <selection activeCell="AU12" sqref="AU12"/>
    </sheetView>
  </sheetViews>
  <sheetFormatPr baseColWidth="10" defaultColWidth="11.453125" defaultRowHeight="12.5"/>
  <cols>
    <col min="1" max="1" width="2.1796875" style="431" hidden="1" customWidth="1"/>
    <col min="2" max="2" width="7.81640625" style="542" customWidth="1"/>
    <col min="3" max="3" width="48.453125" style="431" customWidth="1"/>
    <col min="4" max="4" width="2.7265625" style="431" customWidth="1"/>
    <col min="5" max="5" width="47" style="472" customWidth="1"/>
    <col min="6" max="6" width="2.1796875" style="640" customWidth="1"/>
    <col min="7" max="7" width="20.81640625" style="431" bestFit="1" customWidth="1"/>
    <col min="8" max="8" width="13.26953125" style="431" customWidth="1"/>
    <col min="9" max="9" width="1.54296875" style="431" customWidth="1"/>
    <col min="10" max="10" width="20.81640625" style="431" bestFit="1" customWidth="1"/>
    <col min="11" max="11" width="15.7265625" style="725" customWidth="1"/>
    <col min="12" max="12" width="1.81640625" style="725" customWidth="1"/>
    <col min="13" max="13" width="18.54296875" style="431" customWidth="1"/>
    <col min="14" max="14" width="16.1796875" style="431" customWidth="1"/>
    <col min="15" max="15" width="2" style="431" customWidth="1"/>
    <col min="16" max="16" width="38.26953125" style="431" hidden="1" customWidth="1"/>
    <col min="17" max="17" width="19.81640625" style="431" hidden="1" customWidth="1"/>
    <col min="18" max="18" width="0" style="431" hidden="1" customWidth="1"/>
    <col min="19" max="19" width="19.453125" style="431" hidden="1" customWidth="1"/>
    <col min="20" max="20" width="0" style="431" hidden="1" customWidth="1"/>
    <col min="21" max="21" width="19.81640625" style="431" hidden="1" customWidth="1"/>
    <col min="22" max="22" width="0" style="431" hidden="1" customWidth="1"/>
    <col min="23" max="23" width="19.453125" style="431" hidden="1" customWidth="1"/>
    <col min="24" max="24" width="0" style="431" hidden="1" customWidth="1"/>
    <col min="25" max="25" width="20.453125" style="431" hidden="1" customWidth="1"/>
    <col min="26" max="26" width="0" style="431" hidden="1" customWidth="1"/>
    <col min="27" max="27" width="15.453125" style="431" hidden="1" customWidth="1"/>
    <col min="28" max="28" width="18.453125" style="431" bestFit="1" customWidth="1"/>
    <col min="29" max="29" width="14.81640625" style="431" customWidth="1"/>
    <col min="30" max="30" width="22.1796875" style="431" customWidth="1"/>
    <col min="31" max="31" width="15" style="431" customWidth="1"/>
    <col min="32" max="32" width="2" style="431" customWidth="1"/>
    <col min="33" max="33" width="21.7265625" style="431" customWidth="1"/>
    <col min="34" max="34" width="15" style="431" customWidth="1"/>
    <col min="35" max="35" width="4.1796875" style="431" customWidth="1"/>
    <col min="36" max="36" width="18.54296875" style="431" customWidth="1"/>
    <col min="37" max="37" width="11.453125" style="431" customWidth="1"/>
    <col min="38" max="38" width="11.81640625" style="431" customWidth="1"/>
    <col min="39" max="39" width="42.81640625" style="472" customWidth="1"/>
    <col min="40" max="40" width="12.81640625" style="431" customWidth="1"/>
    <col min="41" max="41" width="13.453125" style="431" customWidth="1"/>
    <col min="42" max="47" width="11.453125" style="431" customWidth="1"/>
    <col min="48" max="48" width="12.1796875" style="431" customWidth="1"/>
    <col min="49" max="52" width="11.453125" style="431" customWidth="1"/>
    <col min="53" max="53" width="12.81640625" style="431" customWidth="1"/>
    <col min="54" max="54" width="20" style="431" customWidth="1"/>
    <col min="55" max="55" width="68.54296875" style="431" customWidth="1"/>
    <col min="56" max="16384" width="11.453125" style="431"/>
  </cols>
  <sheetData>
    <row r="1" spans="1:55" ht="40.5" customHeight="1">
      <c r="C1" s="846" t="s">
        <v>80</v>
      </c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  <c r="O1" s="847"/>
      <c r="P1" s="847"/>
      <c r="Q1" s="847"/>
      <c r="R1" s="847"/>
      <c r="S1" s="847"/>
      <c r="T1" s="847"/>
      <c r="U1" s="847"/>
      <c r="V1" s="847"/>
      <c r="W1" s="847"/>
      <c r="X1" s="847"/>
      <c r="Y1" s="847"/>
      <c r="Z1" s="847"/>
      <c r="AA1" s="847"/>
      <c r="AB1" s="847"/>
      <c r="AC1" s="847"/>
      <c r="AD1" s="847"/>
      <c r="AE1" s="847"/>
      <c r="AF1" s="847"/>
      <c r="AG1" s="847"/>
      <c r="AH1" s="848"/>
      <c r="AM1" s="431"/>
    </row>
    <row r="2" spans="1:55" ht="51" customHeight="1">
      <c r="C2" s="846" t="s">
        <v>119</v>
      </c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7"/>
      <c r="P2" s="847"/>
      <c r="Q2" s="847"/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8"/>
      <c r="AM2" s="431"/>
    </row>
    <row r="3" spans="1:55" ht="16.5" customHeight="1">
      <c r="C3" s="543"/>
      <c r="D3" s="432"/>
      <c r="E3" s="432"/>
      <c r="F3" s="432"/>
      <c r="G3" s="544"/>
      <c r="H3" s="544"/>
      <c r="I3" s="544"/>
      <c r="J3" s="544"/>
      <c r="K3" s="545"/>
      <c r="L3" s="545"/>
      <c r="M3" s="544"/>
      <c r="N3" s="544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544"/>
      <c r="AC3" s="544"/>
      <c r="AD3" s="544"/>
      <c r="AE3" s="544"/>
      <c r="AF3" s="544"/>
      <c r="AG3" s="544"/>
      <c r="AH3" s="546"/>
      <c r="AM3" s="432"/>
    </row>
    <row r="4" spans="1:55" s="433" customFormat="1" ht="49.5" customHeight="1">
      <c r="A4" s="547"/>
      <c r="B4" s="548"/>
      <c r="C4" s="849" t="s">
        <v>120</v>
      </c>
      <c r="D4" s="549"/>
      <c r="E4" s="849" t="s">
        <v>121</v>
      </c>
      <c r="F4" s="550"/>
      <c r="G4" s="868" t="s">
        <v>172</v>
      </c>
      <c r="H4" s="869"/>
      <c r="I4" s="869"/>
      <c r="J4" s="869"/>
      <c r="K4" s="869"/>
      <c r="L4" s="869"/>
      <c r="M4" s="869"/>
      <c r="N4" s="870"/>
      <c r="O4" s="551"/>
      <c r="P4" s="855" t="s">
        <v>50</v>
      </c>
      <c r="Q4" s="857" t="s">
        <v>52</v>
      </c>
      <c r="R4" s="858"/>
      <c r="S4" s="857" t="s">
        <v>53</v>
      </c>
      <c r="T4" s="858"/>
      <c r="U4" s="857" t="s">
        <v>54</v>
      </c>
      <c r="V4" s="858"/>
      <c r="W4" s="857" t="s">
        <v>55</v>
      </c>
      <c r="X4" s="858"/>
      <c r="Y4" s="857" t="s">
        <v>46</v>
      </c>
      <c r="Z4" s="863"/>
      <c r="AA4" s="551"/>
      <c r="AB4" s="868" t="s">
        <v>172</v>
      </c>
      <c r="AC4" s="869"/>
      <c r="AD4" s="869"/>
      <c r="AE4" s="869"/>
      <c r="AF4" s="869"/>
      <c r="AG4" s="869"/>
      <c r="AH4" s="870"/>
      <c r="AM4" s="849" t="s">
        <v>121</v>
      </c>
    </row>
    <row r="5" spans="1:55" s="433" customFormat="1" ht="49.5" customHeight="1">
      <c r="A5" s="547"/>
      <c r="B5" s="548"/>
      <c r="C5" s="850"/>
      <c r="D5" s="552"/>
      <c r="E5" s="850"/>
      <c r="F5" s="553"/>
      <c r="G5" s="865" t="s">
        <v>139</v>
      </c>
      <c r="H5" s="866"/>
      <c r="I5" s="866"/>
      <c r="J5" s="866"/>
      <c r="K5" s="866"/>
      <c r="L5" s="866"/>
      <c r="M5" s="866"/>
      <c r="N5" s="867"/>
      <c r="O5" s="551"/>
      <c r="P5" s="855"/>
      <c r="Q5" s="857"/>
      <c r="R5" s="858"/>
      <c r="S5" s="857"/>
      <c r="T5" s="858"/>
      <c r="U5" s="857"/>
      <c r="V5" s="858"/>
      <c r="W5" s="857"/>
      <c r="X5" s="858"/>
      <c r="Y5" s="857"/>
      <c r="Z5" s="863"/>
      <c r="AA5" s="551"/>
      <c r="AB5" s="865" t="s">
        <v>140</v>
      </c>
      <c r="AC5" s="866"/>
      <c r="AD5" s="866"/>
      <c r="AE5" s="866"/>
      <c r="AF5" s="866"/>
      <c r="AG5" s="866"/>
      <c r="AH5" s="867"/>
      <c r="AM5" s="850"/>
      <c r="BB5" s="845" t="s">
        <v>166</v>
      </c>
      <c r="BC5" s="845" t="s">
        <v>168</v>
      </c>
    </row>
    <row r="6" spans="1:55" s="434" customFormat="1" ht="35.25" customHeight="1">
      <c r="A6" s="554"/>
      <c r="B6" s="548"/>
      <c r="C6" s="851"/>
      <c r="D6" s="555"/>
      <c r="E6" s="851"/>
      <c r="F6" s="553"/>
      <c r="G6" s="861" t="e">
        <f>#REF!</f>
        <v>#REF!</v>
      </c>
      <c r="H6" s="862"/>
      <c r="I6" s="431"/>
      <c r="J6" s="556" t="s">
        <v>108</v>
      </c>
      <c r="K6" s="557" t="s">
        <v>109</v>
      </c>
      <c r="L6" s="431"/>
      <c r="M6" s="558" t="s">
        <v>111</v>
      </c>
      <c r="N6" s="559" t="s">
        <v>112</v>
      </c>
      <c r="O6" s="560"/>
      <c r="P6" s="856"/>
      <c r="Q6" s="859"/>
      <c r="R6" s="860"/>
      <c r="S6" s="859"/>
      <c r="T6" s="860"/>
      <c r="U6" s="859"/>
      <c r="V6" s="860"/>
      <c r="W6" s="859"/>
      <c r="X6" s="860"/>
      <c r="Y6" s="859"/>
      <c r="Z6" s="864"/>
      <c r="AA6" s="560" t="s">
        <v>56</v>
      </c>
      <c r="AB6" s="561" t="s">
        <v>163</v>
      </c>
      <c r="AC6" s="744" t="e">
        <f>G6</f>
        <v>#REF!</v>
      </c>
      <c r="AD6" s="562" t="s">
        <v>108</v>
      </c>
      <c r="AE6" s="563" t="s">
        <v>109</v>
      </c>
      <c r="AF6" s="431"/>
      <c r="AG6" s="558" t="s">
        <v>111</v>
      </c>
      <c r="AH6" s="559" t="str">
        <f>N6</f>
        <v>% vs  N-1</v>
      </c>
      <c r="AJ6" s="564"/>
      <c r="AM6" s="851"/>
      <c r="AO6" s="434">
        <v>1</v>
      </c>
      <c r="AP6" s="434">
        <v>2</v>
      </c>
      <c r="AQ6" s="434">
        <v>3</v>
      </c>
      <c r="AR6" s="434">
        <v>4</v>
      </c>
      <c r="AS6" s="434">
        <v>5</v>
      </c>
      <c r="AT6" s="434">
        <v>6</v>
      </c>
      <c r="AU6" s="434">
        <v>7</v>
      </c>
      <c r="AV6" s="434">
        <v>8</v>
      </c>
      <c r="AW6" s="434">
        <v>9</v>
      </c>
      <c r="AX6" s="434">
        <v>10</v>
      </c>
      <c r="AY6" s="434">
        <v>11</v>
      </c>
      <c r="AZ6" s="434">
        <v>12</v>
      </c>
      <c r="BB6" s="845"/>
      <c r="BC6" s="845"/>
    </row>
    <row r="7" spans="1:55" s="439" customFormat="1" ht="37.5" customHeight="1">
      <c r="A7" s="565"/>
      <c r="B7" s="566"/>
      <c r="C7" s="436" t="s">
        <v>81</v>
      </c>
      <c r="D7" s="567"/>
      <c r="E7" s="436" t="s">
        <v>114</v>
      </c>
      <c r="F7" s="568"/>
      <c r="G7" s="473">
        <f>SUM(G8:G10)</f>
        <v>6202246.54</v>
      </c>
      <c r="H7" s="569" t="s">
        <v>157</v>
      </c>
      <c r="I7" s="431"/>
      <c r="J7" s="494">
        <f>SUM(J8:J10)</f>
        <v>0</v>
      </c>
      <c r="K7" s="516" t="str">
        <f>IF(ISERROR((G7-J7)/J7),"",(G7-J7)/J7)</f>
        <v/>
      </c>
      <c r="L7" s="431"/>
      <c r="M7" s="494">
        <f>SUM(M8:M10)</f>
        <v>4976795.5</v>
      </c>
      <c r="N7" s="516">
        <f>IF(ISERROR((G7-M7)/M7),"",(G7-M7)/M7)</f>
        <v>0.24623295049997534</v>
      </c>
      <c r="O7" s="570"/>
      <c r="P7" s="571" t="s">
        <v>0</v>
      </c>
      <c r="Q7" s="572" t="e">
        <f>SUM(Q8:Q10)</f>
        <v>#REF!</v>
      </c>
      <c r="R7" s="573" t="e">
        <f>SUM(R8:R10)</f>
        <v>#REF!</v>
      </c>
      <c r="S7" s="572" t="e">
        <f t="shared" ref="S7:Z7" si="0">SUM(S8:S10)</f>
        <v>#REF!</v>
      </c>
      <c r="T7" s="573" t="e">
        <f t="shared" si="0"/>
        <v>#REF!</v>
      </c>
      <c r="U7" s="572" t="e">
        <f t="shared" si="0"/>
        <v>#REF!</v>
      </c>
      <c r="V7" s="573" t="e">
        <f t="shared" si="0"/>
        <v>#REF!</v>
      </c>
      <c r="W7" s="572" t="e">
        <f t="shared" si="0"/>
        <v>#REF!</v>
      </c>
      <c r="X7" s="573" t="e">
        <f t="shared" si="0"/>
        <v>#REF!</v>
      </c>
      <c r="Y7" s="572" t="e">
        <f t="shared" si="0"/>
        <v>#REF!</v>
      </c>
      <c r="Z7" s="573" t="e">
        <f t="shared" si="0"/>
        <v>#REF!</v>
      </c>
      <c r="AA7" s="570"/>
      <c r="AB7" s="473">
        <f>SUM(AB8:AB10)</f>
        <v>17848241.460000001</v>
      </c>
      <c r="AC7" s="569" t="str">
        <f>H7</f>
        <v>%  s/Net Rev.</v>
      </c>
      <c r="AD7" s="494">
        <f>SUM(AD8:AD10)</f>
        <v>0</v>
      </c>
      <c r="AE7" s="516" t="str">
        <f>IF(ISERROR((AB7-AD7)/AD7),"",(AB7-AD7)/AD7)</f>
        <v/>
      </c>
      <c r="AF7" s="431"/>
      <c r="AG7" s="494">
        <f>SUM(AG8:AG10)</f>
        <v>14930386.500000002</v>
      </c>
      <c r="AH7" s="516">
        <f>IF(ISERROR((AB7-AG7)/AG7),"",(AB7-AG7)/AG7)</f>
        <v>0.19543063804811742</v>
      </c>
      <c r="AJ7" s="574"/>
      <c r="AK7" s="435">
        <v>42460</v>
      </c>
      <c r="AL7" s="435">
        <v>42400</v>
      </c>
      <c r="AM7" s="436" t="s">
        <v>114</v>
      </c>
      <c r="AO7" s="740">
        <v>42400</v>
      </c>
      <c r="AP7" s="740">
        <v>42428</v>
      </c>
      <c r="AQ7" s="740">
        <v>42460</v>
      </c>
      <c r="AR7" s="740">
        <v>42490</v>
      </c>
      <c r="AS7" s="740">
        <v>42521</v>
      </c>
      <c r="AT7" s="740">
        <v>42551</v>
      </c>
      <c r="AU7" s="740">
        <v>42582</v>
      </c>
      <c r="AV7" s="740">
        <v>42613</v>
      </c>
      <c r="AW7" s="740">
        <v>42643</v>
      </c>
      <c r="AX7" s="740">
        <v>42674</v>
      </c>
      <c r="AY7" s="740">
        <v>42704</v>
      </c>
      <c r="AZ7" s="740">
        <v>42735</v>
      </c>
      <c r="BA7" s="439" t="s">
        <v>162</v>
      </c>
      <c r="BB7" s="748">
        <f>IF(AB7&lt;0,AD7-AB7,AB7-AD7)</f>
        <v>17848241.460000001</v>
      </c>
      <c r="BC7" s="751"/>
    </row>
    <row r="8" spans="1:55" ht="26.15" customHeight="1">
      <c r="A8" s="575"/>
      <c r="B8" s="548">
        <v>706</v>
      </c>
      <c r="C8" s="438" t="s">
        <v>82</v>
      </c>
      <c r="D8" s="576"/>
      <c r="E8" s="438" t="s">
        <v>1</v>
      </c>
      <c r="F8" s="577"/>
      <c r="G8" s="475">
        <f>6205467.56-3221.02-G9-G10</f>
        <v>5544048.3300000001</v>
      </c>
      <c r="H8" s="578">
        <f>G8/G7</f>
        <v>0.89387745137909336</v>
      </c>
      <c r="J8" s="529">
        <f>SUMIF($AO$7:$AZ$7,$G$6,AO8:AZ8)</f>
        <v>0</v>
      </c>
      <c r="K8" s="517" t="str">
        <f>IF(ISERROR((G8-J8)/J8),"",(G8-J8)/J8)</f>
        <v/>
      </c>
      <c r="L8" s="431"/>
      <c r="M8" s="579">
        <f>AG8/3</f>
        <v>4513630.873333334</v>
      </c>
      <c r="N8" s="517">
        <f t="shared" ref="N8:N53" si="1">IF(ISERROR((G8-M8)/M8),"",(G8-M8)/M8)</f>
        <v>0.22829014724141561</v>
      </c>
      <c r="O8" s="580"/>
      <c r="P8" s="581" t="s">
        <v>1</v>
      </c>
      <c r="Q8" s="582" t="e">
        <f>+#REF!+'31 dec 2016 BIOLAM'!AT4</f>
        <v>#REF!</v>
      </c>
      <c r="R8" s="583" t="e">
        <f>Q8/Q$7</f>
        <v>#REF!</v>
      </c>
      <c r="S8" s="582" t="e">
        <f>+'31 dec 2016 BIOLAM'!AV4+#REF!</f>
        <v>#REF!</v>
      </c>
      <c r="T8" s="583" t="e">
        <f>S8/S$7</f>
        <v>#REF!</v>
      </c>
      <c r="U8" s="582" t="e">
        <f>+'31 dec 2016 BIOLAM'!AX4+#REF!</f>
        <v>#REF!</v>
      </c>
      <c r="V8" s="583" t="e">
        <f>U8/U$7</f>
        <v>#REF!</v>
      </c>
      <c r="W8" s="582" t="e">
        <f>+'31 dec 2016 BIOLAM'!AZ4+#REF!</f>
        <v>#REF!</v>
      </c>
      <c r="X8" s="583" t="e">
        <f>W8/W$7</f>
        <v>#REF!</v>
      </c>
      <c r="Y8" s="582" t="e">
        <f>+W8+U8+S8+Q8</f>
        <v>#REF!</v>
      </c>
      <c r="Z8" s="583" t="e">
        <f>Y8/Y$7</f>
        <v>#REF!</v>
      </c>
      <c r="AA8" s="584" t="e">
        <f t="shared" ref="AA8:AA13" si="2">+G8-Y8</f>
        <v>#REF!</v>
      </c>
      <c r="AB8" s="475">
        <f>17860730.02-12488.56-AB9-AB10</f>
        <v>15733464.610000001</v>
      </c>
      <c r="AC8" s="578">
        <f>AB8/AB7</f>
        <v>0.88151343342483002</v>
      </c>
      <c r="AD8" s="495">
        <f>SUMIF($AO$7:$AZ$7,"&lt;="&amp;$AC$6,AO8:AZ8)</f>
        <v>0</v>
      </c>
      <c r="AE8" s="517" t="str">
        <f t="shared" ref="AE8:AE32" si="3">IF(ISERROR((AB8-AD8)/AD8),"",(AB8-AD8)/AD8)</f>
        <v/>
      </c>
      <c r="AG8" s="579">
        <f>8291946.69+386172.23-18705.7+6006277.04+264756.24-60-AG9-AG10</f>
        <v>13540892.620000001</v>
      </c>
      <c r="AH8" s="517">
        <f t="shared" ref="AH8:AH53" si="4">IF(ISERROR((AB8-AG8)/AG8),"",(AB8-AG8)/AG8)</f>
        <v>0.16192226402870627</v>
      </c>
      <c r="AJ8" s="585"/>
      <c r="AK8" s="437">
        <v>42551</v>
      </c>
      <c r="AL8" s="435">
        <v>42428</v>
      </c>
      <c r="AM8" s="438" t="s">
        <v>1</v>
      </c>
      <c r="AO8" s="743">
        <f>IF($AO$7=$AL$7,'[4]1 trim 2016 BIOGROUP'!AC4/3,IF($AO$7=$AL$8,'[4]1 trim 2016 BIOGROUP'!AC4/3,IF($AO$7=$AL$9,'[4]1 trim 2016 BIOGROUP'!AC4/3,IF($AO$7=$AL$10,'[4]2 trim 2016 BIOGROUP'!AC4/3,IF($AO$7=$AL$11,'[4]2 trim 2016 BIOGROUP'!AC4/3,IF($AO$7=$AL$12,'[4]2 trim 2016 BIOGROUP'!AC4/3,""))))))</f>
        <v>332105.16666666669</v>
      </c>
      <c r="AP8" s="743">
        <f>IF($AP$7=$AL$7,'[4]1 trim 2016 BIOGROUP'!AC4/3,IF($AP$7=$AL$8,'[4]1 trim 2016 BIOGROUP'!AC4/3,IF($AP$7=$AL$9,'[4]1 trim 2016 BIOGROUP'!AC4/3,IF($AP$7=$AL$10,'[4]2 trim 2016 BIOGROUP'!AC4/3,IF($AP$7=$AL$11,'[4]2 trim 2016 BIOGROUP'!AC4/3,IF($AP$7=$AL$12,'[4]2 trim 2016 BIOGROUP'!AC4/3,""))))))</f>
        <v>332105.16666666669</v>
      </c>
      <c r="AQ8" s="743">
        <f>IF($AQ$7=$AL$7,'[4]1 trim 2016 BIOGROUP'!AC4/3,IF($AQ$7=$AL$8,'[4]1 trim 2016 BIOGROUP'!AC4/3,IF($AQ$7=$AL$9,'[4]1 trim 2016 BIOGROUP'!AC4/3,IF($AQ$7=$AL$10,'[4]2 trim 2016 BIOGROUP'!AC4/3,IF($AQ$7=$AL$11,'[4]2 trim 2016 BIOGROUP'!AC4/3,IF($AQ$7=$AL$12,'[4]2 trim 2016 BIOGROUP'!AC4/3,""))))))</f>
        <v>332105.16666666669</v>
      </c>
      <c r="AR8" s="743">
        <f>IF($AR$7=$AL$7,'[4]1 trim 2016 BIOGROUP'!AC4/3,IF($AR$7=$AL$8,'[4]1 trim 2016 BIOGROUP'!AC4/3,IF($AR$7=$AL$9,'[4]1 trim 2016 BIOGROUP'!AC4/3,IF($AR$7=$AL$10,'[4]2 trim 2016 BIOGROUP'!AC4/3,IF($AR$7=$AL$11,'[4]2 trim 2016 BIOGROUP'!AC4/3,IF($AR$7=$AL$12,'[4]2 trim 2016 BIOGROUP'!AC4/3,""))))))</f>
        <v>332105.16666666669</v>
      </c>
      <c r="AS8" s="743">
        <f>IF($AS$7=$AL$7,'[4]1 trim 2016 BIOGROUP'!AC4/3,IF($AS$7=$AL$8,'[4]1 trim 2016 BIOGROUP'!AC4/3,IF($AS$7=$AL$9,'[4]1 trim 2016 BIOGROUP'!AC4/3,IF($AS$7=$AL$10,'[4]2 trim 2016 BIOGROUP'!AC4/3,IF($AS$7=$AL$11,'[4]2 trim 2016 BIOGROUP'!AC4/3,IF($AS$7=$AL$12,'[4]2 trim 2016 BIOGROUP'!AC4/3,""))))))</f>
        <v>332105.16666666669</v>
      </c>
      <c r="AT8" s="743">
        <f>IF($AT$7=$AL$7,'[4]1 trim 2016 BIOGROUP'!AC4/3,IF($AT$7=$AL$8,'[4]1 trim 2016 BIOGROUP'!AC4/3,IF($AT$7=$AL$9,'[4]1 trim 2016 BIOGROUP'!AC4/3,IF($AT$7=$AL$10,'[4]2 trim 2016 BIOGROUP'!AC4/3,IF($AT$7=$AL$11,'[4]2 trim 2016 BIOGROUP'!AC4/3,IF($AT$7=$AL$12,'[4]2 trim 2016 BIOGROUP'!AC4/3,""))))))</f>
        <v>332105.16666666669</v>
      </c>
      <c r="AU8" s="743">
        <f>IF($AU$7=$AL$13,'[4]3 trim 2016 BIOGROUP'!AC4/3,IF($AU$7=$AL$14,'[4]3 trim 2016 BIOGROUP'!AC4/3,IF($AU$7=$AL$15,'[4]3 trim 2016 BIOGROUP'!AC4/3,IF($AU$7=$AL$16,'[4]4 trim 2016 BIOGROUP'!AC4/3,IF($AU$7=$AL$18,'[4]4 trim 2016 BIOGROUP'!AC4/3,IF($AU$7=$AL$19,'[4]4 trim 2016 BIOGROUP'!AC4/3,""))))))</f>
        <v>332105.16666666669</v>
      </c>
      <c r="AV8" s="743">
        <f>IF($AV$7=$AL$13,'[4]3 trim 2016 BIOGROUP'!AC4/3,IF($AV$7=$AL$14,'[4]3 trim 2016 BIOGROUP'!AC4/3,IF($AV$7=$AL$15,'[4]3 trim 2016 BIOGROUP'!AC4/3,IF($AV$7=$AL$16,'[4]4 trim 2016 BIOGROUP'!AC4/3,IF($AV$7=$AL$18,'[4]4 trim 2016 BIOGROUP'!AC4/3,IF($AV$7=$AL$19,'[4]4 trim 2016 BIOGROUP'!AC4/3,""))))))</f>
        <v>332105.16666666669</v>
      </c>
      <c r="AW8" s="743">
        <f>IF($AW$7=$AL$13,'[4]3 trim 2016 BIOGROUP'!AC4/3,IF($AW$7=$AL$14,'[4]3 trim 2016 BIOGROUP'!AC4/3,IF($AW$7=$AL$15,'[4]3 trim 2016 BIOGROUP'!AC4/3,IF($AW$7=$AL$16,'[4]4 trim 2016 BIOGROUP'!AC4/3,IF($AW$7=$AL$18,'[4]4 trim 2016 BIOGROUP'!AC4/3,IF($AW$7=$AL$19,'[4]4 trim 2016 BIOGROUP'!AC4/3,""))))))</f>
        <v>332105.16666666669</v>
      </c>
      <c r="AX8" s="743">
        <f>IF($AX$7=$AL$13,'[4]3 trim 2016 BIOGROUP'!AC4/3,IF($AX$7=$AL$14,'[4]3 trim 2016 BIOGROUP'!AC4/3,IF($AX$7=$AL$15,'[4]3 trim 2016 BIOGROUP'!AC4/3,IF($AX$7=$AL$16,'[4]4 trim 2016 BIOGROUP'!AC4/3,IF($AX$7=$AL$18,'[4]4 trim 2016 BIOGROUP'!AC4/3,IF($AX$7=$AL$19,'[4]4 trim 2016 BIOGROUP'!AC4/3,""))))))</f>
        <v>332105.16666666669</v>
      </c>
      <c r="AY8" s="743">
        <f>IF($AY$7=$AL$13,'[4]3 trim 2016 BIOGROUP'!AC4/3,IF($AY$7=$AL$14,'[4]3 trim 2016 BIOGROUP'!AC4/3,IF($AY$7=$AL$15,'[4]3 trim 2016 BIOGROUP'!AC4/3,IF($AY$7=$AL$16,'[4]4 trim 2016 BIOGROUP'!AC4/3,IF($AY$7=$AL$18,'[4]4 trim 2016 BIOGROUP'!AC4/3,IF($AY$7=$AL$19,'[4]4 trim 2016 BIOGROUP'!AC4/3,""))))))</f>
        <v>332105.16666666669</v>
      </c>
      <c r="AZ8" s="743">
        <f>IF($AZ$7=$AL$13,'[4]3 trim 2016 BIOGROUP'!AC4/3,IF($AZ$7=$AL$14,'[4]3 trim 2016 BIOGROUP'!AC4/3,IF($AZ$7=$AL$15,'[4]3 trim 2016 BIOGROUP'!AC4/3,IF($AZ$7=$AL$16,'[4]4 trim 2016 BIOGROUP'!AC4/3,IF($AZ$7=$AL$18,'[4]4 trim 2016 BIOGROUP'!AC4/3,IF($AZ$7=$AL$19,'[4]4 trim 2016 BIOGROUP'!AC4/3,""))))))</f>
        <v>332105.16666666669</v>
      </c>
      <c r="BA8" s="431" t="str">
        <f>IF(SUM(AO8:AZ8)-('[4]4 trim 2016 BIOGROUP'!G4+'[4]3 trim 2016 BIOGROUP'!G4+'[4]2 trim 2016 BIOGROUP'!G4+'[4]1 trim 2016 BIOGROUP'!G4)&lt;1,"OK","ERREUR")</f>
        <v>OK</v>
      </c>
      <c r="BB8" s="511">
        <f t="shared" ref="BB8:BB53" si="5">IF(AB8&lt;0,AD8-AB8,AB8-AD8)</f>
        <v>15733464.610000001</v>
      </c>
      <c r="BC8" s="750"/>
    </row>
    <row r="9" spans="1:55" ht="26.15" customHeight="1">
      <c r="A9" s="575"/>
      <c r="B9" s="548">
        <v>7061</v>
      </c>
      <c r="C9" s="440" t="s">
        <v>141</v>
      </c>
      <c r="D9" s="576"/>
      <c r="E9" s="440" t="s">
        <v>2</v>
      </c>
      <c r="F9" s="577"/>
      <c r="G9" s="475">
        <v>576034</v>
      </c>
      <c r="H9" s="578">
        <f>G9/G7</f>
        <v>9.2875056849965207E-2</v>
      </c>
      <c r="J9" s="529">
        <f>SUMIF($AO$7:$AZ$7,$G$6,AO9:AZ9)</f>
        <v>0</v>
      </c>
      <c r="K9" s="517" t="str">
        <f t="shared" ref="K9:K53" si="6">IF(ISERROR((G9-J9)/J9),"",(G9-J9)/J9)</f>
        <v/>
      </c>
      <c r="L9" s="431"/>
      <c r="M9" s="579">
        <f>AG9/3</f>
        <v>339782.33333333331</v>
      </c>
      <c r="N9" s="517">
        <f t="shared" si="1"/>
        <v>0.69530297337413083</v>
      </c>
      <c r="O9" s="580"/>
      <c r="P9" s="586" t="s">
        <v>2</v>
      </c>
      <c r="Q9" s="582" t="e">
        <f>+#REF!+'31 dec 2016 BIOLAM'!AT5</f>
        <v>#REF!</v>
      </c>
      <c r="R9" s="583" t="e">
        <f>Q9/Q$7</f>
        <v>#REF!</v>
      </c>
      <c r="S9" s="582" t="e">
        <f>+'31 dec 2016 BIOLAM'!AV5+#REF!</f>
        <v>#REF!</v>
      </c>
      <c r="T9" s="583" t="e">
        <f>S9/S$7</f>
        <v>#REF!</v>
      </c>
      <c r="U9" s="582" t="e">
        <f>+'31 dec 2016 BIOLAM'!AX5+#REF!</f>
        <v>#REF!</v>
      </c>
      <c r="V9" s="583" t="e">
        <f>U9/U$7</f>
        <v>#REF!</v>
      </c>
      <c r="W9" s="582" t="e">
        <f>+'31 dec 2016 BIOLAM'!AZ5+#REF!</f>
        <v>#REF!</v>
      </c>
      <c r="X9" s="583" t="e">
        <f>W9/W$7</f>
        <v>#REF!</v>
      </c>
      <c r="Y9" s="582" t="e">
        <f>+W9+U9+S9+Q9</f>
        <v>#REF!</v>
      </c>
      <c r="Z9" s="583" t="e">
        <f>Y9/Y$7</f>
        <v>#REF!</v>
      </c>
      <c r="AA9" s="584" t="e">
        <f t="shared" si="2"/>
        <v>#REF!</v>
      </c>
      <c r="AB9" s="475">
        <f>406518+192437+511935+81765+66819+182501+113798+120004</f>
        <v>1675777</v>
      </c>
      <c r="AC9" s="578">
        <f>AB9/AB7</f>
        <v>9.3890314278614648E-2</v>
      </c>
      <c r="AD9" s="495">
        <f>SUMIF($AO$7:$AZ$7,"&lt;="&amp;$AC$6,AO9:AZ9)</f>
        <v>0</v>
      </c>
      <c r="AE9" s="517" t="str">
        <f t="shared" si="3"/>
        <v/>
      </c>
      <c r="AG9" s="579">
        <f>168505+230722+490656+57362+72102</f>
        <v>1019347</v>
      </c>
      <c r="AH9" s="517">
        <f t="shared" si="4"/>
        <v>0.64397109129668306</v>
      </c>
      <c r="AJ9" s="587"/>
      <c r="AK9" s="437">
        <v>42643</v>
      </c>
      <c r="AL9" s="435">
        <v>42460</v>
      </c>
      <c r="AM9" s="440" t="s">
        <v>2</v>
      </c>
      <c r="AO9" s="743">
        <f>IF($AO$7=$AL$7,'[4]1 trim 2016 BIOGROUP'!AC5/3,IF($AO$7=$AL$8,'[4]1 trim 2016 BIOGROUP'!AC5/3,IF($AO$7=$AL$9,'[4]1 trim 2016 BIOGROUP'!AC5/3,IF($AO$7=$AL$10,'[4]2 trim 2016 BIOGROUP'!AC5/3,IF($AO$7=$AL$11,'[4]2 trim 2016 BIOGROUP'!AC5/3,IF($AO$7=$AL$12,'[4]2 trim 2016 BIOGROUP'!AC5/3,""))))))</f>
        <v>0</v>
      </c>
      <c r="AP9" s="743">
        <f>IF($AP$7=$AL$7,'[4]1 trim 2016 BIOGROUP'!AC5/3,IF($AP$7=$AL$8,'[4]1 trim 2016 BIOGROUP'!AC5/3,IF($AP$7=$AL$9,'[4]1 trim 2016 BIOGROUP'!AC5/3,IF($AP$7=$AL$10,'[4]2 trim 2016 BIOGROUP'!AC5/3,IF($AP$7=$AL$11,'[4]2 trim 2016 BIOGROUP'!AC5/3,IF($AP$7=$AL$12,'[4]2 trim 2016 BIOGROUP'!AC5/3,""))))))</f>
        <v>0</v>
      </c>
      <c r="AQ9" s="743">
        <f>IF($AQ$7=$AL$7,'[4]1 trim 2016 BIOGROUP'!AC5/3,IF($AQ$7=$AL$8,'[4]1 trim 2016 BIOGROUP'!AC5/3,IF($AQ$7=$AL$9,'[4]1 trim 2016 BIOGROUP'!AC5/3,IF($AQ$7=$AL$10,'[4]2 trim 2016 BIOGROUP'!AC5/3,IF($AQ$7=$AL$11,'[4]2 trim 2016 BIOGROUP'!AC5/3,IF($AQ$7=$AL$12,'[4]2 trim 2016 BIOGROUP'!AC5/3,""))))))</f>
        <v>0</v>
      </c>
      <c r="AR9" s="743">
        <f>IF($AR$7=$AL$7,'[4]1 trim 2016 BIOGROUP'!AC5/3,IF($AR$7=$AL$8,'[4]1 trim 2016 BIOGROUP'!AC5/3,IF($AR$7=$AL$9,'[4]1 trim 2016 BIOGROUP'!AC5/3,IF($AR$7=$AL$10,'[4]2 trim 2016 BIOGROUP'!AC5/3,IF($AR$7=$AL$11,'[4]2 trim 2016 BIOGROUP'!AC5/3,IF($AR$7=$AL$12,'[4]2 trim 2016 BIOGROUP'!AC5/3,""))))))</f>
        <v>0</v>
      </c>
      <c r="AS9" s="743">
        <f>IF($AS$7=$AL$7,'[4]1 trim 2016 BIOGROUP'!AC5/3,IF($AS$7=$AL$8,'[4]1 trim 2016 BIOGROUP'!AC5/3,IF($AS$7=$AL$9,'[4]1 trim 2016 BIOGROUP'!AC5/3,IF($AS$7=$AL$10,'[4]2 trim 2016 BIOGROUP'!AC5/3,IF($AS$7=$AL$11,'[4]2 trim 2016 BIOGROUP'!AC5/3,IF($AS$7=$AL$12,'[4]2 trim 2016 BIOGROUP'!AC5/3,""))))))</f>
        <v>0</v>
      </c>
      <c r="AT9" s="743">
        <f>IF($AT$7=$AL$7,'[4]1 trim 2016 BIOGROUP'!AC5/3,IF($AT$7=$AL$8,'[4]1 trim 2016 BIOGROUP'!AC5/3,IF($AT$7=$AL$9,'[4]1 trim 2016 BIOGROUP'!AC5/3,IF($AT$7=$AL$10,'[4]2 trim 2016 BIOGROUP'!AC5/3,IF($AT$7=$AL$11,'[4]2 trim 2016 BIOGROUP'!AC5/3,IF($AT$7=$AL$12,'[4]2 trim 2016 BIOGROUP'!AC5/3,""))))))</f>
        <v>0</v>
      </c>
      <c r="AU9" s="743">
        <f>IF($AU$7=$AL$13,'[4]3 trim 2016 BIOGROUP'!AC5/3,IF($AU$7=$AL$14,'[4]3 trim 2016 BIOGROUP'!AC5/3,IF($AU$7=$AL$15,'[4]3 trim 2016 BIOGROUP'!AC5/3,IF($AU$7=$AL$16,'[4]4 trim 2016 BIOGROUP'!AC5/3,IF($AU$7=$AL$18,'[4]4 trim 2016 BIOGROUP'!AC5/3,IF($AU$7=$AL$19,'[4]4 trim 2016 BIOGROUP'!AC5/3,""))))))</f>
        <v>0</v>
      </c>
      <c r="AV9" s="743">
        <f>IF($AV$7=$AL$13,'[4]3 trim 2016 BIOGROUP'!AC5/3,IF($AV$7=$AL$14,'[4]3 trim 2016 BIOGROUP'!AC5/3,IF($AV$7=$AL$15,'[4]3 trim 2016 BIOGROUP'!AC5/3,IF($AV$7=$AL$16,'[4]4 trim 2016 BIOGROUP'!AC5/3,IF($AV$7=$AL$18,'[4]4 trim 2016 BIOGROUP'!AC5/3,IF($AV$7=$AL$19,'[4]4 trim 2016 BIOGROUP'!AC5/3,""))))))</f>
        <v>0</v>
      </c>
      <c r="AW9" s="743">
        <f>IF($AW$7=$AL$13,'[4]3 trim 2016 BIOGROUP'!AC5/3,IF($AW$7=$AL$14,'[4]3 trim 2016 BIOGROUP'!AC5/3,IF($AW$7=$AL$15,'[4]3 trim 2016 BIOGROUP'!AC5/3,IF($AW$7=$AL$16,'[4]4 trim 2016 BIOGROUP'!AC5/3,IF($AW$7=$AL$18,'[4]4 trim 2016 BIOGROUP'!AC5/3,IF($AW$7=$AL$19,'[4]4 trim 2016 BIOGROUP'!AC5/3,""))))))</f>
        <v>0</v>
      </c>
      <c r="AX9" s="743">
        <f>IF($AX$7=$AL$13,'[4]3 trim 2016 BIOGROUP'!AC5/3,IF($AX$7=$AL$14,'[4]3 trim 2016 BIOGROUP'!AC5/3,IF($AX$7=$AL$15,'[4]3 trim 2016 BIOGROUP'!AC5/3,IF($AX$7=$AL$16,'[4]4 trim 2016 BIOGROUP'!AC5/3,IF($AX$7=$AL$18,'[4]4 trim 2016 BIOGROUP'!AC5/3,IF($AX$7=$AL$19,'[4]4 trim 2016 BIOGROUP'!AC5/3,""))))))</f>
        <v>0</v>
      </c>
      <c r="AY9" s="743">
        <f>IF($AY$7=$AL$13,'[4]3 trim 2016 BIOGROUP'!AC5/3,IF($AY$7=$AL$14,'[4]3 trim 2016 BIOGROUP'!AC5/3,IF($AY$7=$AL$15,'[4]3 trim 2016 BIOGROUP'!AC5/3,IF($AY$7=$AL$16,'[4]4 trim 2016 BIOGROUP'!AC5/3,IF($AY$7=$AL$18,'[4]4 trim 2016 BIOGROUP'!AC5/3,IF($AY$7=$AL$19,'[4]4 trim 2016 BIOGROUP'!AC5/3,""))))))</f>
        <v>0</v>
      </c>
      <c r="AZ9" s="743">
        <f>IF($AZ$7=$AL$13,'[4]3 trim 2016 BIOGROUP'!AC5/3,IF($AZ$7=$AL$14,'[4]3 trim 2016 BIOGROUP'!AC5/3,IF($AZ$7=$AL$15,'[4]3 trim 2016 BIOGROUP'!AC5/3,IF($AZ$7=$AL$16,'[4]4 trim 2016 BIOGROUP'!AC5/3,IF($AZ$7=$AL$18,'[4]4 trim 2016 BIOGROUP'!AC5/3,IF($AZ$7=$AL$19,'[4]4 trim 2016 BIOGROUP'!AC5/3,""))))))</f>
        <v>0</v>
      </c>
      <c r="BA9" s="431" t="str">
        <f>IF(SUM(AO9:AZ9)-('[4]4 trim 2016 BIOGROUP'!G5+'[4]3 trim 2016 BIOGROUP'!G5+'[4]2 trim 2016 BIOGROUP'!G5+'[4]1 trim 2016 BIOGROUP'!G5)&lt;1,"OK","ERREUR")</f>
        <v>OK</v>
      </c>
      <c r="BB9" s="511">
        <f t="shared" si="5"/>
        <v>1675777</v>
      </c>
      <c r="BC9" s="750"/>
    </row>
    <row r="10" spans="1:55" ht="26.15" customHeight="1">
      <c r="B10" s="588" t="s">
        <v>159</v>
      </c>
      <c r="C10" s="438" t="s">
        <v>83</v>
      </c>
      <c r="D10" s="576"/>
      <c r="E10" s="438" t="s">
        <v>113</v>
      </c>
      <c r="F10" s="577"/>
      <c r="G10" s="475">
        <f>45+85340.23-3221.02</f>
        <v>82164.209999999992</v>
      </c>
      <c r="H10" s="578">
        <f>G10/G7</f>
        <v>1.3247491770941436E-2</v>
      </c>
      <c r="J10" s="529">
        <f>SUMIF($AO$7:$AZ$7,$G$6,AO10:AZ10)</f>
        <v>0</v>
      </c>
      <c r="K10" s="517" t="str">
        <f t="shared" si="6"/>
        <v/>
      </c>
      <c r="L10" s="431"/>
      <c r="M10" s="579">
        <f>AG10/3</f>
        <v>123382.29333333332</v>
      </c>
      <c r="N10" s="517">
        <f t="shared" si="1"/>
        <v>-0.33406805968484726</v>
      </c>
      <c r="O10" s="580"/>
      <c r="P10" s="581" t="s">
        <v>113</v>
      </c>
      <c r="Q10" s="582" t="e">
        <f>+#REF!+'31 dec 2016 BIOLAM'!AT6</f>
        <v>#REF!</v>
      </c>
      <c r="R10" s="583" t="e">
        <f>Q10/Q$7</f>
        <v>#REF!</v>
      </c>
      <c r="S10" s="582" t="e">
        <f>+'31 dec 2016 BIOLAM'!AV6+#REF!</f>
        <v>#REF!</v>
      </c>
      <c r="T10" s="583" t="e">
        <f>S10/S$7</f>
        <v>#REF!</v>
      </c>
      <c r="U10" s="582" t="e">
        <f>+'31 dec 2016 BIOLAM'!AX6+#REF!</f>
        <v>#REF!</v>
      </c>
      <c r="V10" s="583" t="e">
        <f>U10/U$7</f>
        <v>#REF!</v>
      </c>
      <c r="W10" s="582" t="e">
        <f>+'31 dec 2016 BIOLAM'!AZ6+#REF!</f>
        <v>#REF!</v>
      </c>
      <c r="X10" s="583" t="e">
        <f>W10/W$7</f>
        <v>#REF!</v>
      </c>
      <c r="Y10" s="582" t="e">
        <f>+W10+U10+S10+Q10</f>
        <v>#REF!</v>
      </c>
      <c r="Z10" s="583" t="e">
        <f>Y10/Y$7</f>
        <v>#REF!</v>
      </c>
      <c r="AA10" s="584" t="e">
        <f t="shared" si="2"/>
        <v>#REF!</v>
      </c>
      <c r="AB10" s="475">
        <f>4849+249882.49+13485.25+170783.11</f>
        <v>438999.85</v>
      </c>
      <c r="AC10" s="578">
        <f>AB10/AB7</f>
        <v>2.459625229655538E-2</v>
      </c>
      <c r="AD10" s="495">
        <f>SUMIF($AO$7:$AZ$7,"&lt;="&amp;$AC$6,AO10:AZ10)</f>
        <v>0</v>
      </c>
      <c r="AE10" s="517" t="str">
        <f t="shared" si="3"/>
        <v/>
      </c>
      <c r="AG10" s="579">
        <f>64176+296.05+92121.94+19520.52+112057.33+15+63807.79+18152.25</f>
        <v>370146.87999999995</v>
      </c>
      <c r="AH10" s="517">
        <f t="shared" si="4"/>
        <v>0.18601526507531291</v>
      </c>
      <c r="AJ10" s="587"/>
      <c r="AK10" s="437">
        <v>42735</v>
      </c>
      <c r="AL10" s="435">
        <v>42490</v>
      </c>
      <c r="AM10" s="438" t="s">
        <v>113</v>
      </c>
      <c r="AO10" s="743">
        <f>IF($AO$7=$AL$7,'[4]1 trim 2016 BIOGROUP'!AC6/3,IF($AO$7=$AL$8,'[4]1 trim 2016 BIOGROUP'!AC6/3,IF($AO$7=$AL$9,'[4]1 trim 2016 BIOGROUP'!AC6/3,IF($AO$7=$AL$10,'[4]2 trim 2016 BIOGROUP'!AC6/3,IF($AO$7=$AL$11,'[4]2 trim 2016 BIOGROUP'!AC6/3,IF($AO$7=$AL$12,'[4]2 trim 2016 BIOGROUP'!AC6/3,""))))))</f>
        <v>7916.666666666667</v>
      </c>
      <c r="AP10" s="743">
        <f>IF($AP$7=$AL$7,'[4]1 trim 2016 BIOGROUP'!AC6/3,IF($AP$7=$AL$8,'[4]1 trim 2016 BIOGROUP'!AC6/3,IF($AP$7=$AL$9,'[4]1 trim 2016 BIOGROUP'!AC6/3,IF($AP$7=$AL$10,'[4]2 trim 2016 BIOGROUP'!AC6/3,IF($AP$7=$AL$11,'[4]2 trim 2016 BIOGROUP'!AC6/3,IF($AP$7=$AL$12,'[4]2 trim 2016 BIOGROUP'!AC6/3,""))))))</f>
        <v>7916.666666666667</v>
      </c>
      <c r="AQ10" s="743">
        <f>IF($AQ$7=$AL$7,'[4]1 trim 2016 BIOGROUP'!AC6/3,IF($AQ$7=$AL$8,'[4]1 trim 2016 BIOGROUP'!AC6/3,IF($AQ$7=$AL$9,'[4]1 trim 2016 BIOGROUP'!AC6/3,IF($AQ$7=$AL$10,'[4]2 trim 2016 BIOGROUP'!AC6/3,IF($AQ$7=$AL$11,'[4]2 trim 2016 BIOGROUP'!AC6/3,IF($AQ$7=$AL$12,'[4]2 trim 2016 BIOGROUP'!AC6/3,""))))))</f>
        <v>7916.666666666667</v>
      </c>
      <c r="AR10" s="743">
        <f>IF($AR$7=$AL$7,'[4]1 trim 2016 BIOGROUP'!AC6/3,IF($AR$7=$AL$8,'[4]1 trim 2016 BIOGROUP'!AC6/3,IF($AR$7=$AL$9,'[4]1 trim 2016 BIOGROUP'!AC6/3,IF($AR$7=$AL$10,'[4]2 trim 2016 BIOGROUP'!AC6/3,IF($AR$7=$AL$11,'[4]2 trim 2016 BIOGROUP'!AC6/3,IF($AR$7=$AL$12,'[4]2 trim 2016 BIOGROUP'!AC6/3,""))))))</f>
        <v>7916.666666666667</v>
      </c>
      <c r="AS10" s="743">
        <f>IF($AS$7=$AL$7,'[4]1 trim 2016 BIOGROUP'!AC6/3,IF($AS$7=$AL$8,'[4]1 trim 2016 BIOGROUP'!AC6/3,IF($AS$7=$AL$9,'[4]1 trim 2016 BIOGROUP'!AC6/3,IF($AS$7=$AL$10,'[4]2 trim 2016 BIOGROUP'!AC6/3,IF($AS$7=$AL$11,'[4]2 trim 2016 BIOGROUP'!AC6/3,IF($AS$7=$AL$12,'[4]2 trim 2016 BIOGROUP'!AC6/3,""))))))</f>
        <v>7916.666666666667</v>
      </c>
      <c r="AT10" s="743">
        <f>IF($AT$7=$AL$7,'[4]1 trim 2016 BIOGROUP'!AC6/3,IF($AT$7=$AL$8,'[4]1 trim 2016 BIOGROUP'!AC6/3,IF($AT$7=$AL$9,'[4]1 trim 2016 BIOGROUP'!AC6/3,IF($AT$7=$AL$10,'[4]2 trim 2016 BIOGROUP'!AC6/3,IF($AT$7=$AL$11,'[4]2 trim 2016 BIOGROUP'!AC6/3,IF($AT$7=$AL$12,'[4]2 trim 2016 BIOGROUP'!AC6/3,""))))))</f>
        <v>7916.666666666667</v>
      </c>
      <c r="AU10" s="743">
        <f>IF($AU$7=$AL$13,'[4]3 trim 2016 BIOGROUP'!AC6/3,IF($AU$7=$AL$14,'[4]3 trim 2016 BIOGROUP'!AC6/3,IF($AU$7=$AL$15,'[4]3 trim 2016 BIOGROUP'!AC6/3,IF($AU$7=$AL$16,'[4]4 trim 2016 BIOGROUP'!AC6/3,IF($AU$7=$AL$18,'[4]4 trim 2016 BIOGROUP'!AC6/3,IF($AU$7=$AL$19,'[4]4 trim 2016 BIOGROUP'!AC6/3,""))))))</f>
        <v>7916.666666666667</v>
      </c>
      <c r="AV10" s="743">
        <f>IF($AV$7=$AL$13,'[4]3 trim 2016 BIOGROUP'!AC6/3,IF($AV$7=$AL$14,'[4]3 trim 2016 BIOGROUP'!AC6/3,IF($AV$7=$AL$15,'[4]3 trim 2016 BIOGROUP'!AC6/3,IF($AV$7=$AL$16,'[4]4 trim 2016 BIOGROUP'!AC6/3,IF($AV$7=$AL$18,'[4]4 trim 2016 BIOGROUP'!AC6/3,IF($AV$7=$AL$19,'[4]4 trim 2016 BIOGROUP'!AC6/3,""))))))</f>
        <v>7916.666666666667</v>
      </c>
      <c r="AW10" s="743">
        <f>IF($AW$7=$AL$13,'[4]3 trim 2016 BIOGROUP'!AC6/3,IF($AW$7=$AL$14,'[4]3 trim 2016 BIOGROUP'!AC6/3,IF($AW$7=$AL$15,'[4]3 trim 2016 BIOGROUP'!AC6/3,IF($AW$7=$AL$16,'[4]4 trim 2016 BIOGROUP'!AC6/3,IF($AW$7=$AL$18,'[4]4 trim 2016 BIOGROUP'!AC6/3,IF($AW$7=$AL$19,'[4]4 trim 2016 BIOGROUP'!AC6/3,""))))))</f>
        <v>7916.666666666667</v>
      </c>
      <c r="AX10" s="743">
        <f>IF($AX$7=$AL$13,'[4]3 trim 2016 BIOGROUP'!AC6/3,IF($AX$7=$AL$14,'[4]3 trim 2016 BIOGROUP'!AC6/3,IF($AX$7=$AL$15,'[4]3 trim 2016 BIOGROUP'!AC6/3,IF($AX$7=$AL$16,'[4]4 trim 2016 BIOGROUP'!AC6/3,IF($AX$7=$AL$18,'[4]4 trim 2016 BIOGROUP'!AC6/3,IF($AX$7=$AL$19,'[4]4 trim 2016 BIOGROUP'!AC6/3,""))))))</f>
        <v>7916.666666666667</v>
      </c>
      <c r="AY10" s="743">
        <f>IF($AY$7=$AL$13,'[4]3 trim 2016 BIOGROUP'!AC6/3,IF($AY$7=$AL$14,'[4]3 trim 2016 BIOGROUP'!AC6/3,IF($AY$7=$AL$15,'[4]3 trim 2016 BIOGROUP'!AC6/3,IF($AY$7=$AL$16,'[4]4 trim 2016 BIOGROUP'!AC6/3,IF($AY$7=$AL$18,'[4]4 trim 2016 BIOGROUP'!AC6/3,IF($AY$7=$AL$19,'[4]4 trim 2016 BIOGROUP'!AC6/3,""))))))</f>
        <v>7916.666666666667</v>
      </c>
      <c r="AZ10" s="743">
        <f>IF($AZ$7=$AL$13,'[4]3 trim 2016 BIOGROUP'!AC6/3,IF($AZ$7=$AL$14,'[4]3 trim 2016 BIOGROUP'!AC6/3,IF($AZ$7=$AL$15,'[4]3 trim 2016 BIOGROUP'!AC6/3,IF($AZ$7=$AL$16,'[4]4 trim 2016 BIOGROUP'!AC6/3,IF($AZ$7=$AL$18,'[4]4 trim 2016 BIOGROUP'!AC6/3,IF($AZ$7=$AL$19,'[4]4 trim 2016 BIOGROUP'!AC6/3,""))))))</f>
        <v>7916.666666666667</v>
      </c>
      <c r="BA10" s="431" t="str">
        <f>IF(SUM(AO10:AZ10)-('[4]4 trim 2016 BIOGROUP'!G6+'[4]3 trim 2016 BIOGROUP'!G6+'[4]2 trim 2016 BIOGROUP'!G6+'[4]1 trim 2016 BIOGROUP'!G6)&lt;1,"OK","ERREUR")</f>
        <v>OK</v>
      </c>
      <c r="BB10" s="511">
        <f t="shared" si="5"/>
        <v>438999.85</v>
      </c>
      <c r="BC10" s="750"/>
    </row>
    <row r="11" spans="1:55" s="439" customFormat="1" ht="26.15" customHeight="1">
      <c r="A11" s="431"/>
      <c r="B11" s="542"/>
      <c r="C11" s="441" t="s">
        <v>87</v>
      </c>
      <c r="D11" s="589"/>
      <c r="E11" s="441" t="s">
        <v>115</v>
      </c>
      <c r="F11" s="590"/>
      <c r="G11" s="476">
        <f>SUM(G12:G13)</f>
        <v>-953257.30999999994</v>
      </c>
      <c r="H11" s="591">
        <f>G11/G7</f>
        <v>-0.1536954882157909</v>
      </c>
      <c r="I11" s="431"/>
      <c r="J11" s="496">
        <f>SUM(J12:J13)</f>
        <v>0</v>
      </c>
      <c r="K11" s="530" t="str">
        <f t="shared" si="6"/>
        <v/>
      </c>
      <c r="L11" s="431"/>
      <c r="M11" s="496">
        <f>SUM(M12:M13)</f>
        <v>-836751.05333333323</v>
      </c>
      <c r="N11" s="518">
        <f t="shared" si="1"/>
        <v>0.13923646250882526</v>
      </c>
      <c r="O11" s="592"/>
      <c r="P11" s="593" t="s">
        <v>3</v>
      </c>
      <c r="Q11" s="594" t="e">
        <f t="shared" ref="Q11:Z11" si="7">SUM(Q12:Q13)</f>
        <v>#REF!</v>
      </c>
      <c r="R11" s="595" t="e">
        <f t="shared" si="7"/>
        <v>#REF!</v>
      </c>
      <c r="S11" s="594" t="e">
        <f t="shared" si="7"/>
        <v>#REF!</v>
      </c>
      <c r="T11" s="595" t="e">
        <f t="shared" si="7"/>
        <v>#REF!</v>
      </c>
      <c r="U11" s="594" t="e">
        <f t="shared" si="7"/>
        <v>#REF!</v>
      </c>
      <c r="V11" s="595" t="e">
        <f t="shared" si="7"/>
        <v>#REF!</v>
      </c>
      <c r="W11" s="594" t="e">
        <f t="shared" si="7"/>
        <v>#REF!</v>
      </c>
      <c r="X11" s="595" t="e">
        <f t="shared" si="7"/>
        <v>#REF!</v>
      </c>
      <c r="Y11" s="594" t="e">
        <f t="shared" si="7"/>
        <v>#REF!</v>
      </c>
      <c r="Z11" s="595" t="e">
        <f t="shared" si="7"/>
        <v>#REF!</v>
      </c>
      <c r="AA11" s="584" t="e">
        <f t="shared" si="2"/>
        <v>#REF!</v>
      </c>
      <c r="AB11" s="476">
        <f>SUM(AB12:AB13)</f>
        <v>-2616023.77</v>
      </c>
      <c r="AC11" s="591">
        <f>AB11/AB7</f>
        <v>-0.14657039327167418</v>
      </c>
      <c r="AD11" s="496">
        <f>SUM(AD12:AD13)</f>
        <v>0</v>
      </c>
      <c r="AE11" s="518" t="str">
        <f t="shared" si="3"/>
        <v/>
      </c>
      <c r="AF11" s="431"/>
      <c r="AG11" s="496">
        <f>SUM(AG12:AG13)</f>
        <v>-2510253.16</v>
      </c>
      <c r="AH11" s="518">
        <f t="shared" si="4"/>
        <v>4.2135435455442218E-2</v>
      </c>
      <c r="AJ11" s="596"/>
      <c r="AL11" s="435">
        <v>42521</v>
      </c>
      <c r="AM11" s="441" t="s">
        <v>115</v>
      </c>
      <c r="AN11" s="746"/>
      <c r="AO11" s="741">
        <f>-SUM(AO12:AO13)</f>
        <v>-72015.583333333328</v>
      </c>
      <c r="AP11" s="741">
        <f t="shared" ref="AP11:AZ11" si="8">-SUM(AP12:AP13)</f>
        <v>-72015.583333333328</v>
      </c>
      <c r="AQ11" s="741">
        <f t="shared" si="8"/>
        <v>-72015.583333333328</v>
      </c>
      <c r="AR11" s="741">
        <f t="shared" si="8"/>
        <v>-72015.583333333328</v>
      </c>
      <c r="AS11" s="741">
        <f t="shared" si="8"/>
        <v>-72015.583333333328</v>
      </c>
      <c r="AT11" s="741">
        <f t="shared" si="8"/>
        <v>-72015.583333333328</v>
      </c>
      <c r="AU11" s="741">
        <f t="shared" si="8"/>
        <v>-72015.583333333328</v>
      </c>
      <c r="AV11" s="741">
        <f t="shared" si="8"/>
        <v>-72015.583333333328</v>
      </c>
      <c r="AW11" s="741">
        <f t="shared" si="8"/>
        <v>-72015.583333333328</v>
      </c>
      <c r="AX11" s="741">
        <f t="shared" si="8"/>
        <v>-72015.583333333328</v>
      </c>
      <c r="AY11" s="741">
        <f t="shared" si="8"/>
        <v>-72015.583333333328</v>
      </c>
      <c r="AZ11" s="741">
        <f t="shared" si="8"/>
        <v>-72015.583333333328</v>
      </c>
      <c r="BA11" s="431"/>
      <c r="BB11" s="748">
        <f t="shared" si="5"/>
        <v>2616023.77</v>
      </c>
      <c r="BC11" s="751"/>
    </row>
    <row r="12" spans="1:55" ht="26.15" customHeight="1">
      <c r="B12" s="588" t="s">
        <v>154</v>
      </c>
      <c r="C12" s="597" t="s">
        <v>84</v>
      </c>
      <c r="D12" s="576"/>
      <c r="E12" s="442" t="s">
        <v>135</v>
      </c>
      <c r="F12" s="577"/>
      <c r="G12" s="476">
        <f>-26549.34-671714.22</f>
        <v>-698263.55999999994</v>
      </c>
      <c r="H12" s="591">
        <f>G12/G7</f>
        <v>-0.11258236116489492</v>
      </c>
      <c r="J12" s="497">
        <f>-SUMIF($AO$7:$AZ$7,$G$6,AO12:AZ12)</f>
        <v>0</v>
      </c>
      <c r="K12" s="530" t="str">
        <f t="shared" si="6"/>
        <v/>
      </c>
      <c r="L12" s="431"/>
      <c r="M12" s="598">
        <f>AG12/3</f>
        <v>-619774.89666666661</v>
      </c>
      <c r="N12" s="518">
        <f t="shared" si="1"/>
        <v>0.12664059766774785</v>
      </c>
      <c r="O12" s="580"/>
      <c r="P12" s="581" t="s">
        <v>4</v>
      </c>
      <c r="Q12" s="582" t="e">
        <f>+#REF!+'31 dec 2016 BIOLAM'!AT8+'31 dec 2016 BIOLAM'!AT9</f>
        <v>#REF!</v>
      </c>
      <c r="R12" s="583" t="e">
        <f>Q12/Q$7</f>
        <v>#REF!</v>
      </c>
      <c r="S12" s="582" t="e">
        <f>+'31 dec 2016 BIOLAM'!AV8+'31 dec 2016 BIOLAM'!AV9+#REF!</f>
        <v>#REF!</v>
      </c>
      <c r="T12" s="583" t="e">
        <f>S12/S$7</f>
        <v>#REF!</v>
      </c>
      <c r="U12" s="582" t="e">
        <f>+'31 dec 2016 BIOLAM'!AX8+'31 dec 2016 BIOLAM'!AX9+#REF!</f>
        <v>#REF!</v>
      </c>
      <c r="V12" s="583" t="e">
        <f>U12/U$7</f>
        <v>#REF!</v>
      </c>
      <c r="W12" s="582" t="e">
        <f>+'31 dec 2016 BIOLAM'!AZ8+'31 dec 2016 BIOLAM'!AZ9+#REF!</f>
        <v>#REF!</v>
      </c>
      <c r="X12" s="583" t="e">
        <f>W12/W$7</f>
        <v>#REF!</v>
      </c>
      <c r="Y12" s="582" t="e">
        <f>+W12+U12+S12+Q12</f>
        <v>#REF!</v>
      </c>
      <c r="Z12" s="583" t="e">
        <f>Y12/Y$7</f>
        <v>#REF!</v>
      </c>
      <c r="AA12" s="584" t="e">
        <f t="shared" si="2"/>
        <v>#REF!</v>
      </c>
      <c r="AB12" s="476">
        <f>-25477.34-1856904.1</f>
        <v>-1882381.4400000002</v>
      </c>
      <c r="AC12" s="591">
        <f>AB12/AB7</f>
        <v>-0.10546593311271799</v>
      </c>
      <c r="AD12" s="497">
        <f>-SUMIF($AO$7:$AZ$7,"&lt;="&amp;$AC$6,AO12:AZ12)</f>
        <v>0</v>
      </c>
      <c r="AE12" s="518" t="str">
        <f t="shared" si="3"/>
        <v/>
      </c>
      <c r="AG12" s="598">
        <f>-1036333.24-11342.69-817266.76+5618</f>
        <v>-1859324.69</v>
      </c>
      <c r="AH12" s="518">
        <f t="shared" si="4"/>
        <v>1.2400604436657178E-2</v>
      </c>
      <c r="AJ12" s="599"/>
      <c r="AL12" s="435">
        <v>42551</v>
      </c>
      <c r="AM12" s="442" t="s">
        <v>135</v>
      </c>
      <c r="AN12" s="747"/>
      <c r="AO12" s="431">
        <f>IF($AO$7=$AL$7,'[4]1 trim 2016 BIOGROUP'!AC8/3,IF($AO$7=$AL$8,'[4]1 trim 2016 BIOGROUP'!AC8/3,IF($AO$7=$AL$9,'[4]1 trim 2016 BIOGROUP'!AC8/3,IF($AO$7=$AL$10,'[4]2 trim 2016 BIOGROUP'!AC8/3,IF($AO$7=$AL$11,'[4]2 trim 2016 BIOGROUP'!AC8/3,IF($AO$7=$AL$12,'[4]2 trim 2016 BIOGROUP'!AC8/3,""))))))</f>
        <v>46500.416666666664</v>
      </c>
      <c r="AP12" s="431">
        <f>IF($AP$7=$AL$7,'[4]1 trim 2016 BIOGROUP'!AC8/3,IF($AP$7=$AL$8,'[4]1 trim 2016 BIOGROUP'!AC8/3,IF($AP$7=$AL$9,'[4]1 trim 2016 BIOGROUP'!AC8/3,IF($AP$7=$AL$10,'[4]2 trim 2016 BIOGROUP'!AC8/3,IF($AP$7=$AL$11,'[4]2 trim 2016 BIOGROUP'!AC8/3,IF($AP$7=$AL$12,'[4]2 trim 2016 BIOGROUP'!AC8/3,""))))))</f>
        <v>46500.416666666664</v>
      </c>
      <c r="AQ12" s="431">
        <f>IF($AQ$7=$AL$7,'[4]1 trim 2016 BIOGROUP'!AC8/3,IF($AQ$7=$AL$8,'[4]1 trim 2016 BIOGROUP'!AC8/3,IF($AQ$7=$AL$9,'[4]1 trim 2016 BIOGROUP'!AC8/3,IF($AQ$7=$AL$10,'[4]2 trim 2016 BIOGROUP'!AC8/3,IF($AQ$7=$AL$11,'[4]2 trim 2016 BIOGROUP'!AC8/3,IF($AQ$7=$AL$12,'[4]2 trim 2016 BIOGROUP'!AC8/3,""))))))</f>
        <v>46500.416666666664</v>
      </c>
      <c r="AR12" s="431">
        <f>IF($AR$7=$AL$7,'[4]1 trim 2016 BIOGROUP'!AC8/3,IF($AR$7=$AL$8,'[4]1 trim 2016 BIOGROUP'!AC8/3,IF($AR$7=$AL$9,'[4]1 trim 2016 BIOGROUP'!AC8/3,IF($AR$7=$AL$10,'[4]2 trim 2016 BIOGROUP'!AC8/3,IF($AR$7=$AL$11,'[4]2 trim 2016 BIOGROUP'!AC8/3,IF($AR$7=$AL$12,'[4]2 trim 2016 BIOGROUP'!AC8/3,""))))))</f>
        <v>46500.416666666664</v>
      </c>
      <c r="AS12" s="431">
        <f>IF($AS$7=$AL$7,'[4]1 trim 2016 BIOGROUP'!AC8/3,IF($AS$7=$AL$8,'[4]1 trim 2016 BIOGROUP'!AC8/3,IF($AS$7=$AL$9,'[4]1 trim 2016 BIOGROUP'!AC8/3,IF($AS$7=$AL$10,'[4]2 trim 2016 BIOGROUP'!AC8/3,IF($AS$7=$AL$11,'[4]2 trim 2016 BIOGROUP'!AC8/3,IF($AS$7=$AL$12,'[4]2 trim 2016 BIOGROUP'!AC8/3,""))))))</f>
        <v>46500.416666666664</v>
      </c>
      <c r="AT12" s="431">
        <f>IF($AT$7=$AL$7,'[4]1 trim 2016 BIOGROUP'!AC8/3,IF($AT$7=$AL$8,'[4]1 trim 2016 BIOGROUP'!AC8/3,IF($AT$7=$AL$9,'[4]1 trim 2016 BIOGROUP'!AC8/3,IF($AT$7=$AL$10,'[4]2 trim 2016 BIOGROUP'!AC8/3,IF($AT$7=$AL$11,'[4]2 trim 2016 BIOGROUP'!AC8/3,IF($AT$7=$AL$12,'[4]2 trim 2016 BIOGROUP'!AC8/3,""))))))</f>
        <v>46500.416666666664</v>
      </c>
      <c r="AU12" s="431">
        <f>IF($AU$7=$AL$13,'[4]3 trim 2016 BIOGROUP'!AC8/3,IF($AU$7=$AL$14,'[4]3 trim 2016 BIOGROUP'!AC8/3,IF($AU$7=$AL$15,'[4]3 trim 2016 BIOGROUP'!AC8/3,IF($AU$7=$AL$16,'[4]4 trim 2016 BIOGROUP'!AC8/3,IF($AU$7=$AL$18,'[4]4 trim 2016 BIOGROUP'!AC8/3,IF($AU$7=$AL$19,'[4]4 trim 2016 BIOGROUP'!AC8/3,""))))))</f>
        <v>46500.416666666664</v>
      </c>
      <c r="AV12" s="431">
        <f>IF($AV$7=$AL$13,'[4]3 trim 2016 BIOGROUP'!AC8/3,IF($AV$7=$AL$14,'[4]3 trim 2016 BIOGROUP'!AC8/3,IF($AV$7=$AL$15,'[4]3 trim 2016 BIOGROUP'!AC8/3,IF($AV$7=$AL$16,'[4]4 trim 2016 BIOGROUP'!AC8/3,IF($AV$7=$AL$18,'[4]4 trim 2016 BIOGROUP'!AC8/3,IF($AV$7=$AL$19,'[4]4 trim 2016 BIOGROUP'!AC8/3,""))))))</f>
        <v>46500.416666666664</v>
      </c>
      <c r="AW12" s="431">
        <f>IF($AW$7=$AL$13,'[4]3 trim 2016 BIOGROUP'!AC8/3,IF($AW$7=$AL$14,'[4]3 trim 2016 BIOGROUP'!AC8/3,IF($AW$7=$AL$15,'[4]3 trim 2016 BIOGROUP'!AC8/3,IF($AW$7=$AL$16,'[4]4 trim 2016 BIOGROUP'!AC8/3,IF($AW$7=$AL$18,'[4]4 trim 2016 BIOGROUP'!AC8/3,IF($AW$7=$AL$19,'[4]4 trim 2016 BIOGROUP'!AC8/3,""))))))</f>
        <v>46500.416666666664</v>
      </c>
      <c r="AX12" s="431">
        <f>IF($AX$7=$AL$13,'[4]3 trim 2016 BIOGROUP'!AC8/3,IF($AX$7=$AL$14,'[4]3 trim 2016 BIOGROUP'!AC8/3,IF($AX$7=$AL$15,'[4]3 trim 2016 BIOGROUP'!AC8/3,IF($AX$7=$AL$16,'[4]4 trim 2016 BIOGROUP'!AC8/3,IF($AX$7=$AL$18,'[4]4 trim 2016 BIOGROUP'!AC8/3,IF($AX$7=$AL$19,'[4]4 trim 2016 BIOGROUP'!AC8/3,""))))))</f>
        <v>46500.416666666664</v>
      </c>
      <c r="AY12" s="431">
        <f>IF($AY$7=$AL$13,'[4]3 trim 2016 BIOGROUP'!AC8/3,IF($AY$7=$AL$14,'[4]3 trim 2016 BIOGROUP'!AC8/3,IF($AY$7=$AL$15,'[4]3 trim 2016 BIOGROUP'!AC8/3,IF($AY$7=$AL$16,'[4]4 trim 2016 BIOGROUP'!AC8/3,IF($AY$7=$AL$18,'[4]4 trim 2016 BIOGROUP'!AC8/3,IF($AY$7=$AL$19,'[4]4 trim 2016 BIOGROUP'!AC8/3,""))))))</f>
        <v>46500.416666666664</v>
      </c>
      <c r="AZ12" s="431">
        <f>IF($AZ$7=$AL$13,'[4]3 trim 2016 BIOGROUP'!AC8/3,IF($AZ$7=$AL$14,'[4]3 trim 2016 BIOGROUP'!AC8/3,IF($AZ$7=$AL$15,'[4]3 trim 2016 BIOGROUP'!AC8/3,IF($AZ$7=$AL$16,'[4]4 trim 2016 BIOGROUP'!AC8/3,IF($AZ$7=$AL$18,'[4]4 trim 2016 BIOGROUP'!AC8/3,IF($AZ$7=$AL$19,'[4]4 trim 2016 BIOGROUP'!AC8/3,""))))))</f>
        <v>46500.416666666664</v>
      </c>
      <c r="BB12" s="511">
        <f t="shared" si="5"/>
        <v>1882381.4400000002</v>
      </c>
      <c r="BC12" s="750"/>
    </row>
    <row r="13" spans="1:55" ht="26.15" customHeight="1">
      <c r="B13" s="542">
        <v>604</v>
      </c>
      <c r="C13" s="445" t="s">
        <v>85</v>
      </c>
      <c r="D13" s="600"/>
      <c r="E13" s="443" t="s">
        <v>134</v>
      </c>
      <c r="F13" s="601"/>
      <c r="G13" s="476">
        <v>-254993.75</v>
      </c>
      <c r="H13" s="591">
        <f>G13/G7</f>
        <v>-4.1113127050895981E-2</v>
      </c>
      <c r="J13" s="497">
        <f>-SUMIF($AO$7:$AZ$7,$G$6,AO13:AZ13)</f>
        <v>0</v>
      </c>
      <c r="K13" s="530" t="str">
        <f t="shared" si="6"/>
        <v/>
      </c>
      <c r="L13" s="431"/>
      <c r="M13" s="598">
        <f>AG13/3</f>
        <v>-216976.15666666665</v>
      </c>
      <c r="N13" s="518">
        <f t="shared" si="1"/>
        <v>0.17521553481905633</v>
      </c>
      <c r="O13" s="580"/>
      <c r="P13" s="602" t="s">
        <v>58</v>
      </c>
      <c r="Q13" s="582" t="e">
        <f>+'31 dec 2016 BIOLAM'!AT10+#REF!</f>
        <v>#REF!</v>
      </c>
      <c r="R13" s="583" t="e">
        <f>Q13/Q$7</f>
        <v>#REF!</v>
      </c>
      <c r="S13" s="582" t="e">
        <f>+'31 dec 2016 BIOLAM'!AV10+#REF!</f>
        <v>#REF!</v>
      </c>
      <c r="T13" s="583" t="e">
        <f>S13/S$7</f>
        <v>#REF!</v>
      </c>
      <c r="U13" s="582" t="e">
        <f>+'31 dec 2016 BIOLAM'!AX10+#REF!</f>
        <v>#REF!</v>
      </c>
      <c r="V13" s="583" t="e">
        <f>U13/U$7</f>
        <v>#REF!</v>
      </c>
      <c r="W13" s="582" t="e">
        <f>+'31 dec 2016 BIOLAM'!AZ10+#REF!</f>
        <v>#REF!</v>
      </c>
      <c r="X13" s="583" t="e">
        <f>W13/W$7</f>
        <v>#REF!</v>
      </c>
      <c r="Y13" s="582" t="e">
        <f>+W13+U13+S13+Q13</f>
        <v>#REF!</v>
      </c>
      <c r="Z13" s="583" t="e">
        <f>Y13/Y$7</f>
        <v>#REF!</v>
      </c>
      <c r="AA13" s="584" t="e">
        <f t="shared" si="2"/>
        <v>#REF!</v>
      </c>
      <c r="AB13" s="476">
        <f>-733642.33</f>
        <v>-733642.33</v>
      </c>
      <c r="AC13" s="591">
        <f>AB13/AB7</f>
        <v>-4.1104460158956184E-2</v>
      </c>
      <c r="AD13" s="497">
        <f>-SUMIF($AO$7:$AZ$7,"&lt;="&amp;$AC$6,AO13:AZ13)</f>
        <v>0</v>
      </c>
      <c r="AE13" s="518" t="str">
        <f t="shared" si="3"/>
        <v/>
      </c>
      <c r="AG13" s="598">
        <f>-386172.23-264756.24</f>
        <v>-650928.47</v>
      </c>
      <c r="AH13" s="518">
        <f t="shared" si="4"/>
        <v>0.12707058273238531</v>
      </c>
      <c r="AJ13" s="599"/>
      <c r="AL13" s="435">
        <v>42582</v>
      </c>
      <c r="AM13" s="443" t="s">
        <v>134</v>
      </c>
      <c r="AN13" s="747"/>
      <c r="AO13" s="431">
        <f>IF($AO$7=$AL$7,'[4]1 trim 2016 BIOGROUP'!AC9/3,IF($AO$7=$AL$8,'[4]1 trim 2016 BIOGROUP'!AC9/3,IF($AO$7=$AL$9,'[4]1 trim 2016 BIOGROUP'!AC9/3,IF($AO$7=$AL$10,'[4]2 trim 2016 BIOGROUP'!AC9/3,IF($AO$7=$AL$11,'[4]2 trim 2016 BIOGROUP'!AC9/3,IF($AO$7=$AL$12,'[4]2 trim 2016 BIOGROUP'!AC9/3,""))))))</f>
        <v>25515.166666666668</v>
      </c>
      <c r="AP13" s="431">
        <f>IF($AP$7=$AL$7,'[4]1 trim 2016 BIOGROUP'!AC9/3,IF($AP$7=$AL$8,'[4]1 trim 2016 BIOGROUP'!AC9/3,IF($AP$7=$AL$9,'[4]1 trim 2016 BIOGROUP'!AC9/3,IF($AP$7=$AL$10,'[4]2 trim 2016 BIOGROUP'!AC9/3,IF($AP$7=$AL$11,'[4]2 trim 2016 BIOGROUP'!AC9/3,IF($AP$7=$AL$12,'[4]2 trim 2016 BIOGROUP'!AC9/3,""))))))</f>
        <v>25515.166666666668</v>
      </c>
      <c r="AQ13" s="431">
        <f>IF($AQ$7=$AL$7,'[4]1 trim 2016 BIOGROUP'!AC9/3,IF($AQ$7=$AL$8,'[4]1 trim 2016 BIOGROUP'!AC9/3,IF($AQ$7=$AL$9,'[4]1 trim 2016 BIOGROUP'!AC9/3,IF($AQ$7=$AL$10,'[4]2 trim 2016 BIOGROUP'!AC9/3,IF($AQ$7=$AL$11,'[4]2 trim 2016 BIOGROUP'!AC9/3,IF($AQ$7=$AL$12,'[4]2 trim 2016 BIOGROUP'!AC9/3,""))))))</f>
        <v>25515.166666666668</v>
      </c>
      <c r="AR13" s="431">
        <f>IF($AR$7=$AL$7,'[4]1 trim 2016 BIOGROUP'!AC9/3,IF($AR$7=$AL$8,'[4]1 trim 2016 BIOGROUP'!AC9/3,IF($AR$7=$AL$9,'[4]1 trim 2016 BIOGROUP'!AC9/3,IF($AR$7=$AL$10,'[4]2 trim 2016 BIOGROUP'!AC9/3,IF($AR$7=$AL$11,'[4]2 trim 2016 BIOGROUP'!AC9/3,IF($AR$7=$AL$12,'[4]2 trim 2016 BIOGROUP'!AC9/3,""))))))</f>
        <v>25515.166666666668</v>
      </c>
      <c r="AS13" s="431">
        <f>IF($AS$7=$AL$7,'[4]1 trim 2016 BIOGROUP'!AC9/3,IF($AS$7=$AL$8,'[4]1 trim 2016 BIOGROUP'!AC9/3,IF($AS$7=$AL$9,'[4]1 trim 2016 BIOGROUP'!AC9/3,IF($AS$7=$AL$10,'[4]2 trim 2016 BIOGROUP'!AC9/3,IF($AS$7=$AL$11,'[4]2 trim 2016 BIOGROUP'!AC9/3,IF($AS$7=$AL$12,'[4]2 trim 2016 BIOGROUP'!AC9/3,""))))))</f>
        <v>25515.166666666668</v>
      </c>
      <c r="AT13" s="431">
        <f>IF($AT$7=$AL$7,'[4]1 trim 2016 BIOGROUP'!AC9/3,IF($AT$7=$AL$8,'[4]1 trim 2016 BIOGROUP'!AC9/3,IF($AT$7=$AL$9,'[4]1 trim 2016 BIOGROUP'!AC9/3,IF($AT$7=$AL$10,'[4]2 trim 2016 BIOGROUP'!AC9/3,IF($AT$7=$AL$11,'[4]2 trim 2016 BIOGROUP'!AC9/3,IF($AT$7=$AL$12,'[4]2 trim 2016 BIOGROUP'!AC9/3,""))))))</f>
        <v>25515.166666666668</v>
      </c>
      <c r="AU13" s="431">
        <f>IF($AU$7=$AL$13,'[4]3 trim 2016 BIOGROUP'!AC9/3,IF($AU$7=$AL$14,'[4]3 trim 2016 BIOGROUP'!AC9/3,IF($AU$7=$AL$15,'[4]3 trim 2016 BIOGROUP'!AC9/3,IF($AU$7=$AL$16,'[4]4 trim 2016 BIOGROUP'!AC9/3,IF($AU$7=$AL$18,'[4]4 trim 2016 BIOGROUP'!AC9/3,IF($AU$7=$AL$19,'[4]4 trim 2016 BIOGROUP'!AC9/3,""))))))</f>
        <v>25515.166666666668</v>
      </c>
      <c r="AV13" s="431">
        <f>IF($AV$7=$AL$13,'[4]3 trim 2016 BIOGROUP'!AC9/3,IF($AV$7=$AL$14,'[4]3 trim 2016 BIOGROUP'!AC9/3,IF($AV$7=$AL$15,'[4]3 trim 2016 BIOGROUP'!AC9/3,IF($AV$7=$AL$16,'[4]4 trim 2016 BIOGROUP'!AC9/3,IF($AV$7=$AL$18,'[4]4 trim 2016 BIOGROUP'!AC9/3,IF($AV$7=$AL$19,'[4]4 trim 2016 BIOGROUP'!AC9/3,""))))))</f>
        <v>25515.166666666668</v>
      </c>
      <c r="AW13" s="431">
        <f>IF($AW$7=$AL$13,'[4]3 trim 2016 BIOGROUP'!AC9/3,IF($AW$7=$AL$14,'[4]3 trim 2016 BIOGROUP'!AC9/3,IF($AW$7=$AL$15,'[4]3 trim 2016 BIOGROUP'!AC9/3,IF($AW$7=$AL$16,'[4]4 trim 2016 BIOGROUP'!AC9/3,IF($AW$7=$AL$18,'[4]4 trim 2016 BIOGROUP'!AC9/3,IF($AW$7=$AL$19,'[4]4 trim 2016 BIOGROUP'!AC9/3,""))))))</f>
        <v>25515.166666666668</v>
      </c>
      <c r="AX13" s="431">
        <f>IF($AX$7=$AL$13,'[4]3 trim 2016 BIOGROUP'!AC9/3,IF($AX$7=$AL$14,'[4]3 trim 2016 BIOGROUP'!AC9/3,IF($AX$7=$AL$15,'[4]3 trim 2016 BIOGROUP'!AC9/3,IF($AX$7=$AL$16,'[4]4 trim 2016 BIOGROUP'!AC9/3,IF($AX$7=$AL$18,'[4]4 trim 2016 BIOGROUP'!AC9/3,IF($AX$7=$AL$19,'[4]4 trim 2016 BIOGROUP'!AC9/3,""))))))</f>
        <v>25515.166666666668</v>
      </c>
      <c r="AY13" s="431">
        <f>IF($AY$7=$AL$13,'[4]3 trim 2016 BIOGROUP'!AC9/3,IF($AY$7=$AL$14,'[4]3 trim 2016 BIOGROUP'!AC9/3,IF($AY$7=$AL$15,'[4]3 trim 2016 BIOGROUP'!AC9/3,IF($AY$7=$AL$16,'[4]4 trim 2016 BIOGROUP'!AC9/3,IF($AY$7=$AL$18,'[4]4 trim 2016 BIOGROUP'!AC9/3,IF($AY$7=$AL$19,'[4]4 trim 2016 BIOGROUP'!AC9/3,""))))))</f>
        <v>25515.166666666668</v>
      </c>
      <c r="AZ13" s="431">
        <f>IF($AZ$7=$AL$13,'[4]3 trim 2016 BIOGROUP'!AC9/3,IF($AZ$7=$AL$14,'[4]3 trim 2016 BIOGROUP'!AC9/3,IF($AZ$7=$AL$15,'[4]3 trim 2016 BIOGROUP'!AC9/3,IF($AZ$7=$AL$16,'[4]4 trim 2016 BIOGROUP'!AC9/3,IF($AZ$7=$AL$18,'[4]4 trim 2016 BIOGROUP'!AC9/3,IF($AZ$7=$AL$19,'[4]4 trim 2016 BIOGROUP'!AC9/3,""))))))</f>
        <v>25515.166666666668</v>
      </c>
      <c r="BB13" s="511">
        <f t="shared" si="5"/>
        <v>733642.33</v>
      </c>
      <c r="BC13" s="750"/>
    </row>
    <row r="14" spans="1:55" ht="36.75" customHeight="1">
      <c r="C14" s="603" t="s">
        <v>95</v>
      </c>
      <c r="D14" s="604"/>
      <c r="E14" s="444" t="s">
        <v>116</v>
      </c>
      <c r="F14" s="577"/>
      <c r="G14" s="473">
        <f>+G7+G11</f>
        <v>5248989.2300000004</v>
      </c>
      <c r="H14" s="605">
        <f>+G14/G7</f>
        <v>0.84630451178420918</v>
      </c>
      <c r="J14" s="498">
        <f>+J7+J11</f>
        <v>0</v>
      </c>
      <c r="K14" s="531" t="str">
        <f t="shared" si="6"/>
        <v/>
      </c>
      <c r="L14" s="431"/>
      <c r="M14" s="498">
        <f>+M7+M11</f>
        <v>4140044.4466666668</v>
      </c>
      <c r="N14" s="516">
        <f t="shared" si="1"/>
        <v>0.26785818307486875</v>
      </c>
      <c r="O14" s="592"/>
      <c r="P14" s="606"/>
      <c r="Q14" s="607"/>
      <c r="R14" s="608"/>
      <c r="S14" s="607"/>
      <c r="T14" s="608"/>
      <c r="U14" s="607"/>
      <c r="V14" s="608"/>
      <c r="W14" s="607"/>
      <c r="X14" s="608"/>
      <c r="Y14" s="607"/>
      <c r="Z14" s="608"/>
      <c r="AA14" s="609"/>
      <c r="AB14" s="477">
        <f>+AB7+AB11</f>
        <v>15232217.690000001</v>
      </c>
      <c r="AC14" s="605">
        <f>AB14/AB7</f>
        <v>0.85342960672832591</v>
      </c>
      <c r="AD14" s="498">
        <f>AD7+AD11</f>
        <v>0</v>
      </c>
      <c r="AE14" s="519" t="str">
        <f t="shared" si="3"/>
        <v/>
      </c>
      <c r="AG14" s="498">
        <f>AG7+AG11</f>
        <v>12420133.340000002</v>
      </c>
      <c r="AH14" s="520">
        <f t="shared" si="4"/>
        <v>0.22641337842513043</v>
      </c>
      <c r="AJ14" s="599"/>
      <c r="AL14" s="435">
        <v>42613</v>
      </c>
      <c r="AM14" s="444" t="s">
        <v>116</v>
      </c>
      <c r="AN14" s="747"/>
      <c r="AO14" s="741">
        <f>AO8+AO9+AO10+AO11</f>
        <v>268006.25000000006</v>
      </c>
      <c r="AP14" s="741">
        <f t="shared" ref="AP14:AZ14" si="9">AP8+AP9+AP10+AP11</f>
        <v>268006.25000000006</v>
      </c>
      <c r="AQ14" s="741">
        <f t="shared" si="9"/>
        <v>268006.25000000006</v>
      </c>
      <c r="AR14" s="741">
        <f t="shared" si="9"/>
        <v>268006.25000000006</v>
      </c>
      <c r="AS14" s="741">
        <f t="shared" si="9"/>
        <v>268006.25000000006</v>
      </c>
      <c r="AT14" s="741">
        <f t="shared" si="9"/>
        <v>268006.25000000006</v>
      </c>
      <c r="AU14" s="741">
        <f t="shared" si="9"/>
        <v>268006.25000000006</v>
      </c>
      <c r="AV14" s="741">
        <f t="shared" si="9"/>
        <v>268006.25000000006</v>
      </c>
      <c r="AW14" s="741">
        <f t="shared" si="9"/>
        <v>268006.25000000006</v>
      </c>
      <c r="AX14" s="741">
        <f t="shared" si="9"/>
        <v>268006.25000000006</v>
      </c>
      <c r="AY14" s="741">
        <f t="shared" si="9"/>
        <v>268006.25000000006</v>
      </c>
      <c r="AZ14" s="741">
        <f t="shared" si="9"/>
        <v>268006.25000000006</v>
      </c>
      <c r="BB14" s="748">
        <f t="shared" si="5"/>
        <v>15232217.690000001</v>
      </c>
      <c r="BC14" s="752"/>
    </row>
    <row r="15" spans="1:55" ht="26.15" customHeight="1">
      <c r="C15" s="445" t="s">
        <v>142</v>
      </c>
      <c r="D15" s="610"/>
      <c r="E15" s="445" t="s">
        <v>143</v>
      </c>
      <c r="F15" s="577"/>
      <c r="G15" s="476">
        <f>SUM(G16:G20)</f>
        <v>-873766.52</v>
      </c>
      <c r="H15" s="591">
        <f>G15/G7</f>
        <v>-0.14087903703357138</v>
      </c>
      <c r="J15" s="496">
        <f>SUM(J16:J20)</f>
        <v>0</v>
      </c>
      <c r="K15" s="530" t="str">
        <f t="shared" si="6"/>
        <v/>
      </c>
      <c r="L15" s="431"/>
      <c r="M15" s="496">
        <f>SUM(M16:M20)</f>
        <v>-861136.13666666672</v>
      </c>
      <c r="N15" s="518">
        <f t="shared" si="1"/>
        <v>1.4667115680714186E-2</v>
      </c>
      <c r="O15" s="580"/>
      <c r="P15" s="611" t="s">
        <v>5</v>
      </c>
      <c r="Q15" s="594" t="e">
        <f t="shared" ref="Q15:Z15" si="10">SUM(Q16:Q20)</f>
        <v>#REF!</v>
      </c>
      <c r="R15" s="595" t="e">
        <f t="shared" si="10"/>
        <v>#REF!</v>
      </c>
      <c r="S15" s="594" t="e">
        <f t="shared" si="10"/>
        <v>#REF!</v>
      </c>
      <c r="T15" s="595" t="e">
        <f t="shared" si="10"/>
        <v>#REF!</v>
      </c>
      <c r="U15" s="594" t="e">
        <f t="shared" si="10"/>
        <v>#REF!</v>
      </c>
      <c r="V15" s="595" t="e">
        <f t="shared" si="10"/>
        <v>#REF!</v>
      </c>
      <c r="W15" s="594" t="e">
        <f t="shared" si="10"/>
        <v>#REF!</v>
      </c>
      <c r="X15" s="595" t="e">
        <f t="shared" si="10"/>
        <v>#REF!</v>
      </c>
      <c r="Y15" s="594" t="e">
        <f t="shared" si="10"/>
        <v>#REF!</v>
      </c>
      <c r="Z15" s="595" t="e">
        <f t="shared" si="10"/>
        <v>#REF!</v>
      </c>
      <c r="AA15" s="584" t="e">
        <f>+G15-Y15</f>
        <v>#REF!</v>
      </c>
      <c r="AB15" s="476">
        <f>SUM(AB16:AB20)</f>
        <v>-2747655.05</v>
      </c>
      <c r="AC15" s="591">
        <f>AB15/AB7</f>
        <v>-0.15394542124263708</v>
      </c>
      <c r="AD15" s="496">
        <f>SUM(AD16:AD20)</f>
        <v>0</v>
      </c>
      <c r="AE15" s="518" t="str">
        <f t="shared" si="3"/>
        <v/>
      </c>
      <c r="AG15" s="496">
        <f>SUM(AG16:AG20)</f>
        <v>-2583408.41</v>
      </c>
      <c r="AH15" s="518">
        <f t="shared" si="4"/>
        <v>6.3577496831017766E-2</v>
      </c>
      <c r="AJ15" s="599"/>
      <c r="AL15" s="435">
        <v>42643</v>
      </c>
      <c r="AM15" s="445" t="s">
        <v>143</v>
      </c>
      <c r="AN15" s="747"/>
      <c r="AO15" s="741">
        <f>-AO16-AO19</f>
        <v>-39501</v>
      </c>
      <c r="AP15" s="741">
        <f t="shared" ref="AP15:AZ15" si="11">-AP16-AP19</f>
        <v>-39501</v>
      </c>
      <c r="AQ15" s="741">
        <f t="shared" si="11"/>
        <v>-39501</v>
      </c>
      <c r="AR15" s="741">
        <f t="shared" si="11"/>
        <v>-39501</v>
      </c>
      <c r="AS15" s="741">
        <f t="shared" si="11"/>
        <v>-39501</v>
      </c>
      <c r="AT15" s="741">
        <f t="shared" si="11"/>
        <v>-39501</v>
      </c>
      <c r="AU15" s="741">
        <f t="shared" si="11"/>
        <v>-39501</v>
      </c>
      <c r="AV15" s="741">
        <f t="shared" si="11"/>
        <v>-39501</v>
      </c>
      <c r="AW15" s="741">
        <f t="shared" si="11"/>
        <v>-39501</v>
      </c>
      <c r="AX15" s="741">
        <f t="shared" si="11"/>
        <v>-39501</v>
      </c>
      <c r="AY15" s="741">
        <f t="shared" si="11"/>
        <v>-39501</v>
      </c>
      <c r="AZ15" s="741">
        <f t="shared" si="11"/>
        <v>-39501</v>
      </c>
      <c r="BB15" s="748">
        <f t="shared" si="5"/>
        <v>2747655.05</v>
      </c>
      <c r="BC15" s="752"/>
    </row>
    <row r="16" spans="1:55" ht="26.15" customHeight="1">
      <c r="B16" s="542">
        <v>628</v>
      </c>
      <c r="C16" s="446" t="s">
        <v>86</v>
      </c>
      <c r="D16" s="610"/>
      <c r="E16" s="446" t="s">
        <v>137</v>
      </c>
      <c r="F16" s="577"/>
      <c r="G16" s="475">
        <f>-1128760.27-G13</f>
        <v>-873766.52</v>
      </c>
      <c r="H16" s="578">
        <f>G16/G7</f>
        <v>-0.14087903703357138</v>
      </c>
      <c r="J16" s="495">
        <f>-SUMIF($AO$7:$AZ$7,$G$6,AO16:AZ16)</f>
        <v>0</v>
      </c>
      <c r="K16" s="532" t="str">
        <f t="shared" si="6"/>
        <v/>
      </c>
      <c r="L16" s="431"/>
      <c r="M16" s="579">
        <f>AG16/3</f>
        <v>-851656.01666666672</v>
      </c>
      <c r="N16" s="517">
        <f t="shared" si="1"/>
        <v>2.5961776704017839E-2</v>
      </c>
      <c r="O16" s="580"/>
      <c r="P16" s="612" t="s">
        <v>6</v>
      </c>
      <c r="Q16" s="582" t="e">
        <f>+#REF!+'31 dec 2016 BIOLAM'!AT13+'31 dec 2016 BIOLAM'!AT14+'31 dec 2016 BIOLAM'!AT15</f>
        <v>#REF!</v>
      </c>
      <c r="R16" s="583" t="e">
        <f>Q16/Q$7</f>
        <v>#REF!</v>
      </c>
      <c r="S16" s="582" t="e">
        <f>+'31 dec 2016 BIOLAM'!AV13+#REF!+'31 dec 2016 BIOLAM'!AV14+'31 dec 2016 BIOLAM'!AV15</f>
        <v>#REF!</v>
      </c>
      <c r="T16" s="583" t="e">
        <f>S16/S$7</f>
        <v>#REF!</v>
      </c>
      <c r="U16" s="582" t="e">
        <f>+'31 dec 2016 BIOLAM'!AX13+#REF!+'31 dec 2016 BIOLAM'!AX14+'31 dec 2016 BIOLAM'!AX15</f>
        <v>#REF!</v>
      </c>
      <c r="V16" s="583" t="e">
        <f>U16/U$7</f>
        <v>#REF!</v>
      </c>
      <c r="W16" s="582" t="e">
        <f>+'31 dec 2016 BIOLAM'!AZ13+#REF!+'31 dec 2016 BIOLAM'!AZ14+'31 dec 2016 BIOLAM'!AZ15</f>
        <v>#REF!</v>
      </c>
      <c r="X16" s="583" t="e">
        <f>W16/W$7</f>
        <v>#REF!</v>
      </c>
      <c r="Y16" s="582" t="e">
        <f>+W16+U16+S16+Q16</f>
        <v>#REF!</v>
      </c>
      <c r="Z16" s="583" t="e">
        <f>Y16/Y$7</f>
        <v>#REF!</v>
      </c>
      <c r="AA16" s="584" t="e">
        <f>+G16-Y16</f>
        <v>#REF!</v>
      </c>
      <c r="AB16" s="475">
        <f>-3481297.38-AB13-AB18</f>
        <v>-2710746.52</v>
      </c>
      <c r="AC16" s="578">
        <f>AB16/AB7</f>
        <v>-0.1518775127552538</v>
      </c>
      <c r="AD16" s="495">
        <f>-SUMIF($AO$7:$AZ$7,"&lt;="&amp;$AC$6,AO16:AZ16)</f>
        <v>0</v>
      </c>
      <c r="AE16" s="517" t="str">
        <f t="shared" si="3"/>
        <v/>
      </c>
      <c r="AG16" s="579">
        <f>-1432637.94-1150770.47-AG18</f>
        <v>-2554968.0500000003</v>
      </c>
      <c r="AH16" s="517">
        <f t="shared" si="4"/>
        <v>6.0970809400140921E-2</v>
      </c>
      <c r="AL16" s="435">
        <v>42674</v>
      </c>
      <c r="AM16" s="446" t="s">
        <v>137</v>
      </c>
      <c r="AN16" s="747"/>
      <c r="AO16" s="431">
        <f>IF($AO$7=$AL$7,'[4]1 trim 2016 BIOGROUP'!$AC$13/3,IF($AO$7=$AL$8,'[4]1 trim 2016 BIOGROUP'!$AC$13/3,IF($AO$7=$AL$9,'[4]1 trim 2016 BIOGROUP'!$AC$13/3,IF($AO$7=$AL$10,'[4]2 trim 2016 BIOGROUP'!$AC$13/3,IF($AO$7=$AL$11,'[4]2 trim 2016 BIOGROUP'!$AC$13/3,IF($AO$7=$AL$12,'[4]2 trim 2016 BIOGROUP'!$AC$13/3,""))))))</f>
        <v>39501</v>
      </c>
      <c r="AP16" s="431">
        <f>IF($AP$7=$AL$7,'[4]1 trim 2016 BIOGROUP'!$AC$13/3,IF($AP$7=$AL$8,'[4]1 trim 2016 BIOGROUP'!$AC$13/3,IF($AP$7=$AL$9,'[4]1 trim 2016 BIOGROUP'!$AC$13/3,IF($AP$7=$AL$10,'[4]2 trim 2016 BIOGROUP'!$AC$13/3,IF($AP$7=$AL$11,'[4]2 trim 2016 BIOGROUP'!$AC$13/3,IF($AP$7=$AL$12,'[4]2 trim 2016 BIOGROUP'!$AC$13/3,""))))))</f>
        <v>39501</v>
      </c>
      <c r="AQ16" s="431">
        <f>IF($AQ$7=$AL$7,'[4]1 trim 2016 BIOGROUP'!$AC$13/3,IF($AQ$7=$AL$8,'[4]1 trim 2016 BIOGROUP'!$AC$13/3,IF($AQ$7=$AL$9,'[4]1 trim 2016 BIOGROUP'!$AC$13/3,IF($AQ$7=$AL$10,'[4]2 trim 2016 BIOGROUP'!$AC$13/3,IF($AQ$7=$AL$11,'[4]2 trim 2016 BIOGROUP'!$AC$13/3,IF($AQ$7=$AL$12,'[4]2 trim 2016 BIOGROUP'!$AC$13/3,""))))))</f>
        <v>39501</v>
      </c>
      <c r="AR16" s="431">
        <f>IF($AR$7=$AL$7,'[4]1 trim 2016 BIOGROUP'!$AC$13/3,IF($AR$7=$AL$8,'[4]1 trim 2016 BIOGROUP'!$AC$13/3,IF($AR$7=$AL$9,'[4]1 trim 2016 BIOGROUP'!$AC$13/3,IF($AR$7=$AL$10,'[4]2 trim 2016 BIOGROUP'!$AC$13/3,IF($AR$7=$AL$11,'[4]2 trim 2016 BIOGROUP'!$AC$13/3,IF($AR$7=$AL$12,'[4]2 trim 2016 BIOGROUP'!$AC$13/3,""))))))</f>
        <v>39501</v>
      </c>
      <c r="AS16" s="431">
        <f>IF($AS$7=$AL$7,'[4]1 trim 2016 BIOGROUP'!$AC$13/3,IF($AS$7=$AL$8,'[4]1 trim 2016 BIOGROUP'!$AC$13/3,IF($AS$7=$AL$9,'[4]1 trim 2016 BIOGROUP'!$AC$13/3,IF($AS$7=$AL$10,'[4]2 trim 2016 BIOGROUP'!$AC$13/3,IF($AS$7=$AL$11,'[4]2 trim 2016 BIOGROUP'!$AC$13/3,IF($AS$7=$AL$12,'[4]2 trim 2016 BIOGROUP'!$AC$13/3,""))))))</f>
        <v>39501</v>
      </c>
      <c r="AT16" s="431">
        <f>IF($AT$7=$AL$7,'[4]1 trim 2016 BIOGROUP'!$AC$13/3,IF($AT$7=$AL$8,'[4]1 trim 2016 BIOGROUP'!$AC$13/3,IF($AT$7=$AL$9,'[4]1 trim 2016 BIOGROUP'!$AC$13/3,IF($AT$7=$AL$10,'[4]2 trim 2016 BIOGROUP'!$AC$13/3,IF($AT$7=$AL$11,'[4]2 trim 2016 BIOGROUP'!$AC$13/3,IF($AT$7=$AL$12,'[4]2 trim 2016 BIOGROUP'!$AC$13/3,""))))))</f>
        <v>39501</v>
      </c>
      <c r="AU16" s="431">
        <f>IF($AU$7=$AL$13,'[4]3 trim 2016 BIOGROUP'!$AC$13/3,IF($AU$7=$AL$14,'[4]3 trim 2016 BIOGROUP'!$AC$13/3,IF($AU$7=$AL$15,'[4]3 trim 2016 BIOGROUP'!$AC$13/3,IF($AU$7=$AL$16,'[4]4 trim 2016 BIOGROUP'!$AC$13/3,IF($AU$7=$AL$18,'[4]4 trim 2016 BIOGROUP'!$AC$13/3,IF($AU$7=$AL$19,'[4]4 trim 2016 BIOGROUP'!$AC$13/3,""))))))</f>
        <v>39501</v>
      </c>
      <c r="AV16" s="431">
        <f>IF($AV$7=$AL$13,'[4]3 trim 2016 BIOGROUP'!$AC$13/3,IF($AV$7=$AL$14,'[4]3 trim 2016 BIOGROUP'!$AC$13/3,IF($AV$7=$AL$15,'[4]3 trim 2016 BIOGROUP'!$AC$13/3,IF($AV$7=$AL$16,'[4]4 trim 2016 BIOGROUP'!$AC$13/3,IF($AV$7=$AL$18,'[4]4 trim 2016 BIOGROUP'!$AC$13/3,IF($AV$7=$AL$19,'[4]4 trim 2016 BIOGROUP'!$AC$13/3,""))))))</f>
        <v>39501</v>
      </c>
      <c r="AW16" s="431">
        <f>IF($AW$7=$AL$13,'[4]3 trim 2016 BIOGROUP'!$AC$13/3,IF($AW$7=$AL$14,'[4]3 trim 2016 BIOGROUP'!$AC$13/3,IF($AW$7=$AL$15,'[4]3 trim 2016 BIOGROUP'!$AC$13/3,IF($AW$7=$AL$16,'[4]4 trim 2016 BIOGROUP'!$AC$13/3,IF($AW$7=$AL$18,'[4]4 trim 2016 BIOGROUP'!$AC$13/3,IF($AW$7=$AL$19,'[4]4 trim 2016 BIOGROUP'!$AC$13/3,""))))))</f>
        <v>39501</v>
      </c>
      <c r="AX16" s="431">
        <f>IF($AX$7=$AL$13,'[4]3 trim 2016 BIOGROUP'!$AC$13/3,IF($AX$7=$AL$14,'[4]3 trim 2016 BIOGROUP'!$AC$13/3,IF($AX$7=$AL$15,'[4]3 trim 2016 BIOGROUP'!$AC$13/3,IF($AX$7=$AL$16,'[4]4 trim 2016 BIOGROUP'!$AC$13/3,IF($AX$7=$AL$18,'[4]4 trim 2016 BIOGROUP'!$AC$13/3,IF($AX$7=$AL$19,'[4]4 trim 2016 BIOGROUP'!$AC$13/3,""))))))</f>
        <v>39501</v>
      </c>
      <c r="AY16" s="431">
        <f>IF($AY$7=$AL$13,'[4]3 trim 2016 BIOGROUP'!$AC$13/3,IF($AY$7=$AL$14,'[4]3 trim 2016 BIOGROUP'!$AC$13/3,IF($AY$7=$AL$15,'[4]3 trim 2016 BIOGROUP'!$AC$13/3,IF($AY$7=$AL$16,'[4]4 trim 2016 BIOGROUP'!$AC$13/3,IF($AY$7=$AL$18,'[4]4 trim 2016 BIOGROUP'!$AC$13/3,IF($AY$7=$AL$19,'[4]4 trim 2016 BIOGROUP'!$AC$13/3,""))))))</f>
        <v>39501</v>
      </c>
      <c r="AZ16" s="431">
        <f>IF($AZ$7=$AL$13,'[4]3 trim 2016 BIOGROUP'!$AC$13/3,IF($AZ$7=$AL$14,'[4]3 trim 2016 BIOGROUP'!$AC$13/3,IF($AZ$7=$AL$15,'[4]3 trim 2016 BIOGROUP'!$AC$13/3,IF($AZ$7=$AL$16,'[4]4 trim 2016 BIOGROUP'!$AC$13/3,IF($AZ$7=$AL$18,'[4]4 trim 2016 BIOGROUP'!$AC$13/3,IF($AZ$7=$AL$19,'[4]4 trim 2016 BIOGROUP'!$AC$13/3,""))))))</f>
        <v>39501</v>
      </c>
      <c r="BB16" s="511">
        <f t="shared" si="5"/>
        <v>2710746.52</v>
      </c>
      <c r="BC16" s="750"/>
    </row>
    <row r="17" spans="1:55" ht="26.15" hidden="1" customHeight="1">
      <c r="C17" s="446" t="s">
        <v>136</v>
      </c>
      <c r="D17" s="610"/>
      <c r="E17" s="446" t="s">
        <v>123</v>
      </c>
      <c r="F17" s="577"/>
      <c r="G17" s="475"/>
      <c r="H17" s="578"/>
      <c r="J17" s="495"/>
      <c r="K17" s="532" t="str">
        <f t="shared" si="6"/>
        <v/>
      </c>
      <c r="L17" s="431"/>
      <c r="M17" s="579"/>
      <c r="N17" s="517" t="str">
        <f t="shared" si="1"/>
        <v/>
      </c>
      <c r="O17" s="580"/>
      <c r="P17" s="612"/>
      <c r="Q17" s="582"/>
      <c r="R17" s="583"/>
      <c r="S17" s="582"/>
      <c r="T17" s="583"/>
      <c r="U17" s="582"/>
      <c r="V17" s="583"/>
      <c r="W17" s="582"/>
      <c r="X17" s="583"/>
      <c r="Y17" s="582"/>
      <c r="Z17" s="583"/>
      <c r="AA17" s="584"/>
      <c r="AB17" s="475"/>
      <c r="AC17" s="578"/>
      <c r="AD17" s="495"/>
      <c r="AE17" s="517" t="str">
        <f t="shared" si="3"/>
        <v/>
      </c>
      <c r="AG17" s="579"/>
      <c r="AH17" s="517" t="str">
        <f t="shared" si="4"/>
        <v/>
      </c>
      <c r="AL17" s="435"/>
      <c r="AM17" s="446" t="s">
        <v>123</v>
      </c>
      <c r="AN17" s="747"/>
      <c r="AO17" s="431">
        <f>IF($AO$7=$AL$7,'[4]1 trim 2016 BIOGROUP'!$AC$13/3,IF($AO$7=$AL$8,'[4]1 trim 2016 BIOGROUP'!$AC$13/3,IF($AO$7=$AL$9,'[4]1 trim 2016 BIOGROUP'!$AC$13/3,IF($AO$7=$AL$10,'[4]2 trim 2016 BIOGROUP'!$AC$13/3,IF($AO$7=$AL$11,'[4]2 trim 2016 BIOGROUP'!$AC$13/3,IF($AO$7=$AL$12,'[4]2 trim 2016 BIOGROUP'!$AC$13/3,""))))))</f>
        <v>39501</v>
      </c>
      <c r="AP17" s="431">
        <f>IF($AP$7=$AL$7,'[4]1 trim 2016 BIOGROUP'!$AC$13/3,IF($AP$7=$AL$8,'[4]1 trim 2016 BIOGROUP'!$AC$13/3,IF($AP$7=$AL$9,'[4]1 trim 2016 BIOGROUP'!$AC$13/3,IF($AP$7=$AL$10,'[4]2 trim 2016 BIOGROUP'!$AC$13/3,IF($AP$7=$AL$11,'[4]2 trim 2016 BIOGROUP'!$AC$13/3,IF($AP$7=$AL$12,'[4]2 trim 2016 BIOGROUP'!$AC$13/3,""))))))</f>
        <v>39501</v>
      </c>
      <c r="AQ17" s="431">
        <f>IF($AQ$7=$AL$7,'[4]1 trim 2016 BIOGROUP'!$AC$13/3,IF($AQ$7=$AL$8,'[4]1 trim 2016 BIOGROUP'!$AC$13/3,IF($AQ$7=$AL$9,'[4]1 trim 2016 BIOGROUP'!$AC$13/3,IF($AQ$7=$AL$10,'[4]2 trim 2016 BIOGROUP'!$AC$13/3,IF($AQ$7=$AL$11,'[4]2 trim 2016 BIOGROUP'!$AC$13/3,IF($AQ$7=$AL$12,'[4]2 trim 2016 BIOGROUP'!$AC$13/3,""))))))</f>
        <v>39501</v>
      </c>
      <c r="AR17" s="431">
        <f>IF($AR$7=$AL$7,'[4]1 trim 2016 BIOGROUP'!$AC$13/3,IF($AR$7=$AL$8,'[4]1 trim 2016 BIOGROUP'!$AC$13/3,IF($AR$7=$AL$9,'[4]1 trim 2016 BIOGROUP'!$AC$13/3,IF($AR$7=$AL$10,'[4]2 trim 2016 BIOGROUP'!$AC$13/3,IF($AR$7=$AL$11,'[4]2 trim 2016 BIOGROUP'!$AC$13/3,IF($AR$7=$AL$12,'[4]2 trim 2016 BIOGROUP'!$AC$13/3,""))))))</f>
        <v>39501</v>
      </c>
      <c r="AS17" s="431">
        <f>IF($AS$7=$AL$7,'[4]1 trim 2016 BIOGROUP'!$AC$13/3,IF($AS$7=$AL$8,'[4]1 trim 2016 BIOGROUP'!$AC$13/3,IF($AS$7=$AL$9,'[4]1 trim 2016 BIOGROUP'!$AC$13/3,IF($AS$7=$AL$10,'[4]2 trim 2016 BIOGROUP'!$AC$13/3,IF($AS$7=$AL$11,'[4]2 trim 2016 BIOGROUP'!$AC$13/3,IF($AS$7=$AL$12,'[4]2 trim 2016 BIOGROUP'!$AC$13/3,""))))))</f>
        <v>39501</v>
      </c>
      <c r="AT17" s="431">
        <f>IF($AT$7=$AL$7,'[4]1 trim 2016 BIOGROUP'!$AC$13/3,IF($AT$7=$AL$8,'[4]1 trim 2016 BIOGROUP'!$AC$13/3,IF($AT$7=$AL$9,'[4]1 trim 2016 BIOGROUP'!$AC$13/3,IF($AT$7=$AL$10,'[4]2 trim 2016 BIOGROUP'!$AC$13/3,IF($AT$7=$AL$11,'[4]2 trim 2016 BIOGROUP'!$AC$13/3,IF($AT$7=$AL$12,'[4]2 trim 2016 BIOGROUP'!$AC$13/3,""))))))</f>
        <v>39501</v>
      </c>
      <c r="AU17" s="431">
        <f>IF($AU$7=$AL$13,'[4]3 trim 2016 BIOGROUP'!$AC$13/3,IF($AU$7=$AL$14,'[4]3 trim 2016 BIOGROUP'!$AC$13/3,IF($AU$7=$AL$15,'[4]3 trim 2016 BIOGROUP'!$AC$13/3,IF($AU$7=$AL$16,'[4]4 trim 2016 BIOGROUP'!$AC$13/3,IF($AU$7=$AL$18,'[4]4 trim 2016 BIOGROUP'!$AC$13/3,IF($AU$7=$AL$19,'[4]4 trim 2016 BIOGROUP'!$AC$13/3,""))))))</f>
        <v>39501</v>
      </c>
      <c r="AV17" s="431">
        <f>IF($AV$7=$AL$13,'[4]3 trim 2016 BIOGROUP'!$AC$13/3,IF($AV$7=$AL$14,'[4]3 trim 2016 BIOGROUP'!$AC$13/3,IF($AV$7=$AL$15,'[4]3 trim 2016 BIOGROUP'!$AC$13/3,IF($AV$7=$AL$16,'[4]4 trim 2016 BIOGROUP'!$AC$13/3,IF($AV$7=$AL$18,'[4]4 trim 2016 BIOGROUP'!$AC$13/3,IF($AV$7=$AL$19,'[4]4 trim 2016 BIOGROUP'!$AC$13/3,""))))))</f>
        <v>39501</v>
      </c>
      <c r="AW17" s="431">
        <f>IF($AW$7=$AL$13,'[4]3 trim 2016 BIOGROUP'!$AC$13/3,IF($AW$7=$AL$14,'[4]3 trim 2016 BIOGROUP'!$AC$13/3,IF($AW$7=$AL$15,'[4]3 trim 2016 BIOGROUP'!$AC$13/3,IF($AW$7=$AL$16,'[4]4 trim 2016 BIOGROUP'!$AC$13/3,IF($AW$7=$AL$18,'[4]4 trim 2016 BIOGROUP'!$AC$13/3,IF($AW$7=$AL$19,'[4]4 trim 2016 BIOGROUP'!$AC$13/3,""))))))</f>
        <v>39501</v>
      </c>
      <c r="AX17" s="431">
        <f>IF($AX$7=$AL$13,'[4]3 trim 2016 BIOGROUP'!$AC$13/3,IF($AX$7=$AL$14,'[4]3 trim 2016 BIOGROUP'!$AC$13/3,IF($AX$7=$AL$15,'[4]3 trim 2016 BIOGROUP'!$AC$13/3,IF($AX$7=$AL$16,'[4]4 trim 2016 BIOGROUP'!$AC$13/3,IF($AX$7=$AL$18,'[4]4 trim 2016 BIOGROUP'!$AC$13/3,IF($AX$7=$AL$19,'[4]4 trim 2016 BIOGROUP'!$AC$13/3,""))))))</f>
        <v>39501</v>
      </c>
      <c r="AY17" s="431">
        <f>IF($AY$7=$AL$13,'[4]3 trim 2016 BIOGROUP'!$AC$13/3,IF($AY$7=$AL$14,'[4]3 trim 2016 BIOGROUP'!$AC$13/3,IF($AY$7=$AL$15,'[4]3 trim 2016 BIOGROUP'!$AC$13/3,IF($AY$7=$AL$16,'[4]4 trim 2016 BIOGROUP'!$AC$13/3,IF($AY$7=$AL$18,'[4]4 trim 2016 BIOGROUP'!$AC$13/3,IF($AY$7=$AL$19,'[4]4 trim 2016 BIOGROUP'!$AC$13/3,""))))))</f>
        <v>39501</v>
      </c>
      <c r="AZ17" s="431">
        <f>IF($AZ$7=$AL$13,'[4]3 trim 2016 BIOGROUP'!$AC$13/3,IF($AZ$7=$AL$14,'[4]3 trim 2016 BIOGROUP'!$AC$13/3,IF($AZ$7=$AL$15,'[4]3 trim 2016 BIOGROUP'!$AC$13/3,IF($AZ$7=$AL$16,'[4]4 trim 2016 BIOGROUP'!$AC$13/3,IF($AZ$7=$AL$18,'[4]4 trim 2016 BIOGROUP'!$AC$13/3,IF($AZ$7=$AL$19,'[4]4 trim 2016 BIOGROUP'!$AC$13/3,""))))))</f>
        <v>39501</v>
      </c>
      <c r="BB17" s="511">
        <f t="shared" si="5"/>
        <v>0</v>
      </c>
      <c r="BC17" s="750"/>
    </row>
    <row r="18" spans="1:55" ht="20.25" customHeight="1">
      <c r="C18" s="446" t="s">
        <v>156</v>
      </c>
      <c r="D18" s="610"/>
      <c r="E18" s="446" t="s">
        <v>155</v>
      </c>
      <c r="F18" s="577"/>
      <c r="G18" s="475">
        <v>0</v>
      </c>
      <c r="H18" s="578">
        <f>G18/G7</f>
        <v>0</v>
      </c>
      <c r="J18" s="499">
        <v>0</v>
      </c>
      <c r="K18" s="532" t="str">
        <f t="shared" si="6"/>
        <v/>
      </c>
      <c r="L18" s="431"/>
      <c r="M18" s="579">
        <f>AG18/3</f>
        <v>-9480.119999999999</v>
      </c>
      <c r="N18" s="517">
        <f t="shared" si="1"/>
        <v>-1</v>
      </c>
      <c r="O18" s="580"/>
      <c r="P18" s="612"/>
      <c r="Q18" s="582"/>
      <c r="R18" s="583"/>
      <c r="S18" s="582"/>
      <c r="T18" s="583"/>
      <c r="U18" s="582"/>
      <c r="V18" s="583"/>
      <c r="W18" s="582"/>
      <c r="X18" s="583"/>
      <c r="Y18" s="582"/>
      <c r="Z18" s="583"/>
      <c r="AA18" s="584"/>
      <c r="AB18" s="475">
        <f>-31988.96-4919.57</f>
        <v>-36908.53</v>
      </c>
      <c r="AC18" s="578">
        <f>AB18/AB7</f>
        <v>-2.0679084873832716E-3</v>
      </c>
      <c r="AD18" s="499">
        <v>0</v>
      </c>
      <c r="AE18" s="517" t="str">
        <f t="shared" si="3"/>
        <v/>
      </c>
      <c r="AG18" s="579">
        <f>-16844.51-3229.36-1241.57-5977.71-1147.21</f>
        <v>-28440.359999999997</v>
      </c>
      <c r="AH18" s="517">
        <f t="shared" si="4"/>
        <v>0.29775185686819727</v>
      </c>
      <c r="AL18" s="435">
        <v>42704</v>
      </c>
      <c r="AM18" s="446" t="s">
        <v>155</v>
      </c>
      <c r="AN18" s="747"/>
      <c r="BB18" s="511">
        <f t="shared" si="5"/>
        <v>36908.53</v>
      </c>
      <c r="BC18" s="750"/>
    </row>
    <row r="19" spans="1:55" ht="26.15" customHeight="1">
      <c r="C19" s="446" t="s">
        <v>60</v>
      </c>
      <c r="D19" s="613"/>
      <c r="E19" s="446" t="s">
        <v>60</v>
      </c>
      <c r="F19" s="577"/>
      <c r="G19" s="475">
        <v>0</v>
      </c>
      <c r="H19" s="578">
        <f>G19/G7</f>
        <v>0</v>
      </c>
      <c r="J19" s="499">
        <v>0</v>
      </c>
      <c r="K19" s="532" t="str">
        <f t="shared" si="6"/>
        <v/>
      </c>
      <c r="L19" s="431"/>
      <c r="M19" s="579">
        <v>0</v>
      </c>
      <c r="N19" s="517" t="str">
        <f t="shared" si="1"/>
        <v/>
      </c>
      <c r="O19" s="580"/>
      <c r="P19" s="614" t="s">
        <v>60</v>
      </c>
      <c r="Q19" s="582" t="e">
        <f>+#REF!</f>
        <v>#REF!</v>
      </c>
      <c r="R19" s="583" t="e">
        <f>Q19/Q$7</f>
        <v>#REF!</v>
      </c>
      <c r="S19" s="582" t="e">
        <f>+#REF!</f>
        <v>#REF!</v>
      </c>
      <c r="T19" s="583" t="e">
        <f>S19/S$7</f>
        <v>#REF!</v>
      </c>
      <c r="U19" s="582" t="e">
        <f>+#REF!</f>
        <v>#REF!</v>
      </c>
      <c r="V19" s="583" t="e">
        <f>U19/U$7</f>
        <v>#REF!</v>
      </c>
      <c r="W19" s="582" t="e">
        <f>+#REF!</f>
        <v>#REF!</v>
      </c>
      <c r="X19" s="583" t="e">
        <f>W19/W$7</f>
        <v>#REF!</v>
      </c>
      <c r="Y19" s="582" t="e">
        <f>+W19+U19+S19+Q19</f>
        <v>#REF!</v>
      </c>
      <c r="Z19" s="583" t="e">
        <f>Y19/Y$7</f>
        <v>#REF!</v>
      </c>
      <c r="AA19" s="584" t="e">
        <f t="shared" ref="AA19:AA27" si="12">+G19-Y19</f>
        <v>#REF!</v>
      </c>
      <c r="AB19" s="475">
        <v>0</v>
      </c>
      <c r="AC19" s="578">
        <f>AB19/AB7</f>
        <v>0</v>
      </c>
      <c r="AD19" s="499">
        <v>0</v>
      </c>
      <c r="AE19" s="517" t="str">
        <f t="shared" si="3"/>
        <v/>
      </c>
      <c r="AG19" s="579">
        <v>0</v>
      </c>
      <c r="AH19" s="517" t="str">
        <f t="shared" si="4"/>
        <v/>
      </c>
      <c r="AL19" s="435">
        <v>42735</v>
      </c>
      <c r="AM19" s="446" t="s">
        <v>60</v>
      </c>
      <c r="AN19" s="747"/>
      <c r="AO19" s="431">
        <f>IF($AO$7=$AL$7,'[4]1 trim 2016 BIOGROUP'!$AC$14/3,IF($AO$7=$AL$8,'[4]1 trim 2016 BIOGROUP'!$AC$14/3,IF($AO$7=$AL$9,'[4]1 trim 2016 BIOGROUP'!$AC$14/3,IF($AO$7=$AL$10,'[4]2 trim 2016 BIOGROUP'!$AC$14/3,IF($AO$7=$AL$11,'[4]2 trim 2016 BIOGROUP'!$AC$14/3,IF($AO$7=$AL$12,'[4]2 trim 2016 BIOGROUP'!$AC$14/3,""))))))</f>
        <v>0</v>
      </c>
      <c r="AP19" s="431">
        <f>IF($AP$7=$AL$7,'[4]1 trim 2016 BIOGROUP'!$AC$14/3,IF($AP$7=$AL$8,'[4]1 trim 2016 BIOGROUP'!$AC$14/3,IF($AP$7=$AL$9,'[4]1 trim 2016 BIOGROUP'!$AC$14/3,IF($AP$7=$AL$10,'[4]2 trim 2016 BIOGROUP'!$AC$14/3,IF($AP$7=$AL$11,'[4]2 trim 2016 BIOGROUP'!$AC$14/3,IF($AP$7=$AL$12,'[4]2 trim 2016 BIOGROUP'!$AC$14/3,""))))))</f>
        <v>0</v>
      </c>
      <c r="AQ19" s="431">
        <f>IF($AQ$7=$AL$7,'[4]1 trim 2016 BIOGROUP'!$AC$14/3,IF($AQ$7=$AL$8,'[4]1 trim 2016 BIOGROUP'!$AC$14/3,IF($AQ$7=$AL$9,'[4]1 trim 2016 BIOGROUP'!$AC$14/3,IF($AQ$7=$AL$10,'[4]2 trim 2016 BIOGROUP'!$AC$14/3,IF($AQ$7=$AL$11,'[4]2 trim 2016 BIOGROUP'!$AC$14/3,IF($AQ$7=$AL$12,'[4]2 trim 2016 BIOGROUP'!$AC$14/3,""))))))</f>
        <v>0</v>
      </c>
      <c r="AR19" s="431">
        <f>IF($AR$7=$AL$7,'[4]1 trim 2016 BIOGROUP'!$AC$14/3,IF($AR$7=$AL$8,'[4]1 trim 2016 BIOGROUP'!$AC$14/3,IF($AR$7=$AL$9,'[4]1 trim 2016 BIOGROUP'!$AC$14/3,IF($AR$7=$AL$10,'[4]2 trim 2016 BIOGROUP'!$AC$14/3,IF($AR$7=$AL$11,'[4]2 trim 2016 BIOGROUP'!$AC$14/3,IF($AR$7=$AL$12,'[4]2 trim 2016 BIOGROUP'!$AC$14/3,""))))))</f>
        <v>0</v>
      </c>
      <c r="AS19" s="431">
        <f>IF($AS$7=$AL$7,'[4]1 trim 2016 BIOGROUP'!$AC$14/3,IF($AS$7=$AL$8,'[4]1 trim 2016 BIOGROUP'!$AC$14/3,IF($AS$7=$AL$9,'[4]1 trim 2016 BIOGROUP'!$AC$14/3,IF($AS$7=$AL$10,'[4]2 trim 2016 BIOGROUP'!$AC$14/3,IF($AS$7=$AL$11,'[4]2 trim 2016 BIOGROUP'!$AC$14/3,IF($AS$7=$AL$12,'[4]2 trim 2016 BIOGROUP'!$AC$14/3,""))))))</f>
        <v>0</v>
      </c>
      <c r="AT19" s="431">
        <f>IF($AT$7=$AL$7,'[4]1 trim 2016 BIOGROUP'!$AC$14/3,IF($AT$7=$AL$8,'[4]1 trim 2016 BIOGROUP'!$AC$14/3,IF($AT$7=$AL$9,'[4]1 trim 2016 BIOGROUP'!$AC$14/3,IF($AT$7=$AL$10,'[4]2 trim 2016 BIOGROUP'!$AC$14/3,IF($AT$7=$AL$11,'[4]2 trim 2016 BIOGROUP'!$AC$14/3,IF($AT$7=$AL$12,'[4]2 trim 2016 BIOGROUP'!$AC$14/3,""))))))</f>
        <v>0</v>
      </c>
      <c r="AU19" s="431">
        <f>IF($AU$7=$AL$13,'[4]3 trim 2016 BIOGROUP'!$AC$14/3,IF($AU$7=$AL$14,'[4]3 trim 2016 BIOGROUP'!$AC$14/3,IF($AU$7=$AL$15,'[4]3 trim 2016 BIOGROUP'!$AC$14/3,IF($AU$7=$AL$16,'[4]4 trim 2016 BIOGROUP'!$AC$14/3,IF($AU$7=$AL$18,'[4]4 trim 2016 BIOGROUP'!$AC$14/3,IF($AU$7=$AL$19,'[4]4 trim 2016 BIOGROUP'!$AC$14/3,""))))))</f>
        <v>0</v>
      </c>
      <c r="AV19" s="431">
        <f>IF($AV$7=$AL$13,'[4]3 trim 2016 BIOGROUP'!$AC$14/3,IF($AV$7=$AL$14,'[4]3 trim 2016 BIOGROUP'!$AC$14/3,IF($AV$7=$AL$15,'[4]3 trim 2016 BIOGROUP'!$AC$14/3,IF($AV$7=$AL$16,'[4]4 trim 2016 BIOGROUP'!$AC$14/3,IF($AV$7=$AL$18,'[4]4 trim 2016 BIOGROUP'!$AC$14/3,IF($AV$7=$AL$19,'[4]4 trim 2016 BIOGROUP'!$AC$14/3,""))))))</f>
        <v>0</v>
      </c>
      <c r="AW19" s="431">
        <f>IF($AW$7=$AL$13,'[4]3 trim 2016 BIOGROUP'!$AC$14/3,IF($AW$7=$AL$14,'[4]3 trim 2016 BIOGROUP'!$AC$14/3,IF($AW$7=$AL$15,'[4]3 trim 2016 BIOGROUP'!$AC$14/3,IF($AW$7=$AL$16,'[4]4 trim 2016 BIOGROUP'!$AC$14/3,IF($AW$7=$AL$18,'[4]4 trim 2016 BIOGROUP'!$AC$14/3,IF($AW$7=$AL$19,'[4]4 trim 2016 BIOGROUP'!$AC$14/3,""))))))</f>
        <v>0</v>
      </c>
      <c r="AX19" s="431">
        <f>IF($AX$7=$AL$13,'[4]3 trim 2016 BIOGROUP'!$AC$14/3,IF($AX$7=$AL$14,'[4]3 trim 2016 BIOGROUP'!$AC$14/3,IF($AX$7=$AL$15,'[4]3 trim 2016 BIOGROUP'!$AC$14/3,IF($AX$7=$AL$16,'[4]4 trim 2016 BIOGROUP'!$AC$14/3,IF($AX$7=$AL$18,'[4]4 trim 2016 BIOGROUP'!$AC$14/3,IF($AX$7=$AL$19,'[4]4 trim 2016 BIOGROUP'!$AC$14/3,""))))))</f>
        <v>0</v>
      </c>
      <c r="AY19" s="431">
        <f>IF($AY$7=$AL$13,'[4]3 trim 2016 BIOGROUP'!$AC$14/3,IF($AY$7=$AL$14,'[4]3 trim 2016 BIOGROUP'!$AC$14/3,IF($AY$7=$AL$15,'[4]3 trim 2016 BIOGROUP'!$AC$14/3,IF($AY$7=$AL$16,'[4]4 trim 2016 BIOGROUP'!$AC$14/3,IF($AY$7=$AL$18,'[4]4 trim 2016 BIOGROUP'!$AC$14/3,IF($AY$7=$AL$19,'[4]4 trim 2016 BIOGROUP'!$AC$14/3,""))))))</f>
        <v>0</v>
      </c>
      <c r="AZ19" s="431">
        <f>IF($AZ$7=$AL$13,'[4]3 trim 2016 BIOGROUP'!$AC$14/3,IF($AZ$7=$AL$14,'[4]3 trim 2016 BIOGROUP'!$AC$14/3,IF($AZ$7=$AL$15,'[4]3 trim 2016 BIOGROUP'!$AC$14/3,IF($AZ$7=$AL$16,'[4]4 trim 2016 BIOGROUP'!$AC$14/3,IF($AZ$7=$AL$18,'[4]4 trim 2016 BIOGROUP'!$AC$14/3,IF($AZ$7=$AL$19,'[4]4 trim 2016 BIOGROUP'!$AC$14/3,""))))))</f>
        <v>0</v>
      </c>
      <c r="BB19" s="511">
        <f t="shared" si="5"/>
        <v>0</v>
      </c>
      <c r="BC19" s="750"/>
    </row>
    <row r="20" spans="1:55" ht="26.15" customHeight="1">
      <c r="B20" s="542">
        <v>624</v>
      </c>
      <c r="C20" s="440" t="s">
        <v>90</v>
      </c>
      <c r="D20" s="610"/>
      <c r="E20" s="440" t="s">
        <v>91</v>
      </c>
      <c r="F20" s="577"/>
      <c r="G20" s="475">
        <v>0</v>
      </c>
      <c r="H20" s="578">
        <f>G20/G7</f>
        <v>0</v>
      </c>
      <c r="J20" s="499">
        <v>0</v>
      </c>
      <c r="K20" s="532" t="str">
        <f t="shared" si="6"/>
        <v/>
      </c>
      <c r="L20" s="431"/>
      <c r="M20" s="579">
        <v>0</v>
      </c>
      <c r="N20" s="517" t="str">
        <f t="shared" si="1"/>
        <v/>
      </c>
      <c r="O20" s="580"/>
      <c r="P20" s="602"/>
      <c r="Q20" s="582" t="e">
        <f>+#REF!</f>
        <v>#REF!</v>
      </c>
      <c r="R20" s="583" t="e">
        <f>Q20/Q$7</f>
        <v>#REF!</v>
      </c>
      <c r="S20" s="582" t="e">
        <f>+#REF!</f>
        <v>#REF!</v>
      </c>
      <c r="T20" s="583" t="e">
        <f>S20/S$7</f>
        <v>#REF!</v>
      </c>
      <c r="U20" s="582" t="e">
        <f>+#REF!</f>
        <v>#REF!</v>
      </c>
      <c r="V20" s="583" t="e">
        <f>U20/U$7</f>
        <v>#REF!</v>
      </c>
      <c r="W20" s="582" t="e">
        <f>+#REF!</f>
        <v>#REF!</v>
      </c>
      <c r="X20" s="583" t="e">
        <f>W20/W$7</f>
        <v>#REF!</v>
      </c>
      <c r="Y20" s="582" t="e">
        <f>+W20+U20+S20+Q20</f>
        <v>#REF!</v>
      </c>
      <c r="Z20" s="583" t="e">
        <f>Y20/Y$7</f>
        <v>#REF!</v>
      </c>
      <c r="AA20" s="584" t="e">
        <f t="shared" si="12"/>
        <v>#REF!</v>
      </c>
      <c r="AB20" s="475">
        <v>0</v>
      </c>
      <c r="AC20" s="578">
        <f>AB20/AB7</f>
        <v>0</v>
      </c>
      <c r="AD20" s="499">
        <v>0</v>
      </c>
      <c r="AE20" s="517" t="str">
        <f t="shared" si="3"/>
        <v/>
      </c>
      <c r="AG20" s="579">
        <v>0</v>
      </c>
      <c r="AH20" s="517" t="str">
        <f t="shared" si="4"/>
        <v/>
      </c>
      <c r="AL20" s="435"/>
      <c r="AM20" s="440" t="s">
        <v>91</v>
      </c>
      <c r="AN20" s="747"/>
      <c r="BB20" s="511">
        <f t="shared" si="5"/>
        <v>0</v>
      </c>
      <c r="BC20" s="750"/>
    </row>
    <row r="21" spans="1:55" ht="26.15" customHeight="1">
      <c r="C21" s="445" t="s">
        <v>88</v>
      </c>
      <c r="D21" s="555"/>
      <c r="E21" s="445" t="s">
        <v>7</v>
      </c>
      <c r="F21" s="577"/>
      <c r="G21" s="478">
        <f>SUM(G22:G22)</f>
        <v>-260652.17</v>
      </c>
      <c r="H21" s="591">
        <f>G21/G7</f>
        <v>-4.2025444864047599E-2</v>
      </c>
      <c r="J21" s="500">
        <f>SUM(J22:J22)</f>
        <v>0</v>
      </c>
      <c r="K21" s="533" t="str">
        <f t="shared" si="6"/>
        <v/>
      </c>
      <c r="L21" s="431"/>
      <c r="M21" s="500">
        <f>SUM(M22)</f>
        <v>-196930.40333333332</v>
      </c>
      <c r="N21" s="518">
        <f t="shared" si="1"/>
        <v>0.32357505792951807</v>
      </c>
      <c r="O21" s="580"/>
      <c r="P21" s="611" t="s">
        <v>7</v>
      </c>
      <c r="Q21" s="594" t="e">
        <f t="shared" ref="Q21:Z21" si="13">SUM(Q22:Q22)</f>
        <v>#REF!</v>
      </c>
      <c r="R21" s="595" t="e">
        <f t="shared" si="13"/>
        <v>#REF!</v>
      </c>
      <c r="S21" s="594" t="e">
        <f t="shared" si="13"/>
        <v>#REF!</v>
      </c>
      <c r="T21" s="595" t="e">
        <f t="shared" si="13"/>
        <v>#REF!</v>
      </c>
      <c r="U21" s="594" t="e">
        <f t="shared" si="13"/>
        <v>#REF!</v>
      </c>
      <c r="V21" s="595" t="e">
        <f t="shared" si="13"/>
        <v>#REF!</v>
      </c>
      <c r="W21" s="594" t="e">
        <f t="shared" si="13"/>
        <v>#REF!</v>
      </c>
      <c r="X21" s="595" t="e">
        <f t="shared" si="13"/>
        <v>#REF!</v>
      </c>
      <c r="Y21" s="594" t="e">
        <f t="shared" si="13"/>
        <v>#REF!</v>
      </c>
      <c r="Z21" s="595" t="e">
        <f t="shared" si="13"/>
        <v>#REF!</v>
      </c>
      <c r="AA21" s="584" t="e">
        <f t="shared" si="12"/>
        <v>#REF!</v>
      </c>
      <c r="AB21" s="478">
        <f>SUM(AB22:AB22)</f>
        <v>-643245.75</v>
      </c>
      <c r="AC21" s="591">
        <f>AB21/AB7</f>
        <v>-3.6039727019694857E-2</v>
      </c>
      <c r="AD21" s="500">
        <f>SUM(AD22:AD22)</f>
        <v>0</v>
      </c>
      <c r="AE21" s="518" t="str">
        <f t="shared" si="3"/>
        <v/>
      </c>
      <c r="AG21" s="500">
        <f>SUM(AG22)</f>
        <v>-590791.21</v>
      </c>
      <c r="AH21" s="518">
        <f t="shared" si="4"/>
        <v>8.8786933712165492E-2</v>
      </c>
      <c r="AJ21" s="615"/>
      <c r="AL21" s="435"/>
      <c r="AM21" s="445" t="s">
        <v>7</v>
      </c>
      <c r="AN21" s="747"/>
      <c r="AO21" s="741">
        <f>-SUM(AO22:AO22)</f>
        <v>-17075.583333333332</v>
      </c>
      <c r="AP21" s="741">
        <f t="shared" ref="AP21:AZ21" si="14">-SUM(AP22:AP22)</f>
        <v>-17075.583333333332</v>
      </c>
      <c r="AQ21" s="741">
        <f t="shared" si="14"/>
        <v>-17075.583333333332</v>
      </c>
      <c r="AR21" s="741">
        <f t="shared" si="14"/>
        <v>-17075.583333333332</v>
      </c>
      <c r="AS21" s="741">
        <f t="shared" si="14"/>
        <v>-17075.583333333332</v>
      </c>
      <c r="AT21" s="741">
        <f t="shared" si="14"/>
        <v>-17075.583333333332</v>
      </c>
      <c r="AU21" s="741">
        <f t="shared" si="14"/>
        <v>-17075.583333333332</v>
      </c>
      <c r="AV21" s="741">
        <f t="shared" si="14"/>
        <v>-17075.583333333332</v>
      </c>
      <c r="AW21" s="741">
        <f t="shared" si="14"/>
        <v>-17075.583333333332</v>
      </c>
      <c r="AX21" s="741">
        <f t="shared" si="14"/>
        <v>-17075.583333333332</v>
      </c>
      <c r="AY21" s="741">
        <f t="shared" si="14"/>
        <v>-17075.583333333332</v>
      </c>
      <c r="AZ21" s="741">
        <f t="shared" si="14"/>
        <v>-17075.583333333332</v>
      </c>
      <c r="BB21" s="748">
        <f t="shared" si="5"/>
        <v>643245.75</v>
      </c>
      <c r="BC21" s="752"/>
    </row>
    <row r="22" spans="1:55" ht="26.15" customHeight="1">
      <c r="B22" s="542">
        <v>63</v>
      </c>
      <c r="C22" s="447" t="s">
        <v>88</v>
      </c>
      <c r="D22" s="551"/>
      <c r="E22" s="447" t="s">
        <v>8</v>
      </c>
      <c r="F22" s="577"/>
      <c r="G22" s="475">
        <v>-260652.17</v>
      </c>
      <c r="H22" s="578">
        <f>G22/G7</f>
        <v>-4.2025444864047599E-2</v>
      </c>
      <c r="J22" s="495">
        <f>-SUMIF($AO$7:$AZ$7,$G$6,AO22:AZ22)</f>
        <v>0</v>
      </c>
      <c r="K22" s="532" t="str">
        <f t="shared" si="6"/>
        <v/>
      </c>
      <c r="L22" s="431"/>
      <c r="M22" s="579">
        <f>AG22/3</f>
        <v>-196930.40333333332</v>
      </c>
      <c r="N22" s="517">
        <f t="shared" si="1"/>
        <v>0.32357505792951807</v>
      </c>
      <c r="O22" s="580"/>
      <c r="P22" s="616" t="s">
        <v>8</v>
      </c>
      <c r="Q22" s="582" t="e">
        <f>+#REF!+'31 dec 2016 BIOLAM'!AT18+'31 dec 2016 BIOLAM'!AT19+'31 dec 2016 BIOLAM'!AT20</f>
        <v>#REF!</v>
      </c>
      <c r="R22" s="583" t="e">
        <f>Q22/Q$7</f>
        <v>#REF!</v>
      </c>
      <c r="S22" s="582" t="e">
        <f>+'31 dec 2016 BIOLAM'!AV18+#REF!+'31 dec 2016 BIOLAM'!AV19+'31 dec 2016 BIOLAM'!AV20</f>
        <v>#REF!</v>
      </c>
      <c r="T22" s="583" t="e">
        <f>S22/S$7</f>
        <v>#REF!</v>
      </c>
      <c r="U22" s="582" t="e">
        <f>+'31 dec 2016 BIOLAM'!AX18+#REF!+'31 dec 2016 BIOLAM'!AX19+'31 dec 2016 BIOLAM'!AX20</f>
        <v>#REF!</v>
      </c>
      <c r="V22" s="583" t="e">
        <f>U22/U$7</f>
        <v>#REF!</v>
      </c>
      <c r="W22" s="582" t="e">
        <f>+'31 dec 2016 BIOLAM'!AZ18+#REF!+'31 dec 2016 BIOLAM'!AZ19+'31 dec 2016 BIOLAM'!AZ20</f>
        <v>#REF!</v>
      </c>
      <c r="X22" s="583" t="e">
        <f>W22/W$7</f>
        <v>#REF!</v>
      </c>
      <c r="Y22" s="582" t="e">
        <f>+W22+U22+S22+Q22</f>
        <v>#REF!</v>
      </c>
      <c r="Z22" s="583" t="e">
        <f>Y22/Y$7</f>
        <v>#REF!</v>
      </c>
      <c r="AA22" s="584" t="e">
        <f t="shared" si="12"/>
        <v>#REF!</v>
      </c>
      <c r="AB22" s="475">
        <v>-643245.75</v>
      </c>
      <c r="AC22" s="578">
        <f>AB22/AB7</f>
        <v>-3.6039727019694857E-2</v>
      </c>
      <c r="AD22" s="495">
        <f>-SUMIF($AO$7:$AZ$7,"&lt;="&amp;$AC$6,AO22:AZ22)</f>
        <v>0</v>
      </c>
      <c r="AE22" s="517" t="str">
        <f t="shared" si="3"/>
        <v/>
      </c>
      <c r="AG22" s="579">
        <f>-338114.77-252676.44</f>
        <v>-590791.21</v>
      </c>
      <c r="AH22" s="517">
        <f t="shared" si="4"/>
        <v>8.8786933712165492E-2</v>
      </c>
      <c r="AL22" s="435"/>
      <c r="AM22" s="447" t="s">
        <v>8</v>
      </c>
      <c r="AN22" s="747"/>
      <c r="AO22" s="431">
        <f>IF($AO$7=$AL$7,'[4]1 trim 2016 BIOGROUP'!$AC$18/3,IF($AO$7=$AL$8,'[4]1 trim 2016 BIOGROUP'!$AC$18/3,IF($AO$7=$AL$9,'[4]1 trim 2016 BIOGROUP'!$AC$18/3,IF($AO$7=$AL$10,'[4]2 trim 2016 BIOGROUP'!$AC$18/3,IF($AO$7=$AL$11,'[4]2 trim 2016 BIOGROUP'!$AC$18/3,IF($AO$7=$AL$12,'[4]2 trim 2016 BIOGROUP'!$AC$18/3,""))))))</f>
        <v>17075.583333333332</v>
      </c>
      <c r="AP22" s="431">
        <f>IF($AP$7=$AL$7,'[4]1 trim 2016 BIOGROUP'!$AC$18/3,IF($AP$7=$AL$8,'[4]1 trim 2016 BIOGROUP'!$AC$18/3,IF($AP$7=$AL$9,'[4]1 trim 2016 BIOGROUP'!$AC$18/3,IF($AP$7=$AL$10,'[4]2 trim 2016 BIOGROUP'!$AC$18/3,IF($AP$7=$AL$11,'[4]2 trim 2016 BIOGROUP'!$AC$18/3,IF($AP$7=$AL$12,'[4]2 trim 2016 BIOGROUP'!$AC$18/3,""))))))</f>
        <v>17075.583333333332</v>
      </c>
      <c r="AQ22" s="431">
        <f>IF($AQ$7=$AL$7,'[4]1 trim 2016 BIOGROUP'!$AC$18/3,IF($AQ$7=$AL$8,'[4]1 trim 2016 BIOGROUP'!$AC$18/3,IF($AQ$7=$AL$9,'[4]1 trim 2016 BIOGROUP'!$AC$18/3,IF($AQ$7=$AL$10,'[4]2 trim 2016 BIOGROUP'!$AC$18/3,IF($AQ$7=$AL$11,'[4]2 trim 2016 BIOGROUP'!$AC$18/3,IF($AQ$7=$AL$12,'[4]2 trim 2016 BIOGROUP'!$AC$18/3,""))))))</f>
        <v>17075.583333333332</v>
      </c>
      <c r="AR22" s="431">
        <f>IF($AR$7=$AL$7,'[4]1 trim 2016 BIOGROUP'!$AC$18/3,IF($AR$7=$AL$8,'[4]1 trim 2016 BIOGROUP'!$AC$18/3,IF($AR$7=$AL$9,'[4]1 trim 2016 BIOGROUP'!$AC$18/3,IF($AR$7=$AL$10,'[4]2 trim 2016 BIOGROUP'!$AC$18/3,IF($AR$7=$AL$11,'[4]2 trim 2016 BIOGROUP'!$AC$18/3,IF($AR$7=$AL$12,'[4]2 trim 2016 BIOGROUP'!$AC$18/3,""))))))</f>
        <v>17075.583333333332</v>
      </c>
      <c r="AS22" s="431">
        <f>IF($AS$7=$AL$7,'[4]1 trim 2016 BIOGROUP'!$AC$18/3,IF($AS$7=$AL$8,'[4]1 trim 2016 BIOGROUP'!$AC$18/3,IF($AS$7=$AL$9,'[4]1 trim 2016 BIOGROUP'!$AC$18/3,IF($AS$7=$AL$10,'[4]2 trim 2016 BIOGROUP'!$AC$18/3,IF($AS$7=$AL$11,'[4]2 trim 2016 BIOGROUP'!$AC$18/3,IF($AS$7=$AL$12,'[4]2 trim 2016 BIOGROUP'!$AC$18/3,""))))))</f>
        <v>17075.583333333332</v>
      </c>
      <c r="AT22" s="431">
        <f>IF($AT$7=$AL$7,'[4]1 trim 2016 BIOGROUP'!$AC$18/3,IF($AT$7=$AL$8,'[4]1 trim 2016 BIOGROUP'!$AC$18/3,IF($AT$7=$AL$9,'[4]1 trim 2016 BIOGROUP'!$AC$18/3,IF($AT$7=$AL$10,'[4]2 trim 2016 BIOGROUP'!$AC$18/3,IF($AT$7=$AL$11,'[4]2 trim 2016 BIOGROUP'!$AC$18/3,IF($AT$7=$AL$12,'[4]2 trim 2016 BIOGROUP'!$AC$18/3,""))))))</f>
        <v>17075.583333333332</v>
      </c>
      <c r="AU22" s="431">
        <f>IF($AU$7=$AL$13,'[4]3 trim 2016 BIOGROUP'!$AC$18/3,IF($AU$7=$AL$14,'[4]3 trim 2016 BIOGROUP'!$AC$18/3,IF($AU$7=$AL$15,'[4]3 trim 2016 BIOGROUP'!$AC$18/3,IF($AU$7=$AL$16,'[4]4 trim 2016 BIOGROUP'!$AC$18/3,IF($AU$7=$AL$18,'[4]4 trim 2016 BIOGROUP'!$AC$18/3,IF($AU$7=$AL$19,'[4]4 trim 2016 BIOGROUP'!$AC$18/3,""))))))</f>
        <v>17075.583333333332</v>
      </c>
      <c r="AV22" s="431">
        <f>IF($AV$7=$AL$13,'[4]3 trim 2016 BIOGROUP'!$AC$18/3,IF($AV$7=$AL$14,'[4]3 trim 2016 BIOGROUP'!$AC$18/3,IF($AV$7=$AL$15,'[4]3 trim 2016 BIOGROUP'!$AC$18/3,IF($AV$7=$AL$16,'[4]4 trim 2016 BIOGROUP'!$AC$18/3,IF($AV$7=$AL$18,'[4]4 trim 2016 BIOGROUP'!$AC$18/3,IF($AV$7=$AL$19,'[4]4 trim 2016 BIOGROUP'!$AC$18/3,""))))))</f>
        <v>17075.583333333332</v>
      </c>
      <c r="AW22" s="431">
        <f>IF($AW$7=$AL$13,'[4]3 trim 2016 BIOGROUP'!$AC$18/3,IF($AW$7=$AL$14,'[4]3 trim 2016 BIOGROUP'!$AC$18/3,IF($AW$7=$AL$15,'[4]3 trim 2016 BIOGROUP'!$AC$18/3,IF($AW$7=$AL$16,'[4]4 trim 2016 BIOGROUP'!$AC$18/3,IF($AW$7=$AL$18,'[4]4 trim 2016 BIOGROUP'!$AC$18/3,IF($AW$7=$AL$19,'[4]4 trim 2016 BIOGROUP'!$AC$18/3,""))))))</f>
        <v>17075.583333333332</v>
      </c>
      <c r="AX22" s="431">
        <f>IF($AX$7=$AL$13,'[4]3 trim 2016 BIOGROUP'!$AC$18/3,IF($AX$7=$AL$14,'[4]3 trim 2016 BIOGROUP'!$AC$18/3,IF($AX$7=$AL$15,'[4]3 trim 2016 BIOGROUP'!$AC$18/3,IF($AX$7=$AL$16,'[4]4 trim 2016 BIOGROUP'!$AC$18/3,IF($AX$7=$AL$18,'[4]4 trim 2016 BIOGROUP'!$AC$18/3,IF($AX$7=$AL$19,'[4]4 trim 2016 BIOGROUP'!$AC$18/3,""))))))</f>
        <v>17075.583333333332</v>
      </c>
      <c r="AY22" s="431">
        <f>IF($AY$7=$AL$13,'[4]3 trim 2016 BIOGROUP'!$AC$18/3,IF($AY$7=$AL$14,'[4]3 trim 2016 BIOGROUP'!$AC$18/3,IF($AY$7=$AL$15,'[4]3 trim 2016 BIOGROUP'!$AC$18/3,IF($AY$7=$AL$16,'[4]4 trim 2016 BIOGROUP'!$AC$18/3,IF($AY$7=$AL$18,'[4]4 trim 2016 BIOGROUP'!$AC$18/3,IF($AY$7=$AL$19,'[4]4 trim 2016 BIOGROUP'!$AC$18/3,""))))))</f>
        <v>17075.583333333332</v>
      </c>
      <c r="AZ22" s="431">
        <f>IF($AZ$7=$AL$13,'[4]3 trim 2016 BIOGROUP'!$AC$18/3,IF($AZ$7=$AL$14,'[4]3 trim 2016 BIOGROUP'!$AC$18/3,IF($AZ$7=$AL$15,'[4]3 trim 2016 BIOGROUP'!$AC$18/3,IF($AZ$7=$AL$16,'[4]4 trim 2016 BIOGROUP'!$AC$18/3,IF($AZ$7=$AL$18,'[4]4 trim 2016 BIOGROUP'!$AC$18/3,IF($AZ$7=$AL$19,'[4]4 trim 2016 BIOGROUP'!$AC$18/3,""))))))</f>
        <v>17075.583333333332</v>
      </c>
      <c r="BB22" s="511">
        <f t="shared" si="5"/>
        <v>643245.75</v>
      </c>
      <c r="BC22" s="750"/>
    </row>
    <row r="23" spans="1:55" ht="34.5" customHeight="1">
      <c r="C23" s="448" t="s">
        <v>89</v>
      </c>
      <c r="D23" s="551"/>
      <c r="E23" s="448" t="s">
        <v>158</v>
      </c>
      <c r="F23" s="577"/>
      <c r="G23" s="476">
        <f>SUM(G24:G27)</f>
        <v>-2215485.16</v>
      </c>
      <c r="H23" s="591">
        <f>G23/G7</f>
        <v>-0.35720688394305594</v>
      </c>
      <c r="J23" s="496">
        <f>SUM(J24:J27)</f>
        <v>0</v>
      </c>
      <c r="K23" s="530" t="str">
        <f t="shared" si="6"/>
        <v/>
      </c>
      <c r="L23" s="431"/>
      <c r="M23" s="496">
        <f>SUM(M24:M27)</f>
        <v>-1928294.4433333336</v>
      </c>
      <c r="N23" s="518">
        <f t="shared" si="1"/>
        <v>0.14893509529084997</v>
      </c>
      <c r="O23" s="580"/>
      <c r="P23" s="617" t="s">
        <v>9</v>
      </c>
      <c r="Q23" s="618" t="e">
        <f>SUM(Q24:Q30)</f>
        <v>#REF!</v>
      </c>
      <c r="R23" s="595" t="e">
        <f>SUM(R24:R27)</f>
        <v>#REF!</v>
      </c>
      <c r="S23" s="618" t="e">
        <f>SUM(S24:S30)</f>
        <v>#REF!</v>
      </c>
      <c r="T23" s="595" t="e">
        <f>SUM(T24:T27)</f>
        <v>#REF!</v>
      </c>
      <c r="U23" s="618" t="e">
        <f>SUM(U24:U30)</f>
        <v>#REF!</v>
      </c>
      <c r="V23" s="595" t="e">
        <f>SUM(V24:V27)</f>
        <v>#REF!</v>
      </c>
      <c r="W23" s="618" t="e">
        <f>SUM(W24:W30)</f>
        <v>#REF!</v>
      </c>
      <c r="X23" s="595" t="e">
        <f>SUM(X24:X27)</f>
        <v>#REF!</v>
      </c>
      <c r="Y23" s="618" t="e">
        <f>SUM(Y24:Y30)</f>
        <v>#REF!</v>
      </c>
      <c r="Z23" s="595" t="e">
        <f>SUM(Z24:Z27)</f>
        <v>#REF!</v>
      </c>
      <c r="AA23" s="584" t="e">
        <f t="shared" si="12"/>
        <v>#REF!</v>
      </c>
      <c r="AB23" s="476">
        <f>SUM(AB24:AB27)</f>
        <v>-6589077.6400000006</v>
      </c>
      <c r="AC23" s="591">
        <f>AB23/AB7</f>
        <v>-0.36917237223436805</v>
      </c>
      <c r="AD23" s="496">
        <f>SUM(AD24:AD27)</f>
        <v>0</v>
      </c>
      <c r="AE23" s="518" t="str">
        <f t="shared" si="3"/>
        <v/>
      </c>
      <c r="AG23" s="496">
        <f>SUM(AG24:AG28)</f>
        <v>-5784883.3300000001</v>
      </c>
      <c r="AH23" s="518">
        <f t="shared" si="4"/>
        <v>0.13901651323363864</v>
      </c>
      <c r="AJ23" s="587"/>
      <c r="AL23" s="435"/>
      <c r="AM23" s="448" t="s">
        <v>158</v>
      </c>
      <c r="AN23" s="747"/>
      <c r="AO23" s="741">
        <f>-SUM(AO24:AO27)</f>
        <v>-115571.08333333333</v>
      </c>
      <c r="AP23" s="741">
        <f t="shared" ref="AP23:AZ23" si="15">-SUM(AP24:AP27)</f>
        <v>-115571.08333333333</v>
      </c>
      <c r="AQ23" s="741">
        <f t="shared" si="15"/>
        <v>-115571.08333333333</v>
      </c>
      <c r="AR23" s="741">
        <f t="shared" si="15"/>
        <v>-115571.08333333333</v>
      </c>
      <c r="AS23" s="741">
        <f t="shared" si="15"/>
        <v>-115571.08333333333</v>
      </c>
      <c r="AT23" s="741">
        <f t="shared" si="15"/>
        <v>-115571.08333333333</v>
      </c>
      <c r="AU23" s="741">
        <f t="shared" si="15"/>
        <v>-115571.08333333333</v>
      </c>
      <c r="AV23" s="741">
        <f t="shared" si="15"/>
        <v>-115571.08333333333</v>
      </c>
      <c r="AW23" s="741">
        <f t="shared" si="15"/>
        <v>-115571.08333333333</v>
      </c>
      <c r="AX23" s="741">
        <f t="shared" si="15"/>
        <v>-115571.08333333333</v>
      </c>
      <c r="AY23" s="741">
        <f t="shared" si="15"/>
        <v>-115571.08333333333</v>
      </c>
      <c r="AZ23" s="741">
        <f t="shared" si="15"/>
        <v>-115571.08333333333</v>
      </c>
      <c r="BB23" s="748">
        <f t="shared" si="5"/>
        <v>6589077.6400000006</v>
      </c>
      <c r="BC23" s="752"/>
    </row>
    <row r="24" spans="1:55" ht="26.15" customHeight="1">
      <c r="B24" s="542">
        <v>641</v>
      </c>
      <c r="C24" s="438" t="s">
        <v>144</v>
      </c>
      <c r="D24" s="555"/>
      <c r="E24" s="438" t="s">
        <v>10</v>
      </c>
      <c r="F24" s="577"/>
      <c r="G24" s="475">
        <f>-1596316.04-G25</f>
        <v>-1281372.3900000001</v>
      </c>
      <c r="H24" s="578">
        <f>G24/G7</f>
        <v>-0.20659810630488096</v>
      </c>
      <c r="J24" s="495">
        <f>-SUMIF($AO$7:$AZ$7,$G$6,AO24:AZ24)</f>
        <v>0</v>
      </c>
      <c r="K24" s="532" t="str">
        <f t="shared" si="6"/>
        <v/>
      </c>
      <c r="L24" s="431"/>
      <c r="M24" s="579">
        <f>AG24/3</f>
        <v>-1039698.6566666667</v>
      </c>
      <c r="N24" s="517">
        <f t="shared" si="1"/>
        <v>0.23244594170021646</v>
      </c>
      <c r="O24" s="580"/>
      <c r="P24" s="581" t="s">
        <v>10</v>
      </c>
      <c r="Q24" s="582" t="e">
        <f>+#REF!+'31 dec 2016 BIOLAM'!AT23+'31 dec 2016 BIOLAM'!AT24+'31 dec 2016 BIOLAM'!AT25</f>
        <v>#REF!</v>
      </c>
      <c r="R24" s="583" t="e">
        <f>Q24/Q$7</f>
        <v>#REF!</v>
      </c>
      <c r="S24" s="582" t="e">
        <f>+'31 dec 2016 BIOLAM'!AV23+#REF!+'31 dec 2016 BIOLAM'!AV24+'31 dec 2016 BIOLAM'!AV25</f>
        <v>#REF!</v>
      </c>
      <c r="T24" s="583" t="e">
        <f>S24/S$7</f>
        <v>#REF!</v>
      </c>
      <c r="U24" s="582" t="e">
        <f>+'31 dec 2016 BIOLAM'!AX23+#REF!+'31 dec 2016 BIOLAM'!AX24+'31 dec 2016 BIOLAM'!AX25</f>
        <v>#REF!</v>
      </c>
      <c r="V24" s="583" t="e">
        <f>U24/U$7</f>
        <v>#REF!</v>
      </c>
      <c r="W24" s="582" t="e">
        <f>+'31 dec 2016 BIOLAM'!AZ23+#REF!+'31 dec 2016 BIOLAM'!AZ24+'31 dec 2016 BIOLAM'!AZ25</f>
        <v>#REF!</v>
      </c>
      <c r="X24" s="583" t="e">
        <f>W24/W$7</f>
        <v>#REF!</v>
      </c>
      <c r="Y24" s="582" t="e">
        <f t="shared" ref="Y24:Y30" si="16">+W24+U24+S24+Q24</f>
        <v>#REF!</v>
      </c>
      <c r="Z24" s="583" t="e">
        <f>Y24/Y$7</f>
        <v>#REF!</v>
      </c>
      <c r="AA24" s="584" t="e">
        <f t="shared" si="12"/>
        <v>#REF!</v>
      </c>
      <c r="AB24" s="475">
        <f>-4664154.01-AB25</f>
        <v>-3706607.8</v>
      </c>
      <c r="AC24" s="578">
        <f>AB24/AB7</f>
        <v>-0.20767355754946176</v>
      </c>
      <c r="AD24" s="495">
        <f>-SUMIF($AO$7:$AZ$7,"&lt;="&amp;$AC$6,AO24:AZ24)</f>
        <v>0</v>
      </c>
      <c r="AE24" s="517" t="str">
        <f t="shared" si="3"/>
        <v/>
      </c>
      <c r="AG24" s="579">
        <f>-2417576.68-1642541.87-AG25</f>
        <v>-3119095.97</v>
      </c>
      <c r="AH24" s="517">
        <f t="shared" si="4"/>
        <v>0.18835965153069642</v>
      </c>
      <c r="AJ24" s="587"/>
      <c r="AL24" s="435"/>
      <c r="AM24" s="438" t="s">
        <v>10</v>
      </c>
      <c r="AN24" s="747"/>
      <c r="AO24" s="431">
        <f>IF($AO$7=$AL$7,'[4]1 trim 2016 BIOGROUP'!$AC$23/3,IF($AO$7=$AL$8,'[4]1 trim 2016 BIOGROUP'!$AC$23/3,IF($AO$7=$AL$9,'[4]1 trim 2016 BIOGROUP'!$AC$23/3,IF($AO$7=$AL$10,'[4]2 trim 2016 BIOGROUP'!$AC$23/3,IF($AO$7=$AL$11,'[4]2 trim 2016 BIOGROUP'!$AC$23/3,IF($AO$7=$AL$12,'[4]2 trim 2016 BIOGROUP'!$AC$23/3,""))))))</f>
        <v>61007.166666666664</v>
      </c>
      <c r="AP24" s="431">
        <f>IF($AP$7=$AL$7,'[4]1 trim 2016 BIOGROUP'!$AC$23/3,IF($AP$7=$AL$8,'[4]1 trim 2016 BIOGROUP'!$AC$23/3,IF($AP$7=$AL$9,'[4]1 trim 2016 BIOGROUP'!$AC$23/3,IF($AP$7=$AL$10,'[4]2 trim 2016 BIOGROUP'!$AC$23/3,IF($AP$7=$AL$11,'[4]2 trim 2016 BIOGROUP'!$AC$23/3,IF($AP$7=$AL$12,'[4]2 trim 2016 BIOGROUP'!$AC$23/3,""))))))</f>
        <v>61007.166666666664</v>
      </c>
      <c r="AQ24" s="431">
        <f>IF($AQ$7=$AL$7,'[4]1 trim 2016 BIOGROUP'!$AC$23/3,IF($AQ$7=$AL$8,'[4]1 trim 2016 BIOGROUP'!$AC$23/3,IF($AQ$7=$AL$9,'[4]1 trim 2016 BIOGROUP'!$AC$23/3,IF($AQ$7=$AL$10,'[4]2 trim 2016 BIOGROUP'!$AC$23/3,IF($AQ$7=$AL$11,'[4]2 trim 2016 BIOGROUP'!$AC$23/3,IF($AQ$7=$AL$12,'[4]2 trim 2016 BIOGROUP'!$AC$23/3,""))))))</f>
        <v>61007.166666666664</v>
      </c>
      <c r="AR24" s="431">
        <f>IF($AR$7=$AL$7,'[4]1 trim 2016 BIOGROUP'!$AC$23/3,IF($AR$7=$AL$8,'[4]1 trim 2016 BIOGROUP'!$AC$23/3,IF($AR$7=$AL$9,'[4]1 trim 2016 BIOGROUP'!$AC$23/3,IF($AR$7=$AL$10,'[4]2 trim 2016 BIOGROUP'!$AC$23/3,IF($AR$7=$AL$11,'[4]2 trim 2016 BIOGROUP'!$AC$23/3,IF($AR$7=$AL$12,'[4]2 trim 2016 BIOGROUP'!$AC$23/3,""))))))</f>
        <v>61007.166666666664</v>
      </c>
      <c r="AS24" s="431">
        <f>IF($AS$7=$AL$7,'[4]1 trim 2016 BIOGROUP'!$AC$23/3,IF($AS$7=$AL$8,'[4]1 trim 2016 BIOGROUP'!$AC$23/3,IF($AS$7=$AL$9,'[4]1 trim 2016 BIOGROUP'!$AC$23/3,IF($AS$7=$AL$10,'[4]2 trim 2016 BIOGROUP'!$AC$23/3,IF($AS$7=$AL$11,'[4]2 trim 2016 BIOGROUP'!$AC$23/3,IF($AS$7=$AL$12,'[4]2 trim 2016 BIOGROUP'!$AC$23/3,""))))))</f>
        <v>61007.166666666664</v>
      </c>
      <c r="AT24" s="431">
        <f>IF($AT$7=$AL$7,'[4]1 trim 2016 BIOGROUP'!$AC$23/3,IF($AT$7=$AL$8,'[4]1 trim 2016 BIOGROUP'!$AC$23/3,IF($AT$7=$AL$9,'[4]1 trim 2016 BIOGROUP'!$AC$23/3,IF($AT$7=$AL$10,'[4]2 trim 2016 BIOGROUP'!$AC$23/3,IF($AT$7=$AL$11,'[4]2 trim 2016 BIOGROUP'!$AC$23/3,IF($AT$7=$AL$12,'[4]2 trim 2016 BIOGROUP'!$AC$23/3,""))))))</f>
        <v>61007.166666666664</v>
      </c>
      <c r="AU24" s="431">
        <f>IF($AU$7=$AL$13,'[4]3 trim 2016 BIOGROUP'!$AC$23/3,IF($AU$7=$AL$14,'[4]3 trim 2016 BIOGROUP'!$AC$23/3,IF($AU$7=$AL$15,'[4]3 trim 2016 BIOGROUP'!$AC$23/3,IF($AU$7=$AL$16,'[4]4 trim 2016 BIOGROUP'!$AC$23/3,IF($AU$7=$AL$18,'[4]4 trim 2016 BIOGROUP'!$AC$23/3,IF($AU$7=$AL$19,'[4]4 trim 2016 BIOGROUP'!$AC$23/3,""))))))</f>
        <v>61007.166666666664</v>
      </c>
      <c r="AV24" s="431">
        <f>IF($AV$7=$AL$13,'[4]3 trim 2016 BIOGROUP'!$AC$23/3,IF($AV$7=$AL$14,'[4]3 trim 2016 BIOGROUP'!$AC$23/3,IF($AV$7=$AL$15,'[4]3 trim 2016 BIOGROUP'!$AC$23/3,IF($AV$7=$AL$16,'[4]4 trim 2016 BIOGROUP'!$AC$23/3,IF($AV$7=$AL$18,'[4]4 trim 2016 BIOGROUP'!$AC$23/3,IF($AV$7=$AL$19,'[4]4 trim 2016 BIOGROUP'!$AC$23/3,""))))))</f>
        <v>61007.166666666664</v>
      </c>
      <c r="AW24" s="431">
        <f>IF($AW$7=$AL$13,'[4]3 trim 2016 BIOGROUP'!$AC$23/3,IF($AW$7=$AL$14,'[4]3 trim 2016 BIOGROUP'!$AC$23/3,IF($AW$7=$AL$15,'[4]3 trim 2016 BIOGROUP'!$AC$23/3,IF($AW$7=$AL$16,'[4]4 trim 2016 BIOGROUP'!$AC$23/3,IF($AW$7=$AL$18,'[4]4 trim 2016 BIOGROUP'!$AC$23/3,IF($AW$7=$AL$19,'[4]4 trim 2016 BIOGROUP'!$AC$23/3,""))))))</f>
        <v>61007.166666666664</v>
      </c>
      <c r="AX24" s="431">
        <f>IF($AX$7=$AL$13,'[4]3 trim 2016 BIOGROUP'!$AC$23/3,IF($AX$7=$AL$14,'[4]3 trim 2016 BIOGROUP'!$AC$23/3,IF($AX$7=$AL$15,'[4]3 trim 2016 BIOGROUP'!$AC$23/3,IF($AX$7=$AL$16,'[4]4 trim 2016 BIOGROUP'!$AC$23/3,IF($AX$7=$AL$18,'[4]4 trim 2016 BIOGROUP'!$AC$23/3,IF($AX$7=$AL$19,'[4]4 trim 2016 BIOGROUP'!$AC$23/3,""))))))</f>
        <v>61007.166666666664</v>
      </c>
      <c r="AY24" s="431">
        <f>IF($AY$7=$AL$13,'[4]3 trim 2016 BIOGROUP'!$AC$23/3,IF($AY$7=$AL$14,'[4]3 trim 2016 BIOGROUP'!$AC$23/3,IF($AY$7=$AL$15,'[4]3 trim 2016 BIOGROUP'!$AC$23/3,IF($AY$7=$AL$16,'[4]4 trim 2016 BIOGROUP'!$AC$23/3,IF($AY$7=$AL$18,'[4]4 trim 2016 BIOGROUP'!$AC$23/3,IF($AY$7=$AL$19,'[4]4 trim 2016 BIOGROUP'!$AC$23/3,""))))))</f>
        <v>61007.166666666664</v>
      </c>
      <c r="AZ24" s="431">
        <f>IF($AZ$7=$AL$13,'[4]3 trim 2016 BIOGROUP'!$AC$23/3,IF($AZ$7=$AL$14,'[4]3 trim 2016 BIOGROUP'!$AC$23/3,IF($AZ$7=$AL$15,'[4]3 trim 2016 BIOGROUP'!$AC$23/3,IF($AZ$7=$AL$16,'[4]4 trim 2016 BIOGROUP'!$AC$23/3,IF($AZ$7=$AL$18,'[4]4 trim 2016 BIOGROUP'!$AC$23/3,IF($AZ$7=$AL$19,'[4]4 trim 2016 BIOGROUP'!$AC$23/3,""))))))</f>
        <v>61007.166666666664</v>
      </c>
      <c r="BB24" s="511">
        <f t="shared" si="5"/>
        <v>3706607.8</v>
      </c>
      <c r="BC24" s="750"/>
    </row>
    <row r="25" spans="1:55" ht="26.15" customHeight="1">
      <c r="A25" s="575"/>
      <c r="B25" s="548">
        <v>644</v>
      </c>
      <c r="C25" s="449" t="s">
        <v>145</v>
      </c>
      <c r="D25" s="555"/>
      <c r="E25" s="449" t="s">
        <v>28</v>
      </c>
      <c r="F25" s="577"/>
      <c r="G25" s="475">
        <v>-314943.65000000002</v>
      </c>
      <c r="H25" s="578">
        <f>G25/G7</f>
        <v>-5.0778963391545542E-2</v>
      </c>
      <c r="J25" s="495">
        <f>-SUMIF($AO$7:$AZ$7,$G$6,AO25:AZ25)</f>
        <v>0</v>
      </c>
      <c r="K25" s="532" t="str">
        <f t="shared" si="6"/>
        <v/>
      </c>
      <c r="L25" s="431"/>
      <c r="M25" s="579">
        <f>AG25/3</f>
        <v>-313674.19333333336</v>
      </c>
      <c r="N25" s="517">
        <f t="shared" si="1"/>
        <v>4.0470548538803341E-3</v>
      </c>
      <c r="O25" s="580"/>
      <c r="P25" s="586" t="s">
        <v>28</v>
      </c>
      <c r="Q25" s="582" t="e">
        <f>+#REF!+'31 dec 2016 BIOLAM'!AT27</f>
        <v>#REF!</v>
      </c>
      <c r="R25" s="583" t="e">
        <f>Q25/Q$7</f>
        <v>#REF!</v>
      </c>
      <c r="S25" s="582" t="e">
        <f>+'31 dec 2016 BIOLAM'!AV27+#REF!</f>
        <v>#REF!</v>
      </c>
      <c r="T25" s="583" t="e">
        <f>S25/S$7</f>
        <v>#REF!</v>
      </c>
      <c r="U25" s="582" t="e">
        <f>+'31 dec 2016 BIOLAM'!AX27+#REF!</f>
        <v>#REF!</v>
      </c>
      <c r="V25" s="583" t="e">
        <f>U25/U$7</f>
        <v>#REF!</v>
      </c>
      <c r="W25" s="582" t="e">
        <f>+'31 dec 2016 BIOLAM'!AZ27+#REF!</f>
        <v>#REF!</v>
      </c>
      <c r="X25" s="583" t="e">
        <f>W25/W$7</f>
        <v>#REF!</v>
      </c>
      <c r="Y25" s="582" t="e">
        <f t="shared" si="16"/>
        <v>#REF!</v>
      </c>
      <c r="Z25" s="583" t="e">
        <f>Y25/Y$7</f>
        <v>#REF!</v>
      </c>
      <c r="AA25" s="584" t="e">
        <f t="shared" si="12"/>
        <v>#REF!</v>
      </c>
      <c r="AB25" s="475">
        <v>-957546.21</v>
      </c>
      <c r="AC25" s="578">
        <f>AB25/AB7</f>
        <v>-5.3649330783986378E-2</v>
      </c>
      <c r="AD25" s="495">
        <f>-SUMIF($AO$7:$AZ$7,"&lt;="&amp;$AC$6,AO25:AZ25)</f>
        <v>0</v>
      </c>
      <c r="AE25" s="517" t="str">
        <f t="shared" si="3"/>
        <v/>
      </c>
      <c r="AG25" s="579">
        <f>-544884.29-396138.29</f>
        <v>-941022.58000000007</v>
      </c>
      <c r="AH25" s="517">
        <f t="shared" si="4"/>
        <v>1.7559227962414978E-2</v>
      </c>
      <c r="AJ25" s="587"/>
      <c r="AL25" s="435"/>
      <c r="AM25" s="449" t="s">
        <v>28</v>
      </c>
      <c r="AN25" s="747"/>
      <c r="AO25" s="431">
        <f>IF($AO$7=$AL$7,'[4]1 trim 2016 BIOGROUP'!$AC$25/3+'[4]1 trim 2016 BIOGROUP'!$AC$27/3+'[4]1 trim 2016 BIOGROUP'!$AC$28/3,IF($AO$7=$AL$8,'[4]1 trim 2016 BIOGROUP'!$AC$25/3+'[4]1 trim 2016 BIOGROUP'!$AC$27/3+'[4]1 trim 2016 BIOGROUP'!$AC$28/3,IF($AO$7=$AL$9,'[4]1 trim 2016 BIOGROUP'!$AC$25/3+'[4]1 trim 2016 BIOGROUP'!$AC$27/3+'[4]1 trim 2016 BIOGROUP'!$AC$28/3,IF($AO$7=$AL$10,'[4]2 trim 2016 BIOGROUP'!$AC$25/3+'[4]2 trim 2016 BIOGROUP'!$AC$27/3+'[4]2 trim 2016 BIOGROUP'!$AC$28/3,IF($AO$7=$AL$11,'[4]2 trim 2016 BIOGROUP'!$AC$25/3+'[4]2 trim 2016 BIOGROUP'!$AC$27/3+'[4]2 trim 2016 BIOGROUP'!$AC$28/3,IF($AO$7=$AL$12,'[4]2 trim 2016 BIOGROUP'!$AC$25/3+'[4]2 trim 2016 BIOGROUP'!$AC$27/3+'[4]2 trim 2016 BIOGROUP'!$AC$28/3,""))))))</f>
        <v>16829.166666666668</v>
      </c>
      <c r="AP25" s="431">
        <f>IF($AP$7=$AL$7,'[4]1 trim 2016 BIOGROUP'!$AC$25/3+'[4]1 trim 2016 BIOGROUP'!$AC$27/3+'[4]1 trim 2016 BIOGROUP'!$AC$28/3,IF($AP$7=$AL$8,'[4]1 trim 2016 BIOGROUP'!$AC$25/3+'[4]1 trim 2016 BIOGROUP'!$AC$27/3+'[4]1 trim 2016 BIOGROUP'!$AC$28/3,IF($AP$7=$AL$9,'[4]1 trim 2016 BIOGROUP'!$AC$25/3+'[4]1 trim 2016 BIOGROUP'!$AC$27/3+'[4]1 trim 2016 BIOGROUP'!$AC$28/3,IF($AP$7=$AL$10,'[4]2 trim 2016 BIOGROUP'!$AC$25/3+'[4]2 trim 2016 BIOGROUP'!$AC$27/3+'[4]2 trim 2016 BIOGROUP'!$AC$28/3,IF($AP$7=$AL$11,'[4]2 trim 2016 BIOGROUP'!$AC$25/3+'[4]2 trim 2016 BIOGROUP'!$AC$27/3+'[4]2 trim 2016 BIOGROUP'!$AC$28/3,IF($AP$7=$AL$12,'[4]2 trim 2016 BIOGROUP'!$AC$25/3+'[4]2 trim 2016 BIOGROUP'!$AC$27/3+'[4]2 trim 2016 BIOGROUP'!$AC$28/3,""))))))</f>
        <v>16829.166666666668</v>
      </c>
      <c r="AQ25" s="431">
        <f>IF($AQ$7=$AL$7,'[4]1 trim 2016 BIOGROUP'!$AC$25/3+'[4]1 trim 2016 BIOGROUP'!$AC$27/3+'[4]1 trim 2016 BIOGROUP'!$AC$28/3,IF($AQ$7=$AL$8,'[4]1 trim 2016 BIOGROUP'!$AC$25/3+'[4]1 trim 2016 BIOGROUP'!$AC$27/3+'[4]1 trim 2016 BIOGROUP'!$AC$28/3,IF($AQ$7=$AL$9,'[4]1 trim 2016 BIOGROUP'!$AC$25/3+'[4]1 trim 2016 BIOGROUP'!$AC$27/3+'[4]1 trim 2016 BIOGROUP'!$AC$28/3,IF($AQ$7=$AL$10,'[4]2 trim 2016 BIOGROUP'!$AC$25/3+'[4]2 trim 2016 BIOGROUP'!$AC$27/3+'[4]2 trim 2016 BIOGROUP'!$AC$28/3,IF($AQ$7=$AL$11,'[4]2 trim 2016 BIOGROUP'!$AC$25/3+'[4]2 trim 2016 BIOGROUP'!$AC$27/3+'[4]2 trim 2016 BIOGROUP'!$AC$28/3,IF($AQ$7=$AL$12,'[4]2 trim 2016 BIOGROUP'!$AC$25/3+'[4]2 trim 2016 BIOGROUP'!$AC$27/3+'[4]2 trim 2016 BIOGROUP'!$AC$28/3,""))))))</f>
        <v>16829.166666666668</v>
      </c>
      <c r="AR25" s="431">
        <f>IF($AR$7=$AL$7,'[4]1 trim 2016 BIOGROUP'!$AC$25/3+'[4]1 trim 2016 BIOGROUP'!$AC$27/3+'[4]1 trim 2016 BIOGROUP'!$AC$28/3,IF($AR$7=$AL$8,'[4]1 trim 2016 BIOGROUP'!$AC$25/3+'[4]1 trim 2016 BIOGROUP'!$AC$27/3+'[4]1 trim 2016 BIOGROUP'!$AC$28/3,IF($AR$7=$AL$9,'[4]1 trim 2016 BIOGROUP'!$AC$25/3+'[4]1 trim 2016 BIOGROUP'!$AC$27/3+'[4]1 trim 2016 BIOGROUP'!$AC$28/3,IF($AR$7=$AL$10,'[4]2 trim 2016 BIOGROUP'!$AC$25/3+'[4]2 trim 2016 BIOGROUP'!$AC$27/3+'[4]2 trim 2016 BIOGROUP'!$AC$28/3,IF($AR$7=$AL$11,'[4]2 trim 2016 BIOGROUP'!$AC$25/3+'[4]2 trim 2016 BIOGROUP'!$AC$27/3+'[4]2 trim 2016 BIOGROUP'!$AC$28/3,IF($AR$7=$AL$12,'[4]2 trim 2016 BIOGROUP'!$AC$25/3+'[4]2 trim 2016 BIOGROUP'!$AC$27/3+'[4]2 trim 2016 BIOGROUP'!$AC$28/3,""))))))</f>
        <v>16829.166666666668</v>
      </c>
      <c r="AS25" s="431">
        <f>IF($AS$7=$AL$7,'[4]1 trim 2016 BIOGROUP'!$AC$25/3+'[4]1 trim 2016 BIOGROUP'!$AC$27/3+'[4]1 trim 2016 BIOGROUP'!$AC$28/3,IF($AS$7=$AL$8,'[4]1 trim 2016 BIOGROUP'!$AC$25/3+'[4]1 trim 2016 BIOGROUP'!$AC$27/3+'[4]1 trim 2016 BIOGROUP'!$AC$28/3,IF($AS$7=$AL$9,'[4]1 trim 2016 BIOGROUP'!$AC$25/3+'[4]1 trim 2016 BIOGROUP'!$AC$27/3+'[4]1 trim 2016 BIOGROUP'!$AC$28/3,IF($AS$7=$AL$10,'[4]2 trim 2016 BIOGROUP'!$AC$25/3+'[4]2 trim 2016 BIOGROUP'!$AC$27/3+'[4]2 trim 2016 BIOGROUP'!$AC$28/3,IF($AS$7=$AL$11,'[4]2 trim 2016 BIOGROUP'!$AC$25/3+'[4]2 trim 2016 BIOGROUP'!$AC$27/3+'[4]2 trim 2016 BIOGROUP'!$AC$28/3,IF($AS$7=$AL$12,'[4]2 trim 2016 BIOGROUP'!$AC$25/3+'[4]2 trim 2016 BIOGROUP'!$AC$27/3+'[4]2 trim 2016 BIOGROUP'!$AC$28/3,""))))))</f>
        <v>16829.166666666668</v>
      </c>
      <c r="AT25" s="431">
        <f>IF($AT$7=$AL$7,'[4]1 trim 2016 BIOGROUP'!$AC$25/3+'[4]1 trim 2016 BIOGROUP'!$AC$27/3+'[4]1 trim 2016 BIOGROUP'!$AC$28/3,IF($AT$7=$AL$8,'[4]1 trim 2016 BIOGROUP'!$AC$25/3+'[4]1 trim 2016 BIOGROUP'!$AC$27/3+'[4]1 trim 2016 BIOGROUP'!$AC$28/3,IF($AT$7=$AL$9,'[4]1 trim 2016 BIOGROUP'!$AC$25/3+'[4]1 trim 2016 BIOGROUP'!$AC$27/3+'[4]1 trim 2016 BIOGROUP'!$AC$28/3,IF($AT$7=$AL$10,'[4]2 trim 2016 BIOGROUP'!$AC$25/3+'[4]2 trim 2016 BIOGROUP'!$AC$27/3+'[4]2 trim 2016 BIOGROUP'!$AC$28/3,IF($AT$7=$AL$11,'[4]2 trim 2016 BIOGROUP'!$AC$25/3+'[4]2 trim 2016 BIOGROUP'!$AC$27/3+'[4]2 trim 2016 BIOGROUP'!$AC$28/3,IF($AT$7=$AL$12,'[4]2 trim 2016 BIOGROUP'!$AC$25/3+'[4]2 trim 2016 BIOGROUP'!$AC$27/3+'[4]2 trim 2016 BIOGROUP'!$AC$28/3,""))))))</f>
        <v>16829.166666666668</v>
      </c>
      <c r="AU25" s="431">
        <f>IF($AU$7=$AL$13,'[4]3 trim 2016 BIOGROUP'!$AC$25/3+'[4]3 trim 2016 BIOGROUP'!$AC$27/3+'[4]3 trim 2016 BIOGROUP'!$AC$28/3,IF($AU$7=$AL$14,'[4]3 trim 2016 BIOGROUP'!$AC$25/3+'[4]3 trim 2016 BIOGROUP'!$AC$27/3+'[4]3 trim 2016 BIOGROUP'!$AC$28/3,IF($AU$7=$AL$15,'[4]3 trim 2016 BIOGROUP'!$AC$25/3+'[4]3 trim 2016 BIOGROUP'!$AC$27/3+'[4]3 trim 2016 BIOGROUP'!$AC$28/3,IF($AU$7=$AL$16,'[4]4 trim 2016 BIOGROUP'!$AC$25/3+'[4]4 trim 2016 BIOGROUP'!$AC$27/3+'[4]4 trim 2016 BIOGROUP'!$AC$28/3,IF($AU$7=$AL$18,'[4]4 trim 2016 BIOGROUP'!$AC$25/3+'[4]4 trim 2016 BIOGROUP'!$AC$27/3+'[4]4 trim 2016 BIOGROUP'!$AC$28/3,IF($AU$7=$AL$19,'[4]4 trim 2016 BIOGROUP'!$AC$25/3+'[4]4 trim 2016 BIOGROUP'!$AC$27/3+'[4]4 trim 2016 BIOGROUP'!$AC$28/3,""))))))</f>
        <v>16829.166666666668</v>
      </c>
      <c r="AV25" s="431">
        <f>IF($AV$7=$AL$13,'[4]3 trim 2016 BIOGROUP'!$AC$25/3+'[4]3 trim 2016 BIOGROUP'!$AC$27/3+'[4]3 trim 2016 BIOGROUP'!$AC$28/3,IF($AV$7=$AL$14,'[4]3 trim 2016 BIOGROUP'!$AC$25/3+'[4]3 trim 2016 BIOGROUP'!$AC$27/3+'[4]3 trim 2016 BIOGROUP'!$AC$28/3,IF($AV$7=$AL$15,'[4]3 trim 2016 BIOGROUP'!$AC$25/3+'[4]3 trim 2016 BIOGROUP'!$AC$27/3+'[4]3 trim 2016 BIOGROUP'!$AC$28/3,IF($AV$7=$AL$16,'[4]4 trim 2016 BIOGROUP'!$AC$25/3+'[4]4 trim 2016 BIOGROUP'!$AC$27/3+'[4]4 trim 2016 BIOGROUP'!$AC$28/3,IF($AV$7=$AL$18,'[4]4 trim 2016 BIOGROUP'!$AC$25/3+'[4]4 trim 2016 BIOGROUP'!$AC$27/3+'[4]4 trim 2016 BIOGROUP'!$AC$28/3,IF($AV$7=$AL$19,'[4]4 trim 2016 BIOGROUP'!$AC$25/3+'[4]4 trim 2016 BIOGROUP'!$AC$27/3+'[4]4 trim 2016 BIOGROUP'!$AC$28/3,""))))))</f>
        <v>16829.166666666668</v>
      </c>
      <c r="AW25" s="431">
        <f>IF($AW$7=$AL$13,'[4]3 trim 2016 BIOGROUP'!$AC$25/3+'[4]3 trim 2016 BIOGROUP'!$AC$27/3+'[4]3 trim 2016 BIOGROUP'!$AC$28/3,IF($AW$7=$AL$14,'[4]3 trim 2016 BIOGROUP'!$AC$25/3+'[4]3 trim 2016 BIOGROUP'!$AC$27/3+'[4]3 trim 2016 BIOGROUP'!$AC$28/3,IF($AW$7=$AL$15,'[4]3 trim 2016 BIOGROUP'!$AC$25/3+'[4]3 trim 2016 BIOGROUP'!$AC$27/3+'[4]3 trim 2016 BIOGROUP'!$AC$28/3,IF($AW$7=$AL$16,'[4]4 trim 2016 BIOGROUP'!$AC$25/3+'[4]4 trim 2016 BIOGROUP'!$AC$27/3+'[4]4 trim 2016 BIOGROUP'!$AC$28/3,IF($AW$7=$AL$18,'[4]4 trim 2016 BIOGROUP'!$AC$25/3+'[4]4 trim 2016 BIOGROUP'!$AC$27/3+'[4]4 trim 2016 BIOGROUP'!$AC$28/3,IF($AW$7=$AL$19,'[4]4 trim 2016 BIOGROUP'!$AC$25/3+'[4]4 trim 2016 BIOGROUP'!$AC$27/3+'[4]4 trim 2016 BIOGROUP'!$AC$28/3,""))))))</f>
        <v>16829.166666666668</v>
      </c>
      <c r="AX25" s="431">
        <f>IF($AX$7=$AL$13,'[4]3 trim 2016 BIOGROUP'!$AC$25/3+'[4]3 trim 2016 BIOGROUP'!$AC$27/3+'[4]3 trim 2016 BIOGROUP'!$AC$28/3,IF($AX$7=$AL$14,'[4]3 trim 2016 BIOGROUP'!$AC$25/3+'[4]3 trim 2016 BIOGROUP'!$AC$27/3+'[4]3 trim 2016 BIOGROUP'!$AC$28/3,IF($AX$7=$AL$15,'[4]3 trim 2016 BIOGROUP'!$AC$25/3+'[4]3 trim 2016 BIOGROUP'!$AC$27/3+'[4]3 trim 2016 BIOGROUP'!$AC$28/3,IF($AX$7=$AL$16,'[4]4 trim 2016 BIOGROUP'!$AC$25/3+'[4]4 trim 2016 BIOGROUP'!$AC$27/3+'[4]4 trim 2016 BIOGROUP'!$AC$28/3,IF($AX$7=$AL$18,'[4]4 trim 2016 BIOGROUP'!$AC$25/3+'[4]4 trim 2016 BIOGROUP'!$AC$27/3+'[4]4 trim 2016 BIOGROUP'!$AC$28/3,IF($AX$7=$AL$19,'[4]4 trim 2016 BIOGROUP'!$AC$25/3+'[4]4 trim 2016 BIOGROUP'!$AC$27/3+'[4]4 trim 2016 BIOGROUP'!$AC$28/3,""))))))</f>
        <v>16829.166666666668</v>
      </c>
      <c r="AY25" s="431">
        <f>IF($AY$7=$AL$13,'[4]3 trim 2016 BIOGROUP'!$AC$25/3+'[4]3 trim 2016 BIOGROUP'!$AC$27/3+'[4]3 trim 2016 BIOGROUP'!$AC$28/3,IF($AY$7=$AL$14,'[4]3 trim 2016 BIOGROUP'!$AC$25/3+'[4]3 trim 2016 BIOGROUP'!$AC$27/3+'[4]3 trim 2016 BIOGROUP'!$AC$28/3,IF($AY$7=$AL$15,'[4]3 trim 2016 BIOGROUP'!$AC$25/3+'[4]3 trim 2016 BIOGROUP'!$AC$27/3+'[4]3 trim 2016 BIOGROUP'!$AC$28/3,IF($AY$7=$AL$16,'[4]4 trim 2016 BIOGROUP'!$AC$25/3+'[4]4 trim 2016 BIOGROUP'!$AC$27/3+'[4]4 trim 2016 BIOGROUP'!$AC$28/3,IF($AY$7=$AL$18,'[4]4 trim 2016 BIOGROUP'!$AC$25/3+'[4]4 trim 2016 BIOGROUP'!$AC$27/3+'[4]4 trim 2016 BIOGROUP'!$AC$28/3,IF($AY$7=$AL$19,'[4]4 trim 2016 BIOGROUP'!$AC$25/3+'[4]4 trim 2016 BIOGROUP'!$AC$27/3+'[4]4 trim 2016 BIOGROUP'!$AC$28/3,""))))))</f>
        <v>16829.166666666668</v>
      </c>
      <c r="AZ25" s="431">
        <f>IF($AZ$7=$AL$13,'[4]3 trim 2016 BIOGROUP'!$AC$25/3+'[4]3 trim 2016 BIOGROUP'!$AC$27/3+'[4]3 trim 2016 BIOGROUP'!$AC$28/3,IF($AZ$7=$AL$14,'[4]3 trim 2016 BIOGROUP'!$AC$25/3+'[4]3 trim 2016 BIOGROUP'!$AC$27/3+'[4]3 trim 2016 BIOGROUP'!$AC$28/3,IF($AZ$7=$AL$15,'[4]3 trim 2016 BIOGROUP'!$AC$25/3+'[4]3 trim 2016 BIOGROUP'!$AC$27/3+'[4]3 trim 2016 BIOGROUP'!$AC$28/3,IF($AZ$7=$AL$16,'[4]4 trim 2016 BIOGROUP'!$AC$25/3+'[4]4 trim 2016 BIOGROUP'!$AC$27/3+'[4]4 trim 2016 BIOGROUP'!$AC$28/3,IF($AZ$7=$AL$18,'[4]4 trim 2016 BIOGROUP'!$AC$25/3+'[4]4 trim 2016 BIOGROUP'!$AC$27/3+'[4]4 trim 2016 BIOGROUP'!$AC$28/3,IF($AZ$7=$AL$19,'[4]4 trim 2016 BIOGROUP'!$AC$25/3+'[4]4 trim 2016 BIOGROUP'!$AC$27/3+'[4]4 trim 2016 BIOGROUP'!$AC$28/3,""))))))</f>
        <v>16829.166666666668</v>
      </c>
      <c r="BB25" s="511">
        <f t="shared" si="5"/>
        <v>957546.21</v>
      </c>
      <c r="BC25" s="750"/>
    </row>
    <row r="26" spans="1:55" ht="26.15" customHeight="1">
      <c r="A26" s="575"/>
      <c r="B26" s="548">
        <v>645</v>
      </c>
      <c r="C26" s="450" t="s">
        <v>147</v>
      </c>
      <c r="D26" s="619"/>
      <c r="E26" s="450" t="s">
        <v>11</v>
      </c>
      <c r="F26" s="577"/>
      <c r="G26" s="475">
        <f>-577331.07-G27-G30</f>
        <v>-529379.28</v>
      </c>
      <c r="H26" s="578">
        <f>G26/G7</f>
        <v>-8.5352827654606583E-2</v>
      </c>
      <c r="J26" s="495">
        <f>-SUMIF($AO$7:$AZ$7,$G$6,AO26:AZ26)</f>
        <v>0</v>
      </c>
      <c r="K26" s="532" t="str">
        <f t="shared" si="6"/>
        <v/>
      </c>
      <c r="L26" s="431"/>
      <c r="M26" s="579">
        <f>AG26/3</f>
        <v>-476437.33</v>
      </c>
      <c r="N26" s="517">
        <f t="shared" si="1"/>
        <v>0.11112049091535293</v>
      </c>
      <c r="O26" s="580"/>
      <c r="P26" s="581" t="s">
        <v>11</v>
      </c>
      <c r="Q26" s="582" t="e">
        <f>+#REF!+'31 dec 2016 BIOLAM'!AT29+'31 dec 2016 BIOLAM'!AT30+'31 dec 2016 BIOLAM'!AT31</f>
        <v>#REF!</v>
      </c>
      <c r="R26" s="583" t="e">
        <f>Q26/Q$7</f>
        <v>#REF!</v>
      </c>
      <c r="S26" s="582" t="e">
        <f>+'31 dec 2016 BIOLAM'!AV29+#REF!+'31 dec 2016 BIOLAM'!AV30+'31 dec 2016 BIOLAM'!AV31</f>
        <v>#REF!</v>
      </c>
      <c r="T26" s="583" t="e">
        <f>S26/S$7</f>
        <v>#REF!</v>
      </c>
      <c r="U26" s="582" t="e">
        <f>+'31 dec 2016 BIOLAM'!AX29+#REF!+'31 dec 2016 BIOLAM'!AX30+'31 dec 2016 BIOLAM'!AX31</f>
        <v>#REF!</v>
      </c>
      <c r="V26" s="583" t="e">
        <f>U26/U$7</f>
        <v>#REF!</v>
      </c>
      <c r="W26" s="582" t="e">
        <f>+'31 dec 2016 BIOLAM'!AZ29+#REF!+'31 dec 2016 BIOLAM'!AZ30+'31 dec 2016 BIOLAM'!AZ31</f>
        <v>#REF!</v>
      </c>
      <c r="X26" s="583" t="e">
        <f>W26/W$7</f>
        <v>#REF!</v>
      </c>
      <c r="Y26" s="582" t="e">
        <f t="shared" si="16"/>
        <v>#REF!</v>
      </c>
      <c r="Z26" s="583" t="e">
        <f>Y26/Y$7</f>
        <v>#REF!</v>
      </c>
      <c r="AA26" s="584" t="e">
        <f t="shared" si="12"/>
        <v>#REF!</v>
      </c>
      <c r="AB26" s="475">
        <f>-1798710.63-AB27-AB30</f>
        <v>-1656126.15</v>
      </c>
      <c r="AC26" s="578">
        <f>AB26/AB7</f>
        <v>-9.2789317855855577E-2</v>
      </c>
      <c r="AD26" s="495">
        <f>-SUMIF($AO$7:$AZ$7,"&lt;="&amp;$AC$6,AO26:AZ26)</f>
        <v>0</v>
      </c>
      <c r="AE26" s="517" t="str">
        <f t="shared" si="3"/>
        <v/>
      </c>
      <c r="AG26" s="579">
        <f>-961446.56-637673.31-AG27-AG30</f>
        <v>-1429311.99</v>
      </c>
      <c r="AH26" s="517">
        <f t="shared" si="4"/>
        <v>0.15868764943334723</v>
      </c>
      <c r="AJ26" s="620"/>
      <c r="AL26" s="435"/>
      <c r="AM26" s="450" t="s">
        <v>11</v>
      </c>
      <c r="AN26" s="747"/>
      <c r="AO26" s="431">
        <f>IF($AO$7=$AL$7,'[4]1 trim 2016 BIOGROUP'!$AC$29/3,IF($AO$7=$AL$8,'[4]1 trim 2016 BIOGROUP'!$AC$29/3,IF($AO$7=$AL$9,'[4]1 trim 2016 BIOGROUP'!$AC$29/3,IF($AO$7=$AL$10,'[4]2 trim 2016 BIOGROUP'!$AC$29/3,IF($AO$7=$AL$11,'[4]2 trim 2016 BIOGROUP'!$AC$29/3,IF($AO$7=$AL$12,'[4]2 trim 2016 BIOGROUP'!$AC$29/3,""))))))</f>
        <v>25617.75</v>
      </c>
      <c r="AP26" s="431">
        <f>IF($AP$7=$AL$7,'[4]1 trim 2016 BIOGROUP'!$AC$29/3,IF($AP$7=$AL$8,'[4]1 trim 2016 BIOGROUP'!$AC$29/3,IF($AP$7=$AL$9,'[4]1 trim 2016 BIOGROUP'!$AC$29/3,IF($AP$7=$AL$10,'[4]2 trim 2016 BIOGROUP'!$AC$29/3,IF($AP$7=$AL$11,'[4]2 trim 2016 BIOGROUP'!$AC$29/3,IF($AP$7=$AL$12,'[4]2 trim 2016 BIOGROUP'!$AC$29/3,""))))))</f>
        <v>25617.75</v>
      </c>
      <c r="AQ26" s="431">
        <f>IF($AQ$7=$AL$7,'[4]1 trim 2016 BIOGROUP'!$AC$29/3,IF($AQ$7=$AL$8,'[4]1 trim 2016 BIOGROUP'!$AC$29/3,IF($AQ$7=$AL$9,'[4]1 trim 2016 BIOGROUP'!$AC$29/3,IF($AQ$7=$AL$10,'[4]2 trim 2016 BIOGROUP'!$AC$29/3,IF($AQ$7=$AL$11,'[4]2 trim 2016 BIOGROUP'!$AC$29/3,IF($AQ$7=$AL$12,'[4]2 trim 2016 BIOGROUP'!$AC$29/3,""))))))</f>
        <v>25617.75</v>
      </c>
      <c r="AR26" s="431">
        <f>IF($AR$7=$AL$7,'[4]1 trim 2016 BIOGROUP'!$AC$29/3,IF($AR$7=$AL$8,'[4]1 trim 2016 BIOGROUP'!$AC$29/3,IF($AR$7=$AL$9,'[4]1 trim 2016 BIOGROUP'!$AC$29/3,IF($AR$7=$AL$10,'[4]2 trim 2016 BIOGROUP'!$AC$29/3,IF($AR$7=$AL$11,'[4]2 trim 2016 BIOGROUP'!$AC$29/3,IF($AR$7=$AL$12,'[4]2 trim 2016 BIOGROUP'!$AC$29/3,""))))))</f>
        <v>25617.75</v>
      </c>
      <c r="AS26" s="431">
        <f>IF($AS$7=$AL$7,'[4]1 trim 2016 BIOGROUP'!$AC$29/3,IF($AS$7=$AL$8,'[4]1 trim 2016 BIOGROUP'!$AC$29/3,IF($AS$7=$AL$9,'[4]1 trim 2016 BIOGROUP'!$AC$29/3,IF($AS$7=$AL$10,'[4]2 trim 2016 BIOGROUP'!$AC$29/3,IF($AS$7=$AL$11,'[4]2 trim 2016 BIOGROUP'!$AC$29/3,IF($AS$7=$AL$12,'[4]2 trim 2016 BIOGROUP'!$AC$29/3,""))))))</f>
        <v>25617.75</v>
      </c>
      <c r="AT26" s="431">
        <f>IF($AT$7=$AL$7,'[4]1 trim 2016 BIOGROUP'!$AC$29/3,IF($AT$7=$AL$8,'[4]1 trim 2016 BIOGROUP'!$AC$29/3,IF($AT$7=$AL$9,'[4]1 trim 2016 BIOGROUP'!$AC$29/3,IF($AT$7=$AL$10,'[4]2 trim 2016 BIOGROUP'!$AC$29/3,IF($AT$7=$AL$11,'[4]2 trim 2016 BIOGROUP'!$AC$29/3,IF($AT$7=$AL$12,'[4]2 trim 2016 BIOGROUP'!$AC$29/3,""))))))</f>
        <v>25617.75</v>
      </c>
      <c r="AU26" s="431">
        <f>IF($AU$7=$AL$13,'[4]3 trim 2016 BIOGROUP'!$AC$29/3,IF($AU$7=$AL$14,'[4]3 trim 2016 BIOGROUP'!$AC$29/3,IF($AU$7=$AL$15,'[4]3 trim 2016 BIOGROUP'!$AC$29/3,IF($AU$7=$AL$16,'[4]4 trim 2016 BIOGROUP'!$AC$29/3,IF($AU$7=$AL$18,'[4]4 trim 2016 BIOGROUP'!$AC$29/3,IF($AU$7=$AL$19,'[4]4 trim 2016 BIOGROUP'!$AC$29/3,""))))))</f>
        <v>25617.75</v>
      </c>
      <c r="AV26" s="431">
        <f>IF($AV$7=$AL$13,'[4]3 trim 2016 BIOGROUP'!$AC$29/3,IF($AV$7=$AL$14,'[4]3 trim 2016 BIOGROUP'!$AC$29/3,IF($AV$7=$AL$15,'[4]3 trim 2016 BIOGROUP'!$AC$29/3,IF($AV$7=$AL$16,'[4]4 trim 2016 BIOGROUP'!$AC$29/3,IF($AV$7=$AL$18,'[4]4 trim 2016 BIOGROUP'!$AC$29/3,IF($AV$7=$AL$19,'[4]4 trim 2016 BIOGROUP'!$AC$29/3,""))))))</f>
        <v>25617.75</v>
      </c>
      <c r="AW26" s="431">
        <f>IF($AW$7=$AL$13,'[4]3 trim 2016 BIOGROUP'!$AC$29/3,IF($AW$7=$AL$14,'[4]3 trim 2016 BIOGROUP'!$AC$29/3,IF($AW$7=$AL$15,'[4]3 trim 2016 BIOGROUP'!$AC$29/3,IF($AW$7=$AL$16,'[4]4 trim 2016 BIOGROUP'!$AC$29/3,IF($AW$7=$AL$18,'[4]4 trim 2016 BIOGROUP'!$AC$29/3,IF($AW$7=$AL$19,'[4]4 trim 2016 BIOGROUP'!$AC$29/3,""))))))</f>
        <v>25617.75</v>
      </c>
      <c r="AX26" s="431">
        <f>IF($AX$7=$AL$13,'[4]3 trim 2016 BIOGROUP'!$AC$29/3,IF($AX$7=$AL$14,'[4]3 trim 2016 BIOGROUP'!$AC$29/3,IF($AX$7=$AL$15,'[4]3 trim 2016 BIOGROUP'!$AC$29/3,IF($AX$7=$AL$16,'[4]4 trim 2016 BIOGROUP'!$AC$29/3,IF($AX$7=$AL$18,'[4]4 trim 2016 BIOGROUP'!$AC$29/3,IF($AX$7=$AL$19,'[4]4 trim 2016 BIOGROUP'!$AC$29/3,""))))))</f>
        <v>25617.75</v>
      </c>
      <c r="AY26" s="431">
        <f>IF($AY$7=$AL$13,'[4]3 trim 2016 BIOGROUP'!$AC$29/3,IF($AY$7=$AL$14,'[4]3 trim 2016 BIOGROUP'!$AC$29/3,IF($AY$7=$AL$15,'[4]3 trim 2016 BIOGROUP'!$AC$29/3,IF($AY$7=$AL$16,'[4]4 trim 2016 BIOGROUP'!$AC$29/3,IF($AY$7=$AL$18,'[4]4 trim 2016 BIOGROUP'!$AC$29/3,IF($AY$7=$AL$19,'[4]4 trim 2016 BIOGROUP'!$AC$29/3,""))))))</f>
        <v>25617.75</v>
      </c>
      <c r="AZ26" s="431">
        <f>IF($AZ$7=$AL$13,'[4]3 trim 2016 BIOGROUP'!$AC$29/3,IF($AZ$7=$AL$14,'[4]3 trim 2016 BIOGROUP'!$AC$29/3,IF($AZ$7=$AL$15,'[4]3 trim 2016 BIOGROUP'!$AC$29/3,IF($AZ$7=$AL$16,'[4]4 trim 2016 BIOGROUP'!$AC$29/3,IF($AZ$7=$AL$18,'[4]4 trim 2016 BIOGROUP'!$AC$29/3,IF($AZ$7=$AL$19,'[4]4 trim 2016 BIOGROUP'!$AC$29/3,""))))))</f>
        <v>25617.75</v>
      </c>
      <c r="BB26" s="511">
        <f t="shared" si="5"/>
        <v>1656126.15</v>
      </c>
      <c r="BC26" s="750"/>
    </row>
    <row r="27" spans="1:55" ht="26.15" customHeight="1">
      <c r="A27" s="575"/>
      <c r="B27" s="548">
        <v>646</v>
      </c>
      <c r="C27" s="446" t="s">
        <v>146</v>
      </c>
      <c r="D27" s="555"/>
      <c r="E27" s="446" t="s">
        <v>32</v>
      </c>
      <c r="F27" s="577"/>
      <c r="G27" s="475">
        <v>-89789.84</v>
      </c>
      <c r="H27" s="578">
        <f>G27/G7</f>
        <v>-1.4476986592022831E-2</v>
      </c>
      <c r="J27" s="495">
        <f>-SUMIF($AO$7:$AZ$7,$G$6,AO27:AZ27)</f>
        <v>0</v>
      </c>
      <c r="K27" s="532" t="str">
        <f t="shared" si="6"/>
        <v/>
      </c>
      <c r="L27" s="431"/>
      <c r="M27" s="579">
        <f>AG27/3</f>
        <v>-98484.263333333351</v>
      </c>
      <c r="N27" s="517">
        <f t="shared" si="1"/>
        <v>-8.8282361456123185E-2</v>
      </c>
      <c r="O27" s="580"/>
      <c r="P27" s="586" t="s">
        <v>32</v>
      </c>
      <c r="Q27" s="582" t="e">
        <f>+#REF!+'31 dec 2016 BIOLAM'!AT33</f>
        <v>#REF!</v>
      </c>
      <c r="R27" s="583" t="e">
        <f>Q27/Q$7</f>
        <v>#REF!</v>
      </c>
      <c r="S27" s="582" t="e">
        <f>+'31 dec 2016 BIOLAM'!AV33+#REF!</f>
        <v>#REF!</v>
      </c>
      <c r="T27" s="583" t="e">
        <f>S27/S$7</f>
        <v>#REF!</v>
      </c>
      <c r="U27" s="582" t="e">
        <f>+'31 dec 2016 BIOLAM'!AX33+#REF!</f>
        <v>#REF!</v>
      </c>
      <c r="V27" s="583" t="e">
        <f>U27/U$7</f>
        <v>#REF!</v>
      </c>
      <c r="W27" s="582" t="e">
        <f>+'31 dec 2016 BIOLAM'!AZ33+#REF!</f>
        <v>#REF!</v>
      </c>
      <c r="X27" s="583" t="e">
        <f>W27/W$7</f>
        <v>#REF!</v>
      </c>
      <c r="Y27" s="582" t="e">
        <f t="shared" si="16"/>
        <v>#REF!</v>
      </c>
      <c r="Z27" s="583" t="e">
        <f>Y27/Y$7</f>
        <v>#REF!</v>
      </c>
      <c r="AA27" s="584" t="e">
        <f t="shared" si="12"/>
        <v>#REF!</v>
      </c>
      <c r="AB27" s="475">
        <f>-268797.48</f>
        <v>-268797.48</v>
      </c>
      <c r="AC27" s="578">
        <f>AB27/AB7</f>
        <v>-1.5060166045064249E-2</v>
      </c>
      <c r="AD27" s="495">
        <f>-SUMIF($AO$7:$AZ$7,"&lt;="&amp;$AC$6,AO27:AZ27)</f>
        <v>0</v>
      </c>
      <c r="AE27" s="517" t="str">
        <f t="shared" si="3"/>
        <v/>
      </c>
      <c r="AG27" s="579">
        <f>-189033.29-106419.5</f>
        <v>-295452.79000000004</v>
      </c>
      <c r="AH27" s="517">
        <f t="shared" si="4"/>
        <v>-9.0218508344429751E-2</v>
      </c>
      <c r="AJ27" s="587"/>
      <c r="AL27" s="435"/>
      <c r="AM27" s="446" t="s">
        <v>32</v>
      </c>
      <c r="AN27" s="747"/>
      <c r="AO27" s="431">
        <f>IF($AO$7=$AL$7,'[4]1 trim 2016 BIOGROUP'!$AC$33/3+'[4]1 trim 2016 BIOGROUP'!$AC$34/3,IF($AO$7=$AL$8,'[4]1 trim 2016 BIOGROUP'!$AC$33/3+'[4]1 trim 2016 BIOGROUP'!$AC$34/3,IF($AO$7=$AL$9,'[4]1 trim 2016 BIOGROUP'!$AC$33/3+'[4]1 trim 2016 BIOGROUP'!$AC$34/3,IF($AO$7=$AL$10,'[4]2 trim 2016 BIOGROUP'!$AC$33/3+'[4]2 trim 2016 BIOGROUP'!$AC$34/3,IF($AO$7=$AL$11,'[4]2 trim 2016 BIOGROUP'!$AC$33/3+'[4]2 trim 2016 BIOGROUP'!$AC$34/3,IF($AO$7=$AL$12,'[4]2 trim 2016 BIOGROUP'!$AC$33/3+'[4]2 trim 2016 BIOGROUP'!$AC$34/3,""))))))</f>
        <v>12117</v>
      </c>
      <c r="AP27" s="431">
        <f>IF($AP$7=$AL$7,'[4]1 trim 2016 BIOGROUP'!$AC$33/3+'[4]1 trim 2016 BIOGROUP'!$AC$34/3,IF($AP$7=$AL$8,'[4]1 trim 2016 BIOGROUP'!$AC$33/3+'[4]1 trim 2016 BIOGROUP'!$AC$34/3,IF($AP$7=$AL$9,'[4]1 trim 2016 BIOGROUP'!$AC$33/3+'[4]1 trim 2016 BIOGROUP'!$AC$34/3,IF($AP$7=$AL$10,'[4]2 trim 2016 BIOGROUP'!$AC$33/3+'[4]2 trim 2016 BIOGROUP'!$AC$34/3,IF($AP$7=$AL$11,'[4]2 trim 2016 BIOGROUP'!$AC$33/3+'[4]2 trim 2016 BIOGROUP'!$AC$34/3,IF($AP$7=$AL$12,'[4]2 trim 2016 BIOGROUP'!$AC$33/3+'[4]2 trim 2016 BIOGROUP'!$AC$34/3,""))))))</f>
        <v>12117</v>
      </c>
      <c r="AQ27" s="431">
        <f>IF($AQ$7=$AL$7,'[4]1 trim 2016 BIOGROUP'!$AC$33/3+'[4]1 trim 2016 BIOGROUP'!$AC$34/3,IF($AQ$7=$AL$8,'[4]1 trim 2016 BIOGROUP'!$AC$33/3+'[4]1 trim 2016 BIOGROUP'!$AC$34/3,IF($AQ$7=$AL$9,'[4]1 trim 2016 BIOGROUP'!$AC$33/3+'[4]1 trim 2016 BIOGROUP'!$AC$34/3,IF($AQ$7=$AL$10,'[4]2 trim 2016 BIOGROUP'!$AC$33/3+'[4]2 trim 2016 BIOGROUP'!$AC$34/3,IF($AQ$7=$AL$11,'[4]2 trim 2016 BIOGROUP'!$AC$33/3+'[4]2 trim 2016 BIOGROUP'!$AC$34/3,IF($AQ$7=$AL$12,'[4]2 trim 2016 BIOGROUP'!$AC$33/3+'[4]2 trim 2016 BIOGROUP'!$AC$34/3,""))))))</f>
        <v>12117</v>
      </c>
      <c r="AR27" s="431">
        <f>IF($AR$7=$AL$7,'[4]1 trim 2016 BIOGROUP'!$AC$33/3+'[4]1 trim 2016 BIOGROUP'!$AC$34/3,IF($AR$7=$AL$8,'[4]1 trim 2016 BIOGROUP'!$AC$33/3+'[4]1 trim 2016 BIOGROUP'!$AC$34/3,IF($AR$7=$AL$9,'[4]1 trim 2016 BIOGROUP'!$AC$33/3+'[4]1 trim 2016 BIOGROUP'!$AC$34/3,IF($AR$7=$AL$10,'[4]2 trim 2016 BIOGROUP'!$AC$33/3+'[4]2 trim 2016 BIOGROUP'!$AC$34/3,IF($AR$7=$AL$11,'[4]2 trim 2016 BIOGROUP'!$AC$33/3+'[4]2 trim 2016 BIOGROUP'!$AC$34/3,IF($AR$7=$AL$12,'[4]2 trim 2016 BIOGROUP'!$AC$33/3+'[4]2 trim 2016 BIOGROUP'!$AC$34/3,""))))))</f>
        <v>12117</v>
      </c>
      <c r="AS27" s="431">
        <f>IF($AS$7=$AL$7,'[4]1 trim 2016 BIOGROUP'!$AC$33/3+'[4]1 trim 2016 BIOGROUP'!$AC$34/3,IF($AS$7=$AL$8,'[4]1 trim 2016 BIOGROUP'!$AC$33/3+'[4]1 trim 2016 BIOGROUP'!$AC$34/3,IF($AS$7=$AL$9,'[4]1 trim 2016 BIOGROUP'!$AC$33/3+'[4]1 trim 2016 BIOGROUP'!$AC$34/3,IF($AS$7=$AL$10,'[4]2 trim 2016 BIOGROUP'!$AC$33/3+'[4]2 trim 2016 BIOGROUP'!$AC$34/3,IF($AS$7=$AL$11,'[4]2 trim 2016 BIOGROUP'!$AC$33/3+'[4]2 trim 2016 BIOGROUP'!$AC$34/3,IF($AS$7=$AL$12,'[4]2 trim 2016 BIOGROUP'!$AC$33/3+'[4]2 trim 2016 BIOGROUP'!$AC$34/3,""))))))</f>
        <v>12117</v>
      </c>
      <c r="AT27" s="431">
        <f>IF($AT$7=$AL$7,'[4]1 trim 2016 BIOGROUP'!$AC$33/3+'[4]1 trim 2016 BIOGROUP'!$AC$34/3,IF($AT$7=$AL$8,'[4]1 trim 2016 BIOGROUP'!$AC$33/3+'[4]1 trim 2016 BIOGROUP'!$AC$34/3,IF($AT$7=$AL$9,'[4]1 trim 2016 BIOGROUP'!$AC$33/3+'[4]1 trim 2016 BIOGROUP'!$AC$34/3,IF($AT$7=$AL$10,'[4]2 trim 2016 BIOGROUP'!$AC$33/3+'[4]2 trim 2016 BIOGROUP'!$AC$34/3,IF($AT$7=$AL$11,'[4]2 trim 2016 BIOGROUP'!$AC$33/3+'[4]2 trim 2016 BIOGROUP'!$AC$34/3,IF($AT$7=$AL$12,'[4]2 trim 2016 BIOGROUP'!$AC$33/3+'[4]2 trim 2016 BIOGROUP'!$AC$34/3,""))))))</f>
        <v>12117</v>
      </c>
      <c r="AU27" s="431">
        <f>IF($AU$7=$AL$13,'[4]3 trim 2016 BIOGROUP'!$AC$33/3+'[4]3 trim 2016 BIOGROUP'!$AC$34/3,IF($AU$7=$AL$14,'[4]3 trim 2016 BIOGROUP'!$AC$33/3+'[4]3 trim 2016 BIOGROUP'!$AC$34/3,IF($AU$7=$AL$15,'[4]3 trim 2016 BIOGROUP'!$AC$33/3+'[4]3 trim 2016 BIOGROUP'!$AC$34/3,IF($AU$7=$AL$16,'[4]4 trim 2016 BIOGROUP'!$AC$33/3+'[4]4 trim 2016 BIOGROUP'!$AC$34/3,IF($AU$7=$AL$18,'[4]4 trim 2016 BIOGROUP'!$AC$33/3+'[4]4 trim 2016 BIOGROUP'!$AC$34/3,IF($AU$7=$AL$19,'[4]4 trim 2016 BIOGROUP'!$AC$33/3+'[4]4 trim 2016 BIOGROUP'!$AC$34/3,""))))))</f>
        <v>12117</v>
      </c>
      <c r="AV27" s="431">
        <f>IF($AV$7=$AL$13,'[4]3 trim 2016 BIOGROUP'!$AC$33/3+'[4]3 trim 2016 BIOGROUP'!$AC$34/3,IF($AV$7=$AL$14,'[4]3 trim 2016 BIOGROUP'!$AC$33/3+'[4]3 trim 2016 BIOGROUP'!$AC$34/3,IF($AV$7=$AL$15,'[4]3 trim 2016 BIOGROUP'!$AC$33/3+'[4]3 trim 2016 BIOGROUP'!$AC$34/3,IF($AV$7=$AL$16,'[4]4 trim 2016 BIOGROUP'!$AC$33/3+'[4]4 trim 2016 BIOGROUP'!$AC$34/3,IF($AV$7=$AL$18,'[4]4 trim 2016 BIOGROUP'!$AC$33/3+'[4]4 trim 2016 BIOGROUP'!$AC$34/3,IF($AV$7=$AL$19,'[4]4 trim 2016 BIOGROUP'!$AC$33/3+'[4]4 trim 2016 BIOGROUP'!$AC$34/3,""))))))</f>
        <v>12117</v>
      </c>
      <c r="AW27" s="431">
        <f>IF($AW$7=$AL$13,'[4]3 trim 2016 BIOGROUP'!$AC$33/3+'[4]3 trim 2016 BIOGROUP'!$AC$34/3,IF($AW$7=$AL$14,'[4]3 trim 2016 BIOGROUP'!$AC$33/3+'[4]3 trim 2016 BIOGROUP'!$AC$34/3,IF($AW$7=$AL$15,'[4]3 trim 2016 BIOGROUP'!$AC$33/3+'[4]3 trim 2016 BIOGROUP'!$AC$34/3,IF($AW$7=$AL$16,'[4]4 trim 2016 BIOGROUP'!$AC$33/3+'[4]4 trim 2016 BIOGROUP'!$AC$34/3,IF($AW$7=$AL$18,'[4]4 trim 2016 BIOGROUP'!$AC$33/3+'[4]4 trim 2016 BIOGROUP'!$AC$34/3,IF($AW$7=$AL$19,'[4]4 trim 2016 BIOGROUP'!$AC$33/3+'[4]4 trim 2016 BIOGROUP'!$AC$34/3,""))))))</f>
        <v>12117</v>
      </c>
      <c r="AX27" s="431">
        <f>IF($AX$7=$AL$13,'[4]3 trim 2016 BIOGROUP'!$AC$33/3+'[4]3 trim 2016 BIOGROUP'!$AC$34/3,IF($AX$7=$AL$14,'[4]3 trim 2016 BIOGROUP'!$AC$33/3+'[4]3 trim 2016 BIOGROUP'!$AC$34/3,IF($AX$7=$AL$15,'[4]3 trim 2016 BIOGROUP'!$AC$33/3+'[4]3 trim 2016 BIOGROUP'!$AC$34/3,IF($AX$7=$AL$16,'[4]4 trim 2016 BIOGROUP'!$AC$33/3+'[4]4 trim 2016 BIOGROUP'!$AC$34/3,IF($AX$7=$AL$18,'[4]4 trim 2016 BIOGROUP'!$AC$33/3+'[4]4 trim 2016 BIOGROUP'!$AC$34/3,IF($AX$7=$AL$19,'[4]4 trim 2016 BIOGROUP'!$AC$33/3+'[4]4 trim 2016 BIOGROUP'!$AC$34/3,""))))))</f>
        <v>12117</v>
      </c>
      <c r="AY27" s="431">
        <f>IF($AY$7=$AL$13,'[4]3 trim 2016 BIOGROUP'!$AC$33/3+'[4]3 trim 2016 BIOGROUP'!$AC$34/3,IF($AY$7=$AL$14,'[4]3 trim 2016 BIOGROUP'!$AC$33/3+'[4]3 trim 2016 BIOGROUP'!$AC$34/3,IF($AY$7=$AL$15,'[4]3 trim 2016 BIOGROUP'!$AC$33/3+'[4]3 trim 2016 BIOGROUP'!$AC$34/3,IF($AY$7=$AL$16,'[4]4 trim 2016 BIOGROUP'!$AC$33/3+'[4]4 trim 2016 BIOGROUP'!$AC$34/3,IF($AY$7=$AL$18,'[4]4 trim 2016 BIOGROUP'!$AC$33/3+'[4]4 trim 2016 BIOGROUP'!$AC$34/3,IF($AY$7=$AL$19,'[4]4 trim 2016 BIOGROUP'!$AC$33/3+'[4]4 trim 2016 BIOGROUP'!$AC$34/3,""))))))</f>
        <v>12117</v>
      </c>
      <c r="AZ27" s="431">
        <f>IF($AZ$7=$AL$13,'[4]3 trim 2016 BIOGROUP'!$AC$33/3+'[4]3 trim 2016 BIOGROUP'!$AC$34/3,IF($AZ$7=$AL$14,'[4]3 trim 2016 BIOGROUP'!$AC$33/3+'[4]3 trim 2016 BIOGROUP'!$AC$34/3,IF($AZ$7=$AL$15,'[4]3 trim 2016 BIOGROUP'!$AC$33/3+'[4]3 trim 2016 BIOGROUP'!$AC$34/3,IF($AZ$7=$AL$16,'[4]4 trim 2016 BIOGROUP'!$AC$33/3+'[4]4 trim 2016 BIOGROUP'!$AC$34/3,IF($AZ$7=$AL$18,'[4]4 trim 2016 BIOGROUP'!$AC$33/3+'[4]4 trim 2016 BIOGROUP'!$AC$34/3,IF($AZ$7=$AL$19,'[4]4 trim 2016 BIOGROUP'!$AC$33/3+'[4]4 trim 2016 BIOGROUP'!$AC$34/3,""))))))</f>
        <v>12117</v>
      </c>
      <c r="BB27" s="511">
        <f t="shared" si="5"/>
        <v>268797.48</v>
      </c>
      <c r="BC27" s="750"/>
    </row>
    <row r="28" spans="1:55" ht="26.15" customHeight="1">
      <c r="A28" s="575"/>
      <c r="B28" s="548">
        <v>654</v>
      </c>
      <c r="C28" s="451" t="s">
        <v>92</v>
      </c>
      <c r="D28" s="439"/>
      <c r="E28" s="451" t="s">
        <v>93</v>
      </c>
      <c r="F28" s="577"/>
      <c r="G28" s="476">
        <v>0</v>
      </c>
      <c r="H28" s="591">
        <f>+G28/G7</f>
        <v>0</v>
      </c>
      <c r="J28" s="501">
        <v>0</v>
      </c>
      <c r="K28" s="530" t="str">
        <f t="shared" si="6"/>
        <v/>
      </c>
      <c r="L28" s="431"/>
      <c r="M28" s="598">
        <f>AG28/3</f>
        <v>0</v>
      </c>
      <c r="N28" s="518" t="str">
        <f t="shared" si="1"/>
        <v/>
      </c>
      <c r="O28" s="592"/>
      <c r="P28" s="621"/>
      <c r="Q28" s="607"/>
      <c r="R28" s="622"/>
      <c r="S28" s="607"/>
      <c r="T28" s="622"/>
      <c r="U28" s="607"/>
      <c r="V28" s="622"/>
      <c r="W28" s="607"/>
      <c r="X28" s="622"/>
      <c r="Y28" s="607"/>
      <c r="Z28" s="622"/>
      <c r="AA28" s="609"/>
      <c r="AB28" s="476">
        <v>0</v>
      </c>
      <c r="AC28" s="591">
        <f>AB28/AB7</f>
        <v>0</v>
      </c>
      <c r="AD28" s="501">
        <v>0</v>
      </c>
      <c r="AE28" s="518" t="str">
        <f t="shared" si="3"/>
        <v/>
      </c>
      <c r="AG28" s="598">
        <v>0</v>
      </c>
      <c r="AH28" s="518" t="str">
        <f t="shared" si="4"/>
        <v/>
      </c>
      <c r="AL28" s="435"/>
      <c r="AM28" s="451" t="s">
        <v>93</v>
      </c>
      <c r="AN28" s="747"/>
      <c r="BB28" s="511">
        <f t="shared" si="5"/>
        <v>0</v>
      </c>
      <c r="BC28" s="750"/>
    </row>
    <row r="29" spans="1:55" ht="37.5" customHeight="1">
      <c r="A29" s="575"/>
      <c r="B29" s="548"/>
      <c r="C29" s="452" t="s">
        <v>94</v>
      </c>
      <c r="D29" s="439"/>
      <c r="E29" s="452" t="s">
        <v>117</v>
      </c>
      <c r="F29" s="577"/>
      <c r="G29" s="479">
        <f>+G11+G15+G21+G23+G28</f>
        <v>-4303161.16</v>
      </c>
      <c r="H29" s="623">
        <f>+G29/G7</f>
        <v>-0.6938068540564658</v>
      </c>
      <c r="J29" s="502">
        <f>+J11+J15+J21+J23+J28</f>
        <v>0</v>
      </c>
      <c r="K29" s="534" t="str">
        <f t="shared" si="6"/>
        <v/>
      </c>
      <c r="L29" s="431"/>
      <c r="M29" s="502">
        <f>+M11+M15+M21+M23+M28</f>
        <v>-3823112.0366666671</v>
      </c>
      <c r="N29" s="520">
        <f>IF(ISERROR((G29-M29)/M29),"",(G29-M29)/M29)</f>
        <v>0.12556501581153845</v>
      </c>
      <c r="O29" s="624"/>
      <c r="P29" s="625"/>
      <c r="Q29" s="594" t="e">
        <f>+#REF!+'31 dec 2016 BIOLAM'!AT35</f>
        <v>#REF!</v>
      </c>
      <c r="R29" s="517"/>
      <c r="S29" s="594" t="e">
        <f>+'31 dec 2016 BIOLAM'!AV35+#REF!</f>
        <v>#REF!</v>
      </c>
      <c r="T29" s="517"/>
      <c r="U29" s="594" t="e">
        <f>+'31 dec 2016 BIOLAM'!AX35+#REF!</f>
        <v>#REF!</v>
      </c>
      <c r="V29" s="517"/>
      <c r="W29" s="594" t="e">
        <f>+'31 dec 2016 BIOLAM'!AZ35+#REF!</f>
        <v>#REF!</v>
      </c>
      <c r="X29" s="517"/>
      <c r="Y29" s="594" t="e">
        <f t="shared" si="16"/>
        <v>#REF!</v>
      </c>
      <c r="Z29" s="517"/>
      <c r="AA29" s="626" t="e">
        <f>+G29-Y29</f>
        <v>#REF!</v>
      </c>
      <c r="AB29" s="479">
        <f>+AB11+AB15+AB21+AB23+AB28</f>
        <v>-12596002.210000001</v>
      </c>
      <c r="AC29" s="623">
        <f>AB29/AB7</f>
        <v>-0.70572791376837418</v>
      </c>
      <c r="AD29" s="502">
        <f>+AD11+AD15+AD21+AD23+AD28</f>
        <v>0</v>
      </c>
      <c r="AE29" s="520" t="str">
        <f t="shared" si="3"/>
        <v/>
      </c>
      <c r="AG29" s="502">
        <f>+AG11+AG15+AG21+AG23+AG28</f>
        <v>-11469336.109999999</v>
      </c>
      <c r="AH29" s="520">
        <f t="shared" si="4"/>
        <v>9.8232895888165014E-2</v>
      </c>
      <c r="AJ29" s="627"/>
      <c r="AL29" s="435"/>
      <c r="AM29" s="452" t="s">
        <v>117</v>
      </c>
      <c r="AN29" s="747"/>
      <c r="AO29" s="741">
        <f>+AO11+AO15+AO21+AO23+AO28</f>
        <v>-244163.25</v>
      </c>
      <c r="AP29" s="741">
        <f t="shared" ref="AP29:AZ29" si="17">+AP11+AP15+AP21+AP23+AP28</f>
        <v>-244163.25</v>
      </c>
      <c r="AQ29" s="741">
        <f t="shared" si="17"/>
        <v>-244163.25</v>
      </c>
      <c r="AR29" s="741">
        <f t="shared" si="17"/>
        <v>-244163.25</v>
      </c>
      <c r="AS29" s="741">
        <f t="shared" si="17"/>
        <v>-244163.25</v>
      </c>
      <c r="AT29" s="741">
        <f t="shared" si="17"/>
        <v>-244163.25</v>
      </c>
      <c r="AU29" s="741">
        <f t="shared" si="17"/>
        <v>-244163.25</v>
      </c>
      <c r="AV29" s="741">
        <f t="shared" si="17"/>
        <v>-244163.25</v>
      </c>
      <c r="AW29" s="741">
        <f t="shared" si="17"/>
        <v>-244163.25</v>
      </c>
      <c r="AX29" s="741">
        <f t="shared" si="17"/>
        <v>-244163.25</v>
      </c>
      <c r="AY29" s="741">
        <f t="shared" si="17"/>
        <v>-244163.25</v>
      </c>
      <c r="AZ29" s="741">
        <f t="shared" si="17"/>
        <v>-244163.25</v>
      </c>
      <c r="BB29" s="748">
        <f t="shared" si="5"/>
        <v>12596002.210000001</v>
      </c>
      <c r="BC29" s="752"/>
    </row>
    <row r="30" spans="1:55" s="439" customFormat="1" ht="33" customHeight="1">
      <c r="A30" s="628"/>
      <c r="B30" s="629"/>
      <c r="C30" s="453" t="s">
        <v>125</v>
      </c>
      <c r="D30" s="630"/>
      <c r="E30" s="453" t="s">
        <v>126</v>
      </c>
      <c r="F30" s="631"/>
      <c r="G30" s="480">
        <v>41838.050000000003</v>
      </c>
      <c r="H30" s="632">
        <f>G30/G7</f>
        <v>6.7456283348581629E-3</v>
      </c>
      <c r="I30" s="431"/>
      <c r="J30" s="503">
        <f>-SUMIF($AO$7:$AZ$7,$G$6,AO30:AZ30)</f>
        <v>0</v>
      </c>
      <c r="K30" s="535" t="str">
        <f t="shared" si="6"/>
        <v/>
      </c>
      <c r="L30" s="431"/>
      <c r="M30" s="633">
        <f>AG30/3</f>
        <v>41881.636666666665</v>
      </c>
      <c r="N30" s="527">
        <f t="shared" si="1"/>
        <v>-1.040710682191483E-3</v>
      </c>
      <c r="O30" s="634"/>
      <c r="P30" s="635" t="s">
        <v>61</v>
      </c>
      <c r="Q30" s="636" t="e">
        <f>+#REF!+'31 dec 2016 BIOLAM'!AT36</f>
        <v>#REF!</v>
      </c>
      <c r="R30" s="637" t="e">
        <f>Q30/Q$7</f>
        <v>#REF!</v>
      </c>
      <c r="S30" s="636" t="e">
        <f>+'31 dec 2016 BIOLAM'!AV36+#REF!</f>
        <v>#REF!</v>
      </c>
      <c r="T30" s="637" t="e">
        <f>S30/S$7</f>
        <v>#REF!</v>
      </c>
      <c r="U30" s="636" t="e">
        <f>+'31 dec 2016 BIOLAM'!AX36+#REF!</f>
        <v>#REF!</v>
      </c>
      <c r="V30" s="637" t="e">
        <f>U30/U$7</f>
        <v>#REF!</v>
      </c>
      <c r="W30" s="636" t="e">
        <f>+'31 dec 2016 BIOLAM'!AZ36+#REF!</f>
        <v>#REF!</v>
      </c>
      <c r="X30" s="637" t="e">
        <f>W30/W$7</f>
        <v>#REF!</v>
      </c>
      <c r="Y30" s="638" t="e">
        <f t="shared" si="16"/>
        <v>#REF!</v>
      </c>
      <c r="Z30" s="637" t="e">
        <f>Y30/Y$7</f>
        <v>#REF!</v>
      </c>
      <c r="AA30" s="639" t="e">
        <f>+G30-Y30</f>
        <v>#REF!</v>
      </c>
      <c r="AB30" s="480">
        <f>126213</f>
        <v>126213</v>
      </c>
      <c r="AC30" s="632">
        <f>AB30/AB7</f>
        <v>7.0714529654284496E-3</v>
      </c>
      <c r="AD30" s="503">
        <f>-SUMIF($AO$7:$AZ$7,"&lt;="&amp;$AC$6,AO30:AZ30)</f>
        <v>0</v>
      </c>
      <c r="AE30" s="521" t="str">
        <f t="shared" si="3"/>
        <v/>
      </c>
      <c r="AF30" s="431"/>
      <c r="AG30" s="633">
        <f>71003+54641.91</f>
        <v>125644.91</v>
      </c>
      <c r="AH30" s="527">
        <f t="shared" si="4"/>
        <v>4.5213928682029097E-3</v>
      </c>
      <c r="AM30" s="453" t="s">
        <v>126</v>
      </c>
      <c r="AN30" s="747"/>
      <c r="AO30" s="431">
        <f>IF($AO$7=$AL$7,'[4]1 trim 2016 BIOGROUP'!$AC$36/3,IF($AO$7=$AL$8,'[4]1 trim 2016 BIOGROUP'!$AC$36/3,IF($AO$7=$AL$9,'[4]1 trim 2016 BIOGROUP'!$AC$36/3,IF($AO$7=$AL$10,'[4]2 trim 2016 BIOGROUP'!$AC$36/3,IF($AO$7=$AL$11,'[4]2 trim 2016 BIOGROUP'!$AC$36/3,IF($AO$7=$AL$12,'[4]2 trim 2016 BIOGROUP'!$AC$36/3,""))))))</f>
        <v>-3470.75</v>
      </c>
      <c r="AP30" s="431">
        <f>IF($AP$7=$AL$7,'[4]1 trim 2016 BIOGROUP'!$AC$36/3,IF($AP$7=$AL$8,'[4]1 trim 2016 BIOGROUP'!$AC$36/3,IF($AP$7=$AL$9,'[4]1 trim 2016 BIOGROUP'!$AC$36/3,IF($AP$7=$AL$10,'[4]2 trim 2016 BIOGROUP'!$AC$36/3,IF($AP$7=$AL$11,'[4]2 trim 2016 BIOGROUP'!$AC$36/3,IF($AP$7=$AL$12,'[4]2 trim 2016 BIOGROUP'!$AC$36/3,""))))))</f>
        <v>-3470.75</v>
      </c>
      <c r="AQ30" s="431">
        <f>IF($AQ$7=$AL$7,'[4]1 trim 2016 BIOGROUP'!$AC$36/3,IF($AQ$7=$AL$8,'[4]1 trim 2016 BIOGROUP'!$AC$36/3,IF($AQ$7=$AL$9,'[4]1 trim 2016 BIOGROUP'!$AC$36/3,IF($AQ$7=$AL$10,'[4]2 trim 2016 BIOGROUP'!$AC$36/3,IF($AQ$7=$AL$11,'[4]2 trim 2016 BIOGROUP'!$AC$36/3,IF($AQ$7=$AL$12,'[4]2 trim 2016 BIOGROUP'!$AC$36/3,""))))))</f>
        <v>-3470.75</v>
      </c>
      <c r="AR30" s="431">
        <f>IF($AR$7=$AL$7,'[4]1 trim 2016 BIOGROUP'!$AC$36/3,IF($AR$7=$AL$8,'[4]1 trim 2016 BIOGROUP'!$AC$36/3,IF($AR$7=$AL$9,'[4]1 trim 2016 BIOGROUP'!$AC$36/3,IF($AR$7=$AL$10,'[4]2 trim 2016 BIOGROUP'!$AC$36/3,IF($AR$7=$AL$11,'[4]2 trim 2016 BIOGROUP'!$AC$36/3,IF($AR$7=$AL$12,'[4]2 trim 2016 BIOGROUP'!$AC$36/3,""))))))</f>
        <v>-3470.75</v>
      </c>
      <c r="AS30" s="431">
        <f>IF($AS$7=$AL$7,'[4]1 trim 2016 BIOGROUP'!$AC$36/3,IF($AS$7=$AL$8,'[4]1 trim 2016 BIOGROUP'!$AC$36/3,IF($AS$7=$AL$9,'[4]1 trim 2016 BIOGROUP'!$AC$36/3,IF($AS$7=$AL$10,'[4]2 trim 2016 BIOGROUP'!$AC$36/3,IF($AS$7=$AL$11,'[4]2 trim 2016 BIOGROUP'!$AC$36/3,IF($AS$7=$AL$12,'[4]2 trim 2016 BIOGROUP'!$AC$36/3,""))))))</f>
        <v>-3470.75</v>
      </c>
      <c r="AT30" s="431">
        <f>IF($AT$7=$AL$7,'[4]1 trim 2016 BIOGROUP'!$AC$36/3,IF($AT$7=$AL$8,'[4]1 trim 2016 BIOGROUP'!$AC$36/3,IF($AT$7=$AL$9,'[4]1 trim 2016 BIOGROUP'!$AC$36/3,IF($AT$7=$AL$10,'[4]2 trim 2016 BIOGROUP'!$AC$36/3,IF($AT$7=$AL$11,'[4]2 trim 2016 BIOGROUP'!$AC$36/3,IF($AT$7=$AL$12,'[4]2 trim 2016 BIOGROUP'!$AC$36/3,""))))))</f>
        <v>-3470.75</v>
      </c>
      <c r="AU30" s="431">
        <f>IF($AU$7=$AL$13,'[4]3 trim 2016 BIOGROUP'!$AC$36/3,IF($AU$7=$AL$14,'[4]3 trim 2016 BIOGROUP'!$AC$36/3,IF($AU$7=$AL$15,'[4]3 trim 2016 BIOGROUP'!$AC$36/3,IF($AU$7=$AL$16,'[4]4 trim 2016 BIOGROUP'!$AC$36/3,IF($AU$7=$AL$18,'[4]4 trim 2016 BIOGROUP'!$AC$36/3,IF($AU$7=$AL$19,'[4]4 trim 2016 BIOGROUP'!$AC$36/3,""))))))</f>
        <v>-3470.75</v>
      </c>
      <c r="AV30" s="431">
        <f>IF($AV$7=$AL$13,'[4]3 trim 2016 BIOGROUP'!$AC$36/3,IF($AV$7=$AL$14,'[4]3 trim 2016 BIOGROUP'!$AC$36/3,IF($AV$7=$AL$15,'[4]3 trim 2016 BIOGROUP'!$AC$36/3,IF($AV$7=$AL$16,'[4]4 trim 2016 BIOGROUP'!$AC$36/3,IF($AV$7=$AL$18,'[4]4 trim 2016 BIOGROUP'!$AC$36/3,IF($AV$7=$AL$19,'[4]4 trim 2016 BIOGROUP'!$AC$36/3,""))))))</f>
        <v>-3470.75</v>
      </c>
      <c r="AW30" s="431">
        <f>IF($AW$7=$AL$13,'[4]3 trim 2016 BIOGROUP'!$AC$36/3,IF($AW$7=$AL$14,'[4]3 trim 2016 BIOGROUP'!$AC$36/3,IF($AW$7=$AL$15,'[4]3 trim 2016 BIOGROUP'!$AC$36/3,IF($AW$7=$AL$16,'[4]4 trim 2016 BIOGROUP'!$AC$36/3,IF($AW$7=$AL$18,'[4]4 trim 2016 BIOGROUP'!$AC$36/3,IF($AW$7=$AL$19,'[4]4 trim 2016 BIOGROUP'!$AC$36/3,""))))))</f>
        <v>-3470.75</v>
      </c>
      <c r="AX30" s="431">
        <f>IF($AX$7=$AL$13,'[4]3 trim 2016 BIOGROUP'!$AC$36/3,IF($AX$7=$AL$14,'[4]3 trim 2016 BIOGROUP'!$AC$36/3,IF($AX$7=$AL$15,'[4]3 trim 2016 BIOGROUP'!$AC$36/3,IF($AX$7=$AL$16,'[4]4 trim 2016 BIOGROUP'!$AC$36/3,IF($AX$7=$AL$18,'[4]4 trim 2016 BIOGROUP'!$AC$36/3,IF($AX$7=$AL$19,'[4]4 trim 2016 BIOGROUP'!$AC$36/3,""))))))</f>
        <v>-3470.75</v>
      </c>
      <c r="AY30" s="431">
        <f>IF($AY$7=$AL$13,'[4]3 trim 2016 BIOGROUP'!$AC$36/3,IF($AY$7=$AL$14,'[4]3 trim 2016 BIOGROUP'!$AC$36/3,IF($AY$7=$AL$15,'[4]3 trim 2016 BIOGROUP'!$AC$36/3,IF($AY$7=$AL$16,'[4]4 trim 2016 BIOGROUP'!$AC$36/3,IF($AY$7=$AL$18,'[4]4 trim 2016 BIOGROUP'!$AC$36/3,IF($AY$7=$AL$19,'[4]4 trim 2016 BIOGROUP'!$AC$36/3,""))))))</f>
        <v>-3470.75</v>
      </c>
      <c r="AZ30" s="431">
        <f>IF($AZ$7=$AL$13,'[4]3 trim 2016 BIOGROUP'!$AC$36/3,IF($AZ$7=$AL$14,'[4]3 trim 2016 BIOGROUP'!$AC$36/3,IF($AZ$7=$AL$15,'[4]3 trim 2016 BIOGROUP'!$AC$36/3,IF($AZ$7=$AL$16,'[4]4 trim 2016 BIOGROUP'!$AC$36/3,IF($AZ$7=$AL$18,'[4]4 trim 2016 BIOGROUP'!$AC$36/3,IF($AZ$7=$AL$19,'[4]4 trim 2016 BIOGROUP'!$AC$36/3,""))))))</f>
        <v>-3470.75</v>
      </c>
      <c r="BB30" s="511">
        <f t="shared" si="5"/>
        <v>126213</v>
      </c>
      <c r="BC30" s="749"/>
    </row>
    <row r="31" spans="1:55" ht="26.15" customHeight="1">
      <c r="A31" s="565"/>
      <c r="B31" s="566"/>
      <c r="C31" s="454" t="s">
        <v>97</v>
      </c>
      <c r="D31" s="439"/>
      <c r="E31" s="454" t="s">
        <v>12</v>
      </c>
      <c r="G31" s="481">
        <f>G7+G29+G30</f>
        <v>1940923.43</v>
      </c>
      <c r="H31" s="641">
        <f>G31/G7</f>
        <v>0.31293877427839234</v>
      </c>
      <c r="J31" s="504">
        <f>J7+J29+J30</f>
        <v>0</v>
      </c>
      <c r="K31" s="505" t="str">
        <f t="shared" si="6"/>
        <v/>
      </c>
      <c r="L31" s="431"/>
      <c r="M31" s="504">
        <f>M7+M29+M30</f>
        <v>1195565.0999999996</v>
      </c>
      <c r="N31" s="522">
        <f t="shared" si="1"/>
        <v>0.62343600528319243</v>
      </c>
      <c r="O31" s="580"/>
      <c r="P31" s="611" t="s">
        <v>12</v>
      </c>
      <c r="Q31" s="618" t="e">
        <f>+Q7-Q11-Q15-Q21-Q23</f>
        <v>#REF!</v>
      </c>
      <c r="R31" s="517" t="e">
        <f>Q31/Q$7</f>
        <v>#REF!</v>
      </c>
      <c r="S31" s="618" t="e">
        <f>+S7-S11-S15-S21-S23</f>
        <v>#REF!</v>
      </c>
      <c r="T31" s="517" t="e">
        <f>S31/S$7</f>
        <v>#REF!</v>
      </c>
      <c r="U31" s="618" t="e">
        <f>+U7-U11-U15-U21-U23</f>
        <v>#REF!</v>
      </c>
      <c r="V31" s="517" t="e">
        <f>U31/U$7</f>
        <v>#REF!</v>
      </c>
      <c r="W31" s="618" t="e">
        <f>+W7-W11-W15-W21-W23</f>
        <v>#REF!</v>
      </c>
      <c r="X31" s="517" t="e">
        <f>W31/W$7</f>
        <v>#REF!</v>
      </c>
      <c r="Y31" s="618" t="e">
        <f>+Y7-Y11-Y15-Y21-Y23</f>
        <v>#REF!</v>
      </c>
      <c r="Z31" s="517" t="e">
        <f>Y31/Y$7</f>
        <v>#REF!</v>
      </c>
      <c r="AA31" s="584" t="e">
        <f>+G31-Y31</f>
        <v>#REF!</v>
      </c>
      <c r="AB31" s="481">
        <f>AB7+AB29+AB30</f>
        <v>5378452.25</v>
      </c>
      <c r="AC31" s="641">
        <f>AB31/AB7</f>
        <v>0.30134353919705431</v>
      </c>
      <c r="AD31" s="504">
        <f>AD7+AD29+AD30</f>
        <v>0</v>
      </c>
      <c r="AE31" s="522" t="str">
        <f t="shared" si="3"/>
        <v/>
      </c>
      <c r="AG31" s="504">
        <f>+AG7+AG29+AG30</f>
        <v>3586695.3000000026</v>
      </c>
      <c r="AH31" s="522">
        <f t="shared" si="4"/>
        <v>0.49955649982310907</v>
      </c>
      <c r="AM31" s="454" t="s">
        <v>12</v>
      </c>
      <c r="AN31" s="747"/>
      <c r="AO31" s="741">
        <f>AO8+AO9+AO10+AO29-AO30</f>
        <v>99329.333333333372</v>
      </c>
      <c r="AP31" s="741">
        <f t="shared" ref="AP31:AZ31" si="18">AP8+AP9+AP10+AP29-AP30</f>
        <v>99329.333333333372</v>
      </c>
      <c r="AQ31" s="741">
        <f t="shared" si="18"/>
        <v>99329.333333333372</v>
      </c>
      <c r="AR31" s="741">
        <f t="shared" si="18"/>
        <v>99329.333333333372</v>
      </c>
      <c r="AS31" s="741">
        <f t="shared" si="18"/>
        <v>99329.333333333372</v>
      </c>
      <c r="AT31" s="741">
        <f t="shared" si="18"/>
        <v>99329.333333333372</v>
      </c>
      <c r="AU31" s="741">
        <f t="shared" si="18"/>
        <v>99329.333333333372</v>
      </c>
      <c r="AV31" s="741">
        <f t="shared" si="18"/>
        <v>99329.333333333372</v>
      </c>
      <c r="AW31" s="741">
        <f t="shared" si="18"/>
        <v>99329.333333333372</v>
      </c>
      <c r="AX31" s="741">
        <f t="shared" si="18"/>
        <v>99329.333333333372</v>
      </c>
      <c r="AY31" s="741">
        <f t="shared" si="18"/>
        <v>99329.333333333372</v>
      </c>
      <c r="AZ31" s="741">
        <f t="shared" si="18"/>
        <v>99329.333333333372</v>
      </c>
      <c r="BB31" s="748">
        <f t="shared" si="5"/>
        <v>5378452.25</v>
      </c>
      <c r="BC31" s="752"/>
    </row>
    <row r="32" spans="1:55" ht="26.15" hidden="1" customHeight="1">
      <c r="A32" s="565"/>
      <c r="B32" s="566"/>
      <c r="C32" s="455" t="s">
        <v>96</v>
      </c>
      <c r="D32" s="439"/>
      <c r="E32" s="455" t="str">
        <f>+C32</f>
        <v>EBITDA (% of net revenues)</v>
      </c>
      <c r="G32" s="483"/>
      <c r="H32" s="642"/>
      <c r="J32" s="536" t="e">
        <f>J31/J7</f>
        <v>#DIV/0!</v>
      </c>
      <c r="K32" s="536" t="str">
        <f t="shared" si="6"/>
        <v/>
      </c>
      <c r="L32" s="431"/>
      <c r="M32" s="643"/>
      <c r="N32" s="517" t="str">
        <f t="shared" si="1"/>
        <v/>
      </c>
      <c r="O32" s="580"/>
      <c r="P32" s="644"/>
      <c r="Q32" s="645"/>
      <c r="R32" s="517"/>
      <c r="S32" s="645"/>
      <c r="T32" s="517"/>
      <c r="U32" s="645"/>
      <c r="V32" s="517"/>
      <c r="W32" s="645"/>
      <c r="X32" s="517"/>
      <c r="Y32" s="645"/>
      <c r="Z32" s="517"/>
      <c r="AA32" s="584"/>
      <c r="AB32" s="482">
        <f>AB31/AB7</f>
        <v>0.30134353919705431</v>
      </c>
      <c r="AC32" s="641"/>
      <c r="AD32" s="505" t="e">
        <f>AD31/AD7</f>
        <v>#DIV/0!</v>
      </c>
      <c r="AE32" s="522" t="str">
        <f t="shared" si="3"/>
        <v/>
      </c>
      <c r="AG32" s="504"/>
      <c r="AH32" s="517" t="str">
        <f t="shared" si="4"/>
        <v/>
      </c>
      <c r="AM32" s="455">
        <f>+AL32</f>
        <v>0</v>
      </c>
      <c r="AN32" s="745"/>
      <c r="BB32" s="511" t="e">
        <f t="shared" si="5"/>
        <v>#DIV/0!</v>
      </c>
      <c r="BC32" s="752"/>
    </row>
    <row r="33" spans="1:55" ht="26.15" customHeight="1">
      <c r="A33" s="565"/>
      <c r="B33" s="566"/>
      <c r="C33" s="456" t="s">
        <v>124</v>
      </c>
      <c r="D33" s="439"/>
      <c r="E33" s="456" t="s">
        <v>98</v>
      </c>
      <c r="G33" s="476">
        <f>SUM(G34:G35)</f>
        <v>3221.02</v>
      </c>
      <c r="H33" s="591">
        <f>+G33/G7</f>
        <v>5.1933117769936308E-4</v>
      </c>
      <c r="J33" s="496">
        <f>SUM(J34:J35)</f>
        <v>0</v>
      </c>
      <c r="K33" s="530" t="str">
        <f t="shared" si="6"/>
        <v/>
      </c>
      <c r="L33" s="431"/>
      <c r="M33" s="496">
        <f>SUM(M34:M35)</f>
        <v>4412.2133333333331</v>
      </c>
      <c r="N33" s="518">
        <f t="shared" si="1"/>
        <v>-0.26997636862527041</v>
      </c>
      <c r="O33" s="580"/>
      <c r="P33" s="644"/>
      <c r="Q33" s="645"/>
      <c r="R33" s="517"/>
      <c r="S33" s="645"/>
      <c r="T33" s="517"/>
      <c r="U33" s="645"/>
      <c r="V33" s="517"/>
      <c r="W33" s="645"/>
      <c r="X33" s="517"/>
      <c r="Y33" s="645"/>
      <c r="Z33" s="517"/>
      <c r="AA33" s="584"/>
      <c r="AB33" s="476">
        <f>SUM(AB34:AB35)</f>
        <v>12488.56</v>
      </c>
      <c r="AC33" s="591">
        <f>AB33/AB7</f>
        <v>6.9970814928677007E-4</v>
      </c>
      <c r="AD33" s="496">
        <f>SUM(AD34:AD35)</f>
        <v>0</v>
      </c>
      <c r="AE33" s="518" t="str">
        <f>IF(ISERROR((AB33-AD33)/AD33),"",(AB33-AD33)/AD33)</f>
        <v/>
      </c>
      <c r="AG33" s="496">
        <f>SUM(AG34:AG35)</f>
        <v>13236.64</v>
      </c>
      <c r="AH33" s="518">
        <f t="shared" si="4"/>
        <v>-5.6515852965707304E-2</v>
      </c>
      <c r="AM33" s="456" t="s">
        <v>98</v>
      </c>
      <c r="AN33" s="747"/>
      <c r="AO33" s="741">
        <f>-SUM(AO34:AO35)</f>
        <v>0</v>
      </c>
      <c r="AP33" s="741">
        <f t="shared" ref="AP33:AZ33" si="19">-SUM(AP34:AP35)</f>
        <v>0</v>
      </c>
      <c r="AQ33" s="741">
        <f t="shared" si="19"/>
        <v>0</v>
      </c>
      <c r="AR33" s="741">
        <f t="shared" si="19"/>
        <v>0</v>
      </c>
      <c r="AS33" s="741">
        <f t="shared" si="19"/>
        <v>0</v>
      </c>
      <c r="AT33" s="741">
        <f t="shared" si="19"/>
        <v>0</v>
      </c>
      <c r="AU33" s="741">
        <f t="shared" si="19"/>
        <v>0</v>
      </c>
      <c r="AV33" s="741">
        <f t="shared" si="19"/>
        <v>0</v>
      </c>
      <c r="AW33" s="741">
        <f t="shared" si="19"/>
        <v>0</v>
      </c>
      <c r="AX33" s="741">
        <f t="shared" si="19"/>
        <v>0</v>
      </c>
      <c r="AY33" s="741">
        <f t="shared" si="19"/>
        <v>0</v>
      </c>
      <c r="AZ33" s="741">
        <f t="shared" si="19"/>
        <v>0</v>
      </c>
      <c r="BB33" s="748">
        <f t="shared" si="5"/>
        <v>12488.56</v>
      </c>
      <c r="BC33" s="752"/>
    </row>
    <row r="34" spans="1:55" ht="26.15" customHeight="1">
      <c r="A34" s="565"/>
      <c r="B34" s="566">
        <v>758</v>
      </c>
      <c r="C34" s="457" t="s">
        <v>127</v>
      </c>
      <c r="D34" s="439"/>
      <c r="E34" s="457" t="s">
        <v>14</v>
      </c>
      <c r="G34" s="475">
        <v>3221.02</v>
      </c>
      <c r="H34" s="578">
        <f>+G34/$G$7</f>
        <v>5.1933117769936308E-4</v>
      </c>
      <c r="J34" s="506">
        <v>0</v>
      </c>
      <c r="K34" s="532" t="str">
        <f t="shared" si="6"/>
        <v/>
      </c>
      <c r="L34" s="431"/>
      <c r="M34" s="506">
        <f>AG34/3</f>
        <v>6255.2333333333336</v>
      </c>
      <c r="N34" s="517">
        <f t="shared" si="1"/>
        <v>-0.48506796975332656</v>
      </c>
      <c r="O34" s="580"/>
      <c r="P34" s="644"/>
      <c r="Q34" s="645"/>
      <c r="R34" s="517"/>
      <c r="S34" s="645"/>
      <c r="T34" s="517"/>
      <c r="U34" s="645"/>
      <c r="V34" s="517"/>
      <c r="W34" s="645"/>
      <c r="X34" s="517"/>
      <c r="Y34" s="645"/>
      <c r="Z34" s="517"/>
      <c r="AA34" s="584"/>
      <c r="AB34" s="475">
        <v>12488.56</v>
      </c>
      <c r="AC34" s="578">
        <f>+AB34/AB7</f>
        <v>6.9970814928677007E-4</v>
      </c>
      <c r="AD34" s="506">
        <f>-SUMIF($AO$7:$AZ$7,"&lt;="&amp;$AC$6,AO34:AZ34)</f>
        <v>0</v>
      </c>
      <c r="AE34" s="517" t="str">
        <f t="shared" ref="AE34:AE53" si="20">IF(ISERROR((AB34-AD34)/AD34),"",(AB34-AD34)/AD34)</f>
        <v/>
      </c>
      <c r="AG34" s="506">
        <f>18705.7+60</f>
        <v>18765.7</v>
      </c>
      <c r="AH34" s="517">
        <f t="shared" si="4"/>
        <v>-0.33450071140431753</v>
      </c>
      <c r="AM34" s="457" t="s">
        <v>14</v>
      </c>
      <c r="AN34" s="747"/>
      <c r="AO34" s="431">
        <f>IF($AO$7=$AL$7,'[4]1 trim 2016 BIOGROUP'!$AC$42/3,IF($AO$7=$AL$8,'[4]1 trim 2016 BIOGROUP'!$AC$42/3,IF($AO$7=$AL$9,'[4]1 trim 2016 BIOGROUP'!$AC$42/3,IF($AO$7=$AL$10,'[4]2 trim 2016 BIOGROUP'!$AC$42/3,IF($AO$7=$AL$11,'[4]2 trim 2016 BIOGROUP'!$AC$42/3,IF($AO$7=$AL$12,'[4]2 trim 2016 BIOGROUP'!$AC$42/3,""))))))</f>
        <v>0</v>
      </c>
      <c r="AP34" s="431">
        <f>IF($AP$7=$AL$7,'[4]1 trim 2016 BIOGROUP'!$AC$42/3,IF($AP$7=$AL$8,'[4]1 trim 2016 BIOGROUP'!$AC$42/3,IF($AP$7=$AL$9,'[4]1 trim 2016 BIOGROUP'!$AC$42/3,IF($AP$7=$AL$10,'[4]2 trim 2016 BIOGROUP'!$AC$42/3,IF($AP$7=$AL$11,'[4]2 trim 2016 BIOGROUP'!$AC$42/3,IF($AP$7=$AL$12,'[4]2 trim 2016 BIOGROUP'!$AC$42/3,""))))))</f>
        <v>0</v>
      </c>
      <c r="AQ34" s="431">
        <f>IF($AQ$7=$AL$7,'[4]1 trim 2016 BIOGROUP'!$AC$42/3,IF($AQ$7=$AL$8,'[4]1 trim 2016 BIOGROUP'!$AC$42/3,IF($AQ$7=$AL$9,'[4]1 trim 2016 BIOGROUP'!$AC$42/3,IF($AQ$7=$AL$10,'[4]2 trim 2016 BIOGROUP'!$AC$42/3,IF($AQ$7=$AL$11,'[4]2 trim 2016 BIOGROUP'!$AC$42/3,IF($AQ$7=$AL$12,'[4]2 trim 2016 BIOGROUP'!$AC$42/3,""))))))</f>
        <v>0</v>
      </c>
      <c r="AR34" s="431">
        <f>IF($AR$7=$AL$7,'[4]1 trim 2016 BIOGROUP'!$AC$42/3,IF($AR$7=$AL$8,'[4]1 trim 2016 BIOGROUP'!$AC$42/3,IF($AR$7=$AL$9,'[4]1 trim 2016 BIOGROUP'!$AC$42/3,IF($AR$7=$AL$10,'[4]2 trim 2016 BIOGROUP'!$AC$42/3,IF($AR$7=$AL$11,'[4]2 trim 2016 BIOGROUP'!$AC$42/3,IF($AR$7=$AL$12,'[4]2 trim 2016 BIOGROUP'!$AC$42/3,""))))))</f>
        <v>0</v>
      </c>
      <c r="AS34" s="431">
        <f>IF($AS$7=$AL$7,'[4]1 trim 2016 BIOGROUP'!$AC$42/3,IF($AS$7=$AL$8,'[4]1 trim 2016 BIOGROUP'!$AC$42/3,IF($AS$7=$AL$9,'[4]1 trim 2016 BIOGROUP'!$AC$42/3,IF($AS$7=$AL$10,'[4]2 trim 2016 BIOGROUP'!$AC$42/3,IF($AS$7=$AL$11,'[4]2 trim 2016 BIOGROUP'!$AC$42/3,IF($AS$7=$AL$12,'[4]2 trim 2016 BIOGROUP'!$AC$42/3,""))))))</f>
        <v>0</v>
      </c>
      <c r="AT34" s="431">
        <f>IF($AT$7=$AL$7,'[4]1 trim 2016 BIOGROUP'!$AC$42/3,IF($AT$7=$AL$8,'[4]1 trim 2016 BIOGROUP'!$AC$42/3,IF($AT$7=$AL$9,'[4]1 trim 2016 BIOGROUP'!$AC$42/3,IF($AT$7=$AL$10,'[4]2 trim 2016 BIOGROUP'!$AC$42/3,IF($AT$7=$AL$11,'[4]2 trim 2016 BIOGROUP'!$AC$42/3,IF($AT$7=$AL$12,'[4]2 trim 2016 BIOGROUP'!$AC$42/3,""))))))</f>
        <v>0</v>
      </c>
      <c r="AU34" s="431">
        <f>IF($AU$7=$AL$13,'[4]3 trim 2016 BIOGROUP'!$AC$42/3,IF($AU$7=$AL$14,'[4]3 trim 2016 BIOGROUP'!$AC$42/3,IF($AU$7=$AL$15,'[4]3 trim 2016 BIOGROUP'!$AC$42/3,IF($AU$7=$AL$16,'[4]4 trim 2016 BIOGROUP'!$AC$42/3,IF($AU$7=$AL$18,'[4]4 trim 2016 BIOGROUP'!$AC$42/3,IF($AU$7=$AL$19,'[4]4 trim 2016 BIOGROUP'!$AC$42/3,""))))))</f>
        <v>0</v>
      </c>
      <c r="AV34" s="431">
        <f>IF($AV$7=$AL$13,'[4]3 trim 2016 BIOGROUP'!$AC$42/3,IF($AV$7=$AL$14,'[4]3 trim 2016 BIOGROUP'!$AC$42/3,IF($AV$7=$AL$15,'[4]3 trim 2016 BIOGROUP'!$AC$42/3,IF($AV$7=$AL$16,'[4]4 trim 2016 BIOGROUP'!$AC$42/3,IF($AV$7=$AL$18,'[4]4 trim 2016 BIOGROUP'!$AC$42/3,IF($AV$7=$AL$19,'[4]4 trim 2016 BIOGROUP'!$AC$42/3,""))))))</f>
        <v>0</v>
      </c>
      <c r="AW34" s="431">
        <f>IF($AW$7=$AL$13,'[4]3 trim 2016 BIOGROUP'!$AC$42/3,IF($AW$7=$AL$14,'[4]3 trim 2016 BIOGROUP'!$AC$42/3,IF($AW$7=$AL$15,'[4]3 trim 2016 BIOGROUP'!$AC$42/3,IF($AW$7=$AL$16,'[4]4 trim 2016 BIOGROUP'!$AC$42/3,IF($AW$7=$AL$18,'[4]4 trim 2016 BIOGROUP'!$AC$42/3,IF($AW$7=$AL$19,'[4]4 trim 2016 BIOGROUP'!$AC$42/3,""))))))</f>
        <v>0</v>
      </c>
      <c r="AX34" s="431">
        <f>IF($AX$7=$AL$13,'[4]3 trim 2016 BIOGROUP'!$AC$42/3,IF($AX$7=$AL$14,'[4]3 trim 2016 BIOGROUP'!$AC$42/3,IF($AX$7=$AL$15,'[4]3 trim 2016 BIOGROUP'!$AC$42/3,IF($AX$7=$AL$16,'[4]4 trim 2016 BIOGROUP'!$AC$42/3,IF($AX$7=$AL$18,'[4]4 trim 2016 BIOGROUP'!$AC$42/3,IF($AX$7=$AL$19,'[4]4 trim 2016 BIOGROUP'!$AC$42/3,""))))))</f>
        <v>0</v>
      </c>
      <c r="AY34" s="431">
        <f>IF($AY$7=$AL$13,'[4]3 trim 2016 BIOGROUP'!$AC$42/3,IF($AY$7=$AL$14,'[4]3 trim 2016 BIOGROUP'!$AC$42/3,IF($AY$7=$AL$15,'[4]3 trim 2016 BIOGROUP'!$AC$42/3,IF($AY$7=$AL$16,'[4]4 trim 2016 BIOGROUP'!$AC$42/3,IF($AY$7=$AL$18,'[4]4 trim 2016 BIOGROUP'!$AC$42/3,IF($AY$7=$AL$19,'[4]4 trim 2016 BIOGROUP'!$AC$42/3,""))))))</f>
        <v>0</v>
      </c>
      <c r="AZ34" s="431">
        <f>IF($AZ$7=$AL$13,'[4]3 trim 2016 BIOGROUP'!$AC$42/3,IF($AZ$7=$AL$14,'[4]3 trim 2016 BIOGROUP'!$AC$42/3,IF($AZ$7=$AL$15,'[4]3 trim 2016 BIOGROUP'!$AC$42/3,IF($AZ$7=$AL$16,'[4]4 trim 2016 BIOGROUP'!$AC$42/3,IF($AZ$7=$AL$18,'[4]4 trim 2016 BIOGROUP'!$AC$42/3,IF($AZ$7=$AL$19,'[4]4 trim 2016 BIOGROUP'!$AC$42/3,""))))))</f>
        <v>0</v>
      </c>
      <c r="BB34" s="511">
        <f t="shared" si="5"/>
        <v>12488.56</v>
      </c>
      <c r="BC34" s="750"/>
    </row>
    <row r="35" spans="1:55" ht="26.15" customHeight="1">
      <c r="A35" s="565"/>
      <c r="B35" s="566">
        <v>658</v>
      </c>
      <c r="C35" s="457" t="s">
        <v>128</v>
      </c>
      <c r="D35" s="439"/>
      <c r="E35" s="457" t="s">
        <v>15</v>
      </c>
      <c r="G35" s="475">
        <v>0</v>
      </c>
      <c r="H35" s="578">
        <f>+G35/$G$7</f>
        <v>0</v>
      </c>
      <c r="J35" s="506">
        <v>0</v>
      </c>
      <c r="K35" s="532" t="str">
        <f t="shared" si="6"/>
        <v/>
      </c>
      <c r="L35" s="431"/>
      <c r="M35" s="506">
        <f>AG35/3</f>
        <v>-1843.0200000000002</v>
      </c>
      <c r="N35" s="517">
        <f t="shared" si="1"/>
        <v>-1</v>
      </c>
      <c r="O35" s="580"/>
      <c r="P35" s="644"/>
      <c r="Q35" s="645"/>
      <c r="R35" s="517"/>
      <c r="S35" s="645"/>
      <c r="T35" s="517"/>
      <c r="U35" s="645"/>
      <c r="V35" s="517"/>
      <c r="W35" s="645"/>
      <c r="X35" s="517"/>
      <c r="Y35" s="645"/>
      <c r="Z35" s="517"/>
      <c r="AA35" s="584"/>
      <c r="AB35" s="475">
        <v>0</v>
      </c>
      <c r="AC35" s="578">
        <f>AB35/$AB$7</f>
        <v>0</v>
      </c>
      <c r="AD35" s="506">
        <f>-SUMIF($AO$7:$AZ$7,"&lt;="&amp;$AC$6,AO35:AZ35)</f>
        <v>0</v>
      </c>
      <c r="AE35" s="517" t="str">
        <f t="shared" si="20"/>
        <v/>
      </c>
      <c r="AG35" s="506">
        <f>-5386.02-143.04</f>
        <v>-5529.06</v>
      </c>
      <c r="AH35" s="517">
        <f t="shared" si="4"/>
        <v>-1</v>
      </c>
      <c r="AM35" s="457" t="s">
        <v>15</v>
      </c>
      <c r="AN35" s="747"/>
      <c r="AO35" s="431">
        <f>IF($AO$7=$AL$7,'[4]1 trim 2016 BIOGROUP'!$AC$43/3,IF($AO$7=$AL$8,'[4]1 trim 2016 BIOGROUP'!$AC$43/3,IF($AO$7=$AL$9,'[4]1 trim 2016 BIOGROUP'!$AC$43/3,IF($AO$7=$AL$10,'[4]2 trim 2016 BIOGROUP'!$AC$43/3,IF($AO$7=$AL$11,'[4]2 trim 2016 BIOGROUP'!$AC$43/3,IF($AO$7=$AL$12,'[4]2 trim 2016 BIOGROUP'!$AC$43/3,""))))))</f>
        <v>0</v>
      </c>
      <c r="AP35" s="431">
        <f>IF($AP$7=$AL$7,'[4]1 trim 2016 BIOGROUP'!$AC$43/3,IF($AP$7=$AL$8,'[4]1 trim 2016 BIOGROUP'!$AC$43/3,IF($AP$7=$AL$9,'[4]1 trim 2016 BIOGROUP'!$AC$43/3,IF($AP$7=$AL$10,'[4]2 trim 2016 BIOGROUP'!$AC$43/3,IF($AP$7=$AL$11,'[4]2 trim 2016 BIOGROUP'!$AC$43/3,IF($AP$7=$AL$12,'[4]2 trim 2016 BIOGROUP'!$AC$43/3,""))))))</f>
        <v>0</v>
      </c>
      <c r="AQ35" s="431">
        <f>IF($AQ$7=$AL$7,'[4]1 trim 2016 BIOGROUP'!$AC$43/3,IF($AQ$7=$AL$8,'[4]1 trim 2016 BIOGROUP'!$AC$43/3,IF($AQ$7=$AL$9,'[4]1 trim 2016 BIOGROUP'!$AC$43/3,IF($AQ$7=$AL$10,'[4]2 trim 2016 BIOGROUP'!$AC$43/3,IF($AQ$7=$AL$11,'[4]2 trim 2016 BIOGROUP'!$AC$43/3,IF($AQ$7=$AL$12,'[4]2 trim 2016 BIOGROUP'!$AC$43/3,""))))))</f>
        <v>0</v>
      </c>
      <c r="AR35" s="431">
        <f>IF($AR$7=$AL$7,'[4]1 trim 2016 BIOGROUP'!$AC$43/3,IF($AR$7=$AL$8,'[4]1 trim 2016 BIOGROUP'!$AC$43/3,IF($AR$7=$AL$9,'[4]1 trim 2016 BIOGROUP'!$AC$43/3,IF($AR$7=$AL$10,'[4]2 trim 2016 BIOGROUP'!$AC$43/3,IF($AR$7=$AL$11,'[4]2 trim 2016 BIOGROUP'!$AC$43/3,IF($AR$7=$AL$12,'[4]2 trim 2016 BIOGROUP'!$AC$43/3,""))))))</f>
        <v>0</v>
      </c>
      <c r="AS35" s="431">
        <f>IF($AS$7=$AL$7,'[4]1 trim 2016 BIOGROUP'!$AC$43/3,IF($AS$7=$AL$8,'[4]1 trim 2016 BIOGROUP'!$AC$43/3,IF($AS$7=$AL$9,'[4]1 trim 2016 BIOGROUP'!$AC$43/3,IF($AS$7=$AL$10,'[4]2 trim 2016 BIOGROUP'!$AC$43/3,IF($AS$7=$AL$11,'[4]2 trim 2016 BIOGROUP'!$AC$43/3,IF($AS$7=$AL$12,'[4]2 trim 2016 BIOGROUP'!$AC$43/3,""))))))</f>
        <v>0</v>
      </c>
      <c r="AT35" s="431">
        <f>IF($AT$7=$AL$7,'[4]1 trim 2016 BIOGROUP'!$AC$43/3,IF($AT$7=$AL$8,'[4]1 trim 2016 BIOGROUP'!$AC$43/3,IF($AT$7=$AL$9,'[4]1 trim 2016 BIOGROUP'!$AC$43/3,IF($AT$7=$AL$10,'[4]2 trim 2016 BIOGROUP'!$AC$43/3,IF($AT$7=$AL$11,'[4]2 trim 2016 BIOGROUP'!$AC$43/3,IF($AT$7=$AL$12,'[4]2 trim 2016 BIOGROUP'!$AC$43/3,""))))))</f>
        <v>0</v>
      </c>
      <c r="AU35" s="431">
        <f>IF($AU$7=$AL$13,'[4]3 trim 2016 BIOGROUP'!$AC$43/3,IF($AU$7=$AL$14,'[4]3 trim 2016 BIOGROUP'!$AC$43/3,IF($AU$7=$AL$15,'[4]3 trim 2016 BIOGROUP'!$AC$43/3,IF($AU$7=$AL$16,'[4]4 trim 2016 BIOGROUP'!$AC$43/3,IF($AU$7=$AL$18,'[4]4 trim 2016 BIOGROUP'!$AC$43/3,IF($AU$7=$AL$19,'[4]4 trim 2016 BIOGROUP'!$AC$43/3,""))))))</f>
        <v>0</v>
      </c>
      <c r="AV35" s="431">
        <f>IF($AV$7=$AL$13,'[4]3 trim 2016 BIOGROUP'!$AC$43/3,IF($AV$7=$AL$14,'[4]3 trim 2016 BIOGROUP'!$AC$43/3,IF($AV$7=$AL$15,'[4]3 trim 2016 BIOGROUP'!$AC$43/3,IF($AV$7=$AL$16,'[4]4 trim 2016 BIOGROUP'!$AC$43/3,IF($AV$7=$AL$18,'[4]4 trim 2016 BIOGROUP'!$AC$43/3,IF($AV$7=$AL$19,'[4]4 trim 2016 BIOGROUP'!$AC$43/3,""))))))</f>
        <v>0</v>
      </c>
      <c r="AW35" s="431">
        <f>IF($AW$7=$AL$13,'[4]3 trim 2016 BIOGROUP'!$AC$43/3,IF($AW$7=$AL$14,'[4]3 trim 2016 BIOGROUP'!$AC$43/3,IF($AW$7=$AL$15,'[4]3 trim 2016 BIOGROUP'!$AC$43/3,IF($AW$7=$AL$16,'[4]4 trim 2016 BIOGROUP'!$AC$43/3,IF($AW$7=$AL$18,'[4]4 trim 2016 BIOGROUP'!$AC$43/3,IF($AW$7=$AL$19,'[4]4 trim 2016 BIOGROUP'!$AC$43/3,""))))))</f>
        <v>0</v>
      </c>
      <c r="AX35" s="431">
        <f>IF($AX$7=$AL$13,'[4]3 trim 2016 BIOGROUP'!$AC$43/3,IF($AX$7=$AL$14,'[4]3 trim 2016 BIOGROUP'!$AC$43/3,IF($AX$7=$AL$15,'[4]3 trim 2016 BIOGROUP'!$AC$43/3,IF($AX$7=$AL$16,'[4]4 trim 2016 BIOGROUP'!$AC$43/3,IF($AX$7=$AL$18,'[4]4 trim 2016 BIOGROUP'!$AC$43/3,IF($AX$7=$AL$19,'[4]4 trim 2016 BIOGROUP'!$AC$43/3,""))))))</f>
        <v>0</v>
      </c>
      <c r="AY35" s="431">
        <f>IF($AY$7=$AL$13,'[4]3 trim 2016 BIOGROUP'!$AC$43/3,IF($AY$7=$AL$14,'[4]3 trim 2016 BIOGROUP'!$AC$43/3,IF($AY$7=$AL$15,'[4]3 trim 2016 BIOGROUP'!$AC$43/3,IF($AY$7=$AL$16,'[4]4 trim 2016 BIOGROUP'!$AC$43/3,IF($AY$7=$AL$18,'[4]4 trim 2016 BIOGROUP'!$AC$43/3,IF($AY$7=$AL$19,'[4]4 trim 2016 BIOGROUP'!$AC$43/3,""))))))</f>
        <v>0</v>
      </c>
      <c r="AZ35" s="431">
        <f>IF($AZ$7=$AL$13,'[4]3 trim 2016 BIOGROUP'!$AC$43/3,IF($AZ$7=$AL$14,'[4]3 trim 2016 BIOGROUP'!$AC$43/3,IF($AZ$7=$AL$15,'[4]3 trim 2016 BIOGROUP'!$AC$43/3,IF($AZ$7=$AL$16,'[4]4 trim 2016 BIOGROUP'!$AC$43/3,IF($AZ$7=$AL$18,'[4]4 trim 2016 BIOGROUP'!$AC$43/3,IF($AZ$7=$AL$19,'[4]4 trim 2016 BIOGROUP'!$AC$43/3,""))))))</f>
        <v>0</v>
      </c>
      <c r="BB35" s="511">
        <f t="shared" si="5"/>
        <v>0</v>
      </c>
      <c r="BC35" s="750"/>
    </row>
    <row r="36" spans="1:55" ht="26.15" customHeight="1">
      <c r="A36" s="565"/>
      <c r="B36" s="566"/>
      <c r="C36" s="455" t="s">
        <v>96</v>
      </c>
      <c r="D36" s="439"/>
      <c r="E36" s="455" t="str">
        <f>+C36</f>
        <v>EBITDA (% of net revenues)</v>
      </c>
      <c r="G36" s="484">
        <f>+G31+G33</f>
        <v>1944144.45</v>
      </c>
      <c r="H36" s="641">
        <f>+G36/G7</f>
        <v>0.31345810545609171</v>
      </c>
      <c r="J36" s="504">
        <f>J31+J33</f>
        <v>0</v>
      </c>
      <c r="K36" s="505" t="str">
        <f t="shared" si="6"/>
        <v/>
      </c>
      <c r="L36" s="431"/>
      <c r="M36" s="504">
        <f>M31+M33</f>
        <v>1199977.313333333</v>
      </c>
      <c r="N36" s="522">
        <f t="shared" si="1"/>
        <v>0.6201510048548311</v>
      </c>
      <c r="O36" s="580"/>
      <c r="P36" s="644"/>
      <c r="Q36" s="645"/>
      <c r="R36" s="517"/>
      <c r="S36" s="645"/>
      <c r="T36" s="517"/>
      <c r="U36" s="645"/>
      <c r="V36" s="517"/>
      <c r="W36" s="645"/>
      <c r="X36" s="517"/>
      <c r="Y36" s="645"/>
      <c r="Z36" s="517"/>
      <c r="AA36" s="584"/>
      <c r="AB36" s="484">
        <f>AB31+AB33</f>
        <v>5390940.8099999996</v>
      </c>
      <c r="AC36" s="641">
        <f>AB36/AB7</f>
        <v>0.30204324734634103</v>
      </c>
      <c r="AD36" s="504">
        <f>AD31+AD33</f>
        <v>0</v>
      </c>
      <c r="AE36" s="522" t="str">
        <f t="shared" si="20"/>
        <v/>
      </c>
      <c r="AG36" s="504">
        <f>AG31+AG33</f>
        <v>3599931.9400000027</v>
      </c>
      <c r="AH36" s="522">
        <f t="shared" si="4"/>
        <v>0.49751186962717842</v>
      </c>
      <c r="AJ36" s="587"/>
      <c r="AM36" s="455" t="s">
        <v>96</v>
      </c>
      <c r="AN36" s="747"/>
      <c r="AO36" s="741">
        <f>AO31+AO33</f>
        <v>99329.333333333372</v>
      </c>
      <c r="AP36" s="741">
        <f t="shared" ref="AP36:AZ36" si="21">AP31+AP33</f>
        <v>99329.333333333372</v>
      </c>
      <c r="AQ36" s="741">
        <f t="shared" si="21"/>
        <v>99329.333333333372</v>
      </c>
      <c r="AR36" s="741">
        <f t="shared" si="21"/>
        <v>99329.333333333372</v>
      </c>
      <c r="AS36" s="741">
        <f t="shared" si="21"/>
        <v>99329.333333333372</v>
      </c>
      <c r="AT36" s="741">
        <f t="shared" si="21"/>
        <v>99329.333333333372</v>
      </c>
      <c r="AU36" s="741">
        <f t="shared" si="21"/>
        <v>99329.333333333372</v>
      </c>
      <c r="AV36" s="741">
        <f t="shared" si="21"/>
        <v>99329.333333333372</v>
      </c>
      <c r="AW36" s="741">
        <f t="shared" si="21"/>
        <v>99329.333333333372</v>
      </c>
      <c r="AX36" s="741">
        <f t="shared" si="21"/>
        <v>99329.333333333372</v>
      </c>
      <c r="AY36" s="741">
        <f t="shared" si="21"/>
        <v>99329.333333333372</v>
      </c>
      <c r="AZ36" s="741">
        <f t="shared" si="21"/>
        <v>99329.333333333372</v>
      </c>
      <c r="BB36" s="748">
        <f t="shared" si="5"/>
        <v>5390940.8099999996</v>
      </c>
      <c r="BC36" s="752"/>
    </row>
    <row r="37" spans="1:55" ht="26.15" customHeight="1" thickBot="1">
      <c r="A37" s="575"/>
      <c r="B37" s="548">
        <v>691</v>
      </c>
      <c r="C37" s="456" t="s">
        <v>99</v>
      </c>
      <c r="D37" s="439"/>
      <c r="E37" s="456" t="s">
        <v>99</v>
      </c>
      <c r="G37" s="485">
        <v>0</v>
      </c>
      <c r="H37" s="591">
        <f>G37/G7</f>
        <v>0</v>
      </c>
      <c r="J37" s="537">
        <v>0</v>
      </c>
      <c r="K37" s="538" t="str">
        <f t="shared" si="6"/>
        <v/>
      </c>
      <c r="L37" s="431"/>
      <c r="M37" s="507">
        <f>AG37/3</f>
        <v>0</v>
      </c>
      <c r="N37" s="518" t="str">
        <f t="shared" si="1"/>
        <v/>
      </c>
      <c r="O37" s="580"/>
      <c r="P37" s="646" t="s">
        <v>13</v>
      </c>
      <c r="Q37" s="582" t="e">
        <f>+#REF!+'31 dec 2016 BIOLAM'!AT39</f>
        <v>#REF!</v>
      </c>
      <c r="R37" s="583" t="e">
        <f>Q37/Q$7</f>
        <v>#REF!</v>
      </c>
      <c r="S37" s="582" t="e">
        <f>+'31 dec 2016 BIOLAM'!AV39+#REF!</f>
        <v>#REF!</v>
      </c>
      <c r="T37" s="583" t="e">
        <f>S37/S$7</f>
        <v>#REF!</v>
      </c>
      <c r="U37" s="582" t="e">
        <f>+'31 dec 2016 BIOLAM'!AX39+#REF!</f>
        <v>#REF!</v>
      </c>
      <c r="V37" s="583" t="e">
        <f>U37/U$7</f>
        <v>#REF!</v>
      </c>
      <c r="W37" s="582" t="e">
        <f>+'31 dec 2016 BIOLAM'!AZ39+#REF!</f>
        <v>#REF!</v>
      </c>
      <c r="X37" s="583" t="e">
        <f>W37/W$7</f>
        <v>#REF!</v>
      </c>
      <c r="Y37" s="582" t="e">
        <f>+W37+U37+S37+Q37</f>
        <v>#REF!</v>
      </c>
      <c r="Z37" s="583" t="e">
        <f>Y37/Y$7</f>
        <v>#REF!</v>
      </c>
      <c r="AA37" s="584" t="e">
        <f>+G37-Y37</f>
        <v>#REF!</v>
      </c>
      <c r="AB37" s="485">
        <v>0</v>
      </c>
      <c r="AC37" s="647">
        <f>AB37/AB7</f>
        <v>0</v>
      </c>
      <c r="AD37" s="507">
        <v>0</v>
      </c>
      <c r="AE37" s="518" t="str">
        <f t="shared" si="20"/>
        <v/>
      </c>
      <c r="AG37" s="507">
        <v>0</v>
      </c>
      <c r="AH37" s="518" t="str">
        <f t="shared" si="4"/>
        <v/>
      </c>
      <c r="AM37" s="456" t="s">
        <v>99</v>
      </c>
      <c r="AN37" s="747"/>
      <c r="BB37" s="511">
        <f t="shared" si="5"/>
        <v>0</v>
      </c>
      <c r="BC37" s="750"/>
    </row>
    <row r="38" spans="1:55" ht="26.15" customHeight="1">
      <c r="A38" s="575"/>
      <c r="B38" s="548"/>
      <c r="C38" s="454" t="s">
        <v>96</v>
      </c>
      <c r="D38" s="439"/>
      <c r="E38" s="454" t="str">
        <f>+C38</f>
        <v>EBITDA (% of net revenues)</v>
      </c>
      <c r="G38" s="484">
        <f>+G36+G37</f>
        <v>1944144.45</v>
      </c>
      <c r="H38" s="641">
        <f>+G38/G7</f>
        <v>0.31345810545609171</v>
      </c>
      <c r="J38" s="508">
        <f>J36+J37</f>
        <v>0</v>
      </c>
      <c r="K38" s="505" t="str">
        <f t="shared" si="6"/>
        <v/>
      </c>
      <c r="L38" s="431"/>
      <c r="M38" s="508">
        <f>M36+M37</f>
        <v>1199977.313333333</v>
      </c>
      <c r="N38" s="522">
        <f t="shared" si="1"/>
        <v>0.6201510048548311</v>
      </c>
      <c r="O38" s="580"/>
      <c r="P38" s="581"/>
      <c r="Q38" s="582"/>
      <c r="R38" s="583"/>
      <c r="S38" s="582"/>
      <c r="T38" s="583"/>
      <c r="U38" s="582"/>
      <c r="V38" s="583"/>
      <c r="W38" s="582"/>
      <c r="X38" s="583"/>
      <c r="Y38" s="582"/>
      <c r="Z38" s="583"/>
      <c r="AA38" s="584"/>
      <c r="AB38" s="484">
        <f>+AB36+AB37</f>
        <v>5390940.8099999996</v>
      </c>
      <c r="AC38" s="641">
        <f>+AB38/AB7</f>
        <v>0.30204324734634103</v>
      </c>
      <c r="AD38" s="508">
        <f>AD36+AD37</f>
        <v>0</v>
      </c>
      <c r="AE38" s="522" t="str">
        <f t="shared" si="20"/>
        <v/>
      </c>
      <c r="AG38" s="648">
        <f>AG36+AG37</f>
        <v>3599931.9400000027</v>
      </c>
      <c r="AH38" s="522">
        <f t="shared" si="4"/>
        <v>0.49751186962717842</v>
      </c>
      <c r="AM38" s="454" t="s">
        <v>96</v>
      </c>
      <c r="AN38" s="747"/>
      <c r="AO38" s="741">
        <f>AO36-AO37</f>
        <v>99329.333333333372</v>
      </c>
      <c r="AP38" s="741">
        <f t="shared" ref="AP38:AZ38" si="22">AP36-AP37</f>
        <v>99329.333333333372</v>
      </c>
      <c r="AQ38" s="741">
        <f t="shared" si="22"/>
        <v>99329.333333333372</v>
      </c>
      <c r="AR38" s="741">
        <f t="shared" si="22"/>
        <v>99329.333333333372</v>
      </c>
      <c r="AS38" s="741">
        <f t="shared" si="22"/>
        <v>99329.333333333372</v>
      </c>
      <c r="AT38" s="741">
        <f t="shared" si="22"/>
        <v>99329.333333333372</v>
      </c>
      <c r="AU38" s="741">
        <f t="shared" si="22"/>
        <v>99329.333333333372</v>
      </c>
      <c r="AV38" s="741">
        <f t="shared" si="22"/>
        <v>99329.333333333372</v>
      </c>
      <c r="AW38" s="741">
        <f t="shared" si="22"/>
        <v>99329.333333333372</v>
      </c>
      <c r="AX38" s="741">
        <f t="shared" si="22"/>
        <v>99329.333333333372</v>
      </c>
      <c r="AY38" s="741">
        <f t="shared" si="22"/>
        <v>99329.333333333372</v>
      </c>
      <c r="AZ38" s="741">
        <f t="shared" si="22"/>
        <v>99329.333333333372</v>
      </c>
      <c r="BB38" s="748">
        <f t="shared" si="5"/>
        <v>5390940.8099999996</v>
      </c>
      <c r="BC38" s="752"/>
    </row>
    <row r="39" spans="1:55" ht="26.15" customHeight="1" thickBot="1">
      <c r="A39" s="575"/>
      <c r="B39" s="548">
        <v>681</v>
      </c>
      <c r="C39" s="458" t="s">
        <v>100</v>
      </c>
      <c r="D39" s="439"/>
      <c r="E39" s="458" t="s">
        <v>118</v>
      </c>
      <c r="G39" s="475">
        <f>+-116980.71-G40</f>
        <v>-70636.300000000017</v>
      </c>
      <c r="H39" s="578">
        <f>+G39/G7</f>
        <v>-1.1388824927298039E-2</v>
      </c>
      <c r="J39" s="495">
        <f>-SUMIF($AO$7:$AZ$7,$G$6,AO39:AZ39)</f>
        <v>0</v>
      </c>
      <c r="K39" s="532" t="str">
        <f t="shared" si="6"/>
        <v/>
      </c>
      <c r="L39" s="431"/>
      <c r="M39" s="579">
        <f>AG39/3</f>
        <v>-61229.276666666672</v>
      </c>
      <c r="N39" s="517">
        <f t="shared" si="1"/>
        <v>0.1536360356589766</v>
      </c>
      <c r="O39" s="580"/>
      <c r="P39" s="581"/>
      <c r="Q39" s="582"/>
      <c r="R39" s="583"/>
      <c r="S39" s="582"/>
      <c r="T39" s="583"/>
      <c r="U39" s="582"/>
      <c r="V39" s="583"/>
      <c r="W39" s="582"/>
      <c r="X39" s="583"/>
      <c r="Y39" s="582"/>
      <c r="Z39" s="583"/>
      <c r="AA39" s="584"/>
      <c r="AB39" s="475">
        <f>-366120.54-AB40</f>
        <v>-182471.34</v>
      </c>
      <c r="AC39" s="578">
        <f>+AB39/AB7</f>
        <v>-1.0223491227913946E-2</v>
      </c>
      <c r="AD39" s="495">
        <f>-SUMIF($AO$7:$AZ$7,"&lt;="&amp;$AC$6,AO39:AZ39)</f>
        <v>0</v>
      </c>
      <c r="AE39" s="517" t="str">
        <f t="shared" si="20"/>
        <v/>
      </c>
      <c r="AG39" s="579">
        <f>(-337633.8-232212.7)-AG40</f>
        <v>-183687.83000000002</v>
      </c>
      <c r="AH39" s="517">
        <f t="shared" si="4"/>
        <v>-6.6225944309975231E-3</v>
      </c>
      <c r="AJ39" s="620"/>
      <c r="AM39" s="458" t="s">
        <v>118</v>
      </c>
      <c r="AN39" s="747"/>
      <c r="AO39" s="431">
        <f>IF($AO$7=$AL$7,'[4]1 trim 2016 BIOGROUP'!$AC$39/3,IF($AO$7=$AL$8,'[4]1 trim 2016 BIOGROUP'!$AC$39/3,IF($AO$7=$AL$9,'[4]1 trim 2016 BIOGROUP'!$AC$39/3,IF($AO$7=$AL$10,'[4]2 trim 2016 BIOGROUP'!$AC$39/3,IF($AO$7=$AL$11,'[4]2 trim 2016 BIOGROUP'!$AC$39/3,IF($AO$7=$AL$12,'[4]2 trim 2016 BIOGROUP'!$AC$39/3,""))))))</f>
        <v>12037.5</v>
      </c>
      <c r="AP39" s="431">
        <f>IF($AP$7=$AL$7,'[4]1 trim 2016 BIOGROUP'!$AC$39/3,IF($AP$7=$AL$8,'[4]1 trim 2016 BIOGROUP'!$AC$39/3,IF($AP$7=$AL$9,'[4]1 trim 2016 BIOGROUP'!$AC$39/3,IF($AP$7=$AL$10,'[4]2 trim 2016 BIOGROUP'!$AC$39/3,IF($AP$7=$AL$11,'[4]2 trim 2016 BIOGROUP'!$AC$39/3,IF($AP$7=$AL$12,'[4]2 trim 2016 BIOGROUP'!$AC$39/3,""))))))</f>
        <v>12037.5</v>
      </c>
      <c r="AQ39" s="431">
        <f>IF($AQ$7=$AL$7,'[4]1 trim 2016 BIOGROUP'!$AC$39/3,IF($AQ$7=$AL$8,'[4]1 trim 2016 BIOGROUP'!$AC$39/3,IF($AQ$7=$AL$9,'[4]1 trim 2016 BIOGROUP'!$AC$39/3,IF($AQ$7=$AL$10,'[4]2 trim 2016 BIOGROUP'!$AC$39/3,IF($AQ$7=$AL$11,'[4]2 trim 2016 BIOGROUP'!$AC$39/3,IF($AQ$7=$AL$12,'[4]2 trim 2016 BIOGROUP'!$AC$39/3,""))))))</f>
        <v>12037.5</v>
      </c>
      <c r="AR39" s="431">
        <f>IF($AR$7=$AL$7,'[4]1 trim 2016 BIOGROUP'!$AC$39/3,IF($AR$7=$AL$8,'[4]1 trim 2016 BIOGROUP'!$AC$39/3,IF($AR$7=$AL$9,'[4]1 trim 2016 BIOGROUP'!$AC$39/3,IF($AR$7=$AL$10,'[4]2 trim 2016 BIOGROUP'!$AC$39/3,IF($AR$7=$AL$11,'[4]2 trim 2016 BIOGROUP'!$AC$39/3,IF($AR$7=$AL$12,'[4]2 trim 2016 BIOGROUP'!$AC$39/3,""))))))</f>
        <v>12037.5</v>
      </c>
      <c r="AS39" s="431">
        <f>IF($AS$7=$AL$7,'[4]1 trim 2016 BIOGROUP'!$AC$39/3,IF($AS$7=$AL$8,'[4]1 trim 2016 BIOGROUP'!$AC$39/3,IF($AS$7=$AL$9,'[4]1 trim 2016 BIOGROUP'!$AC$39/3,IF($AS$7=$AL$10,'[4]2 trim 2016 BIOGROUP'!$AC$39/3,IF($AS$7=$AL$11,'[4]2 trim 2016 BIOGROUP'!$AC$39/3,IF($AS$7=$AL$12,'[4]2 trim 2016 BIOGROUP'!$AC$39/3,""))))))</f>
        <v>12037.5</v>
      </c>
      <c r="AT39" s="431">
        <f>IF($AT$7=$AL$7,'[4]1 trim 2016 BIOGROUP'!$AC$39/3,IF($AT$7=$AL$8,'[4]1 trim 2016 BIOGROUP'!$AC$39/3,IF($AT$7=$AL$9,'[4]1 trim 2016 BIOGROUP'!$AC$39/3,IF($AT$7=$AL$10,'[4]2 trim 2016 BIOGROUP'!$AC$39/3,IF($AT$7=$AL$11,'[4]2 trim 2016 BIOGROUP'!$AC$39/3,IF($AT$7=$AL$12,'[4]2 trim 2016 BIOGROUP'!$AC$39/3,""))))))</f>
        <v>12037.5</v>
      </c>
      <c r="AU39" s="431">
        <f>IF($AU$7=$AL$13,'[4]3 trim 2016 BIOGROUP'!$AC$39/3,IF($AU$7=$AL$14,'[4]3 trim 2016 BIOGROUP'!$AC$39/3,IF($AU$7=$AL$15,'[4]3 trim 2016 BIOGROUP'!$AC$39/3,IF($AU$7=$AL$16,'[4]4 trim 2016 BIOGROUP'!$AC$39/3,IF($AU$7=$AL$18,'[4]4 trim 2016 BIOGROUP'!$AC$39/3,IF($AU$7=$AL$19,'[4]4 trim 2016 BIOGROUP'!$AC$39/3,""))))))</f>
        <v>12037.5</v>
      </c>
      <c r="AV39" s="431">
        <f>IF($AV$7=$AL$13,'[4]3 trim 2016 BIOGROUP'!$AC$39/3,IF($AV$7=$AL$14,'[4]3 trim 2016 BIOGROUP'!$AC$39/3,IF($AV$7=$AL$15,'[4]3 trim 2016 BIOGROUP'!$AC$39/3,IF($AV$7=$AL$16,'[4]4 trim 2016 BIOGROUP'!$AC$39/3,IF($AV$7=$AL$18,'[4]4 trim 2016 BIOGROUP'!$AC$39/3,IF($AV$7=$AL$19,'[4]4 trim 2016 BIOGROUP'!$AC$39/3,""))))))</f>
        <v>12037.5</v>
      </c>
      <c r="AW39" s="431">
        <f>IF($AW$7=$AL$13,'[4]3 trim 2016 BIOGROUP'!$AC$39/3,IF($AW$7=$AL$14,'[4]3 trim 2016 BIOGROUP'!$AC$39/3,IF($AW$7=$AL$15,'[4]3 trim 2016 BIOGROUP'!$AC$39/3,IF($AW$7=$AL$16,'[4]4 trim 2016 BIOGROUP'!$AC$39/3,IF($AW$7=$AL$18,'[4]4 trim 2016 BIOGROUP'!$AC$39/3,IF($AW$7=$AL$19,'[4]4 trim 2016 BIOGROUP'!$AC$39/3,""))))))</f>
        <v>12037.5</v>
      </c>
      <c r="AX39" s="431">
        <f>IF($AX$7=$AL$13,'[4]3 trim 2016 BIOGROUP'!$AC$39/3,IF($AX$7=$AL$14,'[4]3 trim 2016 BIOGROUP'!$AC$39/3,IF($AX$7=$AL$15,'[4]3 trim 2016 BIOGROUP'!$AC$39/3,IF($AX$7=$AL$16,'[4]4 trim 2016 BIOGROUP'!$AC$39/3,IF($AX$7=$AL$18,'[4]4 trim 2016 BIOGROUP'!$AC$39/3,IF($AX$7=$AL$19,'[4]4 trim 2016 BIOGROUP'!$AC$39/3,""))))))</f>
        <v>12037.5</v>
      </c>
      <c r="AY39" s="431">
        <f>IF($AY$7=$AL$13,'[4]3 trim 2016 BIOGROUP'!$AC$39/3,IF($AY$7=$AL$14,'[4]3 trim 2016 BIOGROUP'!$AC$39/3,IF($AY$7=$AL$15,'[4]3 trim 2016 BIOGROUP'!$AC$39/3,IF($AY$7=$AL$16,'[4]4 trim 2016 BIOGROUP'!$AC$39/3,IF($AY$7=$AL$18,'[4]4 trim 2016 BIOGROUP'!$AC$39/3,IF($AY$7=$AL$19,'[4]4 trim 2016 BIOGROUP'!$AC$39/3,""))))))</f>
        <v>12037.5</v>
      </c>
      <c r="AZ39" s="431">
        <f>IF($AZ$7=$AL$13,'[4]3 trim 2016 BIOGROUP'!$AC$39/3,IF($AZ$7=$AL$14,'[4]3 trim 2016 BIOGROUP'!$AC$39/3,IF($AZ$7=$AL$15,'[4]3 trim 2016 BIOGROUP'!$AC$39/3,IF($AZ$7=$AL$16,'[4]4 trim 2016 BIOGROUP'!$AC$39/3,IF($AZ$7=$AL$18,'[4]4 trim 2016 BIOGROUP'!$AC$39/3,IF($AZ$7=$AL$19,'[4]4 trim 2016 BIOGROUP'!$AC$39/3,""))))))</f>
        <v>12037.5</v>
      </c>
      <c r="BB39" s="511">
        <f t="shared" si="5"/>
        <v>182471.34</v>
      </c>
      <c r="BC39" s="750"/>
    </row>
    <row r="40" spans="1:55" ht="27.75" customHeight="1">
      <c r="A40" s="649"/>
      <c r="B40" s="650">
        <v>681</v>
      </c>
      <c r="C40" s="459" t="s">
        <v>129</v>
      </c>
      <c r="D40" s="651"/>
      <c r="E40" s="459" t="s">
        <v>40</v>
      </c>
      <c r="F40" s="652"/>
      <c r="G40" s="486">
        <f>+-14402.7-22545-9396.71</f>
        <v>-46344.409999999996</v>
      </c>
      <c r="H40" s="653">
        <f>G40/G7</f>
        <v>-7.4721973241650592E-3</v>
      </c>
      <c r="J40" s="509">
        <f>-SUMIF($AO$7:$AZ$7,$G$6,AO40:AZ40)</f>
        <v>0</v>
      </c>
      <c r="K40" s="539" t="str">
        <f t="shared" si="6"/>
        <v/>
      </c>
      <c r="L40" s="431"/>
      <c r="M40" s="654">
        <f>AG40/3</f>
        <v>-128719.55666666666</v>
      </c>
      <c r="N40" s="523">
        <f t="shared" si="1"/>
        <v>-0.63995828450517511</v>
      </c>
      <c r="O40" s="655"/>
      <c r="P40" s="656" t="s">
        <v>40</v>
      </c>
      <c r="Q40" s="657" t="e">
        <f>+#REF!+'31 dec 2016 BIOLAM'!AT40</f>
        <v>#REF!</v>
      </c>
      <c r="R40" s="658" t="e">
        <f>Q40/Q$7</f>
        <v>#REF!</v>
      </c>
      <c r="S40" s="657" t="e">
        <f>+'31 dec 2016 BIOLAM'!AV40+#REF!</f>
        <v>#REF!</v>
      </c>
      <c r="T40" s="658" t="e">
        <f>S40/S$7</f>
        <v>#REF!</v>
      </c>
      <c r="U40" s="657" t="e">
        <f>+'31 dec 2016 BIOLAM'!AX40+#REF!</f>
        <v>#REF!</v>
      </c>
      <c r="V40" s="658" t="e">
        <f>U40/U$7</f>
        <v>#REF!</v>
      </c>
      <c r="W40" s="657" t="e">
        <f>+'31 dec 2016 BIOLAM'!AZ40+#REF!</f>
        <v>#REF!</v>
      </c>
      <c r="X40" s="658" t="e">
        <f>W40/W$7</f>
        <v>#REF!</v>
      </c>
      <c r="Y40" s="657" t="e">
        <f>+W40+U40+S40+Q40</f>
        <v>#REF!</v>
      </c>
      <c r="Z40" s="658" t="e">
        <f>Y40/Y$7</f>
        <v>#REF!</v>
      </c>
      <c r="AA40" s="659" t="e">
        <f>+G40-Y40</f>
        <v>#REF!</v>
      </c>
      <c r="AB40" s="486">
        <f>-49861.49-124391-9396.71</f>
        <v>-183649.19999999998</v>
      </c>
      <c r="AC40" s="653">
        <f>AB40/AB7</f>
        <v>-1.0289484284016402E-2</v>
      </c>
      <c r="AD40" s="509">
        <f>-SUMIF($AO$7:$AZ$7,"&lt;="&amp;$AC$6,AO40:AZ40)</f>
        <v>0</v>
      </c>
      <c r="AE40" s="523" t="str">
        <f t="shared" si="20"/>
        <v/>
      </c>
      <c r="AG40" s="654">
        <f>-20004-199383-31048.67-14071-116013-5639</f>
        <v>-386158.67</v>
      </c>
      <c r="AH40" s="523">
        <f t="shared" si="4"/>
        <v>-0.52442036326673702</v>
      </c>
      <c r="AJ40" s="620"/>
      <c r="AM40" s="459" t="s">
        <v>40</v>
      </c>
      <c r="AN40" s="747"/>
      <c r="AO40" s="431">
        <f>IF($AO$7=$AL$7,'[4]1 trim 2016 BIOGROUP'!$AC$40/3,IF($AO$7=$AL$8,'[4]1 trim 2016 BIOGROUP'!$AC$40/3,IF($AO$7=$AL$9,'[4]1 trim 2016 BIOGROUP'!$AC$40/3,IF($AO$7=$AL$10,'[4]2 trim 2016 BIOGROUP'!$AC$40/3,IF($AO$7=$AL$11,'[4]2 trim 2016 BIOGROUP'!$AC$40/3,IF($AO$7=$AL$12,'[4]2 trim 2016 BIOGROUP'!$AC$40/3,""))))))</f>
        <v>0</v>
      </c>
      <c r="AP40" s="431">
        <f>IF($AP$7=$AL$7,'[4]1 trim 2016 BIOGROUP'!$AC$40/3,IF($AP$7=$AL$8,'[4]1 trim 2016 BIOGROUP'!$AC$40/3,IF($AP$7=$AL$9,'[4]1 trim 2016 BIOGROUP'!$AC$40/3,IF($AP$7=$AL$10,'[4]2 trim 2016 BIOGROUP'!$AC$40/3,IF($AP$7=$AL$11,'[4]2 trim 2016 BIOGROUP'!$AC$40/3,IF($AP$7=$AL$12,'[4]2 trim 2016 BIOGROUP'!$AC$40/3,""))))))</f>
        <v>0</v>
      </c>
      <c r="AQ40" s="431">
        <f>IF($AQ$7=$AL$7,'[4]1 trim 2016 BIOGROUP'!$AC$40/3,IF($AQ$7=$AL$8,'[4]1 trim 2016 BIOGROUP'!$AC$40/3,IF($AQ$7=$AL$9,'[4]1 trim 2016 BIOGROUP'!$AC$40/3,IF($AQ$7=$AL$10,'[4]2 trim 2016 BIOGROUP'!$AC$40/3,IF($AQ$7=$AL$11,'[4]2 trim 2016 BIOGROUP'!$AC$40/3,IF($AQ$7=$AL$12,'[4]2 trim 2016 BIOGROUP'!$AC$40/3,""))))))</f>
        <v>0</v>
      </c>
      <c r="AR40" s="431">
        <f>IF($AR$7=$AL$7,'[4]1 trim 2016 BIOGROUP'!$AC$40/3,IF($AR$7=$AL$8,'[4]1 trim 2016 BIOGROUP'!$AC$40/3,IF($AR$7=$AL$9,'[4]1 trim 2016 BIOGROUP'!$AC$40/3,IF($AR$7=$AL$10,'[4]2 trim 2016 BIOGROUP'!$AC$40/3,IF($AR$7=$AL$11,'[4]2 trim 2016 BIOGROUP'!$AC$40/3,IF($AR$7=$AL$12,'[4]2 trim 2016 BIOGROUP'!$AC$40/3,""))))))</f>
        <v>0</v>
      </c>
      <c r="AS40" s="431">
        <f>IF($AS$7=$AL$7,'[4]1 trim 2016 BIOGROUP'!$AC$40/3,IF($AS$7=$AL$8,'[4]1 trim 2016 BIOGROUP'!$AC$40/3,IF($AS$7=$AL$9,'[4]1 trim 2016 BIOGROUP'!$AC$40/3,IF($AS$7=$AL$10,'[4]2 trim 2016 BIOGROUP'!$AC$40/3,IF($AS$7=$AL$11,'[4]2 trim 2016 BIOGROUP'!$AC$40/3,IF($AS$7=$AL$12,'[4]2 trim 2016 BIOGROUP'!$AC$40/3,""))))))</f>
        <v>0</v>
      </c>
      <c r="AT40" s="431">
        <f>IF($AT$7=$AL$7,'[4]1 trim 2016 BIOGROUP'!$AC$40/3,IF($AT$7=$AL$8,'[4]1 trim 2016 BIOGROUP'!$AC$40/3,IF($AT$7=$AL$9,'[4]1 trim 2016 BIOGROUP'!$AC$40/3,IF($AT$7=$AL$10,'[4]2 trim 2016 BIOGROUP'!$AC$40/3,IF($AT$7=$AL$11,'[4]2 trim 2016 BIOGROUP'!$AC$40/3,IF($AT$7=$AL$12,'[4]2 trim 2016 BIOGROUP'!$AC$40/3,""))))))</f>
        <v>0</v>
      </c>
      <c r="AU40" s="431">
        <f>IF($AU$7=$AL$13,'[4]3 trim 2016 BIOGROUP'!$AC$40/3,IF($AU$7=$AL$14,'[4]3 trim 2016 BIOGROUP'!$AC$40/3,IF($AU$7=$AL$15,'[4]3 trim 2016 BIOGROUP'!$AC$40/3,IF($AU$7=$AL$16,'[4]4 trim 2016 BIOGROUP'!$AC$40/3,IF($AU$7=$AL$18,'[4]4 trim 2016 BIOGROUP'!$AC$40/3,IF($AU$7=$AL$19,'[4]4 trim 2016 BIOGROUP'!$AC$40/3,""))))))</f>
        <v>0</v>
      </c>
      <c r="AV40" s="431">
        <f>IF($AV$7=$AL$13,'[4]3 trim 2016 BIOGROUP'!$AC$40/3,IF($AV$7=$AL$14,'[4]3 trim 2016 BIOGROUP'!$AC$40/3,IF($AV$7=$AL$15,'[4]3 trim 2016 BIOGROUP'!$AC$40/3,IF($AV$7=$AL$16,'[4]4 trim 2016 BIOGROUP'!$AC$40/3,IF($AV$7=$AL$18,'[4]4 trim 2016 BIOGROUP'!$AC$40/3,IF($AV$7=$AL$19,'[4]4 trim 2016 BIOGROUP'!$AC$40/3,""))))))</f>
        <v>0</v>
      </c>
      <c r="AW40" s="431">
        <f>IF($AW$7=$AL$13,'[4]3 trim 2016 BIOGROUP'!$AC$40/3,IF($AW$7=$AL$14,'[4]3 trim 2016 BIOGROUP'!$AC$40/3,IF($AW$7=$AL$15,'[4]3 trim 2016 BIOGROUP'!$AC$40/3,IF($AW$7=$AL$16,'[4]4 trim 2016 BIOGROUP'!$AC$40/3,IF($AW$7=$AL$18,'[4]4 trim 2016 BIOGROUP'!$AC$40/3,IF($AW$7=$AL$19,'[4]4 trim 2016 BIOGROUP'!$AC$40/3,""))))))</f>
        <v>0</v>
      </c>
      <c r="AX40" s="431">
        <f>IF($AX$7=$AL$13,'[4]3 trim 2016 BIOGROUP'!$AC$40/3,IF($AX$7=$AL$14,'[4]3 trim 2016 BIOGROUP'!$AC$40/3,IF($AX$7=$AL$15,'[4]3 trim 2016 BIOGROUP'!$AC$40/3,IF($AX$7=$AL$16,'[4]4 trim 2016 BIOGROUP'!$AC$40/3,IF($AX$7=$AL$18,'[4]4 trim 2016 BIOGROUP'!$AC$40/3,IF($AX$7=$AL$19,'[4]4 trim 2016 BIOGROUP'!$AC$40/3,""))))))</f>
        <v>0</v>
      </c>
      <c r="AY40" s="431">
        <f>IF($AY$7=$AL$13,'[4]3 trim 2016 BIOGROUP'!$AC$40/3,IF($AY$7=$AL$14,'[4]3 trim 2016 BIOGROUP'!$AC$40/3,IF($AY$7=$AL$15,'[4]3 trim 2016 BIOGROUP'!$AC$40/3,IF($AY$7=$AL$16,'[4]4 trim 2016 BIOGROUP'!$AC$40/3,IF($AY$7=$AL$18,'[4]4 trim 2016 BIOGROUP'!$AC$40/3,IF($AY$7=$AL$19,'[4]4 trim 2016 BIOGROUP'!$AC$40/3,""))))))</f>
        <v>0</v>
      </c>
      <c r="AZ40" s="431">
        <f>IF($AZ$7=$AL$13,'[4]3 trim 2016 BIOGROUP'!$AC$40/3,IF($AZ$7=$AL$14,'[4]3 trim 2016 BIOGROUP'!$AC$40/3,IF($AZ$7=$AL$15,'[4]3 trim 2016 BIOGROUP'!$AC$40/3,IF($AZ$7=$AL$16,'[4]4 trim 2016 BIOGROUP'!$AC$40/3,IF($AZ$7=$AL$18,'[4]4 trim 2016 BIOGROUP'!$AC$40/3,IF($AZ$7=$AL$19,'[4]4 trim 2016 BIOGROUP'!$AC$40/3,""))))))</f>
        <v>0</v>
      </c>
      <c r="BB40" s="511">
        <f t="shared" si="5"/>
        <v>183649.19999999998</v>
      </c>
      <c r="BC40" s="750"/>
    </row>
    <row r="41" spans="1:55" ht="26.15" customHeight="1">
      <c r="A41" s="649"/>
      <c r="B41" s="650"/>
      <c r="C41" s="460" t="s">
        <v>96</v>
      </c>
      <c r="D41" s="439"/>
      <c r="E41" s="460" t="str">
        <f>+C41</f>
        <v>EBITDA (% of net revenues)</v>
      </c>
      <c r="G41" s="487">
        <f>+G38+G39+G40</f>
        <v>1827163.74</v>
      </c>
      <c r="H41" s="641">
        <f>+G41/G7</f>
        <v>0.29459708320462863</v>
      </c>
      <c r="J41" s="504">
        <f>J38+J39+J40</f>
        <v>0</v>
      </c>
      <c r="K41" s="505" t="str">
        <f t="shared" si="6"/>
        <v/>
      </c>
      <c r="L41" s="431"/>
      <c r="M41" s="504">
        <f>M38+M39+M40</f>
        <v>1010028.4799999997</v>
      </c>
      <c r="N41" s="522">
        <f t="shared" si="1"/>
        <v>0.80902199906283878</v>
      </c>
      <c r="O41" s="580"/>
      <c r="P41" s="660"/>
      <c r="Q41" s="661"/>
      <c r="R41" s="583"/>
      <c r="S41" s="661"/>
      <c r="T41" s="583"/>
      <c r="U41" s="661"/>
      <c r="V41" s="583"/>
      <c r="W41" s="661"/>
      <c r="X41" s="583"/>
      <c r="Y41" s="661"/>
      <c r="Z41" s="583"/>
      <c r="AA41" s="584"/>
      <c r="AB41" s="487">
        <f>AB36+AB37+AB38</f>
        <v>10781881.619999999</v>
      </c>
      <c r="AC41" s="641">
        <f>+AB41/AB7</f>
        <v>0.60408649469268205</v>
      </c>
      <c r="AD41" s="504">
        <f>AD38+AD39+AD40</f>
        <v>0</v>
      </c>
      <c r="AE41" s="522" t="str">
        <f t="shared" si="20"/>
        <v/>
      </c>
      <c r="AG41" s="504">
        <f>AG38+AG39+AG40</f>
        <v>3030085.4400000027</v>
      </c>
      <c r="AH41" s="522">
        <f t="shared" si="4"/>
        <v>2.5582764359278229</v>
      </c>
      <c r="AM41" s="460" t="s">
        <v>96</v>
      </c>
      <c r="AN41" s="747"/>
      <c r="AO41" s="741">
        <f>AO38-AO39-AO40</f>
        <v>87291.833333333372</v>
      </c>
      <c r="AP41" s="741">
        <f t="shared" ref="AP41:AZ41" si="23">AP38-AP39-AP40</f>
        <v>87291.833333333372</v>
      </c>
      <c r="AQ41" s="741">
        <f t="shared" si="23"/>
        <v>87291.833333333372</v>
      </c>
      <c r="AR41" s="741">
        <f t="shared" si="23"/>
        <v>87291.833333333372</v>
      </c>
      <c r="AS41" s="741">
        <f t="shared" si="23"/>
        <v>87291.833333333372</v>
      </c>
      <c r="AT41" s="741">
        <f t="shared" si="23"/>
        <v>87291.833333333372</v>
      </c>
      <c r="AU41" s="741">
        <f t="shared" si="23"/>
        <v>87291.833333333372</v>
      </c>
      <c r="AV41" s="741">
        <f>AV38-AV39-AV40</f>
        <v>87291.833333333372</v>
      </c>
      <c r="AW41" s="741">
        <f t="shared" si="23"/>
        <v>87291.833333333372</v>
      </c>
      <c r="AX41" s="741">
        <f t="shared" si="23"/>
        <v>87291.833333333372</v>
      </c>
      <c r="AY41" s="741">
        <f t="shared" si="23"/>
        <v>87291.833333333372</v>
      </c>
      <c r="AZ41" s="741">
        <f t="shared" si="23"/>
        <v>87291.833333333372</v>
      </c>
      <c r="BB41" s="748">
        <f t="shared" si="5"/>
        <v>10781881.619999999</v>
      </c>
      <c r="BC41" s="752"/>
    </row>
    <row r="42" spans="1:55" ht="36.75" customHeight="1">
      <c r="A42" s="662"/>
      <c r="B42" s="566"/>
      <c r="C42" s="461" t="s">
        <v>101</v>
      </c>
      <c r="D42" s="439"/>
      <c r="E42" s="461" t="s">
        <v>102</v>
      </c>
      <c r="G42" s="488">
        <f>SUM(G43:G45)</f>
        <v>-160347.28</v>
      </c>
      <c r="H42" s="623">
        <f>G42/G7</f>
        <v>-2.585309677160947E-2</v>
      </c>
      <c r="J42" s="510">
        <f>SUM(J43:J45)</f>
        <v>0</v>
      </c>
      <c r="K42" s="534" t="str">
        <f t="shared" si="6"/>
        <v/>
      </c>
      <c r="L42" s="431"/>
      <c r="M42" s="510">
        <f>SUM(M43:M45)</f>
        <v>-238405.60000000003</v>
      </c>
      <c r="N42" s="520">
        <f t="shared" si="1"/>
        <v>-0.32741814789585488</v>
      </c>
      <c r="O42" s="592"/>
      <c r="P42" s="611" t="str">
        <f>+E42</f>
        <v>RESULTAT FINANCIER</v>
      </c>
      <c r="Q42" s="663" t="e">
        <f>+Q31-Q37-Q40</f>
        <v>#REF!</v>
      </c>
      <c r="R42" s="622" t="e">
        <f>Q42/Q$7</f>
        <v>#REF!</v>
      </c>
      <c r="S42" s="663" t="e">
        <f>+S31-S37-S40</f>
        <v>#REF!</v>
      </c>
      <c r="T42" s="622" t="e">
        <f>S42/S$7</f>
        <v>#REF!</v>
      </c>
      <c r="U42" s="663" t="e">
        <f>+U31-U37-U40</f>
        <v>#REF!</v>
      </c>
      <c r="V42" s="622" t="e">
        <f>U42/U$7</f>
        <v>#REF!</v>
      </c>
      <c r="W42" s="663" t="e">
        <f>+W31-W37-W40</f>
        <v>#REF!</v>
      </c>
      <c r="X42" s="622" t="e">
        <f>W42/W$7</f>
        <v>#REF!</v>
      </c>
      <c r="Y42" s="663" t="e">
        <f>+Y31-Y37-Y40</f>
        <v>#REF!</v>
      </c>
      <c r="Z42" s="622" t="e">
        <f>Y42/Y$7</f>
        <v>#REF!</v>
      </c>
      <c r="AA42" s="609" t="e">
        <f>+G42-Y42</f>
        <v>#REF!</v>
      </c>
      <c r="AB42" s="488">
        <f>SUM(AB43:AB45)</f>
        <v>-647845.48</v>
      </c>
      <c r="AC42" s="664">
        <f>AB42/AB7</f>
        <v>-3.6297440364189242E-2</v>
      </c>
      <c r="AD42" s="510">
        <f>SUM(AD43:AD45)</f>
        <v>0</v>
      </c>
      <c r="AE42" s="520" t="str">
        <f t="shared" si="20"/>
        <v/>
      </c>
      <c r="AG42" s="510">
        <f>SUM(AG43:AG45)</f>
        <v>-715216.8</v>
      </c>
      <c r="AH42" s="520">
        <f t="shared" si="4"/>
        <v>-9.4197060248025585E-2</v>
      </c>
      <c r="AM42" s="461" t="s">
        <v>102</v>
      </c>
      <c r="AN42" s="747"/>
      <c r="AO42" s="741">
        <f>-SUM(AO43:AO45)</f>
        <v>0</v>
      </c>
      <c r="AP42" s="741">
        <f t="shared" ref="AP42:AZ42" si="24">-SUM(AP43:AP45)</f>
        <v>0</v>
      </c>
      <c r="AQ42" s="741">
        <f t="shared" si="24"/>
        <v>0</v>
      </c>
      <c r="AR42" s="741">
        <f t="shared" si="24"/>
        <v>0</v>
      </c>
      <c r="AS42" s="741">
        <f t="shared" si="24"/>
        <v>0</v>
      </c>
      <c r="AT42" s="741">
        <f t="shared" si="24"/>
        <v>0</v>
      </c>
      <c r="AU42" s="741">
        <f t="shared" si="24"/>
        <v>0</v>
      </c>
      <c r="AV42" s="741">
        <f t="shared" si="24"/>
        <v>0</v>
      </c>
      <c r="AW42" s="741">
        <f t="shared" si="24"/>
        <v>0</v>
      </c>
      <c r="AX42" s="741">
        <f t="shared" si="24"/>
        <v>0</v>
      </c>
      <c r="AY42" s="741">
        <f t="shared" si="24"/>
        <v>0</v>
      </c>
      <c r="AZ42" s="741">
        <f t="shared" si="24"/>
        <v>0</v>
      </c>
      <c r="BB42" s="748">
        <f t="shared" si="5"/>
        <v>647845.48</v>
      </c>
      <c r="BC42" s="752"/>
    </row>
    <row r="43" spans="1:55" ht="26.15" customHeight="1">
      <c r="A43" s="575"/>
      <c r="B43" s="548">
        <v>76</v>
      </c>
      <c r="C43" s="450" t="s">
        <v>148</v>
      </c>
      <c r="D43" s="439"/>
      <c r="E43" s="450" t="s">
        <v>16</v>
      </c>
      <c r="F43" s="577"/>
      <c r="G43" s="475">
        <v>34821.81</v>
      </c>
      <c r="H43" s="578">
        <f>G43/G7</f>
        <v>5.6143866219158711E-3</v>
      </c>
      <c r="J43" s="511">
        <f>-SUMIF($AO$7:$AZ$7,$G$6,AO43:AZ43)</f>
        <v>0</v>
      </c>
      <c r="K43" s="532" t="str">
        <f t="shared" si="6"/>
        <v/>
      </c>
      <c r="L43" s="431"/>
      <c r="M43" s="579">
        <f>AG43/3</f>
        <v>16750.846666666668</v>
      </c>
      <c r="N43" s="517">
        <f t="shared" si="1"/>
        <v>1.0788089517465183</v>
      </c>
      <c r="O43" s="592"/>
      <c r="P43" s="616" t="s">
        <v>16</v>
      </c>
      <c r="Q43" s="607" t="e">
        <f>+#REF!+'31 dec 2016 BIOLAM'!AT45</f>
        <v>#REF!</v>
      </c>
      <c r="R43" s="622" t="e">
        <f>Q43/Q$7</f>
        <v>#REF!</v>
      </c>
      <c r="S43" s="607" t="e">
        <f>+'31 dec 2016 BIOLAM'!AV45+#REF!</f>
        <v>#REF!</v>
      </c>
      <c r="T43" s="622" t="e">
        <f>S43/S$7</f>
        <v>#REF!</v>
      </c>
      <c r="U43" s="607" t="e">
        <f>+'31 dec 2016 BIOLAM'!AX45+#REF!</f>
        <v>#REF!</v>
      </c>
      <c r="V43" s="622" t="e">
        <f>U43/U$7</f>
        <v>#REF!</v>
      </c>
      <c r="W43" s="607" t="e">
        <f>+'31 dec 2016 BIOLAM'!AZ45+#REF!</f>
        <v>#REF!</v>
      </c>
      <c r="X43" s="622" t="e">
        <f>W43/W$7</f>
        <v>#REF!</v>
      </c>
      <c r="Y43" s="607" t="e">
        <f>+W43+U43+S43+Q43</f>
        <v>#REF!</v>
      </c>
      <c r="Z43" s="622" t="e">
        <f>Y43/Y$7</f>
        <v>#REF!</v>
      </c>
      <c r="AA43" s="609" t="e">
        <f>+G43-Y43</f>
        <v>#REF!</v>
      </c>
      <c r="AB43" s="475">
        <v>35987.85</v>
      </c>
      <c r="AC43" s="578">
        <f>AB43/AB7</f>
        <v>2.0163246939847259E-3</v>
      </c>
      <c r="AD43" s="511">
        <f>-SUMIF($AO$7:$AZ$7,"&lt;="&amp;$AC$6,AO43:AZ43)</f>
        <v>0</v>
      </c>
      <c r="AE43" s="517" t="str">
        <f t="shared" si="20"/>
        <v/>
      </c>
      <c r="AG43" s="579">
        <f>50252.54</f>
        <v>50252.54</v>
      </c>
      <c r="AH43" s="517">
        <f t="shared" si="4"/>
        <v>-0.28386007951040887</v>
      </c>
      <c r="AM43" s="450" t="s">
        <v>16</v>
      </c>
      <c r="AN43" s="747"/>
      <c r="AO43" s="431">
        <f>IF($AO$7=$AL$7,'[4]1 trim 2016 BIOGROUP'!$AC$45/3,IF($AO$7=$AL$8,'[4]1 trim 2016 BIOGROUP'!$AC$45/3,IF($AO$7=$AL$9,'[4]1 trim 2016 BIOGROUP'!$AC$45/3,IF($AO$7=$AL$10,'[4]2 trim 2016 BIOGROUP'!$AC$45/3,IF($AO$7=$AL$11,'[4]2 trim 2016 BIOGROUP'!$AC$45/3,IF($AO$7=$AL$12,'[4]2 trim 2016 BIOGROUP'!$AC$45/3,""))))))</f>
        <v>0</v>
      </c>
      <c r="AP43" s="431">
        <f>IF($AP$7=$AL$7,'[4]1 trim 2016 BIOGROUP'!$AC$45/3,IF($AP$7=$AL$8,'[4]1 trim 2016 BIOGROUP'!$AC$45/3,IF($AP$7=$AL$9,'[4]1 trim 2016 BIOGROUP'!$AC$45/3,IF($AP$7=$AL$10,'[4]2 trim 2016 BIOGROUP'!$AC$45/3,IF($AP$7=$AL$11,'[4]2 trim 2016 BIOGROUP'!$AC$45/3,IF($AP$7=$AL$12,'[4]2 trim 2016 BIOGROUP'!$AC$45/3,""))))))</f>
        <v>0</v>
      </c>
      <c r="AQ43" s="431">
        <f>IF($AQ$7=$AL$7,'[4]1 trim 2016 BIOGROUP'!$AC$45/3,IF($AQ$7=$AL$8,'[4]1 trim 2016 BIOGROUP'!$AC$45/3,IF($AQ$7=$AL$9,'[4]1 trim 2016 BIOGROUP'!$AC$45/3,IF($AQ$7=$AL$10,'[4]2 trim 2016 BIOGROUP'!$AC$45/3,IF($AQ$7=$AL$11,'[4]2 trim 2016 BIOGROUP'!$AC$45/3,IF($AQ$7=$AL$12,'[4]2 trim 2016 BIOGROUP'!$AC$45/3,""))))))</f>
        <v>0</v>
      </c>
      <c r="AR43" s="431">
        <f>IF($AR$7=$AL$7,'[4]1 trim 2016 BIOGROUP'!$AC$45/3,IF($AR$7=$AL$8,'[4]1 trim 2016 BIOGROUP'!$AC$45/3,IF($AR$7=$AL$9,'[4]1 trim 2016 BIOGROUP'!$AC$45/3,IF($AR$7=$AL$10,'[4]2 trim 2016 BIOGROUP'!$AC$45/3,IF($AR$7=$AL$11,'[4]2 trim 2016 BIOGROUP'!$AC$45/3,IF($AR$7=$AL$12,'[4]2 trim 2016 BIOGROUP'!$AC$45/3,""))))))</f>
        <v>0</v>
      </c>
      <c r="AS43" s="431">
        <f>IF($AS$7=$AL$7,'[4]1 trim 2016 BIOGROUP'!$AC$45/3,IF($AS$7=$AL$8,'[4]1 trim 2016 BIOGROUP'!$AC$45/3,IF($AS$7=$AL$9,'[4]1 trim 2016 BIOGROUP'!$AC$45/3,IF($AS$7=$AL$10,'[4]2 trim 2016 BIOGROUP'!$AC$45/3,IF($AS$7=$AL$11,'[4]2 trim 2016 BIOGROUP'!$AC$45/3,IF($AS$7=$AL$12,'[4]2 trim 2016 BIOGROUP'!$AC$45/3,""))))))</f>
        <v>0</v>
      </c>
      <c r="AT43" s="431">
        <f>IF($AT$7=$AL$7,'[4]1 trim 2016 BIOGROUP'!$AC$45/3,IF($AT$7=$AL$8,'[4]1 trim 2016 BIOGROUP'!$AC$45/3,IF($AT$7=$AL$9,'[4]1 trim 2016 BIOGROUP'!$AC$45/3,IF($AT$7=$AL$10,'[4]2 trim 2016 BIOGROUP'!$AC$45/3,IF($AT$7=$AL$11,'[4]2 trim 2016 BIOGROUP'!$AC$45/3,IF($AT$7=$AL$12,'[4]2 trim 2016 BIOGROUP'!$AC$45/3,""))))))</f>
        <v>0</v>
      </c>
      <c r="AU43" s="431">
        <f>IF($AU$7=$AL$13,'[4]3 trim 2016 BIOGROUP'!$AC$45/3,IF($AU$7=$AL$14,'[4]3 trim 2016 BIOGROUP'!$AC$45/3,IF($AU$7=$AL$15,'[4]3 trim 2016 BIOGROUP'!$AC$45/3,IF($AU$7=$AL$16,'[4]4 trim 2016 BIOGROUP'!$AC$45/3,IF($AU$7=$AL$18,'[4]4 trim 2016 BIOGROUP'!$AC$45/3,IF($AU$7=$AL$19,'[4]4 trim 2016 BIOGROUP'!$AC$45/3,""))))))</f>
        <v>0</v>
      </c>
      <c r="AV43" s="431">
        <f>IF($AV$7=$AL$13,'[4]3 trim 2016 BIOGROUP'!$AC$45/3,IF($AV$7=$AL$14,'[4]3 trim 2016 BIOGROUP'!$AC$45/3,IF($AV$7=$AL$15,'[4]3 trim 2016 BIOGROUP'!$AC$45/3,IF($AV$7=$AL$16,'[4]4 trim 2016 BIOGROUP'!$AC$45/3,IF($AV$7=$AL$18,'[4]4 trim 2016 BIOGROUP'!$AC$45/3,IF($AV$7=$AL$19,'[4]4 trim 2016 BIOGROUP'!$AC$45/3,""))))))</f>
        <v>0</v>
      </c>
      <c r="AW43" s="431">
        <f>IF($AW$7=$AL$13,'[4]3 trim 2016 BIOGROUP'!$AC$45/3,IF($AW$7=$AL$14,'[4]3 trim 2016 BIOGROUP'!$AC$45/3,IF($AW$7=$AL$15,'[4]3 trim 2016 BIOGROUP'!$AC$45/3,IF($AW$7=$AL$16,'[4]4 trim 2016 BIOGROUP'!$AC$45/3,IF($AW$7=$AL$18,'[4]4 trim 2016 BIOGROUP'!$AC$45/3,IF($AW$7=$AL$19,'[4]4 trim 2016 BIOGROUP'!$AC$45/3,""))))))</f>
        <v>0</v>
      </c>
      <c r="AX43" s="431">
        <f>IF($AX$7=$AL$13,'[4]3 trim 2016 BIOGROUP'!$AC$45/3,IF($AX$7=$AL$14,'[4]3 trim 2016 BIOGROUP'!$AC$45/3,IF($AX$7=$AL$15,'[4]3 trim 2016 BIOGROUP'!$AC$45/3,IF($AX$7=$AL$16,'[4]4 trim 2016 BIOGROUP'!$AC$45/3,IF($AX$7=$AL$18,'[4]4 trim 2016 BIOGROUP'!$AC$45/3,IF($AX$7=$AL$19,'[4]4 trim 2016 BIOGROUP'!$AC$45/3,""))))))</f>
        <v>0</v>
      </c>
      <c r="AY43" s="431">
        <f>IF($AY$7=$AL$13,'[4]3 trim 2016 BIOGROUP'!$AC$45/3,IF($AY$7=$AL$14,'[4]3 trim 2016 BIOGROUP'!$AC$45/3,IF($AY$7=$AL$15,'[4]3 trim 2016 BIOGROUP'!$AC$45/3,IF($AY$7=$AL$16,'[4]4 trim 2016 BIOGROUP'!$AC$45/3,IF($AY$7=$AL$18,'[4]4 trim 2016 BIOGROUP'!$AC$45/3,IF($AY$7=$AL$19,'[4]4 trim 2016 BIOGROUP'!$AC$45/3,""))))))</f>
        <v>0</v>
      </c>
      <c r="AZ43" s="431">
        <f>IF($AZ$7=$AL$13,'[4]3 trim 2016 BIOGROUP'!$AC$45/3,IF($AZ$7=$AL$14,'[4]3 trim 2016 BIOGROUP'!$AC$45/3,IF($AZ$7=$AL$15,'[4]3 trim 2016 BIOGROUP'!$AC$45/3,IF($AZ$7=$AL$16,'[4]4 trim 2016 BIOGROUP'!$AC$45/3,IF($AZ$7=$AL$18,'[4]4 trim 2016 BIOGROUP'!$AC$45/3,IF($AZ$7=$AL$19,'[4]4 trim 2016 BIOGROUP'!$AC$45/3,""))))))</f>
        <v>0</v>
      </c>
      <c r="BB43" s="511">
        <f t="shared" si="5"/>
        <v>35987.85</v>
      </c>
      <c r="BC43" s="750"/>
    </row>
    <row r="44" spans="1:55" ht="26.15" customHeight="1">
      <c r="A44" s="575"/>
      <c r="B44" s="548">
        <v>66</v>
      </c>
      <c r="C44" s="450" t="s">
        <v>149</v>
      </c>
      <c r="D44" s="439"/>
      <c r="E44" s="450" t="s">
        <v>17</v>
      </c>
      <c r="F44" s="577"/>
      <c r="G44" s="489">
        <f>+-195169.09-G45</f>
        <v>-195013.19</v>
      </c>
      <c r="H44" s="665">
        <f>G44/G7</f>
        <v>-3.1442347340162331E-2</v>
      </c>
      <c r="J44" s="495">
        <f>-SUMIF($AO$7:$AZ$7,$G$6,AO44:AZ44)</f>
        <v>0</v>
      </c>
      <c r="K44" s="532" t="str">
        <f t="shared" si="6"/>
        <v/>
      </c>
      <c r="L44" s="431"/>
      <c r="M44" s="579">
        <f>AG44/3</f>
        <v>-238103.11333333337</v>
      </c>
      <c r="N44" s="517">
        <f t="shared" si="1"/>
        <v>-0.18097169218030956</v>
      </c>
      <c r="O44" s="580"/>
      <c r="P44" s="586" t="s">
        <v>17</v>
      </c>
      <c r="Q44" s="582" t="e">
        <f>+#REF!+'31 dec 2016 BIOLAM'!AT46</f>
        <v>#REF!</v>
      </c>
      <c r="R44" s="583" t="e">
        <f>Q44/Q$7</f>
        <v>#REF!</v>
      </c>
      <c r="S44" s="582" t="e">
        <f>+'31 dec 2016 BIOLAM'!AV46+#REF!</f>
        <v>#REF!</v>
      </c>
      <c r="T44" s="583" t="e">
        <f>S44/S$7</f>
        <v>#REF!</v>
      </c>
      <c r="U44" s="582" t="e">
        <f>+'31 dec 2016 BIOLAM'!AX46+#REF!</f>
        <v>#REF!</v>
      </c>
      <c r="V44" s="583" t="e">
        <f>U44/U$7</f>
        <v>#REF!</v>
      </c>
      <c r="W44" s="582" t="e">
        <f>+'31 dec 2016 BIOLAM'!AZ46+#REF!</f>
        <v>#REF!</v>
      </c>
      <c r="X44" s="583" t="e">
        <f>W44/W$7</f>
        <v>#REF!</v>
      </c>
      <c r="Y44" s="582" t="e">
        <f>+W44+U44+S44+Q44</f>
        <v>#REF!</v>
      </c>
      <c r="Z44" s="583" t="e">
        <f>Y44/Y$7</f>
        <v>#REF!</v>
      </c>
      <c r="AA44" s="584" t="e">
        <f>+G44-Y44</f>
        <v>#REF!</v>
      </c>
      <c r="AB44" s="475">
        <f>-683833.33-AB45</f>
        <v>-673186.14</v>
      </c>
      <c r="AC44" s="578">
        <f>AB44/AB7</f>
        <v>-3.7717225055963581E-2</v>
      </c>
      <c r="AD44" s="495">
        <f>-SUMIF($AO$7:$AZ$7,"&lt;="&amp;$AC$6,AO44:AZ44)</f>
        <v>0</v>
      </c>
      <c r="AE44" s="517" t="str">
        <f t="shared" si="20"/>
        <v/>
      </c>
      <c r="AG44" s="579">
        <f>-678897.04-86572.3-AG45</f>
        <v>-714309.34000000008</v>
      </c>
      <c r="AH44" s="517">
        <f t="shared" si="4"/>
        <v>-5.7570575795635077E-2</v>
      </c>
      <c r="AM44" s="450" t="s">
        <v>17</v>
      </c>
      <c r="AN44" s="747"/>
      <c r="AO44" s="431">
        <f>IF($AO$7=$AL$7,'[4]1 trim 2016 BIOGROUP'!$AC$46/3,IF($AO$7=$AL$8,'[4]1 trim 2016 BIOGROUP'!$AC$46/3,IF($AO$7=$AL$9,'[4]1 trim 2016 BIOGROUP'!$AC$46/3,IF($AO$7=$AL$10,'[4]2 trim 2016 BIOGROUP'!$AC$46/3,IF($AO$7=$AL$11,'[4]2 trim 2016 BIOGROUP'!$AC$46/3,IF($AO$7=$AL$12,'[4]2 trim 2016 BIOGROUP'!$AC$46/3,""))))))</f>
        <v>0</v>
      </c>
      <c r="AP44" s="431">
        <f>IF($AP$7=$AL$7,'[4]1 trim 2016 BIOGROUP'!$AC$46/3,IF($AP$7=$AL$8,'[4]1 trim 2016 BIOGROUP'!$AC$46/3,IF($AP$7=$AL$9,'[4]1 trim 2016 BIOGROUP'!$AC$46/3,IF($AP$7=$AL$10,'[4]2 trim 2016 BIOGROUP'!$AC$46/3,IF($AP$7=$AL$11,'[4]2 trim 2016 BIOGROUP'!$AC$46/3,IF($AP$7=$AL$12,'[4]2 trim 2016 BIOGROUP'!$AC$46/3,""))))))</f>
        <v>0</v>
      </c>
      <c r="AQ44" s="431">
        <f>IF($AQ$7=$AL$7,'[4]1 trim 2016 BIOGROUP'!$AC$46/3,IF($AQ$7=$AL$8,'[4]1 trim 2016 BIOGROUP'!$AC$46/3,IF($AQ$7=$AL$9,'[4]1 trim 2016 BIOGROUP'!$AC$46/3,IF($AQ$7=$AL$10,'[4]2 trim 2016 BIOGROUP'!$AC$46/3,IF($AQ$7=$AL$11,'[4]2 trim 2016 BIOGROUP'!$AC$46/3,IF($AQ$7=$AL$12,'[4]2 trim 2016 BIOGROUP'!$AC$46/3,""))))))</f>
        <v>0</v>
      </c>
      <c r="AR44" s="431">
        <f>IF($AR$7=$AL$7,'[4]1 trim 2016 BIOGROUP'!$AC$46/3,IF($AR$7=$AL$8,'[4]1 trim 2016 BIOGROUP'!$AC$46/3,IF($AR$7=$AL$9,'[4]1 trim 2016 BIOGROUP'!$AC$46/3,IF($AR$7=$AL$10,'[4]2 trim 2016 BIOGROUP'!$AC$46/3,IF($AR$7=$AL$11,'[4]2 trim 2016 BIOGROUP'!$AC$46/3,IF($AR$7=$AL$12,'[4]2 trim 2016 BIOGROUP'!$AC$46/3,""))))))</f>
        <v>0</v>
      </c>
      <c r="AS44" s="431">
        <f>IF($AS$7=$AL$7,'[4]1 trim 2016 BIOGROUP'!$AC$46/3,IF($AS$7=$AL$8,'[4]1 trim 2016 BIOGROUP'!$AC$46/3,IF($AS$7=$AL$9,'[4]1 trim 2016 BIOGROUP'!$AC$46/3,IF($AS$7=$AL$10,'[4]2 trim 2016 BIOGROUP'!$AC$46/3,IF($AS$7=$AL$11,'[4]2 trim 2016 BIOGROUP'!$AC$46/3,IF($AS$7=$AL$12,'[4]2 trim 2016 BIOGROUP'!$AC$46/3,""))))))</f>
        <v>0</v>
      </c>
      <c r="AT44" s="431">
        <f>IF($AT$7=$AL$7,'[4]1 trim 2016 BIOGROUP'!$AC$46/3,IF($AT$7=$AL$8,'[4]1 trim 2016 BIOGROUP'!$AC$46/3,IF($AT$7=$AL$9,'[4]1 trim 2016 BIOGROUP'!$AC$46/3,IF($AT$7=$AL$10,'[4]2 trim 2016 BIOGROUP'!$AC$46/3,IF($AT$7=$AL$11,'[4]2 trim 2016 BIOGROUP'!$AC$46/3,IF($AT$7=$AL$12,'[4]2 trim 2016 BIOGROUP'!$AC$46/3,""))))))</f>
        <v>0</v>
      </c>
      <c r="AU44" s="431">
        <f>IF($AU$7=$AL$13,'[4]3 trim 2016 BIOGROUP'!$AC$46/3,IF($AU$7=$AL$14,'[4]3 trim 2016 BIOGROUP'!$AC$46/3,IF($AU$7=$AL$15,'[4]3 trim 2016 BIOGROUP'!$AC$46/3,IF($AU$7=$AL$16,'[4]4 trim 2016 BIOGROUP'!$AC$46/3,IF($AU$7=$AL$18,'[4]4 trim 2016 BIOGROUP'!$AC$46/3,IF($AU$7=$AL$19,'[4]4 trim 2016 BIOGROUP'!$AC$46/3,""))))))</f>
        <v>0</v>
      </c>
      <c r="AV44" s="431">
        <f>IF($AV$7=$AL$13,'[4]3 trim 2016 BIOGROUP'!$AC$46/3,IF($AV$7=$AL$14,'[4]3 trim 2016 BIOGROUP'!$AC$46/3,IF($AV$7=$AL$15,'[4]3 trim 2016 BIOGROUP'!$AC$46/3,IF($AV$7=$AL$16,'[4]4 trim 2016 BIOGROUP'!$AC$46/3,IF($AV$7=$AL$18,'[4]4 trim 2016 BIOGROUP'!$AC$46/3,IF($AV$7=$AL$19,'[4]4 trim 2016 BIOGROUP'!$AC$46/3,""))))))</f>
        <v>0</v>
      </c>
      <c r="AW44" s="431">
        <f>IF($AW$7=$AL$13,'[4]3 trim 2016 BIOGROUP'!$AC$46/3,IF($AW$7=$AL$14,'[4]3 trim 2016 BIOGROUP'!$AC$46/3,IF($AW$7=$AL$15,'[4]3 trim 2016 BIOGROUP'!$AC$46/3,IF($AW$7=$AL$16,'[4]4 trim 2016 BIOGROUP'!$AC$46/3,IF($AW$7=$AL$18,'[4]4 trim 2016 BIOGROUP'!$AC$46/3,IF($AW$7=$AL$19,'[4]4 trim 2016 BIOGROUP'!$AC$46/3,""))))))</f>
        <v>0</v>
      </c>
      <c r="AX44" s="431">
        <f>IF($AX$7=$AL$13,'[4]3 trim 2016 BIOGROUP'!$AC$46/3,IF($AX$7=$AL$14,'[4]3 trim 2016 BIOGROUP'!$AC$46/3,IF($AX$7=$AL$15,'[4]3 trim 2016 BIOGROUP'!$AC$46/3,IF($AX$7=$AL$16,'[4]4 trim 2016 BIOGROUP'!$AC$46/3,IF($AX$7=$AL$18,'[4]4 trim 2016 BIOGROUP'!$AC$46/3,IF($AX$7=$AL$19,'[4]4 trim 2016 BIOGROUP'!$AC$46/3,""))))))</f>
        <v>0</v>
      </c>
      <c r="AY44" s="431">
        <f>IF($AY$7=$AL$13,'[4]3 trim 2016 BIOGROUP'!$AC$46/3,IF($AY$7=$AL$14,'[4]3 trim 2016 BIOGROUP'!$AC$46/3,IF($AY$7=$AL$15,'[4]3 trim 2016 BIOGROUP'!$AC$46/3,IF($AY$7=$AL$16,'[4]4 trim 2016 BIOGROUP'!$AC$46/3,IF($AY$7=$AL$18,'[4]4 trim 2016 BIOGROUP'!$AC$46/3,IF($AY$7=$AL$19,'[4]4 trim 2016 BIOGROUP'!$AC$46/3,""))))))</f>
        <v>0</v>
      </c>
      <c r="AZ44" s="431">
        <f>IF($AZ$7=$AL$13,'[4]3 trim 2016 BIOGROUP'!$AC$46/3,IF($AZ$7=$AL$14,'[4]3 trim 2016 BIOGROUP'!$AC$46/3,IF($AZ$7=$AL$15,'[4]3 trim 2016 BIOGROUP'!$AC$46/3,IF($AZ$7=$AL$16,'[4]4 trim 2016 BIOGROUP'!$AC$46/3,IF($AZ$7=$AL$18,'[4]4 trim 2016 BIOGROUP'!$AC$46/3,IF($AZ$7=$AL$19,'[4]4 trim 2016 BIOGROUP'!$AC$46/3,""))))))</f>
        <v>0</v>
      </c>
      <c r="BB44" s="511">
        <f t="shared" si="5"/>
        <v>673186.14</v>
      </c>
      <c r="BC44" s="750"/>
    </row>
    <row r="45" spans="1:55" ht="26.15" customHeight="1">
      <c r="A45" s="649"/>
      <c r="B45" s="650">
        <v>66</v>
      </c>
      <c r="C45" s="462" t="s">
        <v>151</v>
      </c>
      <c r="D45" s="439"/>
      <c r="E45" s="462" t="s">
        <v>41</v>
      </c>
      <c r="F45" s="666"/>
      <c r="G45" s="486">
        <f>+-1791.9+1636</f>
        <v>-155.90000000000009</v>
      </c>
      <c r="H45" s="653">
        <f>G45/G7</f>
        <v>-2.5136053363012571E-5</v>
      </c>
      <c r="J45" s="509">
        <f>-SUMIF($AO$7:$AZ$7,$G$6,AO45:AZ45)</f>
        <v>0</v>
      </c>
      <c r="K45" s="539" t="str">
        <f t="shared" si="6"/>
        <v/>
      </c>
      <c r="L45" s="431"/>
      <c r="M45" s="579">
        <f>AG45/3</f>
        <v>-17053.333333333332</v>
      </c>
      <c r="N45" s="517">
        <f t="shared" si="1"/>
        <v>-0.99085809225957766</v>
      </c>
      <c r="O45" s="580"/>
      <c r="P45" s="667" t="s">
        <v>41</v>
      </c>
      <c r="Q45" s="582" t="e">
        <f>+#REF!+'31 dec 2016 BIOLAM'!AT47</f>
        <v>#REF!</v>
      </c>
      <c r="R45" s="583" t="e">
        <f>Q45/Q$7</f>
        <v>#REF!</v>
      </c>
      <c r="S45" s="582" t="e">
        <f>+'31 dec 2016 BIOLAM'!AV47+#REF!</f>
        <v>#REF!</v>
      </c>
      <c r="T45" s="583" t="e">
        <f>S45/S$7</f>
        <v>#REF!</v>
      </c>
      <c r="U45" s="582" t="e">
        <f>+'31 dec 2016 BIOLAM'!AX47+#REF!</f>
        <v>#REF!</v>
      </c>
      <c r="V45" s="583" t="e">
        <f>U45/U$7</f>
        <v>#REF!</v>
      </c>
      <c r="W45" s="582" t="e">
        <f>+'31 dec 2016 BIOLAM'!AZ47+#REF!</f>
        <v>#REF!</v>
      </c>
      <c r="X45" s="583" t="e">
        <f>W45/W$7</f>
        <v>#REF!</v>
      </c>
      <c r="Y45" s="582" t="e">
        <f>+W45+U45+S45+Q45</f>
        <v>#REF!</v>
      </c>
      <c r="Z45" s="583" t="e">
        <f>Y45/Y$7</f>
        <v>#REF!</v>
      </c>
      <c r="AA45" s="584" t="e">
        <f>+G45-Y45</f>
        <v>#REF!</v>
      </c>
      <c r="AB45" s="486">
        <f>-4807.19-5840</f>
        <v>-10647.189999999999</v>
      </c>
      <c r="AC45" s="653">
        <f>AB45/AB8</f>
        <v>-6.7672253149079272E-4</v>
      </c>
      <c r="AD45" s="509">
        <f>-SUMIF($AO$7:$AZ$7,"&lt;="&amp;$AC$6,AO45:AZ45)</f>
        <v>0</v>
      </c>
      <c r="AE45" s="523" t="str">
        <f t="shared" si="20"/>
        <v/>
      </c>
      <c r="AG45" s="654">
        <f>-27924-5914-16248-1074</f>
        <v>-51160</v>
      </c>
      <c r="AH45" s="523">
        <f t="shared" si="4"/>
        <v>-0.79188448006254886</v>
      </c>
      <c r="AM45" s="462" t="s">
        <v>41</v>
      </c>
      <c r="AN45" s="747"/>
      <c r="AO45" s="431">
        <f>IF($AO$7=$AL$7,'[4]1 trim 2016 BIOGROUP'!$AC$47/3,IF($AO$7=$AL$8,'[4]1 trim 2016 BIOGROUP'!$AC$47/3,IF($AO$7=$AL$9,'[4]1 trim 2016 BIOGROUP'!$AC$47/3,IF($AO$7=$AL$10,'[4]2 trim 2016 BIOGROUP'!$AC$47/3,IF($AO$7=$AL$11,'[4]2 trim 2016 BIOGROUP'!$AC$47/3,IF($AO$7=$AL$12,'[4]2 trim 2016 BIOGROUP'!$AC$47/3,""))))))</f>
        <v>0</v>
      </c>
      <c r="AP45" s="431">
        <f>IF($AP$7=$AL$7,'[4]1 trim 2016 BIOGROUP'!$AC$47/3,IF($AP$7=$AL$8,'[4]1 trim 2016 BIOGROUP'!$AC$47/3,IF($AP$7=$AL$9,'[4]1 trim 2016 BIOGROUP'!$AC$47/3,IF($AP$7=$AL$10,'[4]2 trim 2016 BIOGROUP'!$AC$47/3,IF($AP$7=$AL$11,'[4]2 trim 2016 BIOGROUP'!$AC$47/3,IF($AP$7=$AL$12,'[4]2 trim 2016 BIOGROUP'!$AC$47/3,""))))))</f>
        <v>0</v>
      </c>
      <c r="AQ45" s="431">
        <f>IF($AQ$7=$AL$7,'[4]1 trim 2016 BIOGROUP'!$AC$47/3,IF($AQ$7=$AL$8,'[4]1 trim 2016 BIOGROUP'!$AC$47/3,IF($AQ$7=$AL$9,'[4]1 trim 2016 BIOGROUP'!$AC$47/3,IF($AQ$7=$AL$10,'[4]2 trim 2016 BIOGROUP'!$AC$47/3,IF($AQ$7=$AL$11,'[4]2 trim 2016 BIOGROUP'!$AC$47/3,IF($AQ$7=$AL$12,'[4]2 trim 2016 BIOGROUP'!$AC$47/3,""))))))</f>
        <v>0</v>
      </c>
      <c r="AR45" s="431">
        <f>IF($AR$7=$AL$7,'[4]1 trim 2016 BIOGROUP'!$AC$47/3,IF($AR$7=$AL$8,'[4]1 trim 2016 BIOGROUP'!$AC$47/3,IF($AR$7=$AL$9,'[4]1 trim 2016 BIOGROUP'!$AC$47/3,IF($AR$7=$AL$10,'[4]2 trim 2016 BIOGROUP'!$AC$47/3,IF($AR$7=$AL$11,'[4]2 trim 2016 BIOGROUP'!$AC$47/3,IF($AR$7=$AL$12,'[4]2 trim 2016 BIOGROUP'!$AC$47/3,""))))))</f>
        <v>0</v>
      </c>
      <c r="AS45" s="431">
        <f>IF($AS$7=$AL$7,'[4]1 trim 2016 BIOGROUP'!$AC$47/3,IF($AS$7=$AL$8,'[4]1 trim 2016 BIOGROUP'!$AC$47/3,IF($AS$7=$AL$9,'[4]1 trim 2016 BIOGROUP'!$AC$47/3,IF($AS$7=$AL$10,'[4]2 trim 2016 BIOGROUP'!$AC$47/3,IF($AS$7=$AL$11,'[4]2 trim 2016 BIOGROUP'!$AC$47/3,IF($AS$7=$AL$12,'[4]2 trim 2016 BIOGROUP'!$AC$47/3,""))))))</f>
        <v>0</v>
      </c>
      <c r="AT45" s="431">
        <f>IF($AT$7=$AL$7,'[4]1 trim 2016 BIOGROUP'!$AC$47/3,IF($AT$7=$AL$8,'[4]1 trim 2016 BIOGROUP'!$AC$47/3,IF($AT$7=$AL$9,'[4]1 trim 2016 BIOGROUP'!$AC$47/3,IF($AT$7=$AL$10,'[4]2 trim 2016 BIOGROUP'!$AC$47/3,IF($AT$7=$AL$11,'[4]2 trim 2016 BIOGROUP'!$AC$47/3,IF($AT$7=$AL$12,'[4]2 trim 2016 BIOGROUP'!$AC$47/3,""))))))</f>
        <v>0</v>
      </c>
      <c r="AU45" s="431">
        <f>IF($AU$7=$AL$13,'[4]3 trim 2016 BIOGROUP'!$AC$47/3,IF($AU$7=$AL$14,'[4]3 trim 2016 BIOGROUP'!$AC$47/3,IF($AU$7=$AL$15,'[4]3 trim 2016 BIOGROUP'!$AC$47/3,IF($AU$7=$AL$16,'[4]4 trim 2016 BIOGROUP'!$AC$47/3,IF($AU$7=$AL$18,'[4]4 trim 2016 BIOGROUP'!$AC$47/3,IF($AU$7=$AL$19,'[4]4 trim 2016 BIOGROUP'!$AC$47/3,""))))))</f>
        <v>0</v>
      </c>
      <c r="AV45" s="431">
        <f>IF($AV$7=$AL$13,'[4]3 trim 2016 BIOGROUP'!$AC$47/3,IF($AV$7=$AL$14,'[4]3 trim 2016 BIOGROUP'!$AC$47/3,IF($AV$7=$AL$15,'[4]3 trim 2016 BIOGROUP'!$AC$47/3,IF($AV$7=$AL$16,'[4]4 trim 2016 BIOGROUP'!$AC$47/3,IF($AV$7=$AL$18,'[4]4 trim 2016 BIOGROUP'!$AC$47/3,IF($AV$7=$AL$19,'[4]4 trim 2016 BIOGROUP'!$AC$47/3,""))))))</f>
        <v>0</v>
      </c>
      <c r="AW45" s="431">
        <f>IF($AW$7=$AL$13,'[4]3 trim 2016 BIOGROUP'!$AC$47/3,IF($AW$7=$AL$14,'[4]3 trim 2016 BIOGROUP'!$AC$47/3,IF($AW$7=$AL$15,'[4]3 trim 2016 BIOGROUP'!$AC$47/3,IF($AW$7=$AL$16,'[4]4 trim 2016 BIOGROUP'!$AC$47/3,IF($AW$7=$AL$18,'[4]4 trim 2016 BIOGROUP'!$AC$47/3,IF($AW$7=$AL$19,'[4]4 trim 2016 BIOGROUP'!$AC$47/3,""))))))</f>
        <v>0</v>
      </c>
      <c r="AX45" s="431">
        <f>IF($AX$7=$AL$13,'[4]3 trim 2016 BIOGROUP'!$AC$47/3,IF($AX$7=$AL$14,'[4]3 trim 2016 BIOGROUP'!$AC$47/3,IF($AX$7=$AL$15,'[4]3 trim 2016 BIOGROUP'!$AC$47/3,IF($AX$7=$AL$16,'[4]4 trim 2016 BIOGROUP'!$AC$47/3,IF($AX$7=$AL$18,'[4]4 trim 2016 BIOGROUP'!$AC$47/3,IF($AX$7=$AL$19,'[4]4 trim 2016 BIOGROUP'!$AC$47/3,""))))))</f>
        <v>0</v>
      </c>
      <c r="AY45" s="431">
        <f>IF($AY$7=$AL$13,'[4]3 trim 2016 BIOGROUP'!$AC$47/3,IF($AY$7=$AL$14,'[4]3 trim 2016 BIOGROUP'!$AC$47/3,IF($AY$7=$AL$15,'[4]3 trim 2016 BIOGROUP'!$AC$47/3,IF($AY$7=$AL$16,'[4]4 trim 2016 BIOGROUP'!$AC$47/3,IF($AY$7=$AL$18,'[4]4 trim 2016 BIOGROUP'!$AC$47/3,IF($AY$7=$AL$19,'[4]4 trim 2016 BIOGROUP'!$AC$47/3,""))))))</f>
        <v>0</v>
      </c>
      <c r="AZ45" s="431">
        <f>IF($AZ$7=$AL$13,'[4]3 trim 2016 BIOGROUP'!$AC$47/3,IF($AZ$7=$AL$14,'[4]3 trim 2016 BIOGROUP'!$AC$47/3,IF($AZ$7=$AL$15,'[4]3 trim 2016 BIOGROUP'!$AC$47/3,IF($AZ$7=$AL$16,'[4]4 trim 2016 BIOGROUP'!$AC$47/3,IF($AZ$7=$AL$18,'[4]4 trim 2016 BIOGROUP'!$AC$47/3,IF($AZ$7=$AL$19,'[4]4 trim 2016 BIOGROUP'!$AC$47/3,""))))))</f>
        <v>0</v>
      </c>
      <c r="BB45" s="511">
        <f t="shared" si="5"/>
        <v>10647.189999999999</v>
      </c>
      <c r="BC45" s="750"/>
    </row>
    <row r="46" spans="1:55" ht="26.15" customHeight="1">
      <c r="A46" s="662"/>
      <c r="B46" s="566">
        <v>77</v>
      </c>
      <c r="C46" s="451" t="s">
        <v>103</v>
      </c>
      <c r="D46" s="589"/>
      <c r="E46" s="451" t="s">
        <v>104</v>
      </c>
      <c r="F46" s="577"/>
      <c r="G46" s="476">
        <f>SUM(G47:G48)</f>
        <v>-7793.9199999999983</v>
      </c>
      <c r="H46" s="591">
        <f>G46/G7</f>
        <v>-1.2566285376975675E-3</v>
      </c>
      <c r="J46" s="496">
        <f>SUM(J47:J48)</f>
        <v>0</v>
      </c>
      <c r="K46" s="530" t="str">
        <f t="shared" si="6"/>
        <v/>
      </c>
      <c r="L46" s="431"/>
      <c r="M46" s="496">
        <f>SUM(M47:M48)</f>
        <v>49647.866666666669</v>
      </c>
      <c r="N46" s="518">
        <f t="shared" si="1"/>
        <v>-1.1569839858845898</v>
      </c>
      <c r="O46" s="592"/>
      <c r="P46" s="611" t="str">
        <f>+E46</f>
        <v>NON RECURRENT</v>
      </c>
      <c r="Q46" s="668" t="e">
        <f>Q72-Q73</f>
        <v>#REF!</v>
      </c>
      <c r="R46" s="622" t="e">
        <f>Q46/Q$7</f>
        <v>#REF!</v>
      </c>
      <c r="S46" s="668" t="e">
        <f>S72-S73</f>
        <v>#REF!</v>
      </c>
      <c r="T46" s="622" t="e">
        <f>S46/S$7</f>
        <v>#REF!</v>
      </c>
      <c r="U46" s="668" t="e">
        <f>U72-U73</f>
        <v>#REF!</v>
      </c>
      <c r="V46" s="622" t="e">
        <f>U46/U$7</f>
        <v>#REF!</v>
      </c>
      <c r="W46" s="668" t="e">
        <f>W72-W73</f>
        <v>#REF!</v>
      </c>
      <c r="X46" s="622" t="e">
        <f>W46/W$7</f>
        <v>#REF!</v>
      </c>
      <c r="Y46" s="668" t="e">
        <f>Y72-Y73</f>
        <v>#REF!</v>
      </c>
      <c r="Z46" s="622" t="e">
        <f>Y46/Y$7</f>
        <v>#REF!</v>
      </c>
      <c r="AA46" s="609" t="e">
        <f>+G46-Y46</f>
        <v>#REF!</v>
      </c>
      <c r="AB46" s="476">
        <f>SUM(AB47:AB48)</f>
        <v>-104765.45</v>
      </c>
      <c r="AC46" s="591">
        <f>AB46/AB7</f>
        <v>-5.869791163168183E-3</v>
      </c>
      <c r="AD46" s="496" t="e">
        <f>SUM(AD47:AD48)</f>
        <v>#REF!</v>
      </c>
      <c r="AE46" s="518" t="str">
        <f t="shared" si="20"/>
        <v/>
      </c>
      <c r="AG46" s="496">
        <f>SUM(AG47:AG48)</f>
        <v>148943.60000000003</v>
      </c>
      <c r="AH46" s="518">
        <f t="shared" si="4"/>
        <v>-1.7033900751693929</v>
      </c>
      <c r="AM46" s="451" t="s">
        <v>104</v>
      </c>
      <c r="AN46" s="747"/>
      <c r="AO46" s="741">
        <f>-SUM(AO47:AO48)</f>
        <v>0</v>
      </c>
      <c r="AP46" s="741">
        <f t="shared" ref="AP46:AZ46" si="25">-SUM(AP47:AP48)</f>
        <v>0</v>
      </c>
      <c r="AQ46" s="741">
        <f t="shared" si="25"/>
        <v>0</v>
      </c>
      <c r="AR46" s="741">
        <f t="shared" si="25"/>
        <v>0</v>
      </c>
      <c r="AS46" s="741">
        <f t="shared" si="25"/>
        <v>0</v>
      </c>
      <c r="AT46" s="741">
        <f t="shared" si="25"/>
        <v>0</v>
      </c>
      <c r="AU46" s="741">
        <f t="shared" si="25"/>
        <v>0</v>
      </c>
      <c r="AV46" s="741">
        <f t="shared" si="25"/>
        <v>0</v>
      </c>
      <c r="AW46" s="741">
        <f t="shared" si="25"/>
        <v>0</v>
      </c>
      <c r="AX46" s="741">
        <f t="shared" si="25"/>
        <v>0</v>
      </c>
      <c r="AY46" s="741">
        <f t="shared" si="25"/>
        <v>0</v>
      </c>
      <c r="AZ46" s="741">
        <f t="shared" si="25"/>
        <v>0</v>
      </c>
      <c r="BB46" s="748" t="e">
        <f t="shared" si="5"/>
        <v>#REF!</v>
      </c>
      <c r="BC46" s="752"/>
    </row>
    <row r="47" spans="1:55" ht="27" customHeight="1">
      <c r="A47" s="662"/>
      <c r="B47" s="566">
        <v>77</v>
      </c>
      <c r="C47" s="669" t="s">
        <v>150</v>
      </c>
      <c r="D47" s="670"/>
      <c r="E47" s="463" t="s">
        <v>131</v>
      </c>
      <c r="F47" s="577"/>
      <c r="G47" s="475">
        <v>54874.96</v>
      </c>
      <c r="H47" s="578">
        <f>G47/$G$7</f>
        <v>8.8475941170826147E-3</v>
      </c>
      <c r="J47" s="506">
        <f>-SUMIF($AO$7:$AZ$7,$G$6,AO47:AZ47)</f>
        <v>0</v>
      </c>
      <c r="K47" s="532" t="str">
        <f t="shared" si="6"/>
        <v/>
      </c>
      <c r="L47" s="431"/>
      <c r="M47" s="506">
        <f>AG47/3</f>
        <v>120736.07666666668</v>
      </c>
      <c r="N47" s="517">
        <f t="shared" si="1"/>
        <v>-0.54549657803192375</v>
      </c>
      <c r="O47" s="580"/>
      <c r="P47" s="581"/>
      <c r="Q47" s="671"/>
      <c r="R47" s="672"/>
      <c r="S47" s="671"/>
      <c r="T47" s="672"/>
      <c r="U47" s="671"/>
      <c r="V47" s="672"/>
      <c r="W47" s="671"/>
      <c r="X47" s="672"/>
      <c r="Y47" s="671"/>
      <c r="Z47" s="672"/>
      <c r="AA47" s="584"/>
      <c r="AB47" s="475">
        <v>88332.92</v>
      </c>
      <c r="AC47" s="578">
        <f>+AB47/$AB$7</f>
        <v>4.9491105439134955E-3</v>
      </c>
      <c r="AD47" s="506" t="e">
        <f>IF($AC$6=$AK$7,'31 dec 2016 BIOLAM'!AT49,IF($AC$6=$AK$8,'31 dec 2016 BIOLAM'!AV49,IF($AC$6=$AK$9,'31 dec 2016 BIOLAM'!AX49,IF($AC$6=$AK$10,'31 dec 2016 BIOLAM'!AZ49,""))))</f>
        <v>#REF!</v>
      </c>
      <c r="AE47" s="517" t="str">
        <f t="shared" si="20"/>
        <v/>
      </c>
      <c r="AG47" s="506">
        <f>343354.34+18853.89</f>
        <v>362208.23000000004</v>
      </c>
      <c r="AH47" s="517">
        <f t="shared" si="4"/>
        <v>-0.75612668988774778</v>
      </c>
      <c r="AM47" s="463" t="s">
        <v>131</v>
      </c>
      <c r="AN47" s="747"/>
      <c r="AO47" s="431">
        <f>IF($AO$7=$AL$7,'[4]1 trim 2016 BIOGROUP'!$AC$49/3,IF($AO$7=$AL$8,'[4]1 trim 2016 BIOGROUP'!$AC$49/3,IF($AO$7=$AL$9,'[4]1 trim 2016 BIOGROUP'!$AC$49/3,IF($AO$7=$AL$10,'[4]2 trim 2016 BIOGROUP'!$AC$49/3,IF($AO$7=$AL$11,'[4]2 trim 2016 BIOGROUP'!$AC$49/3,IF($AO$7=$AL$12,'[4]2 trim 2016 BIOGROUP'!$AC$49/3,""))))))</f>
        <v>0</v>
      </c>
      <c r="AP47" s="431">
        <f>IF($AP$7=$AL$7,'[4]1 trim 2016 BIOGROUP'!$AC$49/3,IF($AP$7=$AL$8,'[4]1 trim 2016 BIOGROUP'!$AC$49/3,IF($AP$7=$AL$9,'[4]1 trim 2016 BIOGROUP'!$AC$49/3,IF($AP$7=$AL$10,'[4]2 trim 2016 BIOGROUP'!$AC$49/3,IF($AP$7=$AL$11,'[4]2 trim 2016 BIOGROUP'!$AC$49/3,IF($AP$7=$AL$12,'[4]2 trim 2016 BIOGROUP'!$AC$49/3,""))))))</f>
        <v>0</v>
      </c>
      <c r="AQ47" s="431">
        <f>IF($AQ$7=$AL$7,'[4]1 trim 2016 BIOGROUP'!$AC$49/3,IF($AQ$7=$AL$8,'[4]1 trim 2016 BIOGROUP'!$AC$49/3,IF($AQ$7=$AL$9,'[4]1 trim 2016 BIOGROUP'!$AC$49/3,IF($AQ$7=$AL$10,'[4]2 trim 2016 BIOGROUP'!$AC$49/3,IF($AQ$7=$AL$11,'[4]2 trim 2016 BIOGROUP'!$AC$49/3,IF($AQ$7=$AL$12,'[4]2 trim 2016 BIOGROUP'!$AC$49/3,""))))))</f>
        <v>0</v>
      </c>
      <c r="AR47" s="431">
        <f>IF($AR$7=$AL$7,'[4]1 trim 2016 BIOGROUP'!$AC$49/3,IF($AR$7=$AL$8,'[4]1 trim 2016 BIOGROUP'!$AC$49/3,IF($AR$7=$AL$9,'[4]1 trim 2016 BIOGROUP'!$AC$49/3,IF($AR$7=$AL$10,'[4]2 trim 2016 BIOGROUP'!$AC$49/3,IF($AR$7=$AL$11,'[4]2 trim 2016 BIOGROUP'!$AC$49/3,IF($AR$7=$AL$12,'[4]2 trim 2016 BIOGROUP'!$AC$49/3,""))))))</f>
        <v>0</v>
      </c>
      <c r="AS47" s="431">
        <f>IF($AS$7=$AL$7,'[4]1 trim 2016 BIOGROUP'!$AC$49/3,IF($AS$7=$AL$8,'[4]1 trim 2016 BIOGROUP'!$AC$49/3,IF($AS$7=$AL$9,'[4]1 trim 2016 BIOGROUP'!$AC$49/3,IF($AS$7=$AL$10,'[4]2 trim 2016 BIOGROUP'!$AC$49/3,IF($AS$7=$AL$11,'[4]2 trim 2016 BIOGROUP'!$AC$49/3,IF($AS$7=$AL$12,'[4]2 trim 2016 BIOGROUP'!$AC$49/3,""))))))</f>
        <v>0</v>
      </c>
      <c r="AT47" s="431">
        <f>IF($AT$7=$AL$7,'[4]1 trim 2016 BIOGROUP'!$AC$49/3,IF($AT$7=$AL$8,'[4]1 trim 2016 BIOGROUP'!$AC$49/3,IF($AT$7=$AL$9,'[4]1 trim 2016 BIOGROUP'!$AC$49/3,IF($AT$7=$AL$10,'[4]2 trim 2016 BIOGROUP'!$AC$49/3,IF($AT$7=$AL$11,'[4]2 trim 2016 BIOGROUP'!$AC$49/3,IF($AT$7=$AL$12,'[4]2 trim 2016 BIOGROUP'!$AC$49/3,""))))))</f>
        <v>0</v>
      </c>
      <c r="AU47" s="431">
        <f>IF($AU$7=$AL$13,'[4]3 trim 2016 BIOGROUP'!$AC$49/3,IF($AU$7=$AL$14,'[4]3 trim 2016 BIOGROUP'!$AC$49/3,IF($AU$7=$AL$15,'[4]3 trim 2016 BIOGROUP'!$AC$49/3,IF($AU$7=$AL$16,'[4]4 trim 2016 BIOGROUP'!$AC$49/3,IF($AU$7=$AL$18,'[4]4 trim 2016 BIOGROUP'!$AC$49/3,IF($AU$7=$AL$19,'[4]4 trim 2016 BIOGROUP'!$AC$49/3,""))))))</f>
        <v>0</v>
      </c>
      <c r="AV47" s="431">
        <f>IF($AV$7=$AL$13,'[4]3 trim 2016 BIOGROUP'!$AC$49/3,IF($AV$7=$AL$14,'[4]3 trim 2016 BIOGROUP'!$AC$49/3,IF($AV$7=$AL$15,'[4]3 trim 2016 BIOGROUP'!$AC$49/3,IF($AV$7=$AL$16,'[4]4 trim 2016 BIOGROUP'!$AC$49/3,IF($AV$7=$AL$18,'[4]4 trim 2016 BIOGROUP'!$AC$49/3,IF($AV$7=$AL$19,'[4]4 trim 2016 BIOGROUP'!$AC$49/3,""))))))</f>
        <v>0</v>
      </c>
      <c r="AW47" s="431">
        <f>IF($AW$7=$AL$13,'[4]3 trim 2016 BIOGROUP'!$AC$49/3,IF($AW$7=$AL$14,'[4]3 trim 2016 BIOGROUP'!$AC$49/3,IF($AW$7=$AL$15,'[4]3 trim 2016 BIOGROUP'!$AC$49/3,IF($AW$7=$AL$16,'[4]4 trim 2016 BIOGROUP'!$AC$49/3,IF($AW$7=$AL$18,'[4]4 trim 2016 BIOGROUP'!$AC$49/3,IF($AW$7=$AL$19,'[4]4 trim 2016 BIOGROUP'!$AC$49/3,""))))))</f>
        <v>0</v>
      </c>
      <c r="AX47" s="431">
        <f>IF($AX$7=$AL$13,'[4]3 trim 2016 BIOGROUP'!$AC$49/3,IF($AX$7=$AL$14,'[4]3 trim 2016 BIOGROUP'!$AC$49/3,IF($AX$7=$AL$15,'[4]3 trim 2016 BIOGROUP'!$AC$49/3,IF($AX$7=$AL$16,'[4]4 trim 2016 BIOGROUP'!$AC$49/3,IF($AX$7=$AL$18,'[4]4 trim 2016 BIOGROUP'!$AC$49/3,IF($AX$7=$AL$19,'[4]4 trim 2016 BIOGROUP'!$AC$49/3,""))))))</f>
        <v>0</v>
      </c>
      <c r="AY47" s="431">
        <f>IF($AY$7=$AL$13,'[4]3 trim 2016 BIOGROUP'!$AC$49/3,IF($AY$7=$AL$14,'[4]3 trim 2016 BIOGROUP'!$AC$49/3,IF($AY$7=$AL$15,'[4]3 trim 2016 BIOGROUP'!$AC$49/3,IF($AY$7=$AL$16,'[4]4 trim 2016 BIOGROUP'!$AC$49/3,IF($AY$7=$AL$18,'[4]4 trim 2016 BIOGROUP'!$AC$49/3,IF($AY$7=$AL$19,'[4]4 trim 2016 BIOGROUP'!$AC$49/3,""))))))</f>
        <v>0</v>
      </c>
      <c r="AZ47" s="431">
        <f>IF($AZ$7=$AL$13,'[4]3 trim 2016 BIOGROUP'!$AC$49/3,IF($AZ$7=$AL$14,'[4]3 trim 2016 BIOGROUP'!$AC$49/3,IF($AZ$7=$AL$15,'[4]3 trim 2016 BIOGROUP'!$AC$49/3,IF($AZ$7=$AL$16,'[4]4 trim 2016 BIOGROUP'!$AC$49/3,IF($AZ$7=$AL$18,'[4]4 trim 2016 BIOGROUP'!$AC$49/3,IF($AZ$7=$AL$19,'[4]4 trim 2016 BIOGROUP'!$AC$49/3,""))))))</f>
        <v>0</v>
      </c>
      <c r="BB47" s="511" t="e">
        <f t="shared" si="5"/>
        <v>#REF!</v>
      </c>
      <c r="BC47" s="750"/>
    </row>
    <row r="48" spans="1:55" ht="26.15" customHeight="1">
      <c r="A48" s="662"/>
      <c r="B48" s="566">
        <v>67</v>
      </c>
      <c r="C48" s="463" t="s">
        <v>130</v>
      </c>
      <c r="D48" s="670"/>
      <c r="E48" s="463" t="s">
        <v>132</v>
      </c>
      <c r="F48" s="577"/>
      <c r="G48" s="475">
        <v>-62668.88</v>
      </c>
      <c r="H48" s="578">
        <f>G48/$G$7</f>
        <v>-1.0104222654780181E-2</v>
      </c>
      <c r="J48" s="506">
        <f>-SUMIF($AO$7:$AZ$7,$G$6,AO48:AZ48)</f>
        <v>0</v>
      </c>
      <c r="K48" s="532" t="str">
        <f t="shared" si="6"/>
        <v/>
      </c>
      <c r="L48" s="431"/>
      <c r="M48" s="506">
        <f>AG48/3</f>
        <v>-71088.210000000006</v>
      </c>
      <c r="N48" s="532">
        <f t="shared" si="1"/>
        <v>-0.1184349697368946</v>
      </c>
      <c r="O48" s="580"/>
      <c r="P48" s="581"/>
      <c r="Q48" s="671"/>
      <c r="R48" s="672"/>
      <c r="S48" s="671"/>
      <c r="T48" s="672"/>
      <c r="U48" s="671"/>
      <c r="V48" s="672"/>
      <c r="W48" s="671"/>
      <c r="X48" s="672"/>
      <c r="Y48" s="671"/>
      <c r="Z48" s="672"/>
      <c r="AA48" s="584"/>
      <c r="AB48" s="475">
        <v>-193098.37</v>
      </c>
      <c r="AC48" s="578">
        <f>+AB48/$AB$7</f>
        <v>-1.0818901707081678E-2</v>
      </c>
      <c r="AD48" s="579">
        <f>-SUMIF($AO$7:$AZ$7,"&lt;="&amp;$AC$6,AO48:AZ48)</f>
        <v>0</v>
      </c>
      <c r="AE48" s="517" t="str">
        <f t="shared" si="20"/>
        <v/>
      </c>
      <c r="AG48" s="579">
        <f>-55734.87-157529.76</f>
        <v>-213264.63</v>
      </c>
      <c r="AH48" s="517">
        <f t="shared" si="4"/>
        <v>-9.4559796436943191E-2</v>
      </c>
      <c r="AM48" s="463" t="s">
        <v>132</v>
      </c>
      <c r="AN48" s="747"/>
      <c r="AO48" s="431">
        <f>IF($AO$7=$AL$7,'[4]1 trim 2016 BIOGROUP'!$AC$50/3,IF($AO$7=$AL$8,'[4]1 trim 2016 BIOGROUP'!$AC$50/3,IF($AO$7=$AL$9,'[4]1 trim 2016 BIOGROUP'!$AC$50/3,IF($AO$7=$AL$10,'[4]2 trim 2016 BIOGROUP'!$AC$50/3,IF($AO$7=$AL$11,'[4]2 trim 2016 BIOGROUP'!$AC$50/3,IF($AO$7=$AL$12,'[4]2 trim 2016 BIOGROUP'!$AC$50/3,""))))))</f>
        <v>0</v>
      </c>
      <c r="AP48" s="431">
        <f>IF($AP$7=$AL$7,'[4]1 trim 2016 BIOGROUP'!$AC$50/3,IF($AP$7=$AL$8,'[4]1 trim 2016 BIOGROUP'!$AC$50/3,IF($AP$7=$AL$9,'[4]1 trim 2016 BIOGROUP'!$AC$50/3,IF($AP$7=$AL$10,'[4]2 trim 2016 BIOGROUP'!$AC$50/3,IF($AP$7=$AL$11,'[4]2 trim 2016 BIOGROUP'!$AC$50/3,IF($AP$7=$AL$12,'[4]2 trim 2016 BIOGROUP'!$AC$50/3,""))))))</f>
        <v>0</v>
      </c>
      <c r="AQ48" s="431">
        <f>IF($AQ$7=$AL$7,'[4]1 trim 2016 BIOGROUP'!$AC$50/3,IF($AQ$7=$AL$8,'[4]1 trim 2016 BIOGROUP'!$AC$50/3,IF($AQ$7=$AL$9,'[4]1 trim 2016 BIOGROUP'!$AC$50/3,IF($AQ$7=$AL$10,'[4]2 trim 2016 BIOGROUP'!$AC$50/3,IF($AQ$7=$AL$11,'[4]2 trim 2016 BIOGROUP'!$AC$50/3,IF($AQ$7=$AL$12,'[4]2 trim 2016 BIOGROUP'!$AC$50/3,""))))))</f>
        <v>0</v>
      </c>
      <c r="AR48" s="431">
        <f>IF($AR$7=$AL$7,'[4]1 trim 2016 BIOGROUP'!$AC$50/3,IF($AR$7=$AL$8,'[4]1 trim 2016 BIOGROUP'!$AC$50/3,IF($AR$7=$AL$9,'[4]1 trim 2016 BIOGROUP'!$AC$50/3,IF($AR$7=$AL$10,'[4]2 trim 2016 BIOGROUP'!$AC$50/3,IF($AR$7=$AL$11,'[4]2 trim 2016 BIOGROUP'!$AC$50/3,IF($AR$7=$AL$12,'[4]2 trim 2016 BIOGROUP'!$AC$50/3,""))))))</f>
        <v>0</v>
      </c>
      <c r="AS48" s="431">
        <f>IF($AS$7=$AL$7,'[4]1 trim 2016 BIOGROUP'!$AC$50/3,IF($AS$7=$AL$8,'[4]1 trim 2016 BIOGROUP'!$AC$50/3,IF($AS$7=$AL$9,'[4]1 trim 2016 BIOGROUP'!$AC$50/3,IF($AS$7=$AL$10,'[4]2 trim 2016 BIOGROUP'!$AC$50/3,IF($AS$7=$AL$11,'[4]2 trim 2016 BIOGROUP'!$AC$50/3,IF($AS$7=$AL$12,'[4]2 trim 2016 BIOGROUP'!$AC$50/3,""))))))</f>
        <v>0</v>
      </c>
      <c r="AT48" s="431">
        <f>IF($AT$7=$AL$7,'[4]1 trim 2016 BIOGROUP'!$AC$50/3,IF($AT$7=$AL$8,'[4]1 trim 2016 BIOGROUP'!$AC$50/3,IF($AT$7=$AL$9,'[4]1 trim 2016 BIOGROUP'!$AC$50/3,IF($AT$7=$AL$10,'[4]2 trim 2016 BIOGROUP'!$AC$50/3,IF($AT$7=$AL$11,'[4]2 trim 2016 BIOGROUP'!$AC$50/3,IF($AT$7=$AL$12,'[4]2 trim 2016 BIOGROUP'!$AC$50/3,""))))))</f>
        <v>0</v>
      </c>
      <c r="AU48" s="431">
        <f>IF($AU$7=$AL$13,'[4]3 trim 2016 BIOGROUP'!$AC$50/3,IF($AU$7=$AL$14,'[4]3 trim 2016 BIOGROUP'!$AC$50/3,IF($AU$7=$AL$15,'[4]3 trim 2016 BIOGROUP'!$AC$50/3,IF($AU$7=$AL$16,'[4]4 trim 2016 BIOGROUP'!$AC$50/3,IF($AU$7=$AL$18,'[4]4 trim 2016 BIOGROUP'!$AC$50/3,IF($AU$7=$AL$19,'[4]4 trim 2016 BIOGROUP'!$AC$50/3,""))))))</f>
        <v>0</v>
      </c>
      <c r="AV48" s="431">
        <f>IF($AV$7=$AL$13,'[4]3 trim 2016 BIOGROUP'!$AC$50/3,IF($AV$7=$AL$14,'[4]3 trim 2016 BIOGROUP'!$AC$50/3,IF($AV$7=$AL$15,'[4]3 trim 2016 BIOGROUP'!$AC$50/3,IF($AV$7=$AL$16,'[4]4 trim 2016 BIOGROUP'!$AC$50/3,IF($AV$7=$AL$18,'[4]4 trim 2016 BIOGROUP'!$AC$50/3,IF($AV$7=$AL$19,'[4]4 trim 2016 BIOGROUP'!$AC$50/3,""))))))</f>
        <v>0</v>
      </c>
      <c r="AW48" s="431">
        <f>IF($AW$7=$AL$13,'[4]3 trim 2016 BIOGROUP'!$AC$50/3,IF($AW$7=$AL$14,'[4]3 trim 2016 BIOGROUP'!$AC$50/3,IF($AW$7=$AL$15,'[4]3 trim 2016 BIOGROUP'!$AC$50/3,IF($AW$7=$AL$16,'[4]4 trim 2016 BIOGROUP'!$AC$50/3,IF($AW$7=$AL$18,'[4]4 trim 2016 BIOGROUP'!$AC$50/3,IF($AW$7=$AL$19,'[4]4 trim 2016 BIOGROUP'!$AC$50/3,""))))))</f>
        <v>0</v>
      </c>
      <c r="AX48" s="431">
        <f>IF($AX$7=$AL$13,'[4]3 trim 2016 BIOGROUP'!$AC$50/3,IF($AX$7=$AL$14,'[4]3 trim 2016 BIOGROUP'!$AC$50/3,IF($AX$7=$AL$15,'[4]3 trim 2016 BIOGROUP'!$AC$50/3,IF($AX$7=$AL$16,'[4]4 trim 2016 BIOGROUP'!$AC$50/3,IF($AX$7=$AL$18,'[4]4 trim 2016 BIOGROUP'!$AC$50/3,IF($AX$7=$AL$19,'[4]4 trim 2016 BIOGROUP'!$AC$50/3,""))))))</f>
        <v>0</v>
      </c>
      <c r="AY48" s="431">
        <f>IF($AY$7=$AL$13,'[4]3 trim 2016 BIOGROUP'!$AC$50/3,IF($AY$7=$AL$14,'[4]3 trim 2016 BIOGROUP'!$AC$50/3,IF($AY$7=$AL$15,'[4]3 trim 2016 BIOGROUP'!$AC$50/3,IF($AY$7=$AL$16,'[4]4 trim 2016 BIOGROUP'!$AC$50/3,IF($AY$7=$AL$18,'[4]4 trim 2016 BIOGROUP'!$AC$50/3,IF($AY$7=$AL$19,'[4]4 trim 2016 BIOGROUP'!$AC$50/3,""))))))</f>
        <v>0</v>
      </c>
      <c r="AZ48" s="431">
        <f>IF($AZ$7=$AL$13,'[4]3 trim 2016 BIOGROUP'!$AC$50/3,IF($AZ$7=$AL$14,'[4]3 trim 2016 BIOGROUP'!$AC$50/3,IF($AZ$7=$AL$15,'[4]3 trim 2016 BIOGROUP'!$AC$50/3,IF($AZ$7=$AL$16,'[4]4 trim 2016 BIOGROUP'!$AC$50/3,IF($AZ$7=$AL$18,'[4]4 trim 2016 BIOGROUP'!$AC$50/3,IF($AZ$7=$AL$19,'[4]4 trim 2016 BIOGROUP'!$AC$50/3,""))))))</f>
        <v>0</v>
      </c>
      <c r="BB48" s="511">
        <f t="shared" si="5"/>
        <v>193098.37</v>
      </c>
      <c r="BC48" s="750"/>
    </row>
    <row r="49" spans="1:55" ht="26.15" customHeight="1">
      <c r="A49" s="662"/>
      <c r="B49" s="566"/>
      <c r="C49" s="436" t="s">
        <v>153</v>
      </c>
      <c r="E49" s="436" t="s">
        <v>152</v>
      </c>
      <c r="F49" s="577"/>
      <c r="G49" s="474">
        <f>+G41+G42+G46</f>
        <v>1659022.54</v>
      </c>
      <c r="H49" s="673">
        <f>+G49/G7</f>
        <v>0.26748735789532158</v>
      </c>
      <c r="J49" s="494">
        <f>+J41+J42+J46</f>
        <v>0</v>
      </c>
      <c r="K49" s="531" t="str">
        <f t="shared" si="6"/>
        <v/>
      </c>
      <c r="L49" s="431"/>
      <c r="M49" s="494">
        <f>+M41+M42+M46</f>
        <v>821270.74666666635</v>
      </c>
      <c r="N49" s="516">
        <f t="shared" si="1"/>
        <v>1.0200677386033288</v>
      </c>
      <c r="O49" s="580"/>
      <c r="P49" s="581"/>
      <c r="Q49" s="671"/>
      <c r="R49" s="672"/>
      <c r="S49" s="671"/>
      <c r="T49" s="672"/>
      <c r="U49" s="671"/>
      <c r="V49" s="672"/>
      <c r="W49" s="671"/>
      <c r="X49" s="672"/>
      <c r="Y49" s="671"/>
      <c r="Z49" s="672"/>
      <c r="AA49" s="584"/>
      <c r="AB49" s="473">
        <f>AB41+AB42+AB46</f>
        <v>10029270.689999999</v>
      </c>
      <c r="AC49" s="673">
        <f>+AB49/AB7</f>
        <v>0.5619192631653247</v>
      </c>
      <c r="AD49" s="494" t="e">
        <f>+AD41+AD42+AD46</f>
        <v>#REF!</v>
      </c>
      <c r="AE49" s="516" t="str">
        <f t="shared" si="20"/>
        <v/>
      </c>
      <c r="AG49" s="494">
        <f>AG41+AG42+AG46</f>
        <v>2463812.2400000026</v>
      </c>
      <c r="AH49" s="520">
        <f t="shared" si="4"/>
        <v>3.0706310842907372</v>
      </c>
      <c r="AM49" s="436" t="s">
        <v>152</v>
      </c>
      <c r="AN49" s="747"/>
      <c r="AO49" s="741">
        <f>+AO41+AO42+AO46</f>
        <v>87291.833333333372</v>
      </c>
      <c r="AP49" s="741">
        <f t="shared" ref="AP49:AZ49" si="26">+AP41+AP42+AP46</f>
        <v>87291.833333333372</v>
      </c>
      <c r="AQ49" s="741">
        <f t="shared" si="26"/>
        <v>87291.833333333372</v>
      </c>
      <c r="AR49" s="741">
        <f t="shared" si="26"/>
        <v>87291.833333333372</v>
      </c>
      <c r="AS49" s="741">
        <f t="shared" si="26"/>
        <v>87291.833333333372</v>
      </c>
      <c r="AT49" s="741">
        <f t="shared" si="26"/>
        <v>87291.833333333372</v>
      </c>
      <c r="AU49" s="741">
        <f t="shared" si="26"/>
        <v>87291.833333333372</v>
      </c>
      <c r="AV49" s="741">
        <f>+AV41+AV42+AV46</f>
        <v>87291.833333333372</v>
      </c>
      <c r="AW49" s="741">
        <f t="shared" si="26"/>
        <v>87291.833333333372</v>
      </c>
      <c r="AX49" s="741">
        <f t="shared" si="26"/>
        <v>87291.833333333372</v>
      </c>
      <c r="AY49" s="741">
        <f t="shared" si="26"/>
        <v>87291.833333333372</v>
      </c>
      <c r="AZ49" s="741">
        <f t="shared" si="26"/>
        <v>87291.833333333372</v>
      </c>
      <c r="BB49" s="748" t="e">
        <f t="shared" si="5"/>
        <v>#REF!</v>
      </c>
      <c r="BC49" s="752"/>
    </row>
    <row r="50" spans="1:55" ht="26.15" customHeight="1" thickBot="1">
      <c r="A50" s="674"/>
      <c r="B50" s="675">
        <v>695</v>
      </c>
      <c r="C50" s="464" t="s">
        <v>105</v>
      </c>
      <c r="D50" s="676"/>
      <c r="E50" s="464" t="s">
        <v>21</v>
      </c>
      <c r="F50" s="677"/>
      <c r="G50" s="490">
        <f>-G49*33.3333%</f>
        <v>-553006.96032582002</v>
      </c>
      <c r="H50" s="678">
        <f>G50/G7</f>
        <v>-8.9162363469321229E-2</v>
      </c>
      <c r="J50" s="512">
        <f>-J49*33.3333%</f>
        <v>0</v>
      </c>
      <c r="K50" s="540" t="str">
        <f t="shared" si="6"/>
        <v/>
      </c>
      <c r="L50" s="431"/>
      <c r="M50" s="679">
        <f>-M49*33.3333%</f>
        <v>-273756.6417986399</v>
      </c>
      <c r="N50" s="524">
        <f t="shared" si="1"/>
        <v>1.0200677386033288</v>
      </c>
      <c r="O50" s="680"/>
      <c r="P50" s="681" t="s">
        <v>21</v>
      </c>
      <c r="Q50" s="682" t="e">
        <f>+#REF!+'31 dec 2016 BIOLAM'!AT53</f>
        <v>#REF!</v>
      </c>
      <c r="R50" s="683" t="e">
        <f>Q50/Q$7</f>
        <v>#REF!</v>
      </c>
      <c r="S50" s="682" t="e">
        <f>+'31 dec 2016 BIOLAM'!AV53+#REF!</f>
        <v>#REF!</v>
      </c>
      <c r="T50" s="683" t="e">
        <f>S50/S$7</f>
        <v>#REF!</v>
      </c>
      <c r="U50" s="682" t="e">
        <f>+'31 dec 2016 BIOLAM'!AX53+#REF!</f>
        <v>#REF!</v>
      </c>
      <c r="V50" s="683" t="e">
        <f>U50/U$7</f>
        <v>#REF!</v>
      </c>
      <c r="W50" s="682" t="e">
        <f>+'31 dec 2016 BIOLAM'!AZ53+#REF!</f>
        <v>#REF!</v>
      </c>
      <c r="X50" s="683" t="e">
        <f>W50/W$7</f>
        <v>#REF!</v>
      </c>
      <c r="Y50" s="682" t="e">
        <f>+W50+U50+S50+Q50</f>
        <v>#REF!</v>
      </c>
      <c r="Z50" s="683" t="e">
        <f>Y50/Y$7</f>
        <v>#REF!</v>
      </c>
      <c r="AA50" s="684" t="e">
        <f>+G50-Y50</f>
        <v>#REF!</v>
      </c>
      <c r="AB50" s="490">
        <f>-AB49*33.3333%</f>
        <v>-3343086.8869097698</v>
      </c>
      <c r="AC50" s="678">
        <f>AB50/AB7</f>
        <v>-0.18730623374868718</v>
      </c>
      <c r="AD50" s="512" t="e">
        <f>-AD49*33.3333%</f>
        <v>#REF!</v>
      </c>
      <c r="AE50" s="524" t="str">
        <f t="shared" si="20"/>
        <v/>
      </c>
      <c r="AG50" s="679">
        <f>-AG49*33.3333%</f>
        <v>-821269.92539592087</v>
      </c>
      <c r="AH50" s="524">
        <f t="shared" si="4"/>
        <v>3.0706310842907367</v>
      </c>
      <c r="AM50" s="464" t="s">
        <v>21</v>
      </c>
      <c r="AN50" s="433" t="s">
        <v>162</v>
      </c>
      <c r="AO50" s="742">
        <f>'[4]1 trim 2016 BIOGROUP'!$AC$52/3-AO49</f>
        <v>0</v>
      </c>
      <c r="AP50" s="742">
        <f>'[4]1 trim 2016 BIOGROUP'!$AC$52/3-AP49</f>
        <v>0</v>
      </c>
      <c r="AQ50" s="742">
        <f>'[4]1 trim 2016 BIOGROUP'!$AC$52/3-AQ49</f>
        <v>0</v>
      </c>
      <c r="AR50" s="742">
        <f>'[4]2 trim 2016 BIOGROUP'!$AC$52/3-AR49</f>
        <v>0</v>
      </c>
      <c r="AS50" s="742">
        <f>'[4]2 trim 2016 BIOGROUP'!$AC$52/3-AS49</f>
        <v>0</v>
      </c>
      <c r="AT50" s="742">
        <f>'[4]2 trim 2016 BIOGROUP'!$AC$52/3-AT49</f>
        <v>0</v>
      </c>
      <c r="AU50" s="742">
        <f>'[4]3 trim 2016 BIOGROUP'!$AC$52/3-AU49</f>
        <v>0</v>
      </c>
      <c r="AV50" s="742">
        <f>'[4]3 trim 2016 BIOGROUP'!$AC$52/3-AV49</f>
        <v>0</v>
      </c>
      <c r="AW50" s="742">
        <f>'[4]3 trim 2016 BIOGROUP'!$AC$52/3-AW49</f>
        <v>0</v>
      </c>
      <c r="AX50" s="742">
        <f>'[4]4 trim 2016 BIOGROUP'!$AC$52/3-AX49</f>
        <v>0</v>
      </c>
      <c r="AY50" s="742">
        <f>'[4]4 trim 2016 BIOGROUP'!$AC$52/3-AY49</f>
        <v>0</v>
      </c>
      <c r="AZ50" s="742">
        <f>'[4]4 trim 2016 BIOGROUP'!$AC$52/3-AZ49</f>
        <v>0</v>
      </c>
      <c r="BB50" s="511" t="e">
        <f t="shared" si="5"/>
        <v>#REF!</v>
      </c>
      <c r="BC50" s="750"/>
    </row>
    <row r="51" spans="1:55" ht="26.15" customHeight="1" thickBot="1">
      <c r="A51" s="565"/>
      <c r="B51" s="566"/>
      <c r="C51" s="465" t="s">
        <v>106</v>
      </c>
      <c r="D51" s="589"/>
      <c r="E51" s="465" t="s">
        <v>107</v>
      </c>
      <c r="F51" s="577"/>
      <c r="G51" s="491">
        <f>+G49+G50</f>
        <v>1106015.5796741801</v>
      </c>
      <c r="H51" s="673">
        <f>G51/G7</f>
        <v>0.17832499442600039</v>
      </c>
      <c r="J51" s="494">
        <f>+J49+J50</f>
        <v>0</v>
      </c>
      <c r="K51" s="531" t="str">
        <f t="shared" si="6"/>
        <v/>
      </c>
      <c r="L51" s="431"/>
      <c r="M51" s="494">
        <f>SUM(M49:M50)</f>
        <v>547514.10486802645</v>
      </c>
      <c r="N51" s="516">
        <f t="shared" si="1"/>
        <v>1.020067738603329</v>
      </c>
      <c r="O51" s="580"/>
      <c r="P51" s="685" t="s">
        <v>22</v>
      </c>
      <c r="Q51" s="686" t="e">
        <f>+Q75+Q50</f>
        <v>#REF!</v>
      </c>
      <c r="R51" s="687" t="e">
        <f>Q51/Q$7</f>
        <v>#REF!</v>
      </c>
      <c r="S51" s="686" t="e">
        <f>+S75+S50</f>
        <v>#REF!</v>
      </c>
      <c r="T51" s="687" t="e">
        <f>S51/S$7</f>
        <v>#REF!</v>
      </c>
      <c r="U51" s="686" t="e">
        <f>+U75+U50</f>
        <v>#REF!</v>
      </c>
      <c r="V51" s="688" t="e">
        <f>U51/U$7</f>
        <v>#REF!</v>
      </c>
      <c r="W51" s="686" t="e">
        <f>+W75+W50</f>
        <v>#REF!</v>
      </c>
      <c r="X51" s="687" t="e">
        <f>W51/W$7</f>
        <v>#REF!</v>
      </c>
      <c r="Y51" s="686" t="e">
        <f>+Y75+Y50</f>
        <v>#REF!</v>
      </c>
      <c r="Z51" s="687" t="e">
        <f>Y51/Y$7</f>
        <v>#REF!</v>
      </c>
      <c r="AA51" s="584" t="e">
        <f>+G51-Y51</f>
        <v>#REF!</v>
      </c>
      <c r="AB51" s="491">
        <f>+AB49+AB50</f>
        <v>6686183.8030902296</v>
      </c>
      <c r="AC51" s="673">
        <f>AB51/AB7</f>
        <v>0.37461302941663749</v>
      </c>
      <c r="AD51" s="494" t="e">
        <f>SUM(AD49:AD50)</f>
        <v>#REF!</v>
      </c>
      <c r="AE51" s="516" t="str">
        <f t="shared" si="20"/>
        <v/>
      </c>
      <c r="AG51" s="494">
        <f>SUM(AG49:AG50)</f>
        <v>1642542.3146040817</v>
      </c>
      <c r="AH51" s="520">
        <f t="shared" si="4"/>
        <v>3.0706310842907372</v>
      </c>
      <c r="AM51" s="465" t="s">
        <v>107</v>
      </c>
      <c r="BB51" s="748" t="e">
        <f t="shared" si="5"/>
        <v>#REF!</v>
      </c>
      <c r="BC51" s="752"/>
    </row>
    <row r="52" spans="1:55" ht="26.15" customHeight="1">
      <c r="A52" s="689"/>
      <c r="B52" s="690">
        <v>691</v>
      </c>
      <c r="C52" s="466" t="s">
        <v>138</v>
      </c>
      <c r="D52" s="691"/>
      <c r="E52" s="466" t="s">
        <v>62</v>
      </c>
      <c r="F52" s="692"/>
      <c r="G52" s="492">
        <v>0</v>
      </c>
      <c r="H52" s="525">
        <f>G52/$G$7</f>
        <v>0</v>
      </c>
      <c r="J52" s="513">
        <v>0</v>
      </c>
      <c r="K52" s="525" t="str">
        <f t="shared" si="6"/>
        <v/>
      </c>
      <c r="L52" s="431"/>
      <c r="M52" s="513">
        <f>AG52/3</f>
        <v>0</v>
      </c>
      <c r="N52" s="525" t="str">
        <f t="shared" si="1"/>
        <v/>
      </c>
      <c r="O52" s="693"/>
      <c r="P52" s="694" t="s">
        <v>62</v>
      </c>
      <c r="Q52" s="636" t="e">
        <f>+#REF!</f>
        <v>#REF!</v>
      </c>
      <c r="R52" s="695" t="e">
        <f>Q52/Q$7</f>
        <v>#REF!</v>
      </c>
      <c r="S52" s="636" t="e">
        <f>+#REF!</f>
        <v>#REF!</v>
      </c>
      <c r="T52" s="695" t="e">
        <f>S52/S$7</f>
        <v>#REF!</v>
      </c>
      <c r="U52" s="636" t="e">
        <f>+#REF!</f>
        <v>#REF!</v>
      </c>
      <c r="V52" s="695" t="e">
        <f>U52/U$7</f>
        <v>#REF!</v>
      </c>
      <c r="W52" s="636" t="e">
        <f>+#REF!</f>
        <v>#REF!</v>
      </c>
      <c r="X52" s="695" t="e">
        <f>W52/W$7</f>
        <v>#REF!</v>
      </c>
      <c r="Y52" s="636" t="e">
        <f>+W52+U52+S52+Q52</f>
        <v>#REF!</v>
      </c>
      <c r="Z52" s="695" t="e">
        <f>Y52/Y$7</f>
        <v>#REF!</v>
      </c>
      <c r="AA52" s="639" t="e">
        <f>+G52-Y52</f>
        <v>#REF!</v>
      </c>
      <c r="AB52" s="492">
        <v>0</v>
      </c>
      <c r="AC52" s="525">
        <f>AB52/$AB$7</f>
        <v>0</v>
      </c>
      <c r="AD52" s="513">
        <v>0</v>
      </c>
      <c r="AE52" s="525" t="str">
        <f t="shared" si="20"/>
        <v/>
      </c>
      <c r="AG52" s="513">
        <v>0</v>
      </c>
      <c r="AH52" s="525" t="str">
        <f t="shared" si="4"/>
        <v/>
      </c>
      <c r="AM52" s="466" t="s">
        <v>62</v>
      </c>
      <c r="AO52" s="431">
        <f>IF($AO$7=$AL$7,'[4]1 trim 2016 BIOGROUP'!$AC$31/3,IF($AO$7=$AL$8,'[4]1 trim 2016 BIOGROUP'!$AC$31/3,IF($AO$7=$AL$9,'[4]1 trim 2016 BIOGROUP'!$AC$31/3,IF($AO$7=$AL$10,'[4]2 trim 2016 BIOGROUP'!$AC$31/3,IF($AO$7=$AL$11,'[4]2 trim 2016 BIOGROUP'!$AC$31/3,IF($AO$7=$AL$12,'[4]2 trim 2016 BIOGROUP'!$AC$31/3,""))))))</f>
        <v>0</v>
      </c>
      <c r="AP52" s="431">
        <f>IF($AP$7=$AL$7,'[4]1 trim 2016 BIOGROUP'!$AC$31/3,IF($AP$7=$AL$8,'[4]1 trim 2016 BIOGROUP'!$AC$31/3,IF($AP$7=$AL$9,'[4]1 trim 2016 BIOGROUP'!$AC$31/3,IF($AP$7=$AL$10,'[4]2 trim 2016 BIOGROUP'!$AC$31/3,IF($AP$7=$AL$11,'[4]2 trim 2016 BIOGROUP'!$AC$31/3,IF($AP$7=$AL$12,'[4]2 trim 2016 BIOGROUP'!$AC$31/3,""))))))</f>
        <v>0</v>
      </c>
      <c r="AQ52" s="431">
        <f>IF($AQ$7=$AL$7,'[4]1 trim 2016 BIOGROUP'!$AC$31/3,IF($AQ$7=$AL$8,'[4]1 trim 2016 BIOGROUP'!$AC$31/3,IF($AQ$7=$AL$9,'[4]1 trim 2016 BIOGROUP'!$AC$31/3,IF($AQ$7=$AL$10,'[4]2 trim 2016 BIOGROUP'!$AC$31/3,IF($AQ$7=$AL$11,'[4]2 trim 2016 BIOGROUP'!$AC$31/3,IF($AQ$7=$AL$12,'[4]2 trim 2016 BIOGROUP'!$AC$31/3,""))))))</f>
        <v>0</v>
      </c>
      <c r="AR52" s="431">
        <f>IF($AR$7=$AL$7,'[4]1 trim 2016 BIOGROUP'!$AC$31/3,IF($AR$7=$AL$8,'[4]1 trim 2016 BIOGROUP'!$AC$31/3,IF($AR$7=$AL$9,'[4]1 trim 2016 BIOGROUP'!$AC$31/3,IF($AR$7=$AL$10,'[4]2 trim 2016 BIOGROUP'!$AC$31/3,IF($AR$7=$AL$11,'[4]2 trim 2016 BIOGROUP'!$AC$31/3,IF($AR$7=$AL$12,'[4]2 trim 2016 BIOGROUP'!$AC$31/3,""))))))</f>
        <v>0</v>
      </c>
      <c r="AS52" s="431">
        <f>IF($AS$7=$AL$7,'[4]1 trim 2016 BIOGROUP'!$AC$31/3,IF($AS$7=$AL$8,'[4]1 trim 2016 BIOGROUP'!$AC$31/3,IF($AS$7=$AL$9,'[4]1 trim 2016 BIOGROUP'!$AC$31/3,IF($AS$7=$AL$10,'[4]2 trim 2016 BIOGROUP'!$AC$31/3,IF($AS$7=$AL$11,'[4]2 trim 2016 BIOGROUP'!$AC$31/3,IF($AS$7=$AL$12,'[4]2 trim 2016 BIOGROUP'!$AC$31/3,""))))))</f>
        <v>0</v>
      </c>
      <c r="AT52" s="431">
        <f>IF($AT$7=$AL$7,'[4]1 trim 2016 BIOGROUP'!$AC$31/3,IF($AT$7=$AL$8,'[4]1 trim 2016 BIOGROUP'!$AC$31/3,IF($AT$7=$AL$9,'[4]1 trim 2016 BIOGROUP'!$AC$31/3,IF($AT$7=$AL$10,'[4]2 trim 2016 BIOGROUP'!$AC$31/3,IF($AT$7=$AL$11,'[4]2 trim 2016 BIOGROUP'!$AC$31/3,IF($AT$7=$AL$12,'[4]2 trim 2016 BIOGROUP'!$AC$31/3,""))))))</f>
        <v>0</v>
      </c>
      <c r="AU52" s="431">
        <f>IF($AU$7=$AL$13,'[4]3 trim 2016 BIOGROUP'!$AC$31/3,IF($AU$7=$AL$14,'[4]3 trim 2016 BIOGROUP'!$AC$31/3,IF($AU$7=$AL$15,'[4]3 trim 2016 BIOGROUP'!$AC$31/3,IF($AU$7=$AL$16,'[4]4 trim 2016 BIOGROUP'!$AC$31/3,IF($AU$7=$AL$18,'[4]4 trim 2016 BIOGROUP'!$AC$31/3,IF($AU$7=$AL$19,'[4]4 trim 2016 BIOGROUP'!$AC$31/3,""))))))</f>
        <v>0</v>
      </c>
      <c r="AV52" s="431">
        <f>IF($AV$7=$AL$13,'[4]3 trim 2016 BIOGROUP'!$AC$31/3,IF($AV$7=$AL$14,'[4]3 trim 2016 BIOGROUP'!$AC$31/3,IF($AV$7=$AL$15,'[4]3 trim 2016 BIOGROUP'!$AC$31/3,IF($AV$7=$AL$16,'[4]4 trim 2016 BIOGROUP'!$AC$31/3,IF($AV$7=$AL$18,'[4]4 trim 2016 BIOGROUP'!$AC$31/3,IF($AV$7=$AL$19,'[4]4 trim 2016 BIOGROUP'!$AC$31/3,""))))))</f>
        <v>0</v>
      </c>
      <c r="AW52" s="431">
        <f>IF($AW$7=$AL$13,'[4]3 trim 2016 BIOGROUP'!$AC$31/3,IF($AW$7=$AL$14,'[4]3 trim 2016 BIOGROUP'!$AC$31/3,IF($AW$7=$AL$15,'[4]3 trim 2016 BIOGROUP'!$AC$31/3,IF($AW$7=$AL$16,'[4]4 trim 2016 BIOGROUP'!$AC$31/3,IF($AW$7=$AL$18,'[4]4 trim 2016 BIOGROUP'!$AC$31/3,IF($AW$7=$AL$19,'[4]4 trim 2016 BIOGROUP'!$AC$31/3,""))))))</f>
        <v>0</v>
      </c>
      <c r="AX52" s="431">
        <f>IF($AX$7=$AL$13,'[4]3 trim 2016 BIOGROUP'!$AC$31/3,IF($AX$7=$AL$14,'[4]3 trim 2016 BIOGROUP'!$AC$31/3,IF($AX$7=$AL$15,'[4]3 trim 2016 BIOGROUP'!$AC$31/3,IF($AX$7=$AL$16,'[4]4 trim 2016 BIOGROUP'!$AC$31/3,IF($AX$7=$AL$18,'[4]4 trim 2016 BIOGROUP'!$AC$31/3,IF($AX$7=$AL$19,'[4]4 trim 2016 BIOGROUP'!$AC$31/3,""))))))</f>
        <v>0</v>
      </c>
      <c r="AY52" s="431">
        <f>IF($AY$7=$AL$13,'[4]3 trim 2016 BIOGROUP'!$AC$31/3,IF($AY$7=$AL$14,'[4]3 trim 2016 BIOGROUP'!$AC$31/3,IF($AY$7=$AL$15,'[4]3 trim 2016 BIOGROUP'!$AC$31/3,IF($AY$7=$AL$16,'[4]4 trim 2016 BIOGROUP'!$AC$31/3,IF($AY$7=$AL$18,'[4]4 trim 2016 BIOGROUP'!$AC$31/3,IF($AY$7=$AL$19,'[4]4 trim 2016 BIOGROUP'!$AC$31/3,""))))))</f>
        <v>0</v>
      </c>
      <c r="AZ52" s="431">
        <f>IF($AZ$7=$AL$13,'[4]3 trim 2016 BIOGROUP'!$AC$31/3,IF($AZ$7=$AL$14,'[4]3 trim 2016 BIOGROUP'!$AC$31/3,IF($AZ$7=$AL$15,'[4]3 trim 2016 BIOGROUP'!$AC$31/3,IF($AZ$7=$AL$16,'[4]4 trim 2016 BIOGROUP'!$AC$31/3,IF($AZ$7=$AL$18,'[4]4 trim 2016 BIOGROUP'!$AC$31/3,IF($AZ$7=$AL$19,'[4]4 trim 2016 BIOGROUP'!$AC$31/3,""))))))</f>
        <v>0</v>
      </c>
      <c r="BB52" s="511">
        <f t="shared" si="5"/>
        <v>0</v>
      </c>
      <c r="BC52" s="750"/>
    </row>
    <row r="53" spans="1:55" ht="26.15" customHeight="1">
      <c r="A53" s="689"/>
      <c r="B53" s="690"/>
      <c r="C53" s="436" t="s">
        <v>160</v>
      </c>
      <c r="D53" s="696"/>
      <c r="E53" s="436" t="s">
        <v>161</v>
      </c>
      <c r="F53" s="692"/>
      <c r="G53" s="473">
        <f>SUM(G51:G52)</f>
        <v>1106015.5796741801</v>
      </c>
      <c r="H53" s="673">
        <f>G53/$G$7</f>
        <v>0.17832499442600039</v>
      </c>
      <c r="J53" s="514">
        <f>SUM(J51:J52)</f>
        <v>0</v>
      </c>
      <c r="K53" s="531" t="str">
        <f t="shared" si="6"/>
        <v/>
      </c>
      <c r="L53" s="431"/>
      <c r="M53" s="697">
        <f>SUM(M51:M52)</f>
        <v>547514.10486802645</v>
      </c>
      <c r="N53" s="516">
        <f t="shared" si="1"/>
        <v>1.020067738603329</v>
      </c>
      <c r="O53" s="693"/>
      <c r="P53" s="698"/>
      <c r="Q53" s="699"/>
      <c r="R53" s="700"/>
      <c r="S53" s="699"/>
      <c r="T53" s="700"/>
      <c r="U53" s="699"/>
      <c r="V53" s="700"/>
      <c r="W53" s="699"/>
      <c r="X53" s="700"/>
      <c r="Y53" s="699"/>
      <c r="Z53" s="700"/>
      <c r="AA53" s="639"/>
      <c r="AB53" s="473">
        <f>SUM(AB51:AB52)</f>
        <v>6686183.8030902296</v>
      </c>
      <c r="AC53" s="673">
        <f>AB53/$AB$7</f>
        <v>0.37461302941663749</v>
      </c>
      <c r="AD53" s="514" t="e">
        <f>SUM(AD51:AD52)</f>
        <v>#REF!</v>
      </c>
      <c r="AE53" s="516" t="str">
        <f t="shared" si="20"/>
        <v/>
      </c>
      <c r="AG53" s="697">
        <f>SUM(AG51:AG52)</f>
        <v>1642542.3146040817</v>
      </c>
      <c r="AH53" s="516">
        <f t="shared" si="4"/>
        <v>3.0706310842907372</v>
      </c>
      <c r="AM53" s="436" t="s">
        <v>161</v>
      </c>
      <c r="BB53" s="748" t="e">
        <f t="shared" si="5"/>
        <v>#REF!</v>
      </c>
      <c r="BC53" s="752"/>
    </row>
    <row r="54" spans="1:55" ht="26.15" customHeight="1">
      <c r="A54" s="565"/>
      <c r="B54" s="566"/>
      <c r="C54" s="467" t="s">
        <v>122</v>
      </c>
      <c r="D54" s="701"/>
      <c r="E54" s="467" t="s">
        <v>133</v>
      </c>
      <c r="F54" s="577"/>
      <c r="G54" s="493"/>
      <c r="H54" s="702"/>
      <c r="J54" s="515"/>
      <c r="K54" s="541"/>
      <c r="L54" s="431"/>
      <c r="M54" s="515"/>
      <c r="N54" s="528"/>
      <c r="O54" s="703"/>
      <c r="P54" s="468"/>
      <c r="Q54" s="704"/>
      <c r="R54" s="705"/>
      <c r="S54" s="704"/>
      <c r="T54" s="705"/>
      <c r="U54" s="704"/>
      <c r="V54" s="706"/>
      <c r="W54" s="704"/>
      <c r="X54" s="705"/>
      <c r="Y54" s="704"/>
      <c r="Z54" s="705"/>
      <c r="AA54" s="707"/>
      <c r="AB54" s="493"/>
      <c r="AC54" s="702"/>
      <c r="AD54" s="515"/>
      <c r="AE54" s="526"/>
      <c r="AG54" s="515"/>
      <c r="AH54" s="528"/>
      <c r="AM54" s="467" t="s">
        <v>133</v>
      </c>
      <c r="AN54" s="433" t="s">
        <v>162</v>
      </c>
      <c r="AO54" s="742">
        <f>+AO52+AO50</f>
        <v>0</v>
      </c>
      <c r="AP54" s="742">
        <f t="shared" ref="AP54:AZ54" si="27">+AP52+AP50</f>
        <v>0</v>
      </c>
      <c r="AQ54" s="742">
        <f t="shared" si="27"/>
        <v>0</v>
      </c>
      <c r="AR54" s="742">
        <f t="shared" si="27"/>
        <v>0</v>
      </c>
      <c r="AS54" s="742">
        <f t="shared" si="27"/>
        <v>0</v>
      </c>
      <c r="AT54" s="742">
        <f t="shared" si="27"/>
        <v>0</v>
      </c>
      <c r="AU54" s="742">
        <f t="shared" si="27"/>
        <v>0</v>
      </c>
      <c r="AV54" s="742">
        <f t="shared" si="27"/>
        <v>0</v>
      </c>
      <c r="AW54" s="742">
        <f t="shared" si="27"/>
        <v>0</v>
      </c>
      <c r="AX54" s="742">
        <f t="shared" si="27"/>
        <v>0</v>
      </c>
      <c r="AY54" s="742">
        <f t="shared" si="27"/>
        <v>0</v>
      </c>
      <c r="AZ54" s="742">
        <f t="shared" si="27"/>
        <v>0</v>
      </c>
      <c r="BB54" s="511">
        <f>AB54-AD54</f>
        <v>0</v>
      </c>
      <c r="BC54" s="750"/>
    </row>
    <row r="55" spans="1:55" ht="26.15" customHeight="1">
      <c r="A55" s="565"/>
      <c r="B55" s="566"/>
      <c r="C55" s="468"/>
      <c r="D55" s="701"/>
      <c r="E55" s="468"/>
      <c r="F55" s="577"/>
      <c r="G55" s="708"/>
      <c r="H55" s="709"/>
      <c r="I55" s="709"/>
      <c r="J55" s="704"/>
      <c r="K55" s="710"/>
      <c r="L55" s="710"/>
      <c r="M55" s="704"/>
      <c r="N55" s="705"/>
      <c r="O55" s="703"/>
      <c r="P55" s="468"/>
      <c r="Q55" s="704"/>
      <c r="R55" s="705"/>
      <c r="S55" s="704"/>
      <c r="T55" s="705"/>
      <c r="U55" s="704"/>
      <c r="V55" s="706"/>
      <c r="W55" s="704"/>
      <c r="X55" s="705"/>
      <c r="Y55" s="704"/>
      <c r="Z55" s="705"/>
      <c r="AA55" s="707"/>
      <c r="AB55" s="708"/>
      <c r="AC55" s="709"/>
      <c r="AD55" s="704"/>
      <c r="AE55" s="711"/>
      <c r="AF55" s="711"/>
      <c r="AG55" s="704"/>
      <c r="AH55" s="705"/>
      <c r="AM55" s="468"/>
    </row>
    <row r="56" spans="1:55" ht="26.15" customHeight="1">
      <c r="A56" s="565"/>
      <c r="B56" s="567"/>
      <c r="C56" s="712" t="s">
        <v>162</v>
      </c>
      <c r="D56" s="701"/>
      <c r="E56" s="468"/>
      <c r="F56" s="577"/>
      <c r="G56" s="713">
        <v>-1659022</v>
      </c>
      <c r="H56" s="709"/>
      <c r="I56" s="709"/>
      <c r="J56" s="704"/>
      <c r="K56" s="710"/>
      <c r="L56" s="710"/>
      <c r="M56" s="714">
        <f>AG56/3</f>
        <v>-821270.7466666667</v>
      </c>
      <c r="N56" s="705"/>
      <c r="O56" s="703"/>
      <c r="P56" s="468"/>
      <c r="Q56" s="704"/>
      <c r="R56" s="705"/>
      <c r="S56" s="704"/>
      <c r="T56" s="705"/>
      <c r="U56" s="704"/>
      <c r="V56" s="706"/>
      <c r="W56" s="704"/>
      <c r="X56" s="705"/>
      <c r="Y56" s="704"/>
      <c r="Z56" s="705"/>
      <c r="AA56" s="707"/>
      <c r="AB56" s="713">
        <v>-4272209</v>
      </c>
      <c r="AC56" s="709"/>
      <c r="AD56" s="715">
        <f>-'31 dec 2016 BIOLAM'!AT52</f>
        <v>-3992613.5335298935</v>
      </c>
      <c r="AE56" s="711"/>
      <c r="AF56" s="711"/>
      <c r="AG56" s="714">
        <f>-1259632.96-150817-1053362.28</f>
        <v>-2463812.2400000002</v>
      </c>
      <c r="AH56" s="705"/>
      <c r="AM56" s="468"/>
    </row>
    <row r="57" spans="1:55" ht="15">
      <c r="B57" s="716"/>
      <c r="C57" s="551"/>
      <c r="D57" s="551"/>
      <c r="E57" s="469"/>
      <c r="F57" s="703"/>
      <c r="G57" s="717">
        <f>+G49+G56</f>
        <v>0.5400000000372529</v>
      </c>
      <c r="H57" s="551"/>
      <c r="I57" s="551"/>
      <c r="K57" s="718"/>
      <c r="L57" s="718"/>
      <c r="M57" s="719">
        <f>+M49+M56</f>
        <v>0</v>
      </c>
      <c r="N57" s="551"/>
      <c r="O57" s="551"/>
      <c r="P57" s="551" t="s">
        <v>56</v>
      </c>
      <c r="Q57" s="720" t="e">
        <f>+'31 dec 2016 BIOLAM'!AT54+#REF!</f>
        <v>#REF!</v>
      </c>
      <c r="R57" s="720"/>
      <c r="S57" s="720" t="e">
        <f>+'31 dec 2016 BIOLAM'!AV54+#REF!</f>
        <v>#REF!</v>
      </c>
      <c r="T57" s="551"/>
      <c r="U57" s="720" t="e">
        <f>+'31 dec 2016 BIOLAM'!AX54+#REF!</f>
        <v>#REF!</v>
      </c>
      <c r="V57" s="551"/>
      <c r="W57" s="720" t="e">
        <f>+'31 dec 2016 BIOLAM'!AZ54+#REF!</f>
        <v>#REF!</v>
      </c>
      <c r="X57" s="551"/>
      <c r="Y57" s="721" t="e">
        <f>+W51+U51+S51+Q51</f>
        <v>#REF!</v>
      </c>
      <c r="Z57" s="551"/>
      <c r="AA57" s="551"/>
      <c r="AB57" s="722">
        <f>+AB49+AB56</f>
        <v>5757061.6899999995</v>
      </c>
      <c r="AC57" s="551"/>
      <c r="AD57" s="723" t="e">
        <f>AD49+AD56</f>
        <v>#REF!</v>
      </c>
      <c r="AE57" s="551"/>
      <c r="AF57" s="551"/>
      <c r="AG57" s="717">
        <f>AG49+AG56</f>
        <v>0</v>
      </c>
      <c r="AH57" s="551"/>
      <c r="AM57" s="469"/>
    </row>
    <row r="58" spans="1:55">
      <c r="E58" s="470"/>
      <c r="G58" s="724"/>
      <c r="Q58" s="726" t="e">
        <f>SUM(#REF!)</f>
        <v>#REF!</v>
      </c>
      <c r="AM58" s="470"/>
    </row>
    <row r="59" spans="1:55" ht="25">
      <c r="E59" s="471"/>
      <c r="Q59" s="726" t="e">
        <f>SUM(#REF!)</f>
        <v>#REF!</v>
      </c>
      <c r="AM59" s="471"/>
    </row>
    <row r="60" spans="1:55">
      <c r="G60" s="726"/>
      <c r="Q60" s="726" t="e">
        <f>SUM(#REF!)</f>
        <v>#REF!</v>
      </c>
      <c r="W60" s="727" t="e">
        <f>+W50+U50+S50+Q50</f>
        <v>#REF!</v>
      </c>
    </row>
    <row r="61" spans="1:55">
      <c r="G61" s="726"/>
      <c r="Q61" s="726" t="e">
        <f>SUM(#REF!)</f>
        <v>#REF!</v>
      </c>
    </row>
    <row r="62" spans="1:55">
      <c r="Q62" s="726" t="e">
        <f>SUM(Q58:Q61)</f>
        <v>#REF!</v>
      </c>
    </row>
    <row r="65" spans="1:39">
      <c r="G65" s="615"/>
    </row>
    <row r="66" spans="1:39">
      <c r="G66" s="724"/>
    </row>
    <row r="67" spans="1:39">
      <c r="E67" s="431"/>
      <c r="F67" s="431"/>
      <c r="AM67" s="431"/>
    </row>
    <row r="68" spans="1:39">
      <c r="E68" s="431"/>
      <c r="F68" s="431"/>
      <c r="AM68" s="431"/>
    </row>
    <row r="69" spans="1:39" ht="26.15" customHeight="1">
      <c r="A69" s="662"/>
      <c r="B69" s="566"/>
      <c r="E69" s="431"/>
      <c r="F69" s="431"/>
      <c r="P69" s="728" t="s">
        <v>14</v>
      </c>
      <c r="Q69" s="729" t="e">
        <f>+#REF!+'31 dec 2016 BIOLAM'!AT42</f>
        <v>#REF!</v>
      </c>
      <c r="R69" s="730" t="e">
        <f>Q69/Q$7</f>
        <v>#REF!</v>
      </c>
      <c r="S69" s="729" t="e">
        <f>+'31 dec 2016 BIOLAM'!AV42+#REF!</f>
        <v>#REF!</v>
      </c>
      <c r="T69" s="730" t="e">
        <f>S69/S$7</f>
        <v>#REF!</v>
      </c>
      <c r="U69" s="729" t="e">
        <f>+'31 dec 2016 BIOLAM'!AX42+#REF!</f>
        <v>#REF!</v>
      </c>
      <c r="V69" s="730" t="e">
        <f>U69/U$7</f>
        <v>#REF!</v>
      </c>
      <c r="W69" s="729" t="e">
        <f>+'31 dec 2016 BIOLAM'!AZ42+#REF!</f>
        <v>#REF!</v>
      </c>
      <c r="X69" s="730" t="e">
        <f>W69/W$7</f>
        <v>#REF!</v>
      </c>
      <c r="Y69" s="729" t="e">
        <f>+W69+U69+S69+Q69</f>
        <v>#REF!</v>
      </c>
      <c r="Z69" s="730" t="e">
        <f>Y69/Y$7</f>
        <v>#REF!</v>
      </c>
      <c r="AA69" s="727" t="e">
        <f>+G69-Y69</f>
        <v>#REF!</v>
      </c>
      <c r="AM69" s="431"/>
    </row>
    <row r="70" spans="1:39" ht="26.15" customHeight="1">
      <c r="A70" s="662"/>
      <c r="B70" s="566"/>
      <c r="E70" s="431"/>
      <c r="F70" s="431"/>
      <c r="P70" s="731" t="s">
        <v>59</v>
      </c>
      <c r="Q70" s="729" t="e">
        <f>+#REF!+'31 dec 2016 BIOLAM'!AT43</f>
        <v>#REF!</v>
      </c>
      <c r="R70" s="730" t="e">
        <f>Q70/Q$7</f>
        <v>#REF!</v>
      </c>
      <c r="S70" s="729" t="e">
        <f>+'31 dec 2016 BIOLAM'!AV43+#REF!</f>
        <v>#REF!</v>
      </c>
      <c r="T70" s="730" t="e">
        <f>S70/S$7</f>
        <v>#REF!</v>
      </c>
      <c r="U70" s="729" t="e">
        <f>+'31 dec 2016 BIOLAM'!AX43+#REF!</f>
        <v>#REF!</v>
      </c>
      <c r="V70" s="730" t="e">
        <f>U70/U$7</f>
        <v>#REF!</v>
      </c>
      <c r="W70" s="729" t="e">
        <f>+'31 dec 2016 BIOLAM'!AZ43+#REF!</f>
        <v>#REF!</v>
      </c>
      <c r="X70" s="730" t="e">
        <f>W70/W$7</f>
        <v>#REF!</v>
      </c>
      <c r="Y70" s="729" t="e">
        <f>+W70+U70+S70+Q70</f>
        <v>#REF!</v>
      </c>
      <c r="Z70" s="730" t="e">
        <f>Y70/Y$7</f>
        <v>#REF!</v>
      </c>
      <c r="AA70" s="727" t="e">
        <f>+G70-Y70</f>
        <v>#REF!</v>
      </c>
      <c r="AM70" s="431"/>
    </row>
    <row r="71" spans="1:39">
      <c r="E71" s="431"/>
      <c r="F71" s="431"/>
      <c r="AM71" s="431"/>
    </row>
    <row r="72" spans="1:39" ht="26.15" customHeight="1" thickBot="1">
      <c r="A72" s="575"/>
      <c r="B72" s="548"/>
      <c r="E72" s="431"/>
      <c r="F72" s="431"/>
      <c r="P72" s="732" t="s">
        <v>18</v>
      </c>
      <c r="Q72" s="729" t="e">
        <f>+#REF!+'31 dec 2016 BIOLAM'!AT49</f>
        <v>#REF!</v>
      </c>
      <c r="R72" s="730" t="e">
        <f>Q72/Q$7</f>
        <v>#REF!</v>
      </c>
      <c r="S72" s="729" t="e">
        <f>+'31 dec 2016 BIOLAM'!AV49+#REF!</f>
        <v>#REF!</v>
      </c>
      <c r="T72" s="730" t="e">
        <f>S72/S$7</f>
        <v>#REF!</v>
      </c>
      <c r="U72" s="729" t="e">
        <f>+'31 dec 2016 BIOLAM'!AX49+#REF!</f>
        <v>#REF!</v>
      </c>
      <c r="V72" s="730" t="e">
        <f>U72/U$7</f>
        <v>#REF!</v>
      </c>
      <c r="W72" s="729" t="e">
        <f>+'31 dec 2016 BIOLAM'!AZ49+#REF!</f>
        <v>#REF!</v>
      </c>
      <c r="X72" s="730" t="e">
        <f>W72/W$7</f>
        <v>#REF!</v>
      </c>
      <c r="Y72" s="729" t="e">
        <f>+W72+U72+S72+Q72</f>
        <v>#REF!</v>
      </c>
      <c r="Z72" s="730" t="e">
        <f>Y72/Y$7</f>
        <v>#REF!</v>
      </c>
      <c r="AA72" s="727" t="e">
        <f>+G72-Y72</f>
        <v>#REF!</v>
      </c>
      <c r="AM72" s="431"/>
    </row>
    <row r="73" spans="1:39" ht="26.15" customHeight="1" thickBot="1">
      <c r="A73" s="575"/>
      <c r="B73" s="548"/>
      <c r="E73" s="431"/>
      <c r="F73" s="431"/>
      <c r="P73" s="733" t="s">
        <v>19</v>
      </c>
      <c r="Q73" s="729" t="e">
        <f>+#REF!+'31 dec 2016 BIOLAM'!AT50</f>
        <v>#REF!</v>
      </c>
      <c r="R73" s="730" t="e">
        <f>Q73/Q$7</f>
        <v>#REF!</v>
      </c>
      <c r="S73" s="729" t="e">
        <f>+'31 dec 2016 BIOLAM'!AV50+#REF!</f>
        <v>#REF!</v>
      </c>
      <c r="T73" s="730" t="e">
        <f>S73/S$7</f>
        <v>#REF!</v>
      </c>
      <c r="U73" s="729" t="e">
        <f>+'31 dec 2016 BIOLAM'!AX50+#REF!</f>
        <v>#REF!</v>
      </c>
      <c r="V73" s="730" t="e">
        <f>U73/U$7</f>
        <v>#REF!</v>
      </c>
      <c r="W73" s="729" t="e">
        <f>+'31 dec 2016 BIOLAM'!AZ50+#REF!</f>
        <v>#REF!</v>
      </c>
      <c r="X73" s="730" t="e">
        <f>W73/W$7</f>
        <v>#REF!</v>
      </c>
      <c r="Y73" s="729" t="e">
        <f>+W73+U73+S73+Q73</f>
        <v>#REF!</v>
      </c>
      <c r="Z73" s="730" t="e">
        <f>Y73/Y$7</f>
        <v>#REF!</v>
      </c>
      <c r="AA73" s="727" t="e">
        <f>+G73-Y73</f>
        <v>#REF!</v>
      </c>
      <c r="AM73" s="431"/>
    </row>
    <row r="74" spans="1:39" ht="26.15" customHeight="1">
      <c r="A74" s="575"/>
      <c r="B74" s="548"/>
      <c r="E74" s="431"/>
      <c r="F74" s="431"/>
      <c r="P74" s="734" t="s">
        <v>44</v>
      </c>
      <c r="Q74" s="735"/>
      <c r="R74" s="736"/>
      <c r="S74" s="735"/>
      <c r="T74" s="736"/>
      <c r="U74" s="735"/>
      <c r="V74" s="736"/>
      <c r="W74" s="735"/>
      <c r="X74" s="736"/>
      <c r="Y74" s="735"/>
      <c r="Z74" s="736"/>
      <c r="AA74" s="727">
        <f>+G74-Y74</f>
        <v>0</v>
      </c>
      <c r="AM74" s="431"/>
    </row>
    <row r="75" spans="1:39" ht="26.15" customHeight="1">
      <c r="A75" s="565"/>
      <c r="B75" s="566"/>
      <c r="E75" s="431"/>
      <c r="F75" s="431"/>
      <c r="P75" s="737" t="s">
        <v>20</v>
      </c>
      <c r="Q75" s="738" t="e">
        <f>+Q42+Q69-Q70+#REF!+Q46</f>
        <v>#REF!</v>
      </c>
      <c r="R75" s="739" t="e">
        <f>Q75/Q$7</f>
        <v>#REF!</v>
      </c>
      <c r="S75" s="738" t="e">
        <f>+S42+S69-S70+#REF!+S46</f>
        <v>#REF!</v>
      </c>
      <c r="T75" s="739" t="e">
        <f>S75/S$7</f>
        <v>#REF!</v>
      </c>
      <c r="U75" s="738" t="e">
        <f>+U42+U69-U70+#REF!+U46</f>
        <v>#REF!</v>
      </c>
      <c r="V75" s="739" t="e">
        <f>U75/U$7</f>
        <v>#REF!</v>
      </c>
      <c r="W75" s="738" t="e">
        <f>+W42+W69-W70+#REF!+W46</f>
        <v>#REF!</v>
      </c>
      <c r="X75" s="739" t="e">
        <f>W75/W$7</f>
        <v>#REF!</v>
      </c>
      <c r="Y75" s="738" t="e">
        <f>+Y42+Y69-Y70+#REF!+Y46</f>
        <v>#REF!</v>
      </c>
      <c r="Z75" s="739" t="e">
        <f>Y75/Y$7</f>
        <v>#REF!</v>
      </c>
      <c r="AA75" s="727" t="e">
        <f>+G75-Y75</f>
        <v>#REF!</v>
      </c>
      <c r="AM75" s="431"/>
    </row>
    <row r="76" spans="1:39">
      <c r="E76" s="431"/>
      <c r="F76" s="431"/>
      <c r="AM76" s="431"/>
    </row>
    <row r="77" spans="1:39">
      <c r="E77" s="431"/>
      <c r="F77" s="431"/>
      <c r="AM77" s="431"/>
    </row>
  </sheetData>
  <mergeCells count="18">
    <mergeCell ref="C1:AH1"/>
    <mergeCell ref="C2:AH2"/>
    <mergeCell ref="C4:C6"/>
    <mergeCell ref="E4:E6"/>
    <mergeCell ref="G4:N4"/>
    <mergeCell ref="P4:P6"/>
    <mergeCell ref="Q4:R6"/>
    <mergeCell ref="S4:T6"/>
    <mergeCell ref="U4:V6"/>
    <mergeCell ref="W4:X6"/>
    <mergeCell ref="BC5:BC6"/>
    <mergeCell ref="G6:H6"/>
    <mergeCell ref="Y4:Z6"/>
    <mergeCell ref="AB4:AH4"/>
    <mergeCell ref="AM4:AM6"/>
    <mergeCell ref="G5:N5"/>
    <mergeCell ref="AB5:AH5"/>
    <mergeCell ref="BB5:BB6"/>
  </mergeCells>
  <conditionalFormatting sqref="BB1:BB4 BB54:BB65536">
    <cfRule type="cellIs" dxfId="5" priority="1" stopIfTrue="1" operator="lessThan">
      <formula>-10000</formula>
    </cfRule>
    <cfRule type="cellIs" dxfId="4" priority="2" stopIfTrue="1" operator="greaterThan">
      <formula>10000</formula>
    </cfRule>
  </conditionalFormatting>
  <printOptions horizontalCentered="1"/>
  <pageMargins left="0.11811023622047245" right="0.11811023622047245" top="0.35433070866141736" bottom="0.39370078740157483" header="0.19685039370078741" footer="0.19685039370078741"/>
  <pageSetup paperSize="8" scale="52" fitToWidth="2" orientation="landscape" cellComments="asDisplayed" r:id="rId1"/>
  <headerFooter>
    <oddFooter>&amp;R&amp;D&amp;T&amp;Z&amp;F&amp;A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BC77"/>
  <sheetViews>
    <sheetView topLeftCell="J28" zoomScale="70" zoomScaleNormal="70" zoomScaleSheetLayoutView="80" workbookViewId="0">
      <selection activeCell="AR50" sqref="AR50:AT50"/>
    </sheetView>
  </sheetViews>
  <sheetFormatPr baseColWidth="10" defaultColWidth="11.453125" defaultRowHeight="12.5"/>
  <cols>
    <col min="1" max="1" width="2.1796875" style="431" hidden="1" customWidth="1"/>
    <col min="2" max="2" width="7.81640625" style="542" customWidth="1"/>
    <col min="3" max="3" width="48.453125" style="431" customWidth="1"/>
    <col min="4" max="4" width="2.7265625" style="431" customWidth="1"/>
    <col min="5" max="5" width="47" style="472" customWidth="1"/>
    <col min="6" max="6" width="2.1796875" style="640" customWidth="1"/>
    <col min="7" max="7" width="20.81640625" style="431" bestFit="1" customWidth="1"/>
    <col min="8" max="8" width="13.26953125" style="431" customWidth="1"/>
    <col min="9" max="9" width="1.54296875" style="431" customWidth="1"/>
    <col min="10" max="10" width="20.81640625" style="431" bestFit="1" customWidth="1"/>
    <col min="11" max="11" width="15.7265625" style="725" customWidth="1"/>
    <col min="12" max="12" width="1.81640625" style="725" customWidth="1"/>
    <col min="13" max="13" width="18.54296875" style="431" customWidth="1"/>
    <col min="14" max="14" width="16.1796875" style="431" customWidth="1"/>
    <col min="15" max="15" width="2" style="431" customWidth="1"/>
    <col min="16" max="16" width="38.26953125" style="431" hidden="1" customWidth="1"/>
    <col min="17" max="17" width="19.81640625" style="431" hidden="1" customWidth="1"/>
    <col min="18" max="18" width="0" style="431" hidden="1" customWidth="1"/>
    <col min="19" max="19" width="19.453125" style="431" hidden="1" customWidth="1"/>
    <col min="20" max="20" width="0" style="431" hidden="1" customWidth="1"/>
    <col min="21" max="21" width="19.81640625" style="431" hidden="1" customWidth="1"/>
    <col min="22" max="22" width="0" style="431" hidden="1" customWidth="1"/>
    <col min="23" max="23" width="19.453125" style="431" hidden="1" customWidth="1"/>
    <col min="24" max="24" width="0" style="431" hidden="1" customWidth="1"/>
    <col min="25" max="25" width="20.453125" style="431" hidden="1" customWidth="1"/>
    <col min="26" max="26" width="0" style="431" hidden="1" customWidth="1"/>
    <col min="27" max="27" width="15.453125" style="431" hidden="1" customWidth="1"/>
    <col min="28" max="28" width="18.453125" style="431" bestFit="1" customWidth="1"/>
    <col min="29" max="29" width="14.81640625" style="431" customWidth="1"/>
    <col min="30" max="30" width="22.1796875" style="431" customWidth="1"/>
    <col min="31" max="31" width="15" style="431" customWidth="1"/>
    <col min="32" max="32" width="2" style="431" customWidth="1"/>
    <col min="33" max="33" width="21.7265625" style="431" customWidth="1"/>
    <col min="34" max="34" width="15" style="431" customWidth="1"/>
    <col min="35" max="35" width="4.1796875" style="431" customWidth="1"/>
    <col min="36" max="36" width="18.54296875" style="431" customWidth="1"/>
    <col min="37" max="37" width="11.453125" style="431" customWidth="1"/>
    <col min="38" max="38" width="11.81640625" style="431" customWidth="1"/>
    <col min="39" max="39" width="42.81640625" style="472" customWidth="1"/>
    <col min="40" max="40" width="12.81640625" style="431" customWidth="1"/>
    <col min="41" max="41" width="13.453125" style="431" customWidth="1"/>
    <col min="42" max="47" width="11.453125" style="431" customWidth="1"/>
    <col min="48" max="48" width="12.1796875" style="431" customWidth="1"/>
    <col min="49" max="52" width="11.453125" style="431" customWidth="1"/>
    <col min="53" max="53" width="12.81640625" style="431" customWidth="1"/>
    <col min="54" max="54" width="20" style="431" customWidth="1"/>
    <col min="55" max="55" width="68.54296875" style="431" customWidth="1"/>
    <col min="56" max="16384" width="11.453125" style="431"/>
  </cols>
  <sheetData>
    <row r="1" spans="1:55" ht="40.5" customHeight="1">
      <c r="C1" s="846" t="s">
        <v>80</v>
      </c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  <c r="O1" s="847"/>
      <c r="P1" s="847"/>
      <c r="Q1" s="847"/>
      <c r="R1" s="847"/>
      <c r="S1" s="847"/>
      <c r="T1" s="847"/>
      <c r="U1" s="847"/>
      <c r="V1" s="847"/>
      <c r="W1" s="847"/>
      <c r="X1" s="847"/>
      <c r="Y1" s="847"/>
      <c r="Z1" s="847"/>
      <c r="AA1" s="847"/>
      <c r="AB1" s="847"/>
      <c r="AC1" s="847"/>
      <c r="AD1" s="847"/>
      <c r="AE1" s="847"/>
      <c r="AF1" s="847"/>
      <c r="AG1" s="847"/>
      <c r="AH1" s="848"/>
      <c r="AM1" s="431"/>
    </row>
    <row r="2" spans="1:55" ht="51" customHeight="1">
      <c r="C2" s="846" t="s">
        <v>119</v>
      </c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7"/>
      <c r="P2" s="847"/>
      <c r="Q2" s="847"/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8"/>
      <c r="AM2" s="431"/>
      <c r="BB2" s="768" t="s">
        <v>173</v>
      </c>
    </row>
    <row r="3" spans="1:55" ht="16.5" customHeight="1">
      <c r="C3" s="543"/>
      <c r="D3" s="432"/>
      <c r="E3" s="432"/>
      <c r="F3" s="432"/>
      <c r="G3" s="544"/>
      <c r="H3" s="544"/>
      <c r="I3" s="544"/>
      <c r="J3" s="544"/>
      <c r="K3" s="545"/>
      <c r="L3" s="545"/>
      <c r="M3" s="544"/>
      <c r="N3" s="544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544"/>
      <c r="AC3" s="544"/>
      <c r="AD3" s="544"/>
      <c r="AE3" s="544"/>
      <c r="AF3" s="544"/>
      <c r="AG3" s="544"/>
      <c r="AH3" s="546"/>
      <c r="AM3" s="432"/>
    </row>
    <row r="4" spans="1:55" s="433" customFormat="1" ht="49.5" customHeight="1">
      <c r="A4" s="547"/>
      <c r="B4" s="548"/>
      <c r="C4" s="849" t="s">
        <v>120</v>
      </c>
      <c r="D4" s="549"/>
      <c r="E4" s="849" t="s">
        <v>121</v>
      </c>
      <c r="F4" s="550"/>
      <c r="G4" s="852" t="s">
        <v>169</v>
      </c>
      <c r="H4" s="853"/>
      <c r="I4" s="853"/>
      <c r="J4" s="853"/>
      <c r="K4" s="853"/>
      <c r="L4" s="853"/>
      <c r="M4" s="853"/>
      <c r="N4" s="854"/>
      <c r="O4" s="551"/>
      <c r="P4" s="855" t="s">
        <v>50</v>
      </c>
      <c r="Q4" s="857" t="s">
        <v>52</v>
      </c>
      <c r="R4" s="858"/>
      <c r="S4" s="857" t="s">
        <v>53</v>
      </c>
      <c r="T4" s="858"/>
      <c r="U4" s="857" t="s">
        <v>54</v>
      </c>
      <c r="V4" s="858"/>
      <c r="W4" s="857" t="s">
        <v>55</v>
      </c>
      <c r="X4" s="858"/>
      <c r="Y4" s="857" t="s">
        <v>46</v>
      </c>
      <c r="Z4" s="863"/>
      <c r="AA4" s="551"/>
      <c r="AB4" s="852" t="s">
        <v>169</v>
      </c>
      <c r="AC4" s="853"/>
      <c r="AD4" s="853"/>
      <c r="AE4" s="853"/>
      <c r="AF4" s="853"/>
      <c r="AG4" s="853"/>
      <c r="AH4" s="853"/>
      <c r="AM4" s="849" t="s">
        <v>121</v>
      </c>
    </row>
    <row r="5" spans="1:55" s="433" customFormat="1" ht="49.5" customHeight="1">
      <c r="A5" s="547"/>
      <c r="B5" s="548"/>
      <c r="C5" s="850"/>
      <c r="D5" s="552"/>
      <c r="E5" s="850"/>
      <c r="F5" s="553"/>
      <c r="G5" s="865" t="s">
        <v>139</v>
      </c>
      <c r="H5" s="866"/>
      <c r="I5" s="866"/>
      <c r="J5" s="866"/>
      <c r="K5" s="866"/>
      <c r="L5" s="866"/>
      <c r="M5" s="866"/>
      <c r="N5" s="867"/>
      <c r="O5" s="551"/>
      <c r="P5" s="855"/>
      <c r="Q5" s="857"/>
      <c r="R5" s="858"/>
      <c r="S5" s="857"/>
      <c r="T5" s="858"/>
      <c r="U5" s="857"/>
      <c r="V5" s="858"/>
      <c r="W5" s="857"/>
      <c r="X5" s="858"/>
      <c r="Y5" s="857"/>
      <c r="Z5" s="863"/>
      <c r="AA5" s="551"/>
      <c r="AB5" s="865" t="s">
        <v>140</v>
      </c>
      <c r="AC5" s="866"/>
      <c r="AD5" s="866"/>
      <c r="AE5" s="866"/>
      <c r="AF5" s="866"/>
      <c r="AG5" s="866"/>
      <c r="AH5" s="867"/>
      <c r="AM5" s="850"/>
      <c r="BB5" s="845" t="s">
        <v>166</v>
      </c>
      <c r="BC5" s="845" t="s">
        <v>168</v>
      </c>
    </row>
    <row r="6" spans="1:55" s="434" customFormat="1" ht="35.25" customHeight="1">
      <c r="A6" s="554"/>
      <c r="B6" s="548"/>
      <c r="C6" s="851"/>
      <c r="D6" s="555"/>
      <c r="E6" s="851"/>
      <c r="F6" s="553"/>
      <c r="G6" s="861" t="e">
        <f>#REF!</f>
        <v>#REF!</v>
      </c>
      <c r="H6" s="862"/>
      <c r="I6" s="431"/>
      <c r="J6" s="556" t="s">
        <v>108</v>
      </c>
      <c r="K6" s="557" t="s">
        <v>109</v>
      </c>
      <c r="L6" s="431"/>
      <c r="M6" s="558" t="s">
        <v>111</v>
      </c>
      <c r="N6" s="559" t="s">
        <v>112</v>
      </c>
      <c r="O6" s="560"/>
      <c r="P6" s="856"/>
      <c r="Q6" s="859"/>
      <c r="R6" s="860"/>
      <c r="S6" s="859"/>
      <c r="T6" s="860"/>
      <c r="U6" s="859"/>
      <c r="V6" s="860"/>
      <c r="W6" s="859"/>
      <c r="X6" s="860"/>
      <c r="Y6" s="859"/>
      <c r="Z6" s="864"/>
      <c r="AA6" s="560" t="s">
        <v>56</v>
      </c>
      <c r="AB6" s="561" t="s">
        <v>163</v>
      </c>
      <c r="AC6" s="744" t="e">
        <f>G6</f>
        <v>#REF!</v>
      </c>
      <c r="AD6" s="562" t="s">
        <v>108</v>
      </c>
      <c r="AE6" s="563" t="s">
        <v>109</v>
      </c>
      <c r="AF6" s="431"/>
      <c r="AG6" s="558" t="s">
        <v>111</v>
      </c>
      <c r="AH6" s="559" t="str">
        <f>N6</f>
        <v>% vs  N-1</v>
      </c>
      <c r="AJ6" s="564"/>
      <c r="AM6" s="851"/>
      <c r="AO6" s="434">
        <v>1</v>
      </c>
      <c r="AP6" s="434">
        <v>2</v>
      </c>
      <c r="AQ6" s="434">
        <v>3</v>
      </c>
      <c r="AR6" s="434">
        <v>4</v>
      </c>
      <c r="AS6" s="434">
        <v>5</v>
      </c>
      <c r="AT6" s="434">
        <v>6</v>
      </c>
      <c r="AU6" s="434">
        <v>7</v>
      </c>
      <c r="AV6" s="434">
        <v>8</v>
      </c>
      <c r="AW6" s="434">
        <v>9</v>
      </c>
      <c r="AX6" s="434">
        <v>10</v>
      </c>
      <c r="AY6" s="434">
        <v>11</v>
      </c>
      <c r="AZ6" s="434">
        <v>12</v>
      </c>
      <c r="BB6" s="845"/>
      <c r="BC6" s="845"/>
    </row>
    <row r="7" spans="1:55" s="439" customFormat="1" ht="37.5" customHeight="1">
      <c r="A7" s="565"/>
      <c r="B7" s="566"/>
      <c r="C7" s="436" t="s">
        <v>81</v>
      </c>
      <c r="D7" s="567"/>
      <c r="E7" s="436" t="s">
        <v>114</v>
      </c>
      <c r="F7" s="568"/>
      <c r="G7" s="473">
        <v>2389100</v>
      </c>
      <c r="H7" s="569" t="s">
        <v>157</v>
      </c>
      <c r="I7" s="431"/>
      <c r="J7" s="494">
        <f>SUM(J8:J10)</f>
        <v>0</v>
      </c>
      <c r="K7" s="516" t="str">
        <f>IF(ISERROR((G7-J7)/J7),"",(G7-J7)/J7)</f>
        <v/>
      </c>
      <c r="L7" s="431"/>
      <c r="M7" s="474">
        <f>SUM(M8:M10)</f>
        <v>0</v>
      </c>
      <c r="N7" s="516" t="str">
        <f>IF(ISERROR((G7-M7)/M7),"",(G7-M7)/M7)</f>
        <v/>
      </c>
      <c r="O7" s="570"/>
      <c r="P7" s="571" t="s">
        <v>0</v>
      </c>
      <c r="Q7" s="572" t="e">
        <f>SUM(Q8:Q10)</f>
        <v>#REF!</v>
      </c>
      <c r="R7" s="573" t="e">
        <f>SUM(R8:R10)</f>
        <v>#REF!</v>
      </c>
      <c r="S7" s="572" t="e">
        <f t="shared" ref="S7:Z7" si="0">SUM(S8:S10)</f>
        <v>#REF!</v>
      </c>
      <c r="T7" s="573" t="e">
        <f t="shared" si="0"/>
        <v>#REF!</v>
      </c>
      <c r="U7" s="572" t="e">
        <f t="shared" si="0"/>
        <v>#REF!</v>
      </c>
      <c r="V7" s="573" t="e">
        <f t="shared" si="0"/>
        <v>#REF!</v>
      </c>
      <c r="W7" s="572" t="e">
        <f t="shared" si="0"/>
        <v>#REF!</v>
      </c>
      <c r="X7" s="573" t="e">
        <f t="shared" si="0"/>
        <v>#REF!</v>
      </c>
      <c r="Y7" s="572" t="e">
        <f t="shared" si="0"/>
        <v>#REF!</v>
      </c>
      <c r="Z7" s="573" t="e">
        <f t="shared" si="0"/>
        <v>#REF!</v>
      </c>
      <c r="AA7" s="570"/>
      <c r="AB7" s="473">
        <v>3910913</v>
      </c>
      <c r="AC7" s="569" t="str">
        <f>H7</f>
        <v>%  s/Net Rev.</v>
      </c>
      <c r="AD7" s="494">
        <f>SUM(AD8:AD10)</f>
        <v>0</v>
      </c>
      <c r="AE7" s="516" t="str">
        <f>IF(ISERROR((AB7-AD7)/AD7),"",(AB7-AD7)/AD7)</f>
        <v/>
      </c>
      <c r="AF7" s="431"/>
      <c r="AG7" s="474">
        <f>SUM(AG8:AG10)</f>
        <v>0</v>
      </c>
      <c r="AH7" s="516" t="str">
        <f>IF(ISERROR((AB7-AG7)/AG7),"",(AB7-AG7)/AG7)</f>
        <v/>
      </c>
      <c r="AJ7" s="574"/>
      <c r="AK7" s="435">
        <v>42460</v>
      </c>
      <c r="AL7" s="435">
        <v>42400</v>
      </c>
      <c r="AM7" s="436" t="s">
        <v>114</v>
      </c>
      <c r="AO7" s="740">
        <v>42400</v>
      </c>
      <c r="AP7" s="740">
        <v>42428</v>
      </c>
      <c r="AQ7" s="740">
        <v>42460</v>
      </c>
      <c r="AR7" s="740">
        <v>42490</v>
      </c>
      <c r="AS7" s="740">
        <v>42521</v>
      </c>
      <c r="AT7" s="740">
        <v>42551</v>
      </c>
      <c r="AU7" s="740">
        <v>42582</v>
      </c>
      <c r="AV7" s="740">
        <v>42613</v>
      </c>
      <c r="AW7" s="740">
        <v>42643</v>
      </c>
      <c r="AX7" s="740">
        <v>42674</v>
      </c>
      <c r="AY7" s="740">
        <v>42704</v>
      </c>
      <c r="AZ7" s="740">
        <v>42735</v>
      </c>
      <c r="BA7" s="439" t="s">
        <v>162</v>
      </c>
      <c r="BB7" s="748">
        <f>IF(AB7&lt;0,AD7-AB7,AB7-AD7)</f>
        <v>3910913</v>
      </c>
      <c r="BC7" s="751"/>
    </row>
    <row r="8" spans="1:55" ht="26.15" customHeight="1">
      <c r="A8" s="575"/>
      <c r="B8" s="548">
        <v>706</v>
      </c>
      <c r="C8" s="438" t="s">
        <v>82</v>
      </c>
      <c r="D8" s="576"/>
      <c r="E8" s="438" t="s">
        <v>1</v>
      </c>
      <c r="F8" s="577"/>
      <c r="G8" s="475">
        <v>1649642</v>
      </c>
      <c r="H8" s="578">
        <f>G8/G7</f>
        <v>0.69048679419028081</v>
      </c>
      <c r="J8" s="529">
        <f>SUMIF($AO$7:$AZ$7,$G$6,AO8:AZ8)</f>
        <v>0</v>
      </c>
      <c r="K8" s="517" t="str">
        <f>IF(ISERROR((G8-J8)/J8),"",(G8-J8)/J8)</f>
        <v/>
      </c>
      <c r="L8" s="431"/>
      <c r="M8" s="753">
        <f>AG8/3</f>
        <v>0</v>
      </c>
      <c r="N8" s="517" t="str">
        <f t="shared" ref="N8:N53" si="1">IF(ISERROR((G8-M8)/M8),"",(G8-M8)/M8)</f>
        <v/>
      </c>
      <c r="O8" s="580"/>
      <c r="P8" s="581" t="s">
        <v>1</v>
      </c>
      <c r="Q8" s="582" t="e">
        <f>+#REF!+'31 dec 2016 BIOLAM'!AT4</f>
        <v>#REF!</v>
      </c>
      <c r="R8" s="583" t="e">
        <f>Q8/Q$7</f>
        <v>#REF!</v>
      </c>
      <c r="S8" s="582" t="e">
        <f>+'31 dec 2016 BIOLAM'!AV4+#REF!</f>
        <v>#REF!</v>
      </c>
      <c r="T8" s="583" t="e">
        <f>S8/S$7</f>
        <v>#REF!</v>
      </c>
      <c r="U8" s="582" t="e">
        <f>+'31 dec 2016 BIOLAM'!AX4+#REF!</f>
        <v>#REF!</v>
      </c>
      <c r="V8" s="583" t="e">
        <f>U8/U$7</f>
        <v>#REF!</v>
      </c>
      <c r="W8" s="582" t="e">
        <f>+'31 dec 2016 BIOLAM'!AZ4+#REF!</f>
        <v>#REF!</v>
      </c>
      <c r="X8" s="583" t="e">
        <f>W8/W$7</f>
        <v>#REF!</v>
      </c>
      <c r="Y8" s="582" t="e">
        <f>+W8+U8+S8+Q8</f>
        <v>#REF!</v>
      </c>
      <c r="Z8" s="583" t="e">
        <f>Y8/Y$7</f>
        <v>#REF!</v>
      </c>
      <c r="AA8" s="584" t="e">
        <f t="shared" ref="AA8:AA13" si="2">+G8-Y8</f>
        <v>#REF!</v>
      </c>
      <c r="AB8" s="475">
        <v>3298013</v>
      </c>
      <c r="AC8" s="578">
        <f>AB8/AB7</f>
        <v>0.84328467547091945</v>
      </c>
      <c r="AD8" s="495">
        <f>SUMIF($AO$7:$AZ$7,"&lt;="&amp;$AC$6,AO8:AZ8)</f>
        <v>0</v>
      </c>
      <c r="AE8" s="517" t="str">
        <f t="shared" ref="AE8:AE32" si="3">IF(ISERROR((AB8-AD8)/AD8),"",(AB8-AD8)/AD8)</f>
        <v/>
      </c>
      <c r="AG8" s="753"/>
      <c r="AH8" s="517" t="str">
        <f t="shared" ref="AH8:AH53" si="4">IF(ISERROR((AB8-AG8)/AG8),"",(AB8-AG8)/AG8)</f>
        <v/>
      </c>
      <c r="AJ8" s="585"/>
      <c r="AK8" s="437">
        <v>42551</v>
      </c>
      <c r="AL8" s="435">
        <v>42428</v>
      </c>
      <c r="AM8" s="438" t="s">
        <v>1</v>
      </c>
      <c r="AO8" s="743">
        <f>IF($AO$7=$AL$7,'[4]1 trim 2016 BIOGROUP'!S4/3,IF($AO$7=$AL$8,'[4]1 trim 2016 BIOGROUP'!S4/3,IF($AO$7=$AL$9,'[4]1 trim 2016 BIOGROUP'!S4/3,IF($AO$7=$AL$10,'[4]2 trim 2016 BIOGROUP'!S4/3,IF($AO$7=$AL$11,'[4]2 trim 2016 BIOGROUP'!S4/3,IF($AO$7=$AL$12,'[4]2 trim 2016 BIOGROUP'!S4/3,""))))))</f>
        <v>169984.83748333334</v>
      </c>
      <c r="AP8" s="743">
        <f>IF($AP$7=$AL$7,'[4]1 trim 2016 BIOGROUP'!S4/3,IF($AP$7=$AL$8,'[4]1 trim 2016 BIOGROUP'!S4/3,IF($AP$7=$AL$9,'[4]1 trim 2016 BIOGROUP'!S4/3,IF($AP$7=$AL$10,'[4]2 trim 2016 BIOGROUP'!S4/3,IF($AP$7=$AL$11,'[4]2 trim 2016 BIOGROUP'!S4/3,IF($AP$7=$AL$12,'[4]2 trim 2016 BIOGROUP'!S4/3,""))))))</f>
        <v>169984.83748333334</v>
      </c>
      <c r="AQ8" s="743">
        <f>IF($AQ$7=$AL$7,'[4]1 trim 2016 BIOGROUP'!S4/3,IF($AQ$7=$AL$8,'[4]1 trim 2016 BIOGROUP'!S4/3,IF($AQ$7=$AL$9,'[4]1 trim 2016 BIOGROUP'!S4/3,IF($AQ$7=$AL$10,'[4]2 trim 2016 BIOGROUP'!S4/3,IF($AQ$7=$AL$11,'[4]2 trim 2016 BIOGROUP'!S4/3,IF($AQ$7=$AL$12,'[4]2 trim 2016 BIOGROUP'!S4/3,""))))))</f>
        <v>169984.83748333334</v>
      </c>
      <c r="AR8" s="743">
        <f>IF($AR$7=$AL$7,'[4]1 trim 2016 BIOGROUP'!S4/3,IF($AR$7=$AL$8,'[4]1 trim 2016 BIOGROUP'!S4/3,IF($AR$7=$AL$9,'[4]1 trim 2016 BIOGROUP'!S4/3,IF($AR$7=$AL$10,'[4]2 trim 2016 BIOGROUP'!S4/3,IF($AR$7=$AL$11,'[4]2 trim 2016 BIOGROUP'!S4/3,IF($AR$7=$AL$12,'[4]2 trim 2016 BIOGROUP'!S4/3,""))))))</f>
        <v>136532.17081666665</v>
      </c>
      <c r="AS8" s="743">
        <f>IF($AS$7=$AL$7,'[4]1 trim 2016 BIOGROUP'!S4/3,IF($AS$7=$AL$8,'[4]1 trim 2016 BIOGROUP'!S4/3,IF($AS$7=$AL$9,'[4]1 trim 2016 BIOGROUP'!S4/3,IF($AS$7=$AL$10,'[4]2 trim 2016 BIOGROUP'!S4/3,IF($AS$7=$AL$11,'[4]2 trim 2016 BIOGROUP'!S4/3,IF($AS$7=$AL$12,'[4]2 trim 2016 BIOGROUP'!S4/3,""))))))</f>
        <v>136532.17081666665</v>
      </c>
      <c r="AT8" s="743">
        <f>IF($AT$7=$AL$7,'[4]1 trim 2016 BIOGROUP'!S4/3,IF($AT$7=$AL$8,'[4]1 trim 2016 BIOGROUP'!S4/3,IF($AT$7=$AL$9,'[4]1 trim 2016 BIOGROUP'!S4/3,IF($AT$7=$AL$10,'[4]2 trim 2016 BIOGROUP'!S4/3,IF($AT$7=$AL$11,'[4]2 trim 2016 BIOGROUP'!S4/3,IF($AT$7=$AL$12,'[4]2 trim 2016 BIOGROUP'!S4/3,""))))))</f>
        <v>136532.17081666665</v>
      </c>
      <c r="AU8" s="743">
        <f>IF($AU$7=$AL$13,'[4]3 trim 2016 BIOGROUP'!S4/3,IF($AU$7=$AL$14,'[4]3 trim 2016 BIOGROUP'!S4/3,IF($AU$7=$AL$15,'[4]3 trim 2016 BIOGROUP'!S4/3,IF($AU$7=$AL$16,'[4]4 trim 2016 BIOGROUP'!S4/3,IF($AU$7=$AL$18,'[4]4 trim 2016 BIOGROUP'!S4/3,IF($AU$7=$AL$19,'[4]4 trim 2016 BIOGROUP'!S4/3,""))))))</f>
        <v>127436.17081666666</v>
      </c>
      <c r="AV8" s="743">
        <f>IF($AV$7=$AL$13,'[4]3 trim 2016 BIOGROUP'!S4/3,IF($AV$7=$AL$14,'[4]3 trim 2016 BIOGROUP'!S4/3,IF($AV$7=$AL$15,'[4]3 trim 2016 BIOGROUP'!S4/3,IF($AV$7=$AL$16,'[4]4 trim 2016 BIOGROUP'!S4/3,IF($AV$7=$AL$18,'[4]4 trim 2016 BIOGROUP'!S4/3,IF($AV$7=$AL$19,'[4]4 trim 2016 BIOGROUP'!S4/3,""))))))</f>
        <v>127436.17081666666</v>
      </c>
      <c r="AW8" s="743">
        <f>IF($AW$7=$AL$13,'[4]3 trim 2016 BIOGROUP'!S4/3,IF($AW$7=$AL$14,'[4]3 trim 2016 BIOGROUP'!S4/3,IF($AW$7=$AL$15,'[4]3 trim 2016 BIOGROUP'!S4/3,IF($AW$7=$AL$16,'[4]4 trim 2016 BIOGROUP'!S4/3,IF($AW$7=$AL$18,'[4]4 trim 2016 BIOGROUP'!S4/3,IF($AW$7=$AL$19,'[4]4 trim 2016 BIOGROUP'!S4/3,""))))))</f>
        <v>127436.17081666666</v>
      </c>
      <c r="AX8" s="743">
        <f>IF($AX$7=$AL$13,'[4]3 trim 2016 BIOGROUP'!S4/3,IF($AX$7=$AL$14,'[4]3 trim 2016 BIOGROUP'!S4/3,IF($AX$7=$AL$15,'[4]3 trim 2016 BIOGROUP'!S4/3,IF($AX$7=$AL$16,'[4]4 trim 2016 BIOGROUP'!S4/3,IF($AX$7=$AL$18,'[4]4 trim 2016 BIOGROUP'!S4/3,IF($AX$7=$AL$19,'[4]4 trim 2016 BIOGROUP'!S4/3,""))))))</f>
        <v>146521.83748333334</v>
      </c>
      <c r="AY8" s="743">
        <f>IF($AY$7=$AL$13,'[4]3 trim 2016 BIOGROUP'!S4/3,IF($AY$7=$AL$14,'[4]3 trim 2016 BIOGROUP'!S4/3,IF($AY$7=$AL$15,'[4]3 trim 2016 BIOGROUP'!S4/3,IF($AY$7=$AL$16,'[4]4 trim 2016 BIOGROUP'!S4/3,IF($AY$7=$AL$18,'[4]4 trim 2016 BIOGROUP'!S4/3,IF($AY$7=$AL$19,'[4]4 trim 2016 BIOGROUP'!S4/3,""))))))</f>
        <v>146521.83748333334</v>
      </c>
      <c r="AZ8" s="743">
        <f>IF($AZ$7=$AL$13,'[4]3 trim 2016 BIOGROUP'!S4/3,IF($AZ$7=$AL$14,'[4]3 trim 2016 BIOGROUP'!S4/3,IF($AZ$7=$AL$15,'[4]3 trim 2016 BIOGROUP'!S4/3,IF($AZ$7=$AL$16,'[4]4 trim 2016 BIOGROUP'!S4/3,IF($AZ$7=$AL$18,'[4]4 trim 2016 BIOGROUP'!S4/3,IF($AZ$7=$AL$19,'[4]4 trim 2016 BIOGROUP'!S4/3,""))))))</f>
        <v>146521.83748333334</v>
      </c>
      <c r="BA8" s="431" t="str">
        <f>IF(SUM(AO8:AZ8)-('[4]4 trim 2016 BIOGROUP'!G4+'[4]3 trim 2016 BIOGROUP'!G4+'[4]2 trim 2016 BIOGROUP'!G4+'[4]1 trim 2016 BIOGROUP'!G4)&lt;1,"OK","ERREUR")</f>
        <v>OK</v>
      </c>
      <c r="BB8" s="511">
        <f t="shared" ref="BB8:BB53" si="5">IF(AB8&lt;0,AD8-AB8,AB8-AD8)</f>
        <v>3298013</v>
      </c>
      <c r="BC8" s="750"/>
    </row>
    <row r="9" spans="1:55" ht="26.15" customHeight="1">
      <c r="A9" s="575"/>
      <c r="B9" s="548">
        <v>7064</v>
      </c>
      <c r="C9" s="440" t="s">
        <v>141</v>
      </c>
      <c r="D9" s="576"/>
      <c r="E9" s="440" t="s">
        <v>2</v>
      </c>
      <c r="F9" s="577"/>
      <c r="G9" s="475">
        <v>734184</v>
      </c>
      <c r="H9" s="578">
        <f>G9/G7</f>
        <v>0.30730567996316605</v>
      </c>
      <c r="J9" s="529">
        <f>SUMIF($AO$7:$AZ$7,$G$6,AO9:AZ9)</f>
        <v>0</v>
      </c>
      <c r="K9" s="517" t="str">
        <f t="shared" ref="K9:K53" si="6">IF(ISERROR((G9-J9)/J9),"",(G9-J9)/J9)</f>
        <v/>
      </c>
      <c r="L9" s="431"/>
      <c r="M9" s="753">
        <f>AG9/3</f>
        <v>0</v>
      </c>
      <c r="N9" s="517" t="str">
        <f t="shared" si="1"/>
        <v/>
      </c>
      <c r="O9" s="580"/>
      <c r="P9" s="586" t="s">
        <v>2</v>
      </c>
      <c r="Q9" s="582" t="e">
        <f>+#REF!+'31 dec 2016 BIOLAM'!AT5</f>
        <v>#REF!</v>
      </c>
      <c r="R9" s="583" t="e">
        <f>Q9/Q$7</f>
        <v>#REF!</v>
      </c>
      <c r="S9" s="582" t="e">
        <f>+'31 dec 2016 BIOLAM'!AV5+#REF!</f>
        <v>#REF!</v>
      </c>
      <c r="T9" s="583" t="e">
        <f>S9/S$7</f>
        <v>#REF!</v>
      </c>
      <c r="U9" s="582" t="e">
        <f>+'31 dec 2016 BIOLAM'!AX5+#REF!</f>
        <v>#REF!</v>
      </c>
      <c r="V9" s="583" t="e">
        <f>U9/U$7</f>
        <v>#REF!</v>
      </c>
      <c r="W9" s="582" t="e">
        <f>+'31 dec 2016 BIOLAM'!AZ5+#REF!</f>
        <v>#REF!</v>
      </c>
      <c r="X9" s="583" t="e">
        <f>W9/W$7</f>
        <v>#REF!</v>
      </c>
      <c r="Y9" s="582" t="e">
        <f>+W9+U9+S9+Q9</f>
        <v>#REF!</v>
      </c>
      <c r="Z9" s="583" t="e">
        <f>Y9/Y$7</f>
        <v>#REF!</v>
      </c>
      <c r="AA9" s="584" t="e">
        <f t="shared" si="2"/>
        <v>#REF!</v>
      </c>
      <c r="AB9" s="475">
        <v>606465</v>
      </c>
      <c r="AC9" s="578">
        <f>AB9/AB7</f>
        <v>0.15506992868417169</v>
      </c>
      <c r="AD9" s="495">
        <f>SUMIF($AO$7:$AZ$7,"&lt;="&amp;$AC$6,AO9:AZ9)</f>
        <v>0</v>
      </c>
      <c r="AE9" s="517" t="str">
        <f t="shared" si="3"/>
        <v/>
      </c>
      <c r="AG9" s="753"/>
      <c r="AH9" s="517" t="str">
        <f t="shared" si="4"/>
        <v/>
      </c>
      <c r="AJ9" s="587"/>
      <c r="AK9" s="437">
        <v>42643</v>
      </c>
      <c r="AL9" s="435">
        <v>42460</v>
      </c>
      <c r="AM9" s="440" t="s">
        <v>2</v>
      </c>
      <c r="AO9" s="743">
        <f>IF($AO$7=$AL$7,'[4]1 trim 2016 BIOGROUP'!S5/3,IF($AO$7=$AL$8,'[4]1 trim 2016 BIOGROUP'!S5/3,IF($AO$7=$AL$9,'[4]1 trim 2016 BIOGROUP'!S5/3,IF($AO$7=$AL$10,'[4]2 trim 2016 BIOGROUP'!S5/3,IF($AO$7=$AL$11,'[4]2 trim 2016 BIOGROUP'!S5/3,IF($AO$7=$AL$12,'[4]2 trim 2016 BIOGROUP'!S5/3,""))))))</f>
        <v>37815.495849999999</v>
      </c>
      <c r="AP9" s="743">
        <f>IF($AP$7=$AL$7,'[4]1 trim 2016 BIOGROUP'!S5/3,IF($AP$7=$AL$8,'[4]1 trim 2016 BIOGROUP'!S5/3,IF($AP$7=$AL$9,'[4]1 trim 2016 BIOGROUP'!S5/3,IF($AP$7=$AL$10,'[4]2 trim 2016 BIOGROUP'!S5/3,IF($AP$7=$AL$11,'[4]2 trim 2016 BIOGROUP'!S5/3,IF($AP$7=$AL$12,'[4]2 trim 2016 BIOGROUP'!S5/3,""))))))</f>
        <v>37815.495849999999</v>
      </c>
      <c r="AQ9" s="743">
        <f>IF($AQ$7=$AL$7,'[4]1 trim 2016 BIOGROUP'!S5/3,IF($AQ$7=$AL$8,'[4]1 trim 2016 BIOGROUP'!S5/3,IF($AQ$7=$AL$9,'[4]1 trim 2016 BIOGROUP'!S5/3,IF($AQ$7=$AL$10,'[4]2 trim 2016 BIOGROUP'!S5/3,IF($AQ$7=$AL$11,'[4]2 trim 2016 BIOGROUP'!S5/3,IF($AQ$7=$AL$12,'[4]2 trim 2016 BIOGROUP'!S5/3,""))))))</f>
        <v>37815.495849999999</v>
      </c>
      <c r="AR9" s="743">
        <f>IF($AR$7=$AL$7,'[4]1 trim 2016 BIOGROUP'!S5/3,IF($AR$7=$AL$8,'[4]1 trim 2016 BIOGROUP'!S5/3,IF($AR$7=$AL$9,'[4]1 trim 2016 BIOGROUP'!S5/3,IF($AR$7=$AL$10,'[4]2 trim 2016 BIOGROUP'!S5/3,IF($AR$7=$AL$11,'[4]2 trim 2016 BIOGROUP'!S5/3,IF($AR$7=$AL$12,'[4]2 trim 2016 BIOGROUP'!S5/3,""))))))</f>
        <v>37815.495849999999</v>
      </c>
      <c r="AS9" s="743">
        <f>IF($AS$7=$AL$7,'[4]1 trim 2016 BIOGROUP'!S5/3,IF($AS$7=$AL$8,'[4]1 trim 2016 BIOGROUP'!S5/3,IF($AS$7=$AL$9,'[4]1 trim 2016 BIOGROUP'!S5/3,IF($AS$7=$AL$10,'[4]2 trim 2016 BIOGROUP'!S5/3,IF($AS$7=$AL$11,'[4]2 trim 2016 BIOGROUP'!S5/3,IF($AS$7=$AL$12,'[4]2 trim 2016 BIOGROUP'!S5/3,""))))))</f>
        <v>37815.495849999999</v>
      </c>
      <c r="AT9" s="743">
        <f>IF($AT$7=$AL$7,'[4]1 trim 2016 BIOGROUP'!S5/3,IF($AT$7=$AL$8,'[4]1 trim 2016 BIOGROUP'!S5/3,IF($AT$7=$AL$9,'[4]1 trim 2016 BIOGROUP'!S5/3,IF($AT$7=$AL$10,'[4]2 trim 2016 BIOGROUP'!S5/3,IF($AT$7=$AL$11,'[4]2 trim 2016 BIOGROUP'!S5/3,IF($AT$7=$AL$12,'[4]2 trim 2016 BIOGROUP'!S5/3,""))))))</f>
        <v>37815.495849999999</v>
      </c>
      <c r="AU9" s="743">
        <f>IF($AU$7=$AL$13,'[4]3 trim 2016 BIOGROUP'!S5/3,IF($AU$7=$AL$14,'[4]3 trim 2016 BIOGROUP'!S5/3,IF($AU$7=$AL$15,'[4]3 trim 2016 BIOGROUP'!S5/3,IF($AU$7=$AL$16,'[4]4 trim 2016 BIOGROUP'!S5/3,IF($AU$7=$AL$18,'[4]4 trim 2016 BIOGROUP'!S5/3,IF($AU$7=$AL$19,'[4]4 trim 2016 BIOGROUP'!S5/3,""))))))</f>
        <v>37815.495849999999</v>
      </c>
      <c r="AV9" s="743">
        <f>IF($AV$7=$AL$13,'[4]3 trim 2016 BIOGROUP'!S5/3,IF($AV$7=$AL$14,'[4]3 trim 2016 BIOGROUP'!S5/3,IF($AV$7=$AL$15,'[4]3 trim 2016 BIOGROUP'!S5/3,IF($AV$7=$AL$16,'[4]4 trim 2016 BIOGROUP'!S5/3,IF($AV$7=$AL$18,'[4]4 trim 2016 BIOGROUP'!S5/3,IF($AV$7=$AL$19,'[4]4 trim 2016 BIOGROUP'!S5/3,""))))))</f>
        <v>37815.495849999999</v>
      </c>
      <c r="AW9" s="743">
        <f>IF($AW$7=$AL$13,'[4]3 trim 2016 BIOGROUP'!S5/3,IF($AW$7=$AL$14,'[4]3 trim 2016 BIOGROUP'!S5/3,IF($AW$7=$AL$15,'[4]3 trim 2016 BIOGROUP'!S5/3,IF($AW$7=$AL$16,'[4]4 trim 2016 BIOGROUP'!S5/3,IF($AW$7=$AL$18,'[4]4 trim 2016 BIOGROUP'!S5/3,IF($AW$7=$AL$19,'[4]4 trim 2016 BIOGROUP'!S5/3,""))))))</f>
        <v>37815.495849999999</v>
      </c>
      <c r="AX9" s="743">
        <f>IF($AX$7=$AL$13,'[4]3 trim 2016 BIOGROUP'!S5/3,IF($AX$7=$AL$14,'[4]3 trim 2016 BIOGROUP'!S5/3,IF($AX$7=$AL$15,'[4]3 trim 2016 BIOGROUP'!S5/3,IF($AX$7=$AL$16,'[4]4 trim 2016 BIOGROUP'!S5/3,IF($AX$7=$AL$18,'[4]4 trim 2016 BIOGROUP'!S5/3,IF($AX$7=$AL$19,'[4]4 trim 2016 BIOGROUP'!S5/3,""))))))</f>
        <v>37815.495849999999</v>
      </c>
      <c r="AY9" s="743">
        <f>IF($AY$7=$AL$13,'[4]3 trim 2016 BIOGROUP'!S5/3,IF($AY$7=$AL$14,'[4]3 trim 2016 BIOGROUP'!S5/3,IF($AY$7=$AL$15,'[4]3 trim 2016 BIOGROUP'!S5/3,IF($AY$7=$AL$16,'[4]4 trim 2016 BIOGROUP'!S5/3,IF($AY$7=$AL$18,'[4]4 trim 2016 BIOGROUP'!S5/3,IF($AY$7=$AL$19,'[4]4 trim 2016 BIOGROUP'!S5/3,""))))))</f>
        <v>37815.495849999999</v>
      </c>
      <c r="AZ9" s="743">
        <f>IF($AZ$7=$AL$13,'[4]3 trim 2016 BIOGROUP'!S5/3,IF($AZ$7=$AL$14,'[4]3 trim 2016 BIOGROUP'!S5/3,IF($AZ$7=$AL$15,'[4]3 trim 2016 BIOGROUP'!S5/3,IF($AZ$7=$AL$16,'[4]4 trim 2016 BIOGROUP'!S5/3,IF($AZ$7=$AL$18,'[4]4 trim 2016 BIOGROUP'!S5/3,IF($AZ$7=$AL$19,'[4]4 trim 2016 BIOGROUP'!S5/3,""))))))</f>
        <v>37815.495849999999</v>
      </c>
      <c r="BA9" s="431" t="str">
        <f>IF(SUM(AO9:AZ9)-('[4]4 trim 2016 BIOGROUP'!G5+'[4]3 trim 2016 BIOGROUP'!G5+'[4]2 trim 2016 BIOGROUP'!G5+'[4]1 trim 2016 BIOGROUP'!G5)&lt;1,"OK","ERREUR")</f>
        <v>ERREUR</v>
      </c>
      <c r="BB9" s="511">
        <f t="shared" si="5"/>
        <v>606465</v>
      </c>
      <c r="BC9" s="750"/>
    </row>
    <row r="10" spans="1:55" ht="26.15" customHeight="1">
      <c r="B10" s="588" t="s">
        <v>159</v>
      </c>
      <c r="C10" s="438" t="s">
        <v>83</v>
      </c>
      <c r="D10" s="576"/>
      <c r="E10" s="438" t="s">
        <v>113</v>
      </c>
      <c r="F10" s="577"/>
      <c r="G10" s="475">
        <v>5274</v>
      </c>
      <c r="H10" s="578">
        <f>G10/G7</f>
        <v>2.2075258465530951E-3</v>
      </c>
      <c r="J10" s="529">
        <f>SUMIF($AO$7:$AZ$7,$G$6,AO10:AZ10)</f>
        <v>0</v>
      </c>
      <c r="K10" s="517" t="str">
        <f t="shared" si="6"/>
        <v/>
      </c>
      <c r="L10" s="431"/>
      <c r="M10" s="753">
        <f>AG10/3</f>
        <v>0</v>
      </c>
      <c r="N10" s="517" t="str">
        <f t="shared" si="1"/>
        <v/>
      </c>
      <c r="O10" s="580"/>
      <c r="P10" s="581" t="s">
        <v>113</v>
      </c>
      <c r="Q10" s="582" t="e">
        <f>+#REF!+'31 dec 2016 BIOLAM'!AT6</f>
        <v>#REF!</v>
      </c>
      <c r="R10" s="583" t="e">
        <f>Q10/Q$7</f>
        <v>#REF!</v>
      </c>
      <c r="S10" s="582" t="e">
        <f>+'31 dec 2016 BIOLAM'!AV6+#REF!</f>
        <v>#REF!</v>
      </c>
      <c r="T10" s="583" t="e">
        <f>S10/S$7</f>
        <v>#REF!</v>
      </c>
      <c r="U10" s="582" t="e">
        <f>+'31 dec 2016 BIOLAM'!AX6+#REF!</f>
        <v>#REF!</v>
      </c>
      <c r="V10" s="583" t="e">
        <f>U10/U$7</f>
        <v>#REF!</v>
      </c>
      <c r="W10" s="582" t="e">
        <f>+'31 dec 2016 BIOLAM'!AZ6+#REF!</f>
        <v>#REF!</v>
      </c>
      <c r="X10" s="583" t="e">
        <f>W10/W$7</f>
        <v>#REF!</v>
      </c>
      <c r="Y10" s="582" t="e">
        <f>+W10+U10+S10+Q10</f>
        <v>#REF!</v>
      </c>
      <c r="Z10" s="583" t="e">
        <f>Y10/Y$7</f>
        <v>#REF!</v>
      </c>
      <c r="AA10" s="584" t="e">
        <f t="shared" si="2"/>
        <v>#REF!</v>
      </c>
      <c r="AB10" s="475">
        <v>6435</v>
      </c>
      <c r="AC10" s="578">
        <f>AB10/AB7</f>
        <v>1.6453958449088486E-3</v>
      </c>
      <c r="AD10" s="495">
        <f>SUMIF($AO$7:$AZ$7,"&lt;="&amp;$AC$6,AO10:AZ10)</f>
        <v>0</v>
      </c>
      <c r="AE10" s="517" t="str">
        <f t="shared" si="3"/>
        <v/>
      </c>
      <c r="AG10" s="753"/>
      <c r="AH10" s="517" t="str">
        <f t="shared" si="4"/>
        <v/>
      </c>
      <c r="AJ10" s="587"/>
      <c r="AK10" s="437">
        <v>42735</v>
      </c>
      <c r="AL10" s="435">
        <v>42490</v>
      </c>
      <c r="AM10" s="438" t="s">
        <v>113</v>
      </c>
      <c r="AO10" s="743">
        <f>IF($AO$7=$AL$7,'[4]1 trim 2016 BIOGROUP'!S6/3,IF($AO$7=$AL$8,'[4]1 trim 2016 BIOGROUP'!S6/3,IF($AO$7=$AL$9,'[4]1 trim 2016 BIOGROUP'!S6/3,IF($AO$7=$AL$10,'[4]2 trim 2016 BIOGROUP'!S6/3,IF($AO$7=$AL$11,'[4]2 trim 2016 BIOGROUP'!S6/3,IF($AO$7=$AL$12,'[4]2 trim 2016 BIOGROUP'!S6/3,""))))))</f>
        <v>187.33311666666668</v>
      </c>
      <c r="AP10" s="743">
        <f>IF($AP$7=$AL$7,'[4]1 trim 2016 BIOGROUP'!S6/3,IF($AP$7=$AL$8,'[4]1 trim 2016 BIOGROUP'!S6/3,IF($AP$7=$AL$9,'[4]1 trim 2016 BIOGROUP'!S6/3,IF($AP$7=$AL$10,'[4]2 trim 2016 BIOGROUP'!S6/3,IF($AP$7=$AL$11,'[4]2 trim 2016 BIOGROUP'!S6/3,IF($AP$7=$AL$12,'[4]2 trim 2016 BIOGROUP'!S6/3,""))))))</f>
        <v>187.33311666666668</v>
      </c>
      <c r="AQ10" s="743">
        <f>IF($AQ$7=$AL$7,'[4]1 trim 2016 BIOGROUP'!S6/3,IF($AQ$7=$AL$8,'[4]1 trim 2016 BIOGROUP'!S6/3,IF($AQ$7=$AL$9,'[4]1 trim 2016 BIOGROUP'!S6/3,IF($AQ$7=$AL$10,'[4]2 trim 2016 BIOGROUP'!S6/3,IF($AQ$7=$AL$11,'[4]2 trim 2016 BIOGROUP'!S6/3,IF($AQ$7=$AL$12,'[4]2 trim 2016 BIOGROUP'!S6/3,""))))))</f>
        <v>187.33311666666668</v>
      </c>
      <c r="AR10" s="743">
        <f>IF($AR$7=$AL$7,'[4]1 trim 2016 BIOGROUP'!S6/3,IF($AR$7=$AL$8,'[4]1 trim 2016 BIOGROUP'!S6/3,IF($AR$7=$AL$9,'[4]1 trim 2016 BIOGROUP'!S6/3,IF($AR$7=$AL$10,'[4]2 trim 2016 BIOGROUP'!S6/3,IF($AR$7=$AL$11,'[4]2 trim 2016 BIOGROUP'!S6/3,IF($AR$7=$AL$12,'[4]2 trim 2016 BIOGROUP'!S6/3,""))))))</f>
        <v>187.33311666666668</v>
      </c>
      <c r="AS10" s="743">
        <f>IF($AS$7=$AL$7,'[4]1 trim 2016 BIOGROUP'!S6/3,IF($AS$7=$AL$8,'[4]1 trim 2016 BIOGROUP'!S6/3,IF($AS$7=$AL$9,'[4]1 trim 2016 BIOGROUP'!S6/3,IF($AS$7=$AL$10,'[4]2 trim 2016 BIOGROUP'!S6/3,IF($AS$7=$AL$11,'[4]2 trim 2016 BIOGROUP'!S6/3,IF($AS$7=$AL$12,'[4]2 trim 2016 BIOGROUP'!S6/3,""))))))</f>
        <v>187.33311666666668</v>
      </c>
      <c r="AT10" s="743">
        <f>IF($AT$7=$AL$7,'[4]1 trim 2016 BIOGROUP'!S6/3,IF($AT$7=$AL$8,'[4]1 trim 2016 BIOGROUP'!S6/3,IF($AT$7=$AL$9,'[4]1 trim 2016 BIOGROUP'!S6/3,IF($AT$7=$AL$10,'[4]2 trim 2016 BIOGROUP'!S6/3,IF($AT$7=$AL$11,'[4]2 trim 2016 BIOGROUP'!S6/3,IF($AT$7=$AL$12,'[4]2 trim 2016 BIOGROUP'!S6/3,""))))))</f>
        <v>187.33311666666668</v>
      </c>
      <c r="AU10" s="743">
        <f>IF($AU$7=$AL$13,'[4]3 trim 2016 BIOGROUP'!S6/3,IF($AU$7=$AL$14,'[4]3 trim 2016 BIOGROUP'!S6/3,IF($AU$7=$AL$15,'[4]3 trim 2016 BIOGROUP'!S6/3,IF($AU$7=$AL$16,'[4]4 trim 2016 BIOGROUP'!S6/3,IF($AU$7=$AL$18,'[4]4 trim 2016 BIOGROUP'!S6/3,IF($AU$7=$AL$19,'[4]4 trim 2016 BIOGROUP'!S6/3,""))))))</f>
        <v>187.33311666666668</v>
      </c>
      <c r="AV10" s="743">
        <f>IF($AV$7=$AL$13,'[4]3 trim 2016 BIOGROUP'!S6/3,IF($AV$7=$AL$14,'[4]3 trim 2016 BIOGROUP'!S6/3,IF($AV$7=$AL$15,'[4]3 trim 2016 BIOGROUP'!S6/3,IF($AV$7=$AL$16,'[4]4 trim 2016 BIOGROUP'!S6/3,IF($AV$7=$AL$18,'[4]4 trim 2016 BIOGROUP'!S6/3,IF($AV$7=$AL$19,'[4]4 trim 2016 BIOGROUP'!S6/3,""))))))</f>
        <v>187.33311666666668</v>
      </c>
      <c r="AW10" s="743">
        <f>IF($AW$7=$AL$13,'[4]3 trim 2016 BIOGROUP'!S6/3,IF($AW$7=$AL$14,'[4]3 trim 2016 BIOGROUP'!S6/3,IF($AW$7=$AL$15,'[4]3 trim 2016 BIOGROUP'!S6/3,IF($AW$7=$AL$16,'[4]4 trim 2016 BIOGROUP'!S6/3,IF($AW$7=$AL$18,'[4]4 trim 2016 BIOGROUP'!S6/3,IF($AW$7=$AL$19,'[4]4 trim 2016 BIOGROUP'!S6/3,""))))))</f>
        <v>187.33311666666668</v>
      </c>
      <c r="AX10" s="743">
        <f>IF($AX$7=$AL$13,'[4]3 trim 2016 BIOGROUP'!S6/3,IF($AX$7=$AL$14,'[4]3 trim 2016 BIOGROUP'!S6/3,IF($AX$7=$AL$15,'[4]3 trim 2016 BIOGROUP'!S6/3,IF($AX$7=$AL$16,'[4]4 trim 2016 BIOGROUP'!S6/3,IF($AX$7=$AL$18,'[4]4 trim 2016 BIOGROUP'!S6/3,IF($AX$7=$AL$19,'[4]4 trim 2016 BIOGROUP'!S6/3,""))))))</f>
        <v>187.33311666666668</v>
      </c>
      <c r="AY10" s="743">
        <f>IF($AY$7=$AL$13,'[4]3 trim 2016 BIOGROUP'!S6/3,IF($AY$7=$AL$14,'[4]3 trim 2016 BIOGROUP'!S6/3,IF($AY$7=$AL$15,'[4]3 trim 2016 BIOGROUP'!S6/3,IF($AY$7=$AL$16,'[4]4 trim 2016 BIOGROUP'!S6/3,IF($AY$7=$AL$18,'[4]4 trim 2016 BIOGROUP'!S6/3,IF($AY$7=$AL$19,'[4]4 trim 2016 BIOGROUP'!S6/3,""))))))</f>
        <v>187.33311666666668</v>
      </c>
      <c r="AZ10" s="743">
        <f>IF($AZ$7=$AL$13,'[4]3 trim 2016 BIOGROUP'!S6/3,IF($AZ$7=$AL$14,'[4]3 trim 2016 BIOGROUP'!S6/3,IF($AZ$7=$AL$15,'[4]3 trim 2016 BIOGROUP'!S6/3,IF($AZ$7=$AL$16,'[4]4 trim 2016 BIOGROUP'!S6/3,IF($AZ$7=$AL$18,'[4]4 trim 2016 BIOGROUP'!S6/3,IF($AZ$7=$AL$19,'[4]4 trim 2016 BIOGROUP'!S6/3,""))))))</f>
        <v>187.33311666666668</v>
      </c>
      <c r="BA10" s="431" t="str">
        <f>IF(SUM(AO10:AZ10)-('[4]4 trim 2016 BIOGROUP'!G6+'[4]3 trim 2016 BIOGROUP'!G6+'[4]2 trim 2016 BIOGROUP'!G6+'[4]1 trim 2016 BIOGROUP'!G6)&lt;1,"OK","ERREUR")</f>
        <v>OK</v>
      </c>
      <c r="BB10" s="511">
        <f t="shared" si="5"/>
        <v>6435</v>
      </c>
      <c r="BC10" s="750"/>
    </row>
    <row r="11" spans="1:55" s="439" customFormat="1" ht="26.15" customHeight="1">
      <c r="A11" s="431"/>
      <c r="B11" s="542"/>
      <c r="C11" s="441" t="s">
        <v>87</v>
      </c>
      <c r="D11" s="589"/>
      <c r="E11" s="441" t="s">
        <v>115</v>
      </c>
      <c r="F11" s="590"/>
      <c r="G11" s="476">
        <v>-156020</v>
      </c>
      <c r="H11" s="591">
        <f>G11/G7</f>
        <v>-6.5304926541375416E-2</v>
      </c>
      <c r="I11" s="431"/>
      <c r="J11" s="496">
        <f>SUM(J12:J13)</f>
        <v>0</v>
      </c>
      <c r="K11" s="530" t="str">
        <f t="shared" si="6"/>
        <v/>
      </c>
      <c r="L11" s="431"/>
      <c r="M11" s="754">
        <f>SUM(M12:M13)</f>
        <v>0</v>
      </c>
      <c r="N11" s="518" t="str">
        <f t="shared" si="1"/>
        <v/>
      </c>
      <c r="O11" s="592"/>
      <c r="P11" s="593" t="s">
        <v>3</v>
      </c>
      <c r="Q11" s="594" t="e">
        <f t="shared" ref="Q11:Z11" si="7">SUM(Q12:Q13)</f>
        <v>#REF!</v>
      </c>
      <c r="R11" s="595" t="e">
        <f t="shared" si="7"/>
        <v>#REF!</v>
      </c>
      <c r="S11" s="594" t="e">
        <f t="shared" si="7"/>
        <v>#REF!</v>
      </c>
      <c r="T11" s="595" t="e">
        <f t="shared" si="7"/>
        <v>#REF!</v>
      </c>
      <c r="U11" s="594" t="e">
        <f t="shared" si="7"/>
        <v>#REF!</v>
      </c>
      <c r="V11" s="595" t="e">
        <f t="shared" si="7"/>
        <v>#REF!</v>
      </c>
      <c r="W11" s="594" t="e">
        <f t="shared" si="7"/>
        <v>#REF!</v>
      </c>
      <c r="X11" s="595" t="e">
        <f t="shared" si="7"/>
        <v>#REF!</v>
      </c>
      <c r="Y11" s="594" t="e">
        <f t="shared" si="7"/>
        <v>#REF!</v>
      </c>
      <c r="Z11" s="595" t="e">
        <f t="shared" si="7"/>
        <v>#REF!</v>
      </c>
      <c r="AA11" s="584" t="e">
        <f t="shared" si="2"/>
        <v>#REF!</v>
      </c>
      <c r="AB11" s="476">
        <v>-506129</v>
      </c>
      <c r="AC11" s="591">
        <f>AB11/AB7</f>
        <v>-0.12941453824209334</v>
      </c>
      <c r="AD11" s="496">
        <f>SUM(AD12:AD13)</f>
        <v>0</v>
      </c>
      <c r="AE11" s="518" t="str">
        <f t="shared" si="3"/>
        <v/>
      </c>
      <c r="AF11" s="431"/>
      <c r="AG11" s="754">
        <f>SUM(AG12:AG13)</f>
        <v>0</v>
      </c>
      <c r="AH11" s="518" t="str">
        <f t="shared" si="4"/>
        <v/>
      </c>
      <c r="AJ11" s="596"/>
      <c r="AL11" s="435">
        <v>42521</v>
      </c>
      <c r="AM11" s="441" t="s">
        <v>115</v>
      </c>
      <c r="AN11" s="746"/>
      <c r="AO11" s="741">
        <f>-SUM(AO12:AO13)</f>
        <v>-25626.659299999999</v>
      </c>
      <c r="AP11" s="741">
        <f t="shared" ref="AP11:AZ11" si="8">-SUM(AP12:AP13)</f>
        <v>-25626.659299999999</v>
      </c>
      <c r="AQ11" s="741">
        <f t="shared" si="8"/>
        <v>-25626.659299999999</v>
      </c>
      <c r="AR11" s="741">
        <f t="shared" si="8"/>
        <v>-25626.659299999999</v>
      </c>
      <c r="AS11" s="741">
        <f t="shared" si="8"/>
        <v>-25626.659299999999</v>
      </c>
      <c r="AT11" s="741">
        <f t="shared" si="8"/>
        <v>-25626.659299999999</v>
      </c>
      <c r="AU11" s="741">
        <f t="shared" si="8"/>
        <v>-25626.659299999999</v>
      </c>
      <c r="AV11" s="741">
        <f t="shared" si="8"/>
        <v>-25626.659299999999</v>
      </c>
      <c r="AW11" s="741">
        <f t="shared" si="8"/>
        <v>-25626.659299999999</v>
      </c>
      <c r="AX11" s="741">
        <f t="shared" si="8"/>
        <v>-25626.659299999999</v>
      </c>
      <c r="AY11" s="741">
        <f t="shared" si="8"/>
        <v>-25626.659299999999</v>
      </c>
      <c r="AZ11" s="741">
        <f t="shared" si="8"/>
        <v>-25626.659299999999</v>
      </c>
      <c r="BA11" s="431"/>
      <c r="BB11" s="748">
        <f t="shared" si="5"/>
        <v>506129</v>
      </c>
      <c r="BC11" s="751"/>
    </row>
    <row r="12" spans="1:55" ht="26.15" customHeight="1">
      <c r="B12" s="588" t="s">
        <v>154</v>
      </c>
      <c r="C12" s="597" t="s">
        <v>84</v>
      </c>
      <c r="D12" s="576"/>
      <c r="E12" s="442" t="s">
        <v>135</v>
      </c>
      <c r="F12" s="577"/>
      <c r="G12" s="476">
        <v>-163582</v>
      </c>
      <c r="H12" s="591">
        <f>G12/G7</f>
        <v>-6.8470135197354648E-2</v>
      </c>
      <c r="J12" s="497">
        <f>-SUMIF($AO$7:$AZ$7,$G$6,AO12:AZ12)</f>
        <v>0</v>
      </c>
      <c r="K12" s="530" t="str">
        <f t="shared" si="6"/>
        <v/>
      </c>
      <c r="L12" s="431"/>
      <c r="M12" s="755">
        <f>AG12/3</f>
        <v>0</v>
      </c>
      <c r="N12" s="518" t="str">
        <f t="shared" si="1"/>
        <v/>
      </c>
      <c r="O12" s="580"/>
      <c r="P12" s="581" t="s">
        <v>4</v>
      </c>
      <c r="Q12" s="582" t="e">
        <f>+#REF!+'31 dec 2016 BIOLAM'!AT8+'31 dec 2016 BIOLAM'!AT9</f>
        <v>#REF!</v>
      </c>
      <c r="R12" s="583" t="e">
        <f>Q12/Q$7</f>
        <v>#REF!</v>
      </c>
      <c r="S12" s="582" t="e">
        <f>+'31 dec 2016 BIOLAM'!AV8+'31 dec 2016 BIOLAM'!AV9+#REF!</f>
        <v>#REF!</v>
      </c>
      <c r="T12" s="583" t="e">
        <f>S12/S$7</f>
        <v>#REF!</v>
      </c>
      <c r="U12" s="582" t="e">
        <f>+'31 dec 2016 BIOLAM'!AX8+'31 dec 2016 BIOLAM'!AX9+#REF!</f>
        <v>#REF!</v>
      </c>
      <c r="V12" s="583" t="e">
        <f>U12/U$7</f>
        <v>#REF!</v>
      </c>
      <c r="W12" s="582" t="e">
        <f>+'31 dec 2016 BIOLAM'!AZ8+'31 dec 2016 BIOLAM'!AZ9+#REF!</f>
        <v>#REF!</v>
      </c>
      <c r="X12" s="583" t="e">
        <f>W12/W$7</f>
        <v>#REF!</v>
      </c>
      <c r="Y12" s="582" t="e">
        <f>+W12+U12+S12+Q12</f>
        <v>#REF!</v>
      </c>
      <c r="Z12" s="583" t="e">
        <f>Y12/Y$7</f>
        <v>#REF!</v>
      </c>
      <c r="AA12" s="584" t="e">
        <f t="shared" si="2"/>
        <v>#REF!</v>
      </c>
      <c r="AB12" s="476">
        <v>-523336</v>
      </c>
      <c r="AC12" s="591">
        <f>AB12/AB7</f>
        <v>-0.1338142781493733</v>
      </c>
      <c r="AD12" s="497">
        <f>-SUMIF($AO$7:$AZ$7,"&lt;="&amp;$AC$6,AO12:AZ12)</f>
        <v>0</v>
      </c>
      <c r="AE12" s="518" t="str">
        <f t="shared" si="3"/>
        <v/>
      </c>
      <c r="AG12" s="755"/>
      <c r="AH12" s="518" t="str">
        <f t="shared" si="4"/>
        <v/>
      </c>
      <c r="AJ12" s="599"/>
      <c r="AL12" s="435">
        <v>42551</v>
      </c>
      <c r="AM12" s="442" t="s">
        <v>135</v>
      </c>
      <c r="AN12" s="747"/>
      <c r="AO12" s="431">
        <f>IF($AO$7=$AL$7,'[4]1 trim 2016 BIOGROUP'!S8/3,IF($AO$7=$AL$8,'[4]1 trim 2016 BIOGROUP'!S8/3,IF($AO$7=$AL$9,'[4]1 trim 2016 BIOGROUP'!S8/3,IF($AO$7=$AL$10,'[4]2 trim 2016 BIOGROUP'!S8/3,IF($AO$7=$AL$11,'[4]2 trim 2016 BIOGROUP'!S8/3,IF($AO$7=$AL$12,'[4]2 trim 2016 BIOGROUP'!S8/3,""))))))</f>
        <v>25626.659299999999</v>
      </c>
      <c r="AP12" s="431">
        <f>IF($AP$7=$AL$7,'[4]1 trim 2016 BIOGROUP'!S8/3,IF($AP$7=$AL$8,'[4]1 trim 2016 BIOGROUP'!S8/3,IF($AP$7=$AL$9,'[4]1 trim 2016 BIOGROUP'!S8/3,IF($AP$7=$AL$10,'[4]2 trim 2016 BIOGROUP'!S8/3,IF($AP$7=$AL$11,'[4]2 trim 2016 BIOGROUP'!S8/3,IF($AP$7=$AL$12,'[4]2 trim 2016 BIOGROUP'!S8/3,""))))))</f>
        <v>25626.659299999999</v>
      </c>
      <c r="AQ12" s="431">
        <f>IF($AQ$7=$AL$7,'[4]1 trim 2016 BIOGROUP'!S8/3,IF($AQ$7=$AL$8,'[4]1 trim 2016 BIOGROUP'!S8/3,IF($AQ$7=$AL$9,'[4]1 trim 2016 BIOGROUP'!S8/3,IF($AQ$7=$AL$10,'[4]2 trim 2016 BIOGROUP'!S8/3,IF($AQ$7=$AL$11,'[4]2 trim 2016 BIOGROUP'!S8/3,IF($AQ$7=$AL$12,'[4]2 trim 2016 BIOGROUP'!S8/3,""))))))</f>
        <v>25626.659299999999</v>
      </c>
      <c r="AR12" s="431">
        <f>IF($AR$7=$AL$7,'[4]1 trim 2016 BIOGROUP'!S8/3,IF($AR$7=$AL$8,'[4]1 trim 2016 BIOGROUP'!S8/3,IF($AR$7=$AL$9,'[4]1 trim 2016 BIOGROUP'!S8/3,IF($AR$7=$AL$10,'[4]2 trim 2016 BIOGROUP'!S8/3,IF($AR$7=$AL$11,'[4]2 trim 2016 BIOGROUP'!S8/3,IF($AR$7=$AL$12,'[4]2 trim 2016 BIOGROUP'!S8/3,""))))))</f>
        <v>25626.659299999999</v>
      </c>
      <c r="AS12" s="431">
        <f>IF($AS$7=$AL$7,'[4]1 trim 2016 BIOGROUP'!S8/3,IF($AS$7=$AL$8,'[4]1 trim 2016 BIOGROUP'!S8/3,IF($AS$7=$AL$9,'[4]1 trim 2016 BIOGROUP'!S8/3,IF($AS$7=$AL$10,'[4]2 trim 2016 BIOGROUP'!S8/3,IF($AS$7=$AL$11,'[4]2 trim 2016 BIOGROUP'!S8/3,IF($AS$7=$AL$12,'[4]2 trim 2016 BIOGROUP'!S8/3,""))))))</f>
        <v>25626.659299999999</v>
      </c>
      <c r="AT12" s="431">
        <f>IF($AT$7=$AL$7,'[4]1 trim 2016 BIOGROUP'!S8/3,IF($AT$7=$AL$8,'[4]1 trim 2016 BIOGROUP'!S8/3,IF($AT$7=$AL$9,'[4]1 trim 2016 BIOGROUP'!S8/3,IF($AT$7=$AL$10,'[4]2 trim 2016 BIOGROUP'!S8/3,IF($AT$7=$AL$11,'[4]2 trim 2016 BIOGROUP'!S8/3,IF($AT$7=$AL$12,'[4]2 trim 2016 BIOGROUP'!S8/3,""))))))</f>
        <v>25626.659299999999</v>
      </c>
      <c r="AU12" s="431">
        <f>IF($AU$7=$AL$13,'[4]3 trim 2016 BIOGROUP'!S8/3,IF($AU$7=$AL$14,'[4]3 trim 2016 BIOGROUP'!S8/3,IF($AU$7=$AL$15,'[4]3 trim 2016 BIOGROUP'!S8/3,IF($AU$7=$AL$16,'[4]4 trim 2016 BIOGROUP'!S8/3,IF($AU$7=$AL$18,'[4]4 trim 2016 BIOGROUP'!S8/3,IF($AU$7=$AL$19,'[4]4 trim 2016 BIOGROUP'!S8/3,""))))))</f>
        <v>25626.659299999999</v>
      </c>
      <c r="AV12" s="431">
        <f>IF($AV$7=$AL$13,'[4]3 trim 2016 BIOGROUP'!S8/3,IF($AV$7=$AL$14,'[4]3 trim 2016 BIOGROUP'!S8/3,IF($AV$7=$AL$15,'[4]3 trim 2016 BIOGROUP'!S8/3,IF($AV$7=$AL$16,'[4]4 trim 2016 BIOGROUP'!S8/3,IF($AV$7=$AL$18,'[4]4 trim 2016 BIOGROUP'!S8/3,IF($AV$7=$AL$19,'[4]4 trim 2016 BIOGROUP'!S8/3,""))))))</f>
        <v>25626.659299999999</v>
      </c>
      <c r="AW12" s="431">
        <f>IF($AW$7=$AL$13,'[4]3 trim 2016 BIOGROUP'!S8/3,IF($AW$7=$AL$14,'[4]3 trim 2016 BIOGROUP'!S8/3,IF($AW$7=$AL$15,'[4]3 trim 2016 BIOGROUP'!S8/3,IF($AW$7=$AL$16,'[4]4 trim 2016 BIOGROUP'!S8/3,IF($AW$7=$AL$18,'[4]4 trim 2016 BIOGROUP'!S8/3,IF($AW$7=$AL$19,'[4]4 trim 2016 BIOGROUP'!S8/3,""))))))</f>
        <v>25626.659299999999</v>
      </c>
      <c r="AX12" s="431">
        <f>IF($AX$7=$AL$13,'[4]3 trim 2016 BIOGROUP'!S8/3,IF($AX$7=$AL$14,'[4]3 trim 2016 BIOGROUP'!S8/3,IF($AX$7=$AL$15,'[4]3 trim 2016 BIOGROUP'!S8/3,IF($AX$7=$AL$16,'[4]4 trim 2016 BIOGROUP'!S8/3,IF($AX$7=$AL$18,'[4]4 trim 2016 BIOGROUP'!S8/3,IF($AX$7=$AL$19,'[4]4 trim 2016 BIOGROUP'!S8/3,""))))))</f>
        <v>25626.659299999999</v>
      </c>
      <c r="AY12" s="431">
        <f>IF($AY$7=$AL$13,'[4]3 trim 2016 BIOGROUP'!S8/3,IF($AY$7=$AL$14,'[4]3 trim 2016 BIOGROUP'!S8/3,IF($AY$7=$AL$15,'[4]3 trim 2016 BIOGROUP'!S8/3,IF($AY$7=$AL$16,'[4]4 trim 2016 BIOGROUP'!S8/3,IF($AY$7=$AL$18,'[4]4 trim 2016 BIOGROUP'!S8/3,IF($AY$7=$AL$19,'[4]4 trim 2016 BIOGROUP'!S8/3,""))))))</f>
        <v>25626.659299999999</v>
      </c>
      <c r="AZ12" s="431">
        <f>IF($AZ$7=$AL$13,'[4]3 trim 2016 BIOGROUP'!S8/3,IF($AZ$7=$AL$14,'[4]3 trim 2016 BIOGROUP'!S8/3,IF($AZ$7=$AL$15,'[4]3 trim 2016 BIOGROUP'!S8/3,IF($AZ$7=$AL$16,'[4]4 trim 2016 BIOGROUP'!S8/3,IF($AZ$7=$AL$18,'[4]4 trim 2016 BIOGROUP'!S8/3,IF($AZ$7=$AL$19,'[4]4 trim 2016 BIOGROUP'!S8/3,""))))))</f>
        <v>25626.659299999999</v>
      </c>
      <c r="BB12" s="511">
        <f t="shared" si="5"/>
        <v>523336</v>
      </c>
      <c r="BC12" s="750"/>
    </row>
    <row r="13" spans="1:55" ht="26.15" customHeight="1">
      <c r="B13" s="542">
        <v>604</v>
      </c>
      <c r="C13" s="445" t="s">
        <v>85</v>
      </c>
      <c r="D13" s="600"/>
      <c r="E13" s="443" t="s">
        <v>134</v>
      </c>
      <c r="F13" s="601"/>
      <c r="G13" s="476">
        <v>7562</v>
      </c>
      <c r="H13" s="591">
        <f>G13/G7</f>
        <v>3.1652086559792389E-3</v>
      </c>
      <c r="J13" s="497">
        <f>-SUMIF($AO$7:$AZ$7,$G$6,AO13:AZ13)</f>
        <v>0</v>
      </c>
      <c r="K13" s="530" t="str">
        <f t="shared" si="6"/>
        <v/>
      </c>
      <c r="L13" s="431"/>
      <c r="M13" s="755">
        <f>AG13/3</f>
        <v>0</v>
      </c>
      <c r="N13" s="518" t="str">
        <f t="shared" si="1"/>
        <v/>
      </c>
      <c r="O13" s="580"/>
      <c r="P13" s="602" t="s">
        <v>58</v>
      </c>
      <c r="Q13" s="582" t="e">
        <f>+'31 dec 2016 BIOLAM'!AT10+#REF!</f>
        <v>#REF!</v>
      </c>
      <c r="R13" s="583" t="e">
        <f>Q13/Q$7</f>
        <v>#REF!</v>
      </c>
      <c r="S13" s="582" t="e">
        <f>+'31 dec 2016 BIOLAM'!AV10+#REF!</f>
        <v>#REF!</v>
      </c>
      <c r="T13" s="583" t="e">
        <f>S13/S$7</f>
        <v>#REF!</v>
      </c>
      <c r="U13" s="582" t="e">
        <f>+'31 dec 2016 BIOLAM'!AX10+#REF!</f>
        <v>#REF!</v>
      </c>
      <c r="V13" s="583" t="e">
        <f>U13/U$7</f>
        <v>#REF!</v>
      </c>
      <c r="W13" s="582" t="e">
        <f>+'31 dec 2016 BIOLAM'!AZ10+#REF!</f>
        <v>#REF!</v>
      </c>
      <c r="X13" s="583" t="e">
        <f>W13/W$7</f>
        <v>#REF!</v>
      </c>
      <c r="Y13" s="582" t="e">
        <f>+W13+U13+S13+Q13</f>
        <v>#REF!</v>
      </c>
      <c r="Z13" s="583" t="e">
        <f>Y13/Y$7</f>
        <v>#REF!</v>
      </c>
      <c r="AA13" s="584" t="e">
        <f t="shared" si="2"/>
        <v>#REF!</v>
      </c>
      <c r="AB13" s="476">
        <v>17207</v>
      </c>
      <c r="AC13" s="591">
        <f>AB13/AB7</f>
        <v>4.3997399072799627E-3</v>
      </c>
      <c r="AD13" s="497">
        <f>-SUMIF($AO$7:$AZ$7,"&lt;="&amp;$AC$6,AO13:AZ13)</f>
        <v>0</v>
      </c>
      <c r="AE13" s="518" t="str">
        <f t="shared" si="3"/>
        <v/>
      </c>
      <c r="AG13" s="755"/>
      <c r="AH13" s="518" t="str">
        <f t="shared" si="4"/>
        <v/>
      </c>
      <c r="AJ13" s="599"/>
      <c r="AL13" s="435">
        <v>42582</v>
      </c>
      <c r="AM13" s="443" t="s">
        <v>134</v>
      </c>
      <c r="AN13" s="747"/>
      <c r="AO13" s="431">
        <f>IF($AO$7=$AL$7,'[4]1 trim 2016 BIOGROUP'!S9/3,IF($AO$7=$AL$8,'[4]1 trim 2016 BIOGROUP'!S9/3,IF($AO$7=$AL$9,'[4]1 trim 2016 BIOGROUP'!S9/3,IF($AO$7=$AL$10,'[4]2 trim 2016 BIOGROUP'!S9/3,IF($AO$7=$AL$11,'[4]2 trim 2016 BIOGROUP'!S9/3,IF($AO$7=$AL$12,'[4]2 trim 2016 BIOGROUP'!S9/3,""))))))</f>
        <v>0</v>
      </c>
      <c r="AP13" s="431">
        <f>IF($AP$7=$AL$7,'[4]1 trim 2016 BIOGROUP'!S9/3,IF($AP$7=$AL$8,'[4]1 trim 2016 BIOGROUP'!S9/3,IF($AP$7=$AL$9,'[4]1 trim 2016 BIOGROUP'!S9/3,IF($AP$7=$AL$10,'[4]2 trim 2016 BIOGROUP'!S9/3,IF($AP$7=$AL$11,'[4]2 trim 2016 BIOGROUP'!S9/3,IF($AP$7=$AL$12,'[4]2 trim 2016 BIOGROUP'!S9/3,""))))))</f>
        <v>0</v>
      </c>
      <c r="AQ13" s="431">
        <f>IF($AQ$7=$AL$7,'[4]1 trim 2016 BIOGROUP'!S9/3,IF($AQ$7=$AL$8,'[4]1 trim 2016 BIOGROUP'!S9/3,IF($AQ$7=$AL$9,'[4]1 trim 2016 BIOGROUP'!S9/3,IF($AQ$7=$AL$10,'[4]2 trim 2016 BIOGROUP'!S9/3,IF($AQ$7=$AL$11,'[4]2 trim 2016 BIOGROUP'!S9/3,IF($AQ$7=$AL$12,'[4]2 trim 2016 BIOGROUP'!S9/3,""))))))</f>
        <v>0</v>
      </c>
      <c r="AR13" s="431">
        <f>IF($AR$7=$AL$7,'[4]1 trim 2016 BIOGROUP'!S9/3,IF($AR$7=$AL$8,'[4]1 trim 2016 BIOGROUP'!S9/3,IF($AR$7=$AL$9,'[4]1 trim 2016 BIOGROUP'!S9/3,IF($AR$7=$AL$10,'[4]2 trim 2016 BIOGROUP'!S9/3,IF($AR$7=$AL$11,'[4]2 trim 2016 BIOGROUP'!S9/3,IF($AR$7=$AL$12,'[4]2 trim 2016 BIOGROUP'!S9/3,""))))))</f>
        <v>0</v>
      </c>
      <c r="AS13" s="431">
        <f>IF($AS$7=$AL$7,'[4]1 trim 2016 BIOGROUP'!S9/3,IF($AS$7=$AL$8,'[4]1 trim 2016 BIOGROUP'!S9/3,IF($AS$7=$AL$9,'[4]1 trim 2016 BIOGROUP'!S9/3,IF($AS$7=$AL$10,'[4]2 trim 2016 BIOGROUP'!S9/3,IF($AS$7=$AL$11,'[4]2 trim 2016 BIOGROUP'!S9/3,IF($AS$7=$AL$12,'[4]2 trim 2016 BIOGROUP'!S9/3,""))))))</f>
        <v>0</v>
      </c>
      <c r="AT13" s="431">
        <f>IF($AT$7=$AL$7,'[4]1 trim 2016 BIOGROUP'!S9/3,IF($AT$7=$AL$8,'[4]1 trim 2016 BIOGROUP'!S9/3,IF($AT$7=$AL$9,'[4]1 trim 2016 BIOGROUP'!S9/3,IF($AT$7=$AL$10,'[4]2 trim 2016 BIOGROUP'!S9/3,IF($AT$7=$AL$11,'[4]2 trim 2016 BIOGROUP'!S9/3,IF($AT$7=$AL$12,'[4]2 trim 2016 BIOGROUP'!S9/3,""))))))</f>
        <v>0</v>
      </c>
      <c r="AU13" s="431">
        <f>IF($AU$7=$AL$13,'[4]3 trim 2016 BIOGROUP'!S9/3,IF($AU$7=$AL$14,'[4]3 trim 2016 BIOGROUP'!S9/3,IF($AU$7=$AL$15,'[4]3 trim 2016 BIOGROUP'!S9/3,IF($AU$7=$AL$16,'[4]4 trim 2016 BIOGROUP'!S9/3,IF($AU$7=$AL$18,'[4]4 trim 2016 BIOGROUP'!S9/3,IF($AU$7=$AL$19,'[4]4 trim 2016 BIOGROUP'!S9/3,""))))))</f>
        <v>0</v>
      </c>
      <c r="AV13" s="431">
        <f>IF($AV$7=$AL$13,'[4]3 trim 2016 BIOGROUP'!S9/3,IF($AV$7=$AL$14,'[4]3 trim 2016 BIOGROUP'!S9/3,IF($AV$7=$AL$15,'[4]3 trim 2016 BIOGROUP'!S9/3,IF($AV$7=$AL$16,'[4]4 trim 2016 BIOGROUP'!S9/3,IF($AV$7=$AL$18,'[4]4 trim 2016 BIOGROUP'!S9/3,IF($AV$7=$AL$19,'[4]4 trim 2016 BIOGROUP'!S9/3,""))))))</f>
        <v>0</v>
      </c>
      <c r="AW13" s="431">
        <f>IF($AW$7=$AL$13,'[4]3 trim 2016 BIOGROUP'!S9/3,IF($AW$7=$AL$14,'[4]3 trim 2016 BIOGROUP'!S9/3,IF($AW$7=$AL$15,'[4]3 trim 2016 BIOGROUP'!S9/3,IF($AW$7=$AL$16,'[4]4 trim 2016 BIOGROUP'!S9/3,IF($AW$7=$AL$18,'[4]4 trim 2016 BIOGROUP'!S9/3,IF($AW$7=$AL$19,'[4]4 trim 2016 BIOGROUP'!S9/3,""))))))</f>
        <v>0</v>
      </c>
      <c r="AX13" s="431">
        <f>IF($AX$7=$AL$13,'[4]3 trim 2016 BIOGROUP'!S9/3,IF($AX$7=$AL$14,'[4]3 trim 2016 BIOGROUP'!S9/3,IF($AX$7=$AL$15,'[4]3 trim 2016 BIOGROUP'!S9/3,IF($AX$7=$AL$16,'[4]4 trim 2016 BIOGROUP'!S9/3,IF($AX$7=$AL$18,'[4]4 trim 2016 BIOGROUP'!S9/3,IF($AX$7=$AL$19,'[4]4 trim 2016 BIOGROUP'!S9/3,""))))))</f>
        <v>0</v>
      </c>
      <c r="AY13" s="431">
        <f>IF($AY$7=$AL$13,'[4]3 trim 2016 BIOGROUP'!S9/3,IF($AY$7=$AL$14,'[4]3 trim 2016 BIOGROUP'!S9/3,IF($AY$7=$AL$15,'[4]3 trim 2016 BIOGROUP'!S9/3,IF($AY$7=$AL$16,'[4]4 trim 2016 BIOGROUP'!S9/3,IF($AY$7=$AL$18,'[4]4 trim 2016 BIOGROUP'!S9/3,IF($AY$7=$AL$19,'[4]4 trim 2016 BIOGROUP'!S9/3,""))))))</f>
        <v>0</v>
      </c>
      <c r="AZ13" s="431">
        <f>IF($AZ$7=$AL$13,'[4]3 trim 2016 BIOGROUP'!S9/3,IF($AZ$7=$AL$14,'[4]3 trim 2016 BIOGROUP'!S9/3,IF($AZ$7=$AL$15,'[4]3 trim 2016 BIOGROUP'!S9/3,IF($AZ$7=$AL$16,'[4]4 trim 2016 BIOGROUP'!S9/3,IF($AZ$7=$AL$18,'[4]4 trim 2016 BIOGROUP'!S9/3,IF($AZ$7=$AL$19,'[4]4 trim 2016 BIOGROUP'!S9/3,""))))))</f>
        <v>0</v>
      </c>
      <c r="BB13" s="511">
        <f t="shared" si="5"/>
        <v>17207</v>
      </c>
      <c r="BC13" s="750"/>
    </row>
    <row r="14" spans="1:55" ht="36.75" customHeight="1">
      <c r="C14" s="603" t="s">
        <v>95</v>
      </c>
      <c r="D14" s="604"/>
      <c r="E14" s="444" t="s">
        <v>116</v>
      </c>
      <c r="F14" s="577"/>
      <c r="G14" s="473">
        <v>2233080</v>
      </c>
      <c r="H14" s="605">
        <f>+G14/G7</f>
        <v>0.93469507345862457</v>
      </c>
      <c r="J14" s="498">
        <f>+J7+J11</f>
        <v>0</v>
      </c>
      <c r="K14" s="531" t="str">
        <f t="shared" si="6"/>
        <v/>
      </c>
      <c r="L14" s="431"/>
      <c r="M14" s="477">
        <f>+M7+M11</f>
        <v>0</v>
      </c>
      <c r="N14" s="516" t="str">
        <f t="shared" si="1"/>
        <v/>
      </c>
      <c r="O14" s="592"/>
      <c r="P14" s="606"/>
      <c r="Q14" s="607"/>
      <c r="R14" s="608"/>
      <c r="S14" s="607"/>
      <c r="T14" s="608"/>
      <c r="U14" s="607"/>
      <c r="V14" s="608"/>
      <c r="W14" s="607"/>
      <c r="X14" s="608"/>
      <c r="Y14" s="607"/>
      <c r="Z14" s="608"/>
      <c r="AA14" s="609"/>
      <c r="AB14" s="477">
        <v>3404784</v>
      </c>
      <c r="AC14" s="605">
        <f>AB14/AB7</f>
        <v>0.87058546175790663</v>
      </c>
      <c r="AD14" s="498">
        <f>AD7+AD11</f>
        <v>0</v>
      </c>
      <c r="AE14" s="519" t="str">
        <f t="shared" si="3"/>
        <v/>
      </c>
      <c r="AG14" s="477">
        <f>AG7+AG11</f>
        <v>0</v>
      </c>
      <c r="AH14" s="520" t="str">
        <f t="shared" si="4"/>
        <v/>
      </c>
      <c r="AJ14" s="599"/>
      <c r="AL14" s="435">
        <v>42613</v>
      </c>
      <c r="AM14" s="444" t="s">
        <v>116</v>
      </c>
      <c r="AN14" s="747"/>
      <c r="AO14" s="741">
        <f>AO8+AO9+AO10+AO11</f>
        <v>182361.00715000002</v>
      </c>
      <c r="AP14" s="741">
        <f t="shared" ref="AP14:AZ14" si="9">AP8+AP9+AP10+AP11</f>
        <v>182361.00715000002</v>
      </c>
      <c r="AQ14" s="741">
        <f t="shared" si="9"/>
        <v>182361.00715000002</v>
      </c>
      <c r="AR14" s="741">
        <f t="shared" si="9"/>
        <v>148908.34048333333</v>
      </c>
      <c r="AS14" s="741">
        <f t="shared" si="9"/>
        <v>148908.34048333333</v>
      </c>
      <c r="AT14" s="741">
        <f t="shared" si="9"/>
        <v>148908.34048333333</v>
      </c>
      <c r="AU14" s="741">
        <f t="shared" si="9"/>
        <v>139812.34048333333</v>
      </c>
      <c r="AV14" s="741">
        <f t="shared" si="9"/>
        <v>139812.34048333333</v>
      </c>
      <c r="AW14" s="741">
        <f t="shared" si="9"/>
        <v>139812.34048333333</v>
      </c>
      <c r="AX14" s="741">
        <f t="shared" si="9"/>
        <v>158898.00715000002</v>
      </c>
      <c r="AY14" s="741">
        <f t="shared" si="9"/>
        <v>158898.00715000002</v>
      </c>
      <c r="AZ14" s="741">
        <f t="shared" si="9"/>
        <v>158898.00715000002</v>
      </c>
      <c r="BB14" s="748">
        <f t="shared" si="5"/>
        <v>3404784</v>
      </c>
      <c r="BC14" s="752"/>
    </row>
    <row r="15" spans="1:55" ht="26.15" customHeight="1">
      <c r="C15" s="445" t="s">
        <v>142</v>
      </c>
      <c r="D15" s="610"/>
      <c r="E15" s="445" t="s">
        <v>143</v>
      </c>
      <c r="F15" s="577"/>
      <c r="G15" s="476">
        <v>-204965</v>
      </c>
      <c r="H15" s="591">
        <f>G15/G7</f>
        <v>-8.5791720731656279E-2</v>
      </c>
      <c r="J15" s="496">
        <f>SUM(J16:J20)</f>
        <v>0</v>
      </c>
      <c r="K15" s="530" t="str">
        <f t="shared" si="6"/>
        <v/>
      </c>
      <c r="L15" s="431"/>
      <c r="M15" s="754">
        <f>SUM(M16:M20)</f>
        <v>0</v>
      </c>
      <c r="N15" s="518" t="str">
        <f t="shared" si="1"/>
        <v/>
      </c>
      <c r="O15" s="580"/>
      <c r="P15" s="611" t="s">
        <v>5</v>
      </c>
      <c r="Q15" s="594" t="e">
        <f t="shared" ref="Q15:Z15" si="10">SUM(Q16:Q20)</f>
        <v>#REF!</v>
      </c>
      <c r="R15" s="595" t="e">
        <f t="shared" si="10"/>
        <v>#REF!</v>
      </c>
      <c r="S15" s="594" t="e">
        <f t="shared" si="10"/>
        <v>#REF!</v>
      </c>
      <c r="T15" s="595" t="e">
        <f t="shared" si="10"/>
        <v>#REF!</v>
      </c>
      <c r="U15" s="594" t="e">
        <f t="shared" si="10"/>
        <v>#REF!</v>
      </c>
      <c r="V15" s="595" t="e">
        <f t="shared" si="10"/>
        <v>#REF!</v>
      </c>
      <c r="W15" s="594" t="e">
        <f t="shared" si="10"/>
        <v>#REF!</v>
      </c>
      <c r="X15" s="595" t="e">
        <f t="shared" si="10"/>
        <v>#REF!</v>
      </c>
      <c r="Y15" s="594" t="e">
        <f t="shared" si="10"/>
        <v>#REF!</v>
      </c>
      <c r="Z15" s="595" t="e">
        <f t="shared" si="10"/>
        <v>#REF!</v>
      </c>
      <c r="AA15" s="584" t="e">
        <f>+G15-Y15</f>
        <v>#REF!</v>
      </c>
      <c r="AB15" s="476">
        <v>-706401</v>
      </c>
      <c r="AC15" s="591">
        <f>AB15/AB7</f>
        <v>-0.18062304121825262</v>
      </c>
      <c r="AD15" s="496">
        <f>+AD16+AD18+AD19+AD20</f>
        <v>0</v>
      </c>
      <c r="AE15" s="518" t="str">
        <f t="shared" si="3"/>
        <v/>
      </c>
      <c r="AG15" s="754">
        <f>SUM(AG16:AG20)</f>
        <v>0</v>
      </c>
      <c r="AH15" s="518" t="str">
        <f t="shared" si="4"/>
        <v/>
      </c>
      <c r="AJ15" s="599"/>
      <c r="AL15" s="435">
        <v>42643</v>
      </c>
      <c r="AM15" s="445" t="s">
        <v>143</v>
      </c>
      <c r="AN15" s="747"/>
      <c r="AO15" s="741">
        <f>-AO16-AO19</f>
        <v>-30336.188299999998</v>
      </c>
      <c r="AP15" s="741">
        <f t="shared" ref="AP15:AZ15" si="11">-AP16-AP19</f>
        <v>-30336.188299999998</v>
      </c>
      <c r="AQ15" s="741">
        <f t="shared" si="11"/>
        <v>-30336.188299999998</v>
      </c>
      <c r="AR15" s="741">
        <f t="shared" si="11"/>
        <v>-30336.188299999998</v>
      </c>
      <c r="AS15" s="741">
        <f t="shared" si="11"/>
        <v>-30336.188299999998</v>
      </c>
      <c r="AT15" s="741">
        <f t="shared" si="11"/>
        <v>-30336.188299999998</v>
      </c>
      <c r="AU15" s="741">
        <f t="shared" si="11"/>
        <v>-30336.188299999998</v>
      </c>
      <c r="AV15" s="741">
        <f t="shared" si="11"/>
        <v>-30336.188299999998</v>
      </c>
      <c r="AW15" s="741">
        <f t="shared" si="11"/>
        <v>-30336.188299999998</v>
      </c>
      <c r="AX15" s="741">
        <f t="shared" si="11"/>
        <v>-30336.188299999998</v>
      </c>
      <c r="AY15" s="741">
        <f t="shared" si="11"/>
        <v>-30336.188299999998</v>
      </c>
      <c r="AZ15" s="741">
        <f t="shared" si="11"/>
        <v>-30336.188299999998</v>
      </c>
      <c r="BB15" s="748">
        <f t="shared" si="5"/>
        <v>706401</v>
      </c>
      <c r="BC15" s="752"/>
    </row>
    <row r="16" spans="1:55" ht="26.15" customHeight="1">
      <c r="B16" s="542">
        <v>628</v>
      </c>
      <c r="C16" s="446" t="s">
        <v>86</v>
      </c>
      <c r="D16" s="610"/>
      <c r="E16" s="446" t="s">
        <v>137</v>
      </c>
      <c r="F16" s="577"/>
      <c r="G16" s="475">
        <v>-202377</v>
      </c>
      <c r="H16" s="578">
        <f>G16/G7</f>
        <v>-8.4708467623791389E-2</v>
      </c>
      <c r="J16" s="495">
        <f>-SUMIF($AO$7:$AZ$7,$G$6,AO16:AZ16)</f>
        <v>0</v>
      </c>
      <c r="K16" s="532" t="str">
        <f t="shared" si="6"/>
        <v/>
      </c>
      <c r="L16" s="431"/>
      <c r="M16" s="753">
        <f>AG16/3</f>
        <v>0</v>
      </c>
      <c r="N16" s="517" t="str">
        <f t="shared" si="1"/>
        <v/>
      </c>
      <c r="O16" s="580"/>
      <c r="P16" s="612" t="s">
        <v>6</v>
      </c>
      <c r="Q16" s="582" t="e">
        <f>+#REF!+'31 dec 2016 BIOLAM'!AT13+'31 dec 2016 BIOLAM'!AT14+'31 dec 2016 BIOLAM'!AT15</f>
        <v>#REF!</v>
      </c>
      <c r="R16" s="583" t="e">
        <f>Q16/Q$7</f>
        <v>#REF!</v>
      </c>
      <c r="S16" s="582" t="e">
        <f>+'31 dec 2016 BIOLAM'!AV13+#REF!+'31 dec 2016 BIOLAM'!AV14+'31 dec 2016 BIOLAM'!AV15</f>
        <v>#REF!</v>
      </c>
      <c r="T16" s="583" t="e">
        <f>S16/S$7</f>
        <v>#REF!</v>
      </c>
      <c r="U16" s="582" t="e">
        <f>+'31 dec 2016 BIOLAM'!AX13+#REF!+'31 dec 2016 BIOLAM'!AX14+'31 dec 2016 BIOLAM'!AX15</f>
        <v>#REF!</v>
      </c>
      <c r="V16" s="583" t="e">
        <f>U16/U$7</f>
        <v>#REF!</v>
      </c>
      <c r="W16" s="582" t="e">
        <f>+'31 dec 2016 BIOLAM'!AZ13+#REF!+'31 dec 2016 BIOLAM'!AZ14+'31 dec 2016 BIOLAM'!AZ15</f>
        <v>#REF!</v>
      </c>
      <c r="X16" s="583" t="e">
        <f>W16/W$7</f>
        <v>#REF!</v>
      </c>
      <c r="Y16" s="582" t="e">
        <f>+W16+U16+S16+Q16</f>
        <v>#REF!</v>
      </c>
      <c r="Z16" s="583" t="e">
        <f>Y16/Y$7</f>
        <v>#REF!</v>
      </c>
      <c r="AA16" s="584" t="e">
        <f>+G16-Y16</f>
        <v>#REF!</v>
      </c>
      <c r="AB16" s="475">
        <v>-697010</v>
      </c>
      <c r="AC16" s="578">
        <f>AB16/AB7</f>
        <v>-0.17822181163324266</v>
      </c>
      <c r="AD16" s="495">
        <f>-SUMIF($AO$7:$AZ$7,"&lt;="&amp;$AC$6,AO16:AZ16)</f>
        <v>0</v>
      </c>
      <c r="AE16" s="517" t="str">
        <f t="shared" si="3"/>
        <v/>
      </c>
      <c r="AG16" s="753"/>
      <c r="AH16" s="517" t="str">
        <f t="shared" si="4"/>
        <v/>
      </c>
      <c r="AL16" s="435">
        <v>42674</v>
      </c>
      <c r="AM16" s="446" t="s">
        <v>137</v>
      </c>
      <c r="AN16" s="747"/>
      <c r="AO16" s="431">
        <f>IF($AO$7=$AL$7,'[4]1 trim 2016 BIOGROUP'!$S$13/3,IF($AO$7=$AL$8,'[4]1 trim 2016 BIOGROUP'!$S$13/3,IF($AO$7=$AL$9,'[4]1 trim 2016 BIOGROUP'!$S$13/3,IF($AO$7=$AL$10,'[4]2 trim 2016 BIOGROUP'!$S$13/3,IF($AO$7=$AL$11,'[4]2 trim 2016 BIOGROUP'!$S$13/3,IF($AO$7=$AL$12,'[4]2 trim 2016 BIOGROUP'!$S$13/3,""))))))</f>
        <v>30336.188299999998</v>
      </c>
      <c r="AP16" s="431">
        <f>IF($AP$7=$AL$7,'[4]1 trim 2016 BIOGROUP'!$S$13/3,IF($AP$7=$AL$8,'[4]1 trim 2016 BIOGROUP'!$S$13/3,IF($AP$7=$AL$9,'[4]1 trim 2016 BIOGROUP'!$S$13/3,IF($AP$7=$AL$10,'[4]2 trim 2016 BIOGROUP'!$S$13/3,IF($AP$7=$AL$11,'[4]2 trim 2016 BIOGROUP'!$S$13/3,IF($AP$7=$AL$12,'[4]2 trim 2016 BIOGROUP'!$S$13/3,""))))))</f>
        <v>30336.188299999998</v>
      </c>
      <c r="AQ16" s="431">
        <f>IF($AQ$7=$AL$7,'[4]1 trim 2016 BIOGROUP'!$S$13/3,IF($AQ$7=$AL$8,'[4]1 trim 2016 BIOGROUP'!$S$13/3,IF($AQ$7=$AL$9,'[4]1 trim 2016 BIOGROUP'!$S$13/3,IF($AQ$7=$AL$10,'[4]2 trim 2016 BIOGROUP'!$S$13/3,IF($AQ$7=$AL$11,'[4]2 trim 2016 BIOGROUP'!$S$13/3,IF($AQ$7=$AL$12,'[4]2 trim 2016 BIOGROUP'!$S$13/3,""))))))</f>
        <v>30336.188299999998</v>
      </c>
      <c r="AR16" s="431">
        <f>IF($AR$7=$AL$7,'[4]1 trim 2016 BIOGROUP'!$S$13/3,IF($AR$7=$AL$8,'[4]1 trim 2016 BIOGROUP'!$S$13/3,IF($AR$7=$AL$9,'[4]1 trim 2016 BIOGROUP'!$S$13/3,IF($AR$7=$AL$10,'[4]2 trim 2016 BIOGROUP'!$S$13/3,IF($AR$7=$AL$11,'[4]2 trim 2016 BIOGROUP'!$S$13/3,IF($AR$7=$AL$12,'[4]2 trim 2016 BIOGROUP'!$S$13/3,""))))))</f>
        <v>30336.188299999998</v>
      </c>
      <c r="AS16" s="431">
        <f>IF($AS$7=$AL$7,'[4]1 trim 2016 BIOGROUP'!$S$13/3,IF($AS$7=$AL$8,'[4]1 trim 2016 BIOGROUP'!$S$13/3,IF($AS$7=$AL$9,'[4]1 trim 2016 BIOGROUP'!$S$13/3,IF($AS$7=$AL$10,'[4]2 trim 2016 BIOGROUP'!$S$13/3,IF($AS$7=$AL$11,'[4]2 trim 2016 BIOGROUP'!$S$13/3,IF($AS$7=$AL$12,'[4]2 trim 2016 BIOGROUP'!$S$13/3,""))))))</f>
        <v>30336.188299999998</v>
      </c>
      <c r="AT16" s="431">
        <f>IF($AT$7=$AL$7,'[4]1 trim 2016 BIOGROUP'!$S$13/3,IF($AT$7=$AL$8,'[4]1 trim 2016 BIOGROUP'!$S$13/3,IF($AT$7=$AL$9,'[4]1 trim 2016 BIOGROUP'!$S$13/3,IF($AT$7=$AL$10,'[4]2 trim 2016 BIOGROUP'!$S$13/3,IF($AT$7=$AL$11,'[4]2 trim 2016 BIOGROUP'!$S$13/3,IF($AT$7=$AL$12,'[4]2 trim 2016 BIOGROUP'!$S$13/3,""))))))</f>
        <v>30336.188299999998</v>
      </c>
      <c r="AU16" s="431">
        <f>IF($AU$7=$AL$13,'[4]3 trim 2016 BIOGROUP'!$S$13/3,IF($AU$7=$AL$14,'[4]3 trim 2016 BIOGROUP'!$S$13/3,IF($AU$7=$AL$15,'[4]3 trim 2016 BIOGROUP'!$S$13/3,IF($AU$7=$AL$16,'[4]4 trim 2016 BIOGROUP'!$S$13/3,IF($AU$7=$AL$18,'[4]4 trim 2016 BIOGROUP'!$S$13/3,IF($AU$7=$AL$19,'[4]4 trim 2016 BIOGROUP'!$S$13/3,""))))))</f>
        <v>30336.188299999998</v>
      </c>
      <c r="AV16" s="431">
        <f>IF($AV$7=$AL$13,'[4]3 trim 2016 BIOGROUP'!$S$13/3,IF($AV$7=$AL$14,'[4]3 trim 2016 BIOGROUP'!$S$13/3,IF($AV$7=$AL$15,'[4]3 trim 2016 BIOGROUP'!$S$13/3,IF($AV$7=$AL$16,'[4]4 trim 2016 BIOGROUP'!$S$13/3,IF($AV$7=$AL$18,'[4]4 trim 2016 BIOGROUP'!$S$13/3,IF($AV$7=$AL$19,'[4]4 trim 2016 BIOGROUP'!$S$13/3,""))))))</f>
        <v>30336.188299999998</v>
      </c>
      <c r="AW16" s="431">
        <f>IF($AW$7=$AL$13,'[4]3 trim 2016 BIOGROUP'!$S$13/3,IF($AW$7=$AL$14,'[4]3 trim 2016 BIOGROUP'!$S$13/3,IF($AW$7=$AL$15,'[4]3 trim 2016 BIOGROUP'!$S$13/3,IF($AW$7=$AL$16,'[4]4 trim 2016 BIOGROUP'!$S$13/3,IF($AW$7=$AL$18,'[4]4 trim 2016 BIOGROUP'!$S$13/3,IF($AW$7=$AL$19,'[4]4 trim 2016 BIOGROUP'!$S$13/3,""))))))</f>
        <v>30336.188299999998</v>
      </c>
      <c r="AX16" s="431">
        <f>IF($AX$7=$AL$13,'[4]3 trim 2016 BIOGROUP'!$S$13/3,IF($AX$7=$AL$14,'[4]3 trim 2016 BIOGROUP'!$S$13/3,IF($AX$7=$AL$15,'[4]3 trim 2016 BIOGROUP'!$S$13/3,IF($AX$7=$AL$16,'[4]4 trim 2016 BIOGROUP'!$S$13/3,IF($AX$7=$AL$18,'[4]4 trim 2016 BIOGROUP'!$S$13/3,IF($AX$7=$AL$19,'[4]4 trim 2016 BIOGROUP'!$S$13/3,""))))))</f>
        <v>30336.188299999998</v>
      </c>
      <c r="AY16" s="431">
        <f>IF($AY$7=$AL$13,'[4]3 trim 2016 BIOGROUP'!$S$13/3,IF($AY$7=$AL$14,'[4]3 trim 2016 BIOGROUP'!$S$13/3,IF($AY$7=$AL$15,'[4]3 trim 2016 BIOGROUP'!$S$13/3,IF($AY$7=$AL$16,'[4]4 trim 2016 BIOGROUP'!$S$13/3,IF($AY$7=$AL$18,'[4]4 trim 2016 BIOGROUP'!$S$13/3,IF($AY$7=$AL$19,'[4]4 trim 2016 BIOGROUP'!$S$13/3,""))))))</f>
        <v>30336.188299999998</v>
      </c>
      <c r="AZ16" s="431">
        <f>IF($AZ$7=$AL$13,'[4]3 trim 2016 BIOGROUP'!$S$13/3,IF($AZ$7=$AL$14,'[4]3 trim 2016 BIOGROUP'!$S$13/3,IF($AZ$7=$AL$15,'[4]3 trim 2016 BIOGROUP'!$S$13/3,IF($AZ$7=$AL$16,'[4]4 trim 2016 BIOGROUP'!$S$13/3,IF($AZ$7=$AL$18,'[4]4 trim 2016 BIOGROUP'!$S$13/3,IF($AZ$7=$AL$19,'[4]4 trim 2016 BIOGROUP'!$S$13/3,""))))))</f>
        <v>30336.188299999998</v>
      </c>
      <c r="BB16" s="511">
        <f t="shared" si="5"/>
        <v>697010</v>
      </c>
      <c r="BC16" s="750"/>
    </row>
    <row r="17" spans="1:55" ht="26.15" hidden="1" customHeight="1">
      <c r="C17" s="446" t="s">
        <v>136</v>
      </c>
      <c r="D17" s="610"/>
      <c r="E17" s="446" t="s">
        <v>123</v>
      </c>
      <c r="F17" s="577"/>
      <c r="G17" s="475"/>
      <c r="H17" s="578"/>
      <c r="J17" s="495"/>
      <c r="K17" s="532" t="str">
        <f t="shared" si="6"/>
        <v/>
      </c>
      <c r="L17" s="431"/>
      <c r="M17" s="753"/>
      <c r="N17" s="517" t="str">
        <f t="shared" si="1"/>
        <v/>
      </c>
      <c r="O17" s="580"/>
      <c r="P17" s="612"/>
      <c r="Q17" s="582"/>
      <c r="R17" s="583"/>
      <c r="S17" s="582"/>
      <c r="T17" s="583"/>
      <c r="U17" s="582"/>
      <c r="V17" s="583"/>
      <c r="W17" s="582"/>
      <c r="X17" s="583"/>
      <c r="Y17" s="582"/>
      <c r="Z17" s="583"/>
      <c r="AA17" s="584"/>
      <c r="AB17" s="475"/>
      <c r="AC17" s="578"/>
      <c r="AD17" s="495">
        <f>-SUMIF($AO$7:$AZ$7,"&lt;="&amp;$AC$6,AO17:AZ17)</f>
        <v>0</v>
      </c>
      <c r="AE17" s="517" t="str">
        <f t="shared" si="3"/>
        <v/>
      </c>
      <c r="AG17" s="753"/>
      <c r="AH17" s="517" t="str">
        <f t="shared" si="4"/>
        <v/>
      </c>
      <c r="AL17" s="435"/>
      <c r="AM17" s="446" t="s">
        <v>123</v>
      </c>
      <c r="AN17" s="747"/>
      <c r="AO17" s="431">
        <f>IF($AO$7=$AL$7,'[4]1 trim 2016 BIOGROUP'!$S$13/3,IF($AO$7=$AL$8,'[4]1 trim 2016 BIOGROUP'!$S$13/3,IF($AO$7=$AL$9,'[4]1 trim 2016 BIOGROUP'!$S$13/3,IF($AO$7=$AL$10,'[4]2 trim 2016 BIOGROUP'!$S$13/3,IF($AO$7=$AL$11,'[4]2 trim 2016 BIOGROUP'!$S$13/3,IF($AO$7=$AL$12,'[4]2 trim 2016 BIOGROUP'!$S$13/3,""))))))</f>
        <v>30336.188299999998</v>
      </c>
      <c r="AP17" s="431">
        <f>IF($AP$7=$AL$7,'[4]1 trim 2016 BIOGROUP'!$S$13/3,IF($AP$7=$AL$8,'[4]1 trim 2016 BIOGROUP'!$S$13/3,IF($AP$7=$AL$9,'[4]1 trim 2016 BIOGROUP'!$S$13/3,IF($AP$7=$AL$10,'[4]2 trim 2016 BIOGROUP'!$S$13/3,IF($AP$7=$AL$11,'[4]2 trim 2016 BIOGROUP'!$S$13/3,IF($AP$7=$AL$12,'[4]2 trim 2016 BIOGROUP'!$S$13/3,""))))))</f>
        <v>30336.188299999998</v>
      </c>
      <c r="AQ17" s="431">
        <f>IF($AQ$7=$AL$7,'[4]1 trim 2016 BIOGROUP'!$S$13/3,IF($AQ$7=$AL$8,'[4]1 trim 2016 BIOGROUP'!$S$13/3,IF($AQ$7=$AL$9,'[4]1 trim 2016 BIOGROUP'!$S$13/3,IF($AQ$7=$AL$10,'[4]2 trim 2016 BIOGROUP'!$S$13/3,IF($AQ$7=$AL$11,'[4]2 trim 2016 BIOGROUP'!$S$13/3,IF($AQ$7=$AL$12,'[4]2 trim 2016 BIOGROUP'!$S$13/3,""))))))</f>
        <v>30336.188299999998</v>
      </c>
      <c r="AR17" s="431">
        <f>IF($AR$7=$AL$7,'[4]1 trim 2016 BIOGROUP'!$S$13/3,IF($AR$7=$AL$8,'[4]1 trim 2016 BIOGROUP'!$S$13/3,IF($AR$7=$AL$9,'[4]1 trim 2016 BIOGROUP'!$S$13/3,IF($AR$7=$AL$10,'[4]2 trim 2016 BIOGROUP'!$S$13/3,IF($AR$7=$AL$11,'[4]2 trim 2016 BIOGROUP'!$S$13/3,IF($AR$7=$AL$12,'[4]2 trim 2016 BIOGROUP'!$S$13/3,""))))))</f>
        <v>30336.188299999998</v>
      </c>
      <c r="AS17" s="431">
        <f>IF($AS$7=$AL$7,'[4]1 trim 2016 BIOGROUP'!$S$13/3,IF($AS$7=$AL$8,'[4]1 trim 2016 BIOGROUP'!$S$13/3,IF($AS$7=$AL$9,'[4]1 trim 2016 BIOGROUP'!$S$13/3,IF($AS$7=$AL$10,'[4]2 trim 2016 BIOGROUP'!$S$13/3,IF($AS$7=$AL$11,'[4]2 trim 2016 BIOGROUP'!$S$13/3,IF($AS$7=$AL$12,'[4]2 trim 2016 BIOGROUP'!$S$13/3,""))))))</f>
        <v>30336.188299999998</v>
      </c>
      <c r="AT17" s="431">
        <f>IF($AT$7=$AL$7,'[4]1 trim 2016 BIOGROUP'!$S$13/3,IF($AT$7=$AL$8,'[4]1 trim 2016 BIOGROUP'!$S$13/3,IF($AT$7=$AL$9,'[4]1 trim 2016 BIOGROUP'!$S$13/3,IF($AT$7=$AL$10,'[4]2 trim 2016 BIOGROUP'!$S$13/3,IF($AT$7=$AL$11,'[4]2 trim 2016 BIOGROUP'!$S$13/3,IF($AT$7=$AL$12,'[4]2 trim 2016 BIOGROUP'!$S$13/3,""))))))</f>
        <v>30336.188299999998</v>
      </c>
      <c r="AU17" s="431">
        <f>IF($AU$7=$AL$13,'[4]3 trim 2016 BIOGROUP'!$S$13/3,IF($AU$7=$AL$14,'[4]3 trim 2016 BIOGROUP'!$S$13/3,IF($AU$7=$AL$15,'[4]3 trim 2016 BIOGROUP'!$S$13/3,IF($AU$7=$AL$16,'[4]4 trim 2016 BIOGROUP'!$S$13/3,IF($AU$7=$AL$18,'[4]4 trim 2016 BIOGROUP'!$S$13/3,IF($AU$7=$AL$19,'[4]4 trim 2016 BIOGROUP'!$S$13/3,""))))))</f>
        <v>30336.188299999998</v>
      </c>
      <c r="AV17" s="431">
        <f>IF($AV$7=$AL$13,'[4]3 trim 2016 BIOGROUP'!$S$13/3,IF($AV$7=$AL$14,'[4]3 trim 2016 BIOGROUP'!$S$13/3,IF($AV$7=$AL$15,'[4]3 trim 2016 BIOGROUP'!$S$13/3,IF($AV$7=$AL$16,'[4]4 trim 2016 BIOGROUP'!$S$13/3,IF($AV$7=$AL$18,'[4]4 trim 2016 BIOGROUP'!$S$13/3,IF($AV$7=$AL$19,'[4]4 trim 2016 BIOGROUP'!$S$13/3,""))))))</f>
        <v>30336.188299999998</v>
      </c>
      <c r="AW17" s="431">
        <f>IF($AW$7=$AL$13,'[4]3 trim 2016 BIOGROUP'!$S$13/3,IF($AW$7=$AL$14,'[4]3 trim 2016 BIOGROUP'!$S$13/3,IF($AW$7=$AL$15,'[4]3 trim 2016 BIOGROUP'!$S$13/3,IF($AW$7=$AL$16,'[4]4 trim 2016 BIOGROUP'!$S$13/3,IF($AW$7=$AL$18,'[4]4 trim 2016 BIOGROUP'!$S$13/3,IF($AW$7=$AL$19,'[4]4 trim 2016 BIOGROUP'!$S$13/3,""))))))</f>
        <v>30336.188299999998</v>
      </c>
      <c r="AX17" s="431">
        <f>IF($AX$7=$AL$13,'[4]3 trim 2016 BIOGROUP'!$S$13/3,IF($AX$7=$AL$14,'[4]3 trim 2016 BIOGROUP'!$S$13/3,IF($AX$7=$AL$15,'[4]3 trim 2016 BIOGROUP'!$S$13/3,IF($AX$7=$AL$16,'[4]4 trim 2016 BIOGROUP'!$S$13/3,IF($AX$7=$AL$18,'[4]4 trim 2016 BIOGROUP'!$S$13/3,IF($AX$7=$AL$19,'[4]4 trim 2016 BIOGROUP'!$S$13/3,""))))))</f>
        <v>30336.188299999998</v>
      </c>
      <c r="AY17" s="431">
        <f>IF($AY$7=$AL$13,'[4]3 trim 2016 BIOGROUP'!$S$13/3,IF($AY$7=$AL$14,'[4]3 trim 2016 BIOGROUP'!$S$13/3,IF($AY$7=$AL$15,'[4]3 trim 2016 BIOGROUP'!$S$13/3,IF($AY$7=$AL$16,'[4]4 trim 2016 BIOGROUP'!$S$13/3,IF($AY$7=$AL$18,'[4]4 trim 2016 BIOGROUP'!$S$13/3,IF($AY$7=$AL$19,'[4]4 trim 2016 BIOGROUP'!$S$13/3,""))))))</f>
        <v>30336.188299999998</v>
      </c>
      <c r="AZ17" s="431">
        <f>IF($AZ$7=$AL$13,'[4]3 trim 2016 BIOGROUP'!$S$13/3,IF($AZ$7=$AL$14,'[4]3 trim 2016 BIOGROUP'!$S$13/3,IF($AZ$7=$AL$15,'[4]3 trim 2016 BIOGROUP'!$S$13/3,IF($AZ$7=$AL$16,'[4]4 trim 2016 BIOGROUP'!$S$13/3,IF($AZ$7=$AL$18,'[4]4 trim 2016 BIOGROUP'!$S$13/3,IF($AZ$7=$AL$19,'[4]4 trim 2016 BIOGROUP'!$S$13/3,""))))))</f>
        <v>30336.188299999998</v>
      </c>
      <c r="BB17" s="511">
        <f t="shared" si="5"/>
        <v>0</v>
      </c>
      <c r="BC17" s="750"/>
    </row>
    <row r="18" spans="1:55" ht="20.25" customHeight="1">
      <c r="C18" s="446" t="s">
        <v>156</v>
      </c>
      <c r="D18" s="610"/>
      <c r="E18" s="446" t="s">
        <v>155</v>
      </c>
      <c r="F18" s="577"/>
      <c r="G18" s="475">
        <v>-2589</v>
      </c>
      <c r="H18" s="578">
        <f>G18/G7</f>
        <v>-1.0836716755263489E-3</v>
      </c>
      <c r="J18" s="499">
        <v>0</v>
      </c>
      <c r="K18" s="532" t="str">
        <f t="shared" si="6"/>
        <v/>
      </c>
      <c r="L18" s="431"/>
      <c r="M18" s="753">
        <f>AG18/3</f>
        <v>0</v>
      </c>
      <c r="N18" s="517" t="str">
        <f t="shared" si="1"/>
        <v/>
      </c>
      <c r="O18" s="580"/>
      <c r="P18" s="612"/>
      <c r="Q18" s="582"/>
      <c r="R18" s="583"/>
      <c r="S18" s="582"/>
      <c r="T18" s="583"/>
      <c r="U18" s="582"/>
      <c r="V18" s="583"/>
      <c r="W18" s="582"/>
      <c r="X18" s="583"/>
      <c r="Y18" s="582"/>
      <c r="Z18" s="583"/>
      <c r="AA18" s="584"/>
      <c r="AB18" s="475">
        <v>-9391</v>
      </c>
      <c r="AC18" s="578">
        <f>AB18/AB7</f>
        <v>-2.4012295850099454E-3</v>
      </c>
      <c r="AD18" s="495">
        <f>-SUMIF($AO$7:$AZ$7,"&lt;="&amp;$AC$6,AO18:AZ18)</f>
        <v>0</v>
      </c>
      <c r="AE18" s="517" t="str">
        <f t="shared" si="3"/>
        <v/>
      </c>
      <c r="AG18" s="753"/>
      <c r="AH18" s="517" t="str">
        <f t="shared" si="4"/>
        <v/>
      </c>
      <c r="AL18" s="435">
        <v>42704</v>
      </c>
      <c r="AM18" s="446" t="s">
        <v>155</v>
      </c>
      <c r="AN18" s="747"/>
      <c r="BB18" s="511">
        <f t="shared" si="5"/>
        <v>9391</v>
      </c>
      <c r="BC18" s="750"/>
    </row>
    <row r="19" spans="1:55" ht="26.15" customHeight="1">
      <c r="C19" s="446" t="s">
        <v>60</v>
      </c>
      <c r="D19" s="613"/>
      <c r="E19" s="446" t="s">
        <v>60</v>
      </c>
      <c r="F19" s="577"/>
      <c r="G19" s="475"/>
      <c r="H19" s="578">
        <f>G19/G7</f>
        <v>0</v>
      </c>
      <c r="J19" s="499">
        <v>0</v>
      </c>
      <c r="K19" s="532" t="str">
        <f t="shared" si="6"/>
        <v/>
      </c>
      <c r="L19" s="431"/>
      <c r="M19" s="753">
        <v>0</v>
      </c>
      <c r="N19" s="517" t="str">
        <f t="shared" si="1"/>
        <v/>
      </c>
      <c r="O19" s="580"/>
      <c r="P19" s="614" t="s">
        <v>60</v>
      </c>
      <c r="Q19" s="582" t="e">
        <f>+#REF!</f>
        <v>#REF!</v>
      </c>
      <c r="R19" s="583" t="e">
        <f>Q19/Q$7</f>
        <v>#REF!</v>
      </c>
      <c r="S19" s="582" t="e">
        <f>+#REF!</f>
        <v>#REF!</v>
      </c>
      <c r="T19" s="583" t="e">
        <f>S19/S$7</f>
        <v>#REF!</v>
      </c>
      <c r="U19" s="582" t="e">
        <f>+#REF!</f>
        <v>#REF!</v>
      </c>
      <c r="V19" s="583" t="e">
        <f>U19/U$7</f>
        <v>#REF!</v>
      </c>
      <c r="W19" s="582" t="e">
        <f>+#REF!</f>
        <v>#REF!</v>
      </c>
      <c r="X19" s="583" t="e">
        <f>W19/W$7</f>
        <v>#REF!</v>
      </c>
      <c r="Y19" s="582" t="e">
        <f>+W19+U19+S19+Q19</f>
        <v>#REF!</v>
      </c>
      <c r="Z19" s="583" t="e">
        <f>Y19/Y$7</f>
        <v>#REF!</v>
      </c>
      <c r="AA19" s="584" t="e">
        <f t="shared" ref="AA19:AA27" si="12">+G19-Y19</f>
        <v>#REF!</v>
      </c>
      <c r="AB19" s="475"/>
      <c r="AC19" s="578">
        <f>AB19/AB7</f>
        <v>0</v>
      </c>
      <c r="AD19" s="495">
        <f>-SUMIF($AO$7:$AZ$7,"&lt;="&amp;$AC$6,AO19:AZ19)</f>
        <v>0</v>
      </c>
      <c r="AE19" s="517" t="str">
        <f t="shared" si="3"/>
        <v/>
      </c>
      <c r="AG19" s="753">
        <v>0</v>
      </c>
      <c r="AH19" s="517" t="str">
        <f t="shared" si="4"/>
        <v/>
      </c>
      <c r="AL19" s="435">
        <v>42735</v>
      </c>
      <c r="AM19" s="446" t="s">
        <v>60</v>
      </c>
      <c r="AN19" s="747"/>
      <c r="AO19" s="431">
        <f>IF($AO$7=$AL$7,'[4]1 trim 2016 BIOGROUP'!$S$14/3,IF($AO$7=$AL$8,'[4]1 trim 2016 BIOGROUP'!$S$14/3,IF($AO$7=$AL$9,'[4]1 trim 2016 BIOGROUP'!$S$14/3,IF($AO$7=$AL$10,'[4]2 trim 2016 BIOGROUP'!$S$14/3,IF($AO$7=$AL$11,'[4]2 trim 2016 BIOGROUP'!$S$14/3,IF($AO$7=$AL$12,'[4]2 trim 2016 BIOGROUP'!$S$14/3,""))))))</f>
        <v>0</v>
      </c>
      <c r="AP19" s="431">
        <f>IF($AP$7=$AL$7,'[4]1 trim 2016 BIOGROUP'!$S$14/3,IF($AP$7=$AL$8,'[4]1 trim 2016 BIOGROUP'!$S$14/3,IF($AP$7=$AL$9,'[4]1 trim 2016 BIOGROUP'!$S$14/3,IF($AP$7=$AL$10,'[4]2 trim 2016 BIOGROUP'!$S$14/3,IF($AP$7=$AL$11,'[4]2 trim 2016 BIOGROUP'!$S$14/3,IF($AP$7=$AL$12,'[4]2 trim 2016 BIOGROUP'!$S$14/3,""))))))</f>
        <v>0</v>
      </c>
      <c r="AQ19" s="431">
        <f>IF($AQ$7=$AL$7,'[4]1 trim 2016 BIOGROUP'!$S$14/3,IF($AQ$7=$AL$8,'[4]1 trim 2016 BIOGROUP'!$S$14/3,IF($AQ$7=$AL$9,'[4]1 trim 2016 BIOGROUP'!$S$14/3,IF($AQ$7=$AL$10,'[4]2 trim 2016 BIOGROUP'!$S$14/3,IF($AQ$7=$AL$11,'[4]2 trim 2016 BIOGROUP'!$S$14/3,IF($AQ$7=$AL$12,'[4]2 trim 2016 BIOGROUP'!$S$14/3,""))))))</f>
        <v>0</v>
      </c>
      <c r="AR19" s="431">
        <f>IF($AR$7=$AL$7,'[4]1 trim 2016 BIOGROUP'!$S$14/3,IF($AR$7=$AL$8,'[4]1 trim 2016 BIOGROUP'!$S$14/3,IF($AR$7=$AL$9,'[4]1 trim 2016 BIOGROUP'!$S$14/3,IF($AR$7=$AL$10,'[4]2 trim 2016 BIOGROUP'!$S$14/3,IF($AR$7=$AL$11,'[4]2 trim 2016 BIOGROUP'!$S$14/3,IF($AR$7=$AL$12,'[4]2 trim 2016 BIOGROUP'!$S$14/3,""))))))</f>
        <v>0</v>
      </c>
      <c r="AS19" s="431">
        <f>IF($AS$7=$AL$7,'[4]1 trim 2016 BIOGROUP'!$S$14/3,IF($AS$7=$AL$8,'[4]1 trim 2016 BIOGROUP'!$S$14/3,IF($AS$7=$AL$9,'[4]1 trim 2016 BIOGROUP'!$S$14/3,IF($AS$7=$AL$10,'[4]2 trim 2016 BIOGROUP'!$S$14/3,IF($AS$7=$AL$11,'[4]2 trim 2016 BIOGROUP'!$S$14/3,IF($AS$7=$AL$12,'[4]2 trim 2016 BIOGROUP'!$S$14/3,""))))))</f>
        <v>0</v>
      </c>
      <c r="AT19" s="431">
        <f>IF($AT$7=$AL$7,'[4]1 trim 2016 BIOGROUP'!$S$14/3,IF($AT$7=$AL$8,'[4]1 trim 2016 BIOGROUP'!$S$14/3,IF($AT$7=$AL$9,'[4]1 trim 2016 BIOGROUP'!$S$14/3,IF($AT$7=$AL$10,'[4]2 trim 2016 BIOGROUP'!$S$14/3,IF($AT$7=$AL$11,'[4]2 trim 2016 BIOGROUP'!$S$14/3,IF($AT$7=$AL$12,'[4]2 trim 2016 BIOGROUP'!$S$14/3,""))))))</f>
        <v>0</v>
      </c>
      <c r="AU19" s="431">
        <f>IF($AU$7=$AL$13,'[4]3 trim 2016 BIOGROUP'!$S$14/3,IF($AU$7=$AL$14,'[4]3 trim 2016 BIOGROUP'!$S$14/3,IF($AU$7=$AL$15,'[4]3 trim 2016 BIOGROUP'!$S$14/3,IF($AU$7=$AL$16,'[4]4 trim 2016 BIOGROUP'!$S$14/3,IF($AU$7=$AL$18,'[4]4 trim 2016 BIOGROUP'!$S$14/3,IF($AU$7=$AL$19,'[4]4 trim 2016 BIOGROUP'!$S$14/3,""))))))</f>
        <v>0</v>
      </c>
      <c r="AV19" s="431">
        <f>IF($AV$7=$AL$13,'[4]3 trim 2016 BIOGROUP'!$S$14/3,IF($AV$7=$AL$14,'[4]3 trim 2016 BIOGROUP'!$S$14/3,IF($AV$7=$AL$15,'[4]3 trim 2016 BIOGROUP'!$S$14/3,IF($AV$7=$AL$16,'[4]4 trim 2016 BIOGROUP'!$S$14/3,IF($AV$7=$AL$18,'[4]4 trim 2016 BIOGROUP'!$S$14/3,IF($AV$7=$AL$19,'[4]4 trim 2016 BIOGROUP'!$S$14/3,""))))))</f>
        <v>0</v>
      </c>
      <c r="AW19" s="431">
        <f>IF($AW$7=$AL$13,'[4]3 trim 2016 BIOGROUP'!$S$14/3,IF($AW$7=$AL$14,'[4]3 trim 2016 BIOGROUP'!$S$14/3,IF($AW$7=$AL$15,'[4]3 trim 2016 BIOGROUP'!$S$14/3,IF($AW$7=$AL$16,'[4]4 trim 2016 BIOGROUP'!$S$14/3,IF($AW$7=$AL$18,'[4]4 trim 2016 BIOGROUP'!$S$14/3,IF($AW$7=$AL$19,'[4]4 trim 2016 BIOGROUP'!$S$14/3,""))))))</f>
        <v>0</v>
      </c>
      <c r="AX19" s="431">
        <f>IF($AX$7=$AL$13,'[4]3 trim 2016 BIOGROUP'!$S$14/3,IF($AX$7=$AL$14,'[4]3 trim 2016 BIOGROUP'!$S$14/3,IF($AX$7=$AL$15,'[4]3 trim 2016 BIOGROUP'!$S$14/3,IF($AX$7=$AL$16,'[4]4 trim 2016 BIOGROUP'!$S$14/3,IF($AX$7=$AL$18,'[4]4 trim 2016 BIOGROUP'!$S$14/3,IF($AX$7=$AL$19,'[4]4 trim 2016 BIOGROUP'!$S$14/3,""))))))</f>
        <v>0</v>
      </c>
      <c r="AY19" s="431">
        <f>IF($AY$7=$AL$13,'[4]3 trim 2016 BIOGROUP'!$S$14/3,IF($AY$7=$AL$14,'[4]3 trim 2016 BIOGROUP'!$S$14/3,IF($AY$7=$AL$15,'[4]3 trim 2016 BIOGROUP'!$S$14/3,IF($AY$7=$AL$16,'[4]4 trim 2016 BIOGROUP'!$S$14/3,IF($AY$7=$AL$18,'[4]4 trim 2016 BIOGROUP'!$S$14/3,IF($AY$7=$AL$19,'[4]4 trim 2016 BIOGROUP'!$S$14/3,""))))))</f>
        <v>0</v>
      </c>
      <c r="AZ19" s="431">
        <f>IF($AZ$7=$AL$13,'[4]3 trim 2016 BIOGROUP'!$S$14/3,IF($AZ$7=$AL$14,'[4]3 trim 2016 BIOGROUP'!$S$14/3,IF($AZ$7=$AL$15,'[4]3 trim 2016 BIOGROUP'!$S$14/3,IF($AZ$7=$AL$16,'[4]4 trim 2016 BIOGROUP'!$S$14/3,IF($AZ$7=$AL$18,'[4]4 trim 2016 BIOGROUP'!$S$14/3,IF($AZ$7=$AL$19,'[4]4 trim 2016 BIOGROUP'!$S$14/3,""))))))</f>
        <v>0</v>
      </c>
      <c r="BB19" s="511">
        <f t="shared" si="5"/>
        <v>0</v>
      </c>
      <c r="BC19" s="750"/>
    </row>
    <row r="20" spans="1:55" ht="26.15" customHeight="1">
      <c r="B20" s="542">
        <v>624</v>
      </c>
      <c r="C20" s="440" t="s">
        <v>90</v>
      </c>
      <c r="D20" s="610"/>
      <c r="E20" s="440" t="s">
        <v>91</v>
      </c>
      <c r="F20" s="577"/>
      <c r="G20" s="475"/>
      <c r="H20" s="578">
        <f>G20/G7</f>
        <v>0</v>
      </c>
      <c r="J20" s="499">
        <v>0</v>
      </c>
      <c r="K20" s="532" t="str">
        <f t="shared" si="6"/>
        <v/>
      </c>
      <c r="L20" s="431"/>
      <c r="M20" s="753">
        <v>0</v>
      </c>
      <c r="N20" s="517" t="str">
        <f t="shared" si="1"/>
        <v/>
      </c>
      <c r="O20" s="580"/>
      <c r="P20" s="602"/>
      <c r="Q20" s="582" t="e">
        <f>+#REF!</f>
        <v>#REF!</v>
      </c>
      <c r="R20" s="583" t="e">
        <f>Q20/Q$7</f>
        <v>#REF!</v>
      </c>
      <c r="S20" s="582" t="e">
        <f>+#REF!</f>
        <v>#REF!</v>
      </c>
      <c r="T20" s="583" t="e">
        <f>S20/S$7</f>
        <v>#REF!</v>
      </c>
      <c r="U20" s="582" t="e">
        <f>+#REF!</f>
        <v>#REF!</v>
      </c>
      <c r="V20" s="583" t="e">
        <f>U20/U$7</f>
        <v>#REF!</v>
      </c>
      <c r="W20" s="582" t="e">
        <f>+#REF!</f>
        <v>#REF!</v>
      </c>
      <c r="X20" s="583" t="e">
        <f>W20/W$7</f>
        <v>#REF!</v>
      </c>
      <c r="Y20" s="582" t="e">
        <f>+W20+U20+S20+Q20</f>
        <v>#REF!</v>
      </c>
      <c r="Z20" s="583" t="e">
        <f>Y20/Y$7</f>
        <v>#REF!</v>
      </c>
      <c r="AA20" s="584" t="e">
        <f t="shared" si="12"/>
        <v>#REF!</v>
      </c>
      <c r="AB20" s="475"/>
      <c r="AC20" s="578">
        <f>AB20/AB7</f>
        <v>0</v>
      </c>
      <c r="AD20" s="495">
        <f>-SUMIF($AO$7:$AZ$7,"&lt;="&amp;$AC$6,AO20:AZ20)</f>
        <v>0</v>
      </c>
      <c r="AE20" s="517" t="str">
        <f t="shared" si="3"/>
        <v/>
      </c>
      <c r="AG20" s="753">
        <v>0</v>
      </c>
      <c r="AH20" s="517" t="str">
        <f t="shared" si="4"/>
        <v/>
      </c>
      <c r="AL20" s="435"/>
      <c r="AM20" s="440" t="s">
        <v>91</v>
      </c>
      <c r="AN20" s="747"/>
      <c r="BB20" s="511">
        <f t="shared" si="5"/>
        <v>0</v>
      </c>
      <c r="BC20" s="750"/>
    </row>
    <row r="21" spans="1:55" ht="26.15" customHeight="1">
      <c r="C21" s="445" t="s">
        <v>88</v>
      </c>
      <c r="D21" s="555"/>
      <c r="E21" s="445" t="s">
        <v>7</v>
      </c>
      <c r="F21" s="577"/>
      <c r="G21" s="478">
        <v>-137964</v>
      </c>
      <c r="H21" s="591">
        <f>G21/G7</f>
        <v>-5.7747268846008955E-2</v>
      </c>
      <c r="J21" s="500">
        <f>SUM(J22:J22)</f>
        <v>0</v>
      </c>
      <c r="K21" s="533" t="str">
        <f t="shared" si="6"/>
        <v/>
      </c>
      <c r="L21" s="431"/>
      <c r="M21" s="756">
        <f>SUM(M22)</f>
        <v>0</v>
      </c>
      <c r="N21" s="518" t="str">
        <f t="shared" si="1"/>
        <v/>
      </c>
      <c r="O21" s="580"/>
      <c r="P21" s="611" t="s">
        <v>7</v>
      </c>
      <c r="Q21" s="594" t="e">
        <f t="shared" ref="Q21:Z21" si="13">SUM(Q22:Q22)</f>
        <v>#REF!</v>
      </c>
      <c r="R21" s="595" t="e">
        <f t="shared" si="13"/>
        <v>#REF!</v>
      </c>
      <c r="S21" s="594" t="e">
        <f t="shared" si="13"/>
        <v>#REF!</v>
      </c>
      <c r="T21" s="595" t="e">
        <f t="shared" si="13"/>
        <v>#REF!</v>
      </c>
      <c r="U21" s="594" t="e">
        <f t="shared" si="13"/>
        <v>#REF!</v>
      </c>
      <c r="V21" s="595" t="e">
        <f t="shared" si="13"/>
        <v>#REF!</v>
      </c>
      <c r="W21" s="594" t="e">
        <f t="shared" si="13"/>
        <v>#REF!</v>
      </c>
      <c r="X21" s="595" t="e">
        <f t="shared" si="13"/>
        <v>#REF!</v>
      </c>
      <c r="Y21" s="594" t="e">
        <f t="shared" si="13"/>
        <v>#REF!</v>
      </c>
      <c r="Z21" s="595" t="e">
        <f t="shared" si="13"/>
        <v>#REF!</v>
      </c>
      <c r="AA21" s="584" t="e">
        <f t="shared" si="12"/>
        <v>#REF!</v>
      </c>
      <c r="AB21" s="478">
        <v>-104735</v>
      </c>
      <c r="AC21" s="591">
        <f>AB21/AB7</f>
        <v>-2.6780191735280227E-2</v>
      </c>
      <c r="AD21" s="500">
        <f>SUM(AD22:AD22)</f>
        <v>0</v>
      </c>
      <c r="AE21" s="518" t="str">
        <f t="shared" si="3"/>
        <v/>
      </c>
      <c r="AG21" s="756">
        <f>SUM(AG22)</f>
        <v>0</v>
      </c>
      <c r="AH21" s="518" t="str">
        <f t="shared" si="4"/>
        <v/>
      </c>
      <c r="AJ21" s="615"/>
      <c r="AL21" s="435"/>
      <c r="AM21" s="445" t="s">
        <v>7</v>
      </c>
      <c r="AN21" s="747"/>
      <c r="AO21" s="741">
        <f>-SUM(AO22:AO22)</f>
        <v>-7659.9006000000008</v>
      </c>
      <c r="AP21" s="741">
        <f t="shared" ref="AP21:AZ21" si="14">-SUM(AP22:AP22)</f>
        <v>-7659.9006000000008</v>
      </c>
      <c r="AQ21" s="741">
        <f t="shared" si="14"/>
        <v>-7659.9006000000008</v>
      </c>
      <c r="AR21" s="741">
        <f t="shared" si="14"/>
        <v>-7659.9006000000008</v>
      </c>
      <c r="AS21" s="741">
        <f t="shared" si="14"/>
        <v>-7659.9006000000008</v>
      </c>
      <c r="AT21" s="741">
        <f t="shared" si="14"/>
        <v>-7659.9006000000008</v>
      </c>
      <c r="AU21" s="741">
        <f t="shared" si="14"/>
        <v>-7659.9006000000008</v>
      </c>
      <c r="AV21" s="741">
        <f t="shared" si="14"/>
        <v>-7659.9006000000008</v>
      </c>
      <c r="AW21" s="741">
        <f t="shared" si="14"/>
        <v>-7659.9006000000008</v>
      </c>
      <c r="AX21" s="741">
        <f t="shared" si="14"/>
        <v>-7659.9006000000008</v>
      </c>
      <c r="AY21" s="741">
        <f t="shared" si="14"/>
        <v>-7659.9006000000008</v>
      </c>
      <c r="AZ21" s="741">
        <f t="shared" si="14"/>
        <v>-7659.9006000000008</v>
      </c>
      <c r="BB21" s="748">
        <f t="shared" si="5"/>
        <v>104735</v>
      </c>
      <c r="BC21" s="752"/>
    </row>
    <row r="22" spans="1:55" ht="26.15" customHeight="1">
      <c r="B22" s="542">
        <v>63</v>
      </c>
      <c r="C22" s="447" t="s">
        <v>88</v>
      </c>
      <c r="D22" s="551"/>
      <c r="E22" s="447" t="s">
        <v>8</v>
      </c>
      <c r="F22" s="577"/>
      <c r="G22" s="475">
        <v>-137964</v>
      </c>
      <c r="H22" s="578">
        <f>G22/G7</f>
        <v>-5.7747268846008955E-2</v>
      </c>
      <c r="J22" s="495">
        <f>-SUMIF($AO$7:$AZ$7,$G$6,AO22:AZ22)</f>
        <v>0</v>
      </c>
      <c r="K22" s="532" t="str">
        <f t="shared" si="6"/>
        <v/>
      </c>
      <c r="L22" s="431"/>
      <c r="M22" s="753">
        <f>AG22/3</f>
        <v>0</v>
      </c>
      <c r="N22" s="517" t="str">
        <f t="shared" si="1"/>
        <v/>
      </c>
      <c r="O22" s="580"/>
      <c r="P22" s="616" t="s">
        <v>8</v>
      </c>
      <c r="Q22" s="582" t="e">
        <f>+#REF!+'31 dec 2016 BIOLAM'!AT18+'31 dec 2016 BIOLAM'!AT19+'31 dec 2016 BIOLAM'!AT20</f>
        <v>#REF!</v>
      </c>
      <c r="R22" s="583" t="e">
        <f>Q22/Q$7</f>
        <v>#REF!</v>
      </c>
      <c r="S22" s="582" t="e">
        <f>+'31 dec 2016 BIOLAM'!AV18+#REF!+'31 dec 2016 BIOLAM'!AV19+'31 dec 2016 BIOLAM'!AV20</f>
        <v>#REF!</v>
      </c>
      <c r="T22" s="583" t="e">
        <f>S22/S$7</f>
        <v>#REF!</v>
      </c>
      <c r="U22" s="582" t="e">
        <f>+'31 dec 2016 BIOLAM'!AX18+#REF!+'31 dec 2016 BIOLAM'!AX19+'31 dec 2016 BIOLAM'!AX20</f>
        <v>#REF!</v>
      </c>
      <c r="V22" s="583" t="e">
        <f>U22/U$7</f>
        <v>#REF!</v>
      </c>
      <c r="W22" s="582" t="e">
        <f>+'31 dec 2016 BIOLAM'!AZ18+#REF!+'31 dec 2016 BIOLAM'!AZ19+'31 dec 2016 BIOLAM'!AZ20</f>
        <v>#REF!</v>
      </c>
      <c r="X22" s="583" t="e">
        <f>W22/W$7</f>
        <v>#REF!</v>
      </c>
      <c r="Y22" s="582" t="e">
        <f>+W22+U22+S22+Q22</f>
        <v>#REF!</v>
      </c>
      <c r="Z22" s="583" t="e">
        <f>Y22/Y$7</f>
        <v>#REF!</v>
      </c>
      <c r="AA22" s="584" t="e">
        <f t="shared" si="12"/>
        <v>#REF!</v>
      </c>
      <c r="AB22" s="475">
        <v>-104735</v>
      </c>
      <c r="AC22" s="578">
        <f>AB22/AB7</f>
        <v>-2.6780191735280227E-2</v>
      </c>
      <c r="AD22" s="495">
        <f>-SUMIF($AO$7:$AZ$7,"&lt;="&amp;$AC$6,AO22:AZ22)</f>
        <v>0</v>
      </c>
      <c r="AE22" s="517" t="str">
        <f t="shared" si="3"/>
        <v/>
      </c>
      <c r="AG22" s="753"/>
      <c r="AH22" s="517" t="str">
        <f t="shared" si="4"/>
        <v/>
      </c>
      <c r="AL22" s="435"/>
      <c r="AM22" s="447" t="s">
        <v>8</v>
      </c>
      <c r="AN22" s="747"/>
      <c r="AO22" s="431">
        <f>IF($AO$7=$AL$7,'[4]1 trim 2016 BIOGROUP'!$S$18/3,IF($AO$7=$AL$8,'[4]1 trim 2016 BIOGROUP'!$S$18/3,IF($AO$7=$AL$9,'[4]1 trim 2016 BIOGROUP'!$S$18/3,IF($AO$7=$AL$10,'[4]2 trim 2016 BIOGROUP'!$S$18/3,IF($AO$7=$AL$11,'[4]2 trim 2016 BIOGROUP'!$S$18/3,IF($AO$7=$AL$12,'[4]2 trim 2016 BIOGROUP'!$S$18/3,""))))))</f>
        <v>7659.9006000000008</v>
      </c>
      <c r="AP22" s="431">
        <f>IF($AP$7=$AL$7,'[4]1 trim 2016 BIOGROUP'!$S$18/3,IF($AP$7=$AL$8,'[4]1 trim 2016 BIOGROUP'!$S$18/3,IF($AP$7=$AL$9,'[4]1 trim 2016 BIOGROUP'!$S$18/3,IF($AP$7=$AL$10,'[4]2 trim 2016 BIOGROUP'!$S$18/3,IF($AP$7=$AL$11,'[4]2 trim 2016 BIOGROUP'!$S$18/3,IF($AP$7=$AL$12,'[4]2 trim 2016 BIOGROUP'!$S$18/3,""))))))</f>
        <v>7659.9006000000008</v>
      </c>
      <c r="AQ22" s="431">
        <f>IF($AQ$7=$AL$7,'[4]1 trim 2016 BIOGROUP'!$S$18/3,IF($AQ$7=$AL$8,'[4]1 trim 2016 BIOGROUP'!$S$18/3,IF($AQ$7=$AL$9,'[4]1 trim 2016 BIOGROUP'!$S$18/3,IF($AQ$7=$AL$10,'[4]2 trim 2016 BIOGROUP'!$S$18/3,IF($AQ$7=$AL$11,'[4]2 trim 2016 BIOGROUP'!$S$18/3,IF($AQ$7=$AL$12,'[4]2 trim 2016 BIOGROUP'!$S$18/3,""))))))</f>
        <v>7659.9006000000008</v>
      </c>
      <c r="AR22" s="431">
        <f>IF($AR$7=$AL$7,'[4]1 trim 2016 BIOGROUP'!$S$18/3,IF($AR$7=$AL$8,'[4]1 trim 2016 BIOGROUP'!$S$18/3,IF($AR$7=$AL$9,'[4]1 trim 2016 BIOGROUP'!$S$18/3,IF($AR$7=$AL$10,'[4]2 trim 2016 BIOGROUP'!$S$18/3,IF($AR$7=$AL$11,'[4]2 trim 2016 BIOGROUP'!$S$18/3,IF($AR$7=$AL$12,'[4]2 trim 2016 BIOGROUP'!$S$18/3,""))))))</f>
        <v>7659.9006000000008</v>
      </c>
      <c r="AS22" s="431">
        <f>IF($AS$7=$AL$7,'[4]1 trim 2016 BIOGROUP'!$S$18/3,IF($AS$7=$AL$8,'[4]1 trim 2016 BIOGROUP'!$S$18/3,IF($AS$7=$AL$9,'[4]1 trim 2016 BIOGROUP'!$S$18/3,IF($AS$7=$AL$10,'[4]2 trim 2016 BIOGROUP'!$S$18/3,IF($AS$7=$AL$11,'[4]2 trim 2016 BIOGROUP'!$S$18/3,IF($AS$7=$AL$12,'[4]2 trim 2016 BIOGROUP'!$S$18/3,""))))))</f>
        <v>7659.9006000000008</v>
      </c>
      <c r="AT22" s="431">
        <f>IF($AT$7=$AL$7,'[4]1 trim 2016 BIOGROUP'!$S$18/3,IF($AT$7=$AL$8,'[4]1 trim 2016 BIOGROUP'!$S$18/3,IF($AT$7=$AL$9,'[4]1 trim 2016 BIOGROUP'!$S$18/3,IF($AT$7=$AL$10,'[4]2 trim 2016 BIOGROUP'!$S$18/3,IF($AT$7=$AL$11,'[4]2 trim 2016 BIOGROUP'!$S$18/3,IF($AT$7=$AL$12,'[4]2 trim 2016 BIOGROUP'!$S$18/3,""))))))</f>
        <v>7659.9006000000008</v>
      </c>
      <c r="AU22" s="431">
        <f>IF($AU$7=$AL$13,'[4]3 trim 2016 BIOGROUP'!$S$18/3,IF($AU$7=$AL$14,'[4]3 trim 2016 BIOGROUP'!$S$18/3,IF($AU$7=$AL$15,'[4]3 trim 2016 BIOGROUP'!$S$18/3,IF($AU$7=$AL$16,'[4]4 trim 2016 BIOGROUP'!$S$18/3,IF($AU$7=$AL$18,'[4]4 trim 2016 BIOGROUP'!$S$18/3,IF($AU$7=$AL$19,'[4]4 trim 2016 BIOGROUP'!$S$18/3,""))))))</f>
        <v>7659.9006000000008</v>
      </c>
      <c r="AV22" s="431">
        <f>IF($AV$7=$AL$13,'[4]3 trim 2016 BIOGROUP'!$S$18/3,IF($AV$7=$AL$14,'[4]3 trim 2016 BIOGROUP'!$S$18/3,IF($AV$7=$AL$15,'[4]3 trim 2016 BIOGROUP'!$S$18/3,IF($AV$7=$AL$16,'[4]4 trim 2016 BIOGROUP'!$S$18/3,IF($AV$7=$AL$18,'[4]4 trim 2016 BIOGROUP'!$S$18/3,IF($AV$7=$AL$19,'[4]4 trim 2016 BIOGROUP'!$S$18/3,""))))))</f>
        <v>7659.9006000000008</v>
      </c>
      <c r="AW22" s="431">
        <f>IF($AW$7=$AL$13,'[4]3 trim 2016 BIOGROUP'!$S$18/3,IF($AW$7=$AL$14,'[4]3 trim 2016 BIOGROUP'!$S$18/3,IF($AW$7=$AL$15,'[4]3 trim 2016 BIOGROUP'!$S$18/3,IF($AW$7=$AL$16,'[4]4 trim 2016 BIOGROUP'!$S$18/3,IF($AW$7=$AL$18,'[4]4 trim 2016 BIOGROUP'!$S$18/3,IF($AW$7=$AL$19,'[4]4 trim 2016 BIOGROUP'!$S$18/3,""))))))</f>
        <v>7659.9006000000008</v>
      </c>
      <c r="AX22" s="431">
        <f>IF($AX$7=$AL$13,'[4]3 trim 2016 BIOGROUP'!$S$18/3,IF($AX$7=$AL$14,'[4]3 trim 2016 BIOGROUP'!$S$18/3,IF($AX$7=$AL$15,'[4]3 trim 2016 BIOGROUP'!$S$18/3,IF($AX$7=$AL$16,'[4]4 trim 2016 BIOGROUP'!$S$18/3,IF($AX$7=$AL$18,'[4]4 trim 2016 BIOGROUP'!$S$18/3,IF($AX$7=$AL$19,'[4]4 trim 2016 BIOGROUP'!$S$18/3,""))))))</f>
        <v>7659.9006000000008</v>
      </c>
      <c r="AY22" s="431">
        <f>IF($AY$7=$AL$13,'[4]3 trim 2016 BIOGROUP'!$S$18/3,IF($AY$7=$AL$14,'[4]3 trim 2016 BIOGROUP'!$S$18/3,IF($AY$7=$AL$15,'[4]3 trim 2016 BIOGROUP'!$S$18/3,IF($AY$7=$AL$16,'[4]4 trim 2016 BIOGROUP'!$S$18/3,IF($AY$7=$AL$18,'[4]4 trim 2016 BIOGROUP'!$S$18/3,IF($AY$7=$AL$19,'[4]4 trim 2016 BIOGROUP'!$S$18/3,""))))))</f>
        <v>7659.9006000000008</v>
      </c>
      <c r="AZ22" s="431">
        <f>IF($AZ$7=$AL$13,'[4]3 trim 2016 BIOGROUP'!$S$18/3,IF($AZ$7=$AL$14,'[4]3 trim 2016 BIOGROUP'!$S$18/3,IF($AZ$7=$AL$15,'[4]3 trim 2016 BIOGROUP'!$S$18/3,IF($AZ$7=$AL$16,'[4]4 trim 2016 BIOGROUP'!$S$18/3,IF($AZ$7=$AL$18,'[4]4 trim 2016 BIOGROUP'!$S$18/3,IF($AZ$7=$AL$19,'[4]4 trim 2016 BIOGROUP'!$S$18/3,""))))))</f>
        <v>7659.9006000000008</v>
      </c>
      <c r="BB22" s="511">
        <f t="shared" si="5"/>
        <v>104735</v>
      </c>
      <c r="BC22" s="750"/>
    </row>
    <row r="23" spans="1:55" ht="34.5" customHeight="1">
      <c r="C23" s="448" t="s">
        <v>89</v>
      </c>
      <c r="D23" s="551"/>
      <c r="E23" s="448" t="s">
        <v>158</v>
      </c>
      <c r="F23" s="577"/>
      <c r="G23" s="476">
        <v>-962904</v>
      </c>
      <c r="H23" s="591">
        <f>G23/G7</f>
        <v>-0.40304047549286343</v>
      </c>
      <c r="J23" s="496">
        <f>SUM(J24:J27)</f>
        <v>0</v>
      </c>
      <c r="K23" s="530" t="str">
        <f t="shared" si="6"/>
        <v/>
      </c>
      <c r="L23" s="431"/>
      <c r="M23" s="754">
        <f>SUM(M24:M27)</f>
        <v>0</v>
      </c>
      <c r="N23" s="518" t="str">
        <f t="shared" si="1"/>
        <v/>
      </c>
      <c r="O23" s="580"/>
      <c r="P23" s="617" t="s">
        <v>9</v>
      </c>
      <c r="Q23" s="618" t="e">
        <f>SUM(Q24:Q30)</f>
        <v>#REF!</v>
      </c>
      <c r="R23" s="595" t="e">
        <f>SUM(R24:R27)</f>
        <v>#REF!</v>
      </c>
      <c r="S23" s="618" t="e">
        <f>SUM(S24:S30)</f>
        <v>#REF!</v>
      </c>
      <c r="T23" s="595" t="e">
        <f>SUM(T24:T27)</f>
        <v>#REF!</v>
      </c>
      <c r="U23" s="618" t="e">
        <f>SUM(U24:U30)</f>
        <v>#REF!</v>
      </c>
      <c r="V23" s="595" t="e">
        <f>SUM(V24:V27)</f>
        <v>#REF!</v>
      </c>
      <c r="W23" s="618" t="e">
        <f>SUM(W24:W30)</f>
        <v>#REF!</v>
      </c>
      <c r="X23" s="595" t="e">
        <f>SUM(X24:X27)</f>
        <v>#REF!</v>
      </c>
      <c r="Y23" s="618" t="e">
        <f>SUM(Y24:Y30)</f>
        <v>#REF!</v>
      </c>
      <c r="Z23" s="595" t="e">
        <f>SUM(Z24:Z27)</f>
        <v>#REF!</v>
      </c>
      <c r="AA23" s="584" t="e">
        <f t="shared" si="12"/>
        <v>#REF!</v>
      </c>
      <c r="AB23" s="476">
        <v>-1596026</v>
      </c>
      <c r="AC23" s="591">
        <f>AB23/AB7</f>
        <v>-0.40809550097381353</v>
      </c>
      <c r="AD23" s="496">
        <f>SUM(AD24:AD27)</f>
        <v>0</v>
      </c>
      <c r="AE23" s="518" t="str">
        <f t="shared" si="3"/>
        <v/>
      </c>
      <c r="AG23" s="754">
        <f>SUM(AG24:AG28)</f>
        <v>0</v>
      </c>
      <c r="AH23" s="518" t="str">
        <f t="shared" si="4"/>
        <v/>
      </c>
      <c r="AJ23" s="587"/>
      <c r="AL23" s="435"/>
      <c r="AM23" s="448" t="s">
        <v>158</v>
      </c>
      <c r="AN23" s="747"/>
      <c r="AO23" s="741">
        <f>-SUM(AO24:AO27)</f>
        <v>-84058.204450000005</v>
      </c>
      <c r="AP23" s="741">
        <f t="shared" ref="AP23:AZ23" si="15">-SUM(AP24:AP27)</f>
        <v>-84058.204450000005</v>
      </c>
      <c r="AQ23" s="741">
        <f t="shared" si="15"/>
        <v>-84058.204450000005</v>
      </c>
      <c r="AR23" s="741">
        <f t="shared" si="15"/>
        <v>-84058.204450000005</v>
      </c>
      <c r="AS23" s="741">
        <f t="shared" si="15"/>
        <v>-84058.204450000005</v>
      </c>
      <c r="AT23" s="741">
        <f t="shared" si="15"/>
        <v>-84058.204450000005</v>
      </c>
      <c r="AU23" s="741">
        <f t="shared" si="15"/>
        <v>-84058.204450000005</v>
      </c>
      <c r="AV23" s="741">
        <f t="shared" si="15"/>
        <v>-84058.204450000005</v>
      </c>
      <c r="AW23" s="741">
        <f t="shared" si="15"/>
        <v>-84058.204450000005</v>
      </c>
      <c r="AX23" s="741">
        <f t="shared" si="15"/>
        <v>-84058.204450000005</v>
      </c>
      <c r="AY23" s="741">
        <f t="shared" si="15"/>
        <v>-84058.204450000005</v>
      </c>
      <c r="AZ23" s="741">
        <f t="shared" si="15"/>
        <v>-84058.204450000005</v>
      </c>
      <c r="BB23" s="748">
        <f t="shared" si="5"/>
        <v>1596026</v>
      </c>
      <c r="BC23" s="752"/>
    </row>
    <row r="24" spans="1:55" ht="26.15" customHeight="1">
      <c r="B24" s="542">
        <v>641</v>
      </c>
      <c r="C24" s="438" t="s">
        <v>144</v>
      </c>
      <c r="D24" s="555"/>
      <c r="E24" s="438" t="s">
        <v>10</v>
      </c>
      <c r="F24" s="577"/>
      <c r="G24" s="475">
        <v>-575442</v>
      </c>
      <c r="H24" s="578">
        <f>G24/G7</f>
        <v>-0.24086141224728977</v>
      </c>
      <c r="J24" s="495">
        <f>-SUMIF($AO$7:$AZ$7,$G$6,AO24:AZ24)</f>
        <v>0</v>
      </c>
      <c r="K24" s="532" t="str">
        <f t="shared" si="6"/>
        <v/>
      </c>
      <c r="L24" s="431"/>
      <c r="M24" s="753">
        <f>AG24/3</f>
        <v>0</v>
      </c>
      <c r="N24" s="517" t="str">
        <f t="shared" si="1"/>
        <v/>
      </c>
      <c r="O24" s="580"/>
      <c r="P24" s="581" t="s">
        <v>10</v>
      </c>
      <c r="Q24" s="582" t="e">
        <f>+#REF!+'31 dec 2016 BIOLAM'!AT23+'31 dec 2016 BIOLAM'!AT24+'31 dec 2016 BIOLAM'!AT25</f>
        <v>#REF!</v>
      </c>
      <c r="R24" s="583" t="e">
        <f>Q24/Q$7</f>
        <v>#REF!</v>
      </c>
      <c r="S24" s="582" t="e">
        <f>+'31 dec 2016 BIOLAM'!AV23+#REF!+'31 dec 2016 BIOLAM'!AV24+'31 dec 2016 BIOLAM'!AV25</f>
        <v>#REF!</v>
      </c>
      <c r="T24" s="583" t="e">
        <f>S24/S$7</f>
        <v>#REF!</v>
      </c>
      <c r="U24" s="582" t="e">
        <f>+'31 dec 2016 BIOLAM'!AX23+#REF!+'31 dec 2016 BIOLAM'!AX24+'31 dec 2016 BIOLAM'!AX25</f>
        <v>#REF!</v>
      </c>
      <c r="V24" s="583" t="e">
        <f>U24/U$7</f>
        <v>#REF!</v>
      </c>
      <c r="W24" s="582" t="e">
        <f>+'31 dec 2016 BIOLAM'!AZ23+#REF!+'31 dec 2016 BIOLAM'!AZ24+'31 dec 2016 BIOLAM'!AZ25</f>
        <v>#REF!</v>
      </c>
      <c r="X24" s="583" t="e">
        <f>W24/W$7</f>
        <v>#REF!</v>
      </c>
      <c r="Y24" s="582" t="e">
        <f t="shared" ref="Y24:Y30" si="16">+W24+U24+S24+Q24</f>
        <v>#REF!</v>
      </c>
      <c r="Z24" s="583" t="e">
        <f>Y24/Y$7</f>
        <v>#REF!</v>
      </c>
      <c r="AA24" s="584" t="e">
        <f t="shared" si="12"/>
        <v>#REF!</v>
      </c>
      <c r="AB24" s="475">
        <v>-858814</v>
      </c>
      <c r="AC24" s="578">
        <f>AB24/AB7</f>
        <v>-0.21959424819728796</v>
      </c>
      <c r="AD24" s="495">
        <f>-SUMIF($AO$7:$AZ$7,"&lt;="&amp;$AC$6,AO24:AZ24)</f>
        <v>0</v>
      </c>
      <c r="AE24" s="517" t="str">
        <f t="shared" si="3"/>
        <v/>
      </c>
      <c r="AG24" s="753"/>
      <c r="AH24" s="517" t="str">
        <f t="shared" si="4"/>
        <v/>
      </c>
      <c r="AJ24" s="587"/>
      <c r="AL24" s="435"/>
      <c r="AM24" s="438" t="s">
        <v>10</v>
      </c>
      <c r="AN24" s="747"/>
      <c r="AO24" s="431">
        <f>IF($AO$7=$AL$7,'[4]1 trim 2016 BIOGROUP'!$S$23/3,IF($AO$7=$AL$8,'[4]1 trim 2016 BIOGROUP'!$S$23/3,IF($AO$7=$AL$9,'[4]1 trim 2016 BIOGROUP'!$S$23/3,IF($AO$7=$AL$10,'[4]2 trim 2016 BIOGROUP'!$S$23/3,IF($AO$7=$AL$11,'[4]2 trim 2016 BIOGROUP'!$S$23/3,IF($AO$7=$AL$12,'[4]2 trim 2016 BIOGROUP'!$S$23/3,""))))))</f>
        <v>44883.67785</v>
      </c>
      <c r="AP24" s="431">
        <f>IF($AP$7=$AL$7,'[4]1 trim 2016 BIOGROUP'!$S$23/3,IF($AP$7=$AL$8,'[4]1 trim 2016 BIOGROUP'!$S$23/3,IF($AP$7=$AL$9,'[4]1 trim 2016 BIOGROUP'!$S$23/3,IF($AP$7=$AL$10,'[4]2 trim 2016 BIOGROUP'!$S$23/3,IF($AP$7=$AL$11,'[4]2 trim 2016 BIOGROUP'!$S$23/3,IF($AP$7=$AL$12,'[4]2 trim 2016 BIOGROUP'!$S$23/3,""))))))</f>
        <v>44883.67785</v>
      </c>
      <c r="AQ24" s="431">
        <f>IF($AQ$7=$AL$7,'[4]1 trim 2016 BIOGROUP'!$S$23/3,IF($AQ$7=$AL$8,'[4]1 trim 2016 BIOGROUP'!$S$23/3,IF($AQ$7=$AL$9,'[4]1 trim 2016 BIOGROUP'!$S$23/3,IF($AQ$7=$AL$10,'[4]2 trim 2016 BIOGROUP'!$S$23/3,IF($AQ$7=$AL$11,'[4]2 trim 2016 BIOGROUP'!$S$23/3,IF($AQ$7=$AL$12,'[4]2 trim 2016 BIOGROUP'!$S$23/3,""))))))</f>
        <v>44883.67785</v>
      </c>
      <c r="AR24" s="431">
        <f>IF($AR$7=$AL$7,'[4]1 trim 2016 BIOGROUP'!$S$23/3,IF($AR$7=$AL$8,'[4]1 trim 2016 BIOGROUP'!$S$23/3,IF($AR$7=$AL$9,'[4]1 trim 2016 BIOGROUP'!$S$23/3,IF($AR$7=$AL$10,'[4]2 trim 2016 BIOGROUP'!$S$23/3,IF($AR$7=$AL$11,'[4]2 trim 2016 BIOGROUP'!$S$23/3,IF($AR$7=$AL$12,'[4]2 trim 2016 BIOGROUP'!$S$23/3,""))))))</f>
        <v>44883.67785</v>
      </c>
      <c r="AS24" s="431">
        <f>IF($AS$7=$AL$7,'[4]1 trim 2016 BIOGROUP'!$S$23/3,IF($AS$7=$AL$8,'[4]1 trim 2016 BIOGROUP'!$S$23/3,IF($AS$7=$AL$9,'[4]1 trim 2016 BIOGROUP'!$S$23/3,IF($AS$7=$AL$10,'[4]2 trim 2016 BIOGROUP'!$S$23/3,IF($AS$7=$AL$11,'[4]2 trim 2016 BIOGROUP'!$S$23/3,IF($AS$7=$AL$12,'[4]2 trim 2016 BIOGROUP'!$S$23/3,""))))))</f>
        <v>44883.67785</v>
      </c>
      <c r="AT24" s="431">
        <f>IF($AT$7=$AL$7,'[4]1 trim 2016 BIOGROUP'!$S$23/3,IF($AT$7=$AL$8,'[4]1 trim 2016 BIOGROUP'!$S$23/3,IF($AT$7=$AL$9,'[4]1 trim 2016 BIOGROUP'!$S$23/3,IF($AT$7=$AL$10,'[4]2 trim 2016 BIOGROUP'!$S$23/3,IF($AT$7=$AL$11,'[4]2 trim 2016 BIOGROUP'!$S$23/3,IF($AT$7=$AL$12,'[4]2 trim 2016 BIOGROUP'!$S$23/3,""))))))</f>
        <v>44883.67785</v>
      </c>
      <c r="AU24" s="431">
        <f>IF($AU$7=$AL$13,'[4]3 trim 2016 BIOGROUP'!$S$23/3,IF($AU$7=$AL$14,'[4]3 trim 2016 BIOGROUP'!$S$23/3,IF($AU$7=$AL$15,'[4]3 trim 2016 BIOGROUP'!$S$23/3,IF($AU$7=$AL$16,'[4]4 trim 2016 BIOGROUP'!$S$23/3,IF($AU$7=$AL$18,'[4]4 trim 2016 BIOGROUP'!$S$23/3,IF($AU$7=$AL$19,'[4]4 trim 2016 BIOGROUP'!$S$23/3,""))))))</f>
        <v>44883.67785</v>
      </c>
      <c r="AV24" s="431">
        <f>IF($AV$7=$AL$13,'[4]3 trim 2016 BIOGROUP'!$S$23/3,IF($AV$7=$AL$14,'[4]3 trim 2016 BIOGROUP'!$S$23/3,IF($AV$7=$AL$15,'[4]3 trim 2016 BIOGROUP'!$S$23/3,IF($AV$7=$AL$16,'[4]4 trim 2016 BIOGROUP'!$S$23/3,IF($AV$7=$AL$18,'[4]4 trim 2016 BIOGROUP'!$S$23/3,IF($AV$7=$AL$19,'[4]4 trim 2016 BIOGROUP'!$S$23/3,""))))))</f>
        <v>44883.67785</v>
      </c>
      <c r="AW24" s="431">
        <f>IF($AW$7=$AL$13,'[4]3 trim 2016 BIOGROUP'!$S$23/3,IF($AW$7=$AL$14,'[4]3 trim 2016 BIOGROUP'!$S$23/3,IF($AW$7=$AL$15,'[4]3 trim 2016 BIOGROUP'!$S$23/3,IF($AW$7=$AL$16,'[4]4 trim 2016 BIOGROUP'!$S$23/3,IF($AW$7=$AL$18,'[4]4 trim 2016 BIOGROUP'!$S$23/3,IF($AW$7=$AL$19,'[4]4 trim 2016 BIOGROUP'!$S$23/3,""))))))</f>
        <v>44883.67785</v>
      </c>
      <c r="AX24" s="431">
        <f>IF($AX$7=$AL$13,'[4]3 trim 2016 BIOGROUP'!$S$23/3,IF($AX$7=$AL$14,'[4]3 trim 2016 BIOGROUP'!$S$23/3,IF($AX$7=$AL$15,'[4]3 trim 2016 BIOGROUP'!$S$23/3,IF($AX$7=$AL$16,'[4]4 trim 2016 BIOGROUP'!$S$23/3,IF($AX$7=$AL$18,'[4]4 trim 2016 BIOGROUP'!$S$23/3,IF($AX$7=$AL$19,'[4]4 trim 2016 BIOGROUP'!$S$23/3,""))))))</f>
        <v>44883.67785</v>
      </c>
      <c r="AY24" s="431">
        <f>IF($AY$7=$AL$13,'[4]3 trim 2016 BIOGROUP'!$S$23/3,IF($AY$7=$AL$14,'[4]3 trim 2016 BIOGROUP'!$S$23/3,IF($AY$7=$AL$15,'[4]3 trim 2016 BIOGROUP'!$S$23/3,IF($AY$7=$AL$16,'[4]4 trim 2016 BIOGROUP'!$S$23/3,IF($AY$7=$AL$18,'[4]4 trim 2016 BIOGROUP'!$S$23/3,IF($AY$7=$AL$19,'[4]4 trim 2016 BIOGROUP'!$S$23/3,""))))))</f>
        <v>44883.67785</v>
      </c>
      <c r="AZ24" s="431">
        <f>IF($AZ$7=$AL$13,'[4]3 trim 2016 BIOGROUP'!$S$23/3,IF($AZ$7=$AL$14,'[4]3 trim 2016 BIOGROUP'!$S$23/3,IF($AZ$7=$AL$15,'[4]3 trim 2016 BIOGROUP'!$S$23/3,IF($AZ$7=$AL$16,'[4]4 trim 2016 BIOGROUP'!$S$23/3,IF($AZ$7=$AL$18,'[4]4 trim 2016 BIOGROUP'!$S$23/3,IF($AZ$7=$AL$19,'[4]4 trim 2016 BIOGROUP'!$S$23/3,""))))))</f>
        <v>44883.67785</v>
      </c>
      <c r="BB24" s="511">
        <f t="shared" si="5"/>
        <v>858814</v>
      </c>
      <c r="BC24" s="750"/>
    </row>
    <row r="25" spans="1:55" ht="26.15" customHeight="1">
      <c r="A25" s="575"/>
      <c r="B25" s="548">
        <v>644</v>
      </c>
      <c r="C25" s="449" t="s">
        <v>145</v>
      </c>
      <c r="D25" s="555"/>
      <c r="E25" s="449" t="s">
        <v>28</v>
      </c>
      <c r="F25" s="577"/>
      <c r="G25" s="475">
        <v>-136027</v>
      </c>
      <c r="H25" s="578">
        <f>G25/G7</f>
        <v>-5.693650328575614E-2</v>
      </c>
      <c r="J25" s="495">
        <f>-SUMIF($AO$7:$AZ$7,$G$6,AO25:AZ25)</f>
        <v>0</v>
      </c>
      <c r="K25" s="532" t="str">
        <f t="shared" si="6"/>
        <v/>
      </c>
      <c r="L25" s="431"/>
      <c r="M25" s="753">
        <f>AG25/3</f>
        <v>0</v>
      </c>
      <c r="N25" s="517" t="str">
        <f t="shared" si="1"/>
        <v/>
      </c>
      <c r="O25" s="580"/>
      <c r="P25" s="586" t="s">
        <v>28</v>
      </c>
      <c r="Q25" s="582" t="e">
        <f>+#REF!+'31 dec 2016 BIOLAM'!AT27</f>
        <v>#REF!</v>
      </c>
      <c r="R25" s="583" t="e">
        <f>Q25/Q$7</f>
        <v>#REF!</v>
      </c>
      <c r="S25" s="582" t="e">
        <f>+'31 dec 2016 BIOLAM'!AV27+#REF!</f>
        <v>#REF!</v>
      </c>
      <c r="T25" s="583" t="e">
        <f>S25/S$7</f>
        <v>#REF!</v>
      </c>
      <c r="U25" s="582" t="e">
        <f>+'31 dec 2016 BIOLAM'!AX27+#REF!</f>
        <v>#REF!</v>
      </c>
      <c r="V25" s="583" t="e">
        <f>U25/U$7</f>
        <v>#REF!</v>
      </c>
      <c r="W25" s="582" t="e">
        <f>+'31 dec 2016 BIOLAM'!AZ27+#REF!</f>
        <v>#REF!</v>
      </c>
      <c r="X25" s="583" t="e">
        <f>W25/W$7</f>
        <v>#REF!</v>
      </c>
      <c r="Y25" s="582" t="e">
        <f t="shared" si="16"/>
        <v>#REF!</v>
      </c>
      <c r="Z25" s="583" t="e">
        <f>Y25/Y$7</f>
        <v>#REF!</v>
      </c>
      <c r="AA25" s="584" t="e">
        <f t="shared" si="12"/>
        <v>#REF!</v>
      </c>
      <c r="AB25" s="475">
        <v>-409080</v>
      </c>
      <c r="AC25" s="578">
        <f>AB25/AB7</f>
        <v>-0.10459961650898396</v>
      </c>
      <c r="AD25" s="495">
        <f>-SUMIF($AO$7:$AZ$7,"&lt;="&amp;$AC$6,AO25:AZ25)</f>
        <v>0</v>
      </c>
      <c r="AE25" s="517" t="str">
        <f t="shared" si="3"/>
        <v/>
      </c>
      <c r="AG25" s="753"/>
      <c r="AH25" s="517" t="str">
        <f t="shared" si="4"/>
        <v/>
      </c>
      <c r="AJ25" s="587"/>
      <c r="AL25" s="435"/>
      <c r="AM25" s="449" t="s">
        <v>28</v>
      </c>
      <c r="AN25" s="747"/>
      <c r="AO25" s="431">
        <f>IF($AO$7=$AL$7,'[4]1 trim 2016 BIOGROUP'!$S$25/3+'[4]1 trim 2016 BIOGROUP'!$S$27/3+'[4]1 trim 2016 BIOGROUP'!$S$28/3,IF($AO$7=$AL$8,'[4]1 trim 2016 BIOGROUP'!$S$25/3+'[4]1 trim 2016 BIOGROUP'!$S$27/3+'[4]1 trim 2016 BIOGROUP'!$S$28/3,IF($AO$7=$AL$9,'[4]1 trim 2016 BIOGROUP'!$S$25/3+'[4]1 trim 2016 BIOGROUP'!$S$27/3+'[4]1 trim 2016 BIOGROUP'!$S$28/3,IF($AO$7=$AL$10,'[4]2 trim 2016 BIOGROUP'!$S$25/3+'[4]2 trim 2016 BIOGROUP'!$S$27/3+'[4]2 trim 2016 BIOGROUP'!$S$28/3,IF($AO$7=$AL$11,'[4]2 trim 2016 BIOGROUP'!$S$25/3+'[4]2 trim 2016 BIOGROUP'!$S$27/3+'[4]2 trim 2016 BIOGROUP'!$S$28/3,IF($AO$7=$AL$12,'[4]2 trim 2016 BIOGROUP'!$S$25/3+'[4]2 trim 2016 BIOGROUP'!$S$27/3+'[4]2 trim 2016 BIOGROUP'!$S$28/3,""))))))</f>
        <v>20108.414883333335</v>
      </c>
      <c r="AP25" s="431">
        <f>IF($AP$7=$AL$7,'[4]1 trim 2016 BIOGROUP'!$S$25/3+'[4]1 trim 2016 BIOGROUP'!$S$27/3+'[4]1 trim 2016 BIOGROUP'!$S$28/3,IF($AP$7=$AL$8,'[4]1 trim 2016 BIOGROUP'!$S$25/3+'[4]1 trim 2016 BIOGROUP'!$S$27/3+'[4]1 trim 2016 BIOGROUP'!$S$28/3,IF($AP$7=$AL$9,'[4]1 trim 2016 BIOGROUP'!$S$25/3+'[4]1 trim 2016 BIOGROUP'!$S$27/3+'[4]1 trim 2016 BIOGROUP'!$S$28/3,IF($AP$7=$AL$10,'[4]2 trim 2016 BIOGROUP'!$S$25/3+'[4]2 trim 2016 BIOGROUP'!$S$27/3+'[4]2 trim 2016 BIOGROUP'!$S$28/3,IF($AP$7=$AL$11,'[4]2 trim 2016 BIOGROUP'!$S$25/3+'[4]2 trim 2016 BIOGROUP'!$S$27/3+'[4]2 trim 2016 BIOGROUP'!$S$28/3,IF($AP$7=$AL$12,'[4]2 trim 2016 BIOGROUP'!$S$25/3+'[4]2 trim 2016 BIOGROUP'!$S$27/3+'[4]2 trim 2016 BIOGROUP'!$S$28/3,""))))))</f>
        <v>20108.414883333335</v>
      </c>
      <c r="AQ25" s="431">
        <f>IF($AQ$7=$AL$7,'[4]1 trim 2016 BIOGROUP'!$S$25/3+'[4]1 trim 2016 BIOGROUP'!$S$27/3+'[4]1 trim 2016 BIOGROUP'!$S$28/3,IF($AQ$7=$AL$8,'[4]1 trim 2016 BIOGROUP'!$S$25/3+'[4]1 trim 2016 BIOGROUP'!$S$27/3+'[4]1 trim 2016 BIOGROUP'!$S$28/3,IF($AQ$7=$AL$9,'[4]1 trim 2016 BIOGROUP'!$S$25/3+'[4]1 trim 2016 BIOGROUP'!$S$27/3+'[4]1 trim 2016 BIOGROUP'!$S$28/3,IF($AQ$7=$AL$10,'[4]2 trim 2016 BIOGROUP'!$S$25/3+'[4]2 trim 2016 BIOGROUP'!$S$27/3+'[4]2 trim 2016 BIOGROUP'!$S$28/3,IF($AQ$7=$AL$11,'[4]2 trim 2016 BIOGROUP'!$S$25/3+'[4]2 trim 2016 BIOGROUP'!$S$27/3+'[4]2 trim 2016 BIOGROUP'!$S$28/3,IF($AQ$7=$AL$12,'[4]2 trim 2016 BIOGROUP'!$S$25/3+'[4]2 trim 2016 BIOGROUP'!$S$27/3+'[4]2 trim 2016 BIOGROUP'!$S$28/3,""))))))</f>
        <v>20108.414883333335</v>
      </c>
      <c r="AR25" s="431">
        <f>IF($AR$7=$AL$7,'[4]1 trim 2016 BIOGROUP'!$S$25/3+'[4]1 trim 2016 BIOGROUP'!$S$27/3+'[4]1 trim 2016 BIOGROUP'!$S$28/3,IF($AR$7=$AL$8,'[4]1 trim 2016 BIOGROUP'!$S$25/3+'[4]1 trim 2016 BIOGROUP'!$S$27/3+'[4]1 trim 2016 BIOGROUP'!$S$28/3,IF($AR$7=$AL$9,'[4]1 trim 2016 BIOGROUP'!$S$25/3+'[4]1 trim 2016 BIOGROUP'!$S$27/3+'[4]1 trim 2016 BIOGROUP'!$S$28/3,IF($AR$7=$AL$10,'[4]2 trim 2016 BIOGROUP'!$S$25/3+'[4]2 trim 2016 BIOGROUP'!$S$27/3+'[4]2 trim 2016 BIOGROUP'!$S$28/3,IF($AR$7=$AL$11,'[4]2 trim 2016 BIOGROUP'!$S$25/3+'[4]2 trim 2016 BIOGROUP'!$S$27/3+'[4]2 trim 2016 BIOGROUP'!$S$28/3,IF($AR$7=$AL$12,'[4]2 trim 2016 BIOGROUP'!$S$25/3+'[4]2 trim 2016 BIOGROUP'!$S$27/3+'[4]2 trim 2016 BIOGROUP'!$S$28/3,""))))))</f>
        <v>20108.414883333335</v>
      </c>
      <c r="AS25" s="431">
        <f>IF($AS$7=$AL$7,'[4]1 trim 2016 BIOGROUP'!$S$25/3+'[4]1 trim 2016 BIOGROUP'!$S$27/3+'[4]1 trim 2016 BIOGROUP'!$S$28/3,IF($AS$7=$AL$8,'[4]1 trim 2016 BIOGROUP'!$S$25/3+'[4]1 trim 2016 BIOGROUP'!$S$27/3+'[4]1 trim 2016 BIOGROUP'!$S$28/3,IF($AS$7=$AL$9,'[4]1 trim 2016 BIOGROUP'!$S$25/3+'[4]1 trim 2016 BIOGROUP'!$S$27/3+'[4]1 trim 2016 BIOGROUP'!$S$28/3,IF($AS$7=$AL$10,'[4]2 trim 2016 BIOGROUP'!$S$25/3+'[4]2 trim 2016 BIOGROUP'!$S$27/3+'[4]2 trim 2016 BIOGROUP'!$S$28/3,IF($AS$7=$AL$11,'[4]2 trim 2016 BIOGROUP'!$S$25/3+'[4]2 trim 2016 BIOGROUP'!$S$27/3+'[4]2 trim 2016 BIOGROUP'!$S$28/3,IF($AS$7=$AL$12,'[4]2 trim 2016 BIOGROUP'!$S$25/3+'[4]2 trim 2016 BIOGROUP'!$S$27/3+'[4]2 trim 2016 BIOGROUP'!$S$28/3,""))))))</f>
        <v>20108.414883333335</v>
      </c>
      <c r="AT25" s="431">
        <f>IF($AT$7=$AL$7,'[4]1 trim 2016 BIOGROUP'!$S$25/3+'[4]1 trim 2016 BIOGROUP'!$S$27/3+'[4]1 trim 2016 BIOGROUP'!$S$28/3,IF($AT$7=$AL$8,'[4]1 trim 2016 BIOGROUP'!$S$25/3+'[4]1 trim 2016 BIOGROUP'!$S$27/3+'[4]1 trim 2016 BIOGROUP'!$S$28/3,IF($AT$7=$AL$9,'[4]1 trim 2016 BIOGROUP'!$S$25/3+'[4]1 trim 2016 BIOGROUP'!$S$27/3+'[4]1 trim 2016 BIOGROUP'!$S$28/3,IF($AT$7=$AL$10,'[4]2 trim 2016 BIOGROUP'!$S$25/3+'[4]2 trim 2016 BIOGROUP'!$S$27/3+'[4]2 trim 2016 BIOGROUP'!$S$28/3,IF($AT$7=$AL$11,'[4]2 trim 2016 BIOGROUP'!$S$25/3+'[4]2 trim 2016 BIOGROUP'!$S$27/3+'[4]2 trim 2016 BIOGROUP'!$S$28/3,IF($AT$7=$AL$12,'[4]2 trim 2016 BIOGROUP'!$S$25/3+'[4]2 trim 2016 BIOGROUP'!$S$27/3+'[4]2 trim 2016 BIOGROUP'!$S$28/3,""))))))</f>
        <v>20108.414883333335</v>
      </c>
      <c r="AU25" s="431">
        <f>IF($AU$7=$AL$13,'[4]3 trim 2016 BIOGROUP'!$S$25/3+'[4]3 trim 2016 BIOGROUP'!$S$27/3+'[4]3 trim 2016 BIOGROUP'!$S$28/3,IF($AU$7=$AL$14,'[4]3 trim 2016 BIOGROUP'!$S$25/3+'[4]3 trim 2016 BIOGROUP'!$S$27/3+'[4]3 trim 2016 BIOGROUP'!$S$28/3,IF($AU$7=$AL$15,'[4]3 trim 2016 BIOGROUP'!$S$25/3+'[4]3 trim 2016 BIOGROUP'!$S$27/3+'[4]3 trim 2016 BIOGROUP'!$S$28/3,IF($AU$7=$AL$16,'[4]4 trim 2016 BIOGROUP'!$S$25/3+'[4]4 trim 2016 BIOGROUP'!$S$27/3+'[4]4 trim 2016 BIOGROUP'!$S$28/3,IF($AU$7=$AL$18,'[4]4 trim 2016 BIOGROUP'!$S$25/3+'[4]4 trim 2016 BIOGROUP'!$S$27/3+'[4]4 trim 2016 BIOGROUP'!$S$28/3,IF($AU$7=$AL$19,'[4]4 trim 2016 BIOGROUP'!$S$25/3+'[4]4 trim 2016 BIOGROUP'!$S$27/3+'[4]4 trim 2016 BIOGROUP'!$S$28/3,""))))))</f>
        <v>20108.414883333335</v>
      </c>
      <c r="AV25" s="431">
        <f>IF($AV$7=$AL$13,'[4]3 trim 2016 BIOGROUP'!$S$25/3+'[4]3 trim 2016 BIOGROUP'!$S$27/3+'[4]3 trim 2016 BIOGROUP'!$S$28/3,IF($AV$7=$AL$14,'[4]3 trim 2016 BIOGROUP'!$S$25/3+'[4]3 trim 2016 BIOGROUP'!$S$27/3+'[4]3 trim 2016 BIOGROUP'!$S$28/3,IF($AV$7=$AL$15,'[4]3 trim 2016 BIOGROUP'!$S$25/3+'[4]3 trim 2016 BIOGROUP'!$S$27/3+'[4]3 trim 2016 BIOGROUP'!$S$28/3,IF($AV$7=$AL$16,'[4]4 trim 2016 BIOGROUP'!$S$25/3+'[4]4 trim 2016 BIOGROUP'!$S$27/3+'[4]4 trim 2016 BIOGROUP'!$S$28/3,IF($AV$7=$AL$18,'[4]4 trim 2016 BIOGROUP'!$S$25/3+'[4]4 trim 2016 BIOGROUP'!$S$27/3+'[4]4 trim 2016 BIOGROUP'!$S$28/3,IF($AV$7=$AL$19,'[4]4 trim 2016 BIOGROUP'!$S$25/3+'[4]4 trim 2016 BIOGROUP'!$S$27/3+'[4]4 trim 2016 BIOGROUP'!$S$28/3,""))))))</f>
        <v>20108.414883333335</v>
      </c>
      <c r="AW25" s="431">
        <f>IF($AW$7=$AL$13,'[4]3 trim 2016 BIOGROUP'!$S$25/3+'[4]3 trim 2016 BIOGROUP'!$S$27/3+'[4]3 trim 2016 BIOGROUP'!$S$28/3,IF($AW$7=$AL$14,'[4]3 trim 2016 BIOGROUP'!$S$25/3+'[4]3 trim 2016 BIOGROUP'!$S$27/3+'[4]3 trim 2016 BIOGROUP'!$S$28/3,IF($AW$7=$AL$15,'[4]3 trim 2016 BIOGROUP'!$S$25/3+'[4]3 trim 2016 BIOGROUP'!$S$27/3+'[4]3 trim 2016 BIOGROUP'!$S$28/3,IF($AW$7=$AL$16,'[4]4 trim 2016 BIOGROUP'!$S$25/3+'[4]4 trim 2016 BIOGROUP'!$S$27/3+'[4]4 trim 2016 BIOGROUP'!$S$28/3,IF($AW$7=$AL$18,'[4]4 trim 2016 BIOGROUP'!$S$25/3+'[4]4 trim 2016 BIOGROUP'!$S$27/3+'[4]4 trim 2016 BIOGROUP'!$S$28/3,IF($AW$7=$AL$19,'[4]4 trim 2016 BIOGROUP'!$S$25/3+'[4]4 trim 2016 BIOGROUP'!$S$27/3+'[4]4 trim 2016 BIOGROUP'!$S$28/3,""))))))</f>
        <v>20108.414883333335</v>
      </c>
      <c r="AX25" s="431">
        <f>IF($AX$7=$AL$13,'[4]3 trim 2016 BIOGROUP'!$S$25/3+'[4]3 trim 2016 BIOGROUP'!$S$27/3+'[4]3 trim 2016 BIOGROUP'!$S$28/3,IF($AX$7=$AL$14,'[4]3 trim 2016 BIOGROUP'!$S$25/3+'[4]3 trim 2016 BIOGROUP'!$S$27/3+'[4]3 trim 2016 BIOGROUP'!$S$28/3,IF($AX$7=$AL$15,'[4]3 trim 2016 BIOGROUP'!$S$25/3+'[4]3 trim 2016 BIOGROUP'!$S$27/3+'[4]3 trim 2016 BIOGROUP'!$S$28/3,IF($AX$7=$AL$16,'[4]4 trim 2016 BIOGROUP'!$S$25/3+'[4]4 trim 2016 BIOGROUP'!$S$27/3+'[4]4 trim 2016 BIOGROUP'!$S$28/3,IF($AX$7=$AL$18,'[4]4 trim 2016 BIOGROUP'!$S$25/3+'[4]4 trim 2016 BIOGROUP'!$S$27/3+'[4]4 trim 2016 BIOGROUP'!$S$28/3,IF($AX$7=$AL$19,'[4]4 trim 2016 BIOGROUP'!$S$25/3+'[4]4 trim 2016 BIOGROUP'!$S$27/3+'[4]4 trim 2016 BIOGROUP'!$S$28/3,""))))))</f>
        <v>20108.414883333335</v>
      </c>
      <c r="AY25" s="431">
        <f>IF($AY$7=$AL$13,'[4]3 trim 2016 BIOGROUP'!$S$25/3+'[4]3 trim 2016 BIOGROUP'!$S$27/3+'[4]3 trim 2016 BIOGROUP'!$S$28/3,IF($AY$7=$AL$14,'[4]3 trim 2016 BIOGROUP'!$S$25/3+'[4]3 trim 2016 BIOGROUP'!$S$27/3+'[4]3 trim 2016 BIOGROUP'!$S$28/3,IF($AY$7=$AL$15,'[4]3 trim 2016 BIOGROUP'!$S$25/3+'[4]3 trim 2016 BIOGROUP'!$S$27/3+'[4]3 trim 2016 BIOGROUP'!$S$28/3,IF($AY$7=$AL$16,'[4]4 trim 2016 BIOGROUP'!$S$25/3+'[4]4 trim 2016 BIOGROUP'!$S$27/3+'[4]4 trim 2016 BIOGROUP'!$S$28/3,IF($AY$7=$AL$18,'[4]4 trim 2016 BIOGROUP'!$S$25/3+'[4]4 trim 2016 BIOGROUP'!$S$27/3+'[4]4 trim 2016 BIOGROUP'!$S$28/3,IF($AY$7=$AL$19,'[4]4 trim 2016 BIOGROUP'!$S$25/3+'[4]4 trim 2016 BIOGROUP'!$S$27/3+'[4]4 trim 2016 BIOGROUP'!$S$28/3,""))))))</f>
        <v>20108.414883333335</v>
      </c>
      <c r="AZ25" s="431">
        <f>IF($AZ$7=$AL$13,'[4]3 trim 2016 BIOGROUP'!$S$25/3+'[4]3 trim 2016 BIOGROUP'!$S$27/3+'[4]3 trim 2016 BIOGROUP'!$S$28/3,IF($AZ$7=$AL$14,'[4]3 trim 2016 BIOGROUP'!$S$25/3+'[4]3 trim 2016 BIOGROUP'!$S$27/3+'[4]3 trim 2016 BIOGROUP'!$S$28/3,IF($AZ$7=$AL$15,'[4]3 trim 2016 BIOGROUP'!$S$25/3+'[4]3 trim 2016 BIOGROUP'!$S$27/3+'[4]3 trim 2016 BIOGROUP'!$S$28/3,IF($AZ$7=$AL$16,'[4]4 trim 2016 BIOGROUP'!$S$25/3+'[4]4 trim 2016 BIOGROUP'!$S$27/3+'[4]4 trim 2016 BIOGROUP'!$S$28/3,IF($AZ$7=$AL$18,'[4]4 trim 2016 BIOGROUP'!$S$25/3+'[4]4 trim 2016 BIOGROUP'!$S$27/3+'[4]4 trim 2016 BIOGROUP'!$S$28/3,IF($AZ$7=$AL$19,'[4]4 trim 2016 BIOGROUP'!$S$25/3+'[4]4 trim 2016 BIOGROUP'!$S$27/3+'[4]4 trim 2016 BIOGROUP'!$S$28/3,""))))))</f>
        <v>20108.414883333335</v>
      </c>
      <c r="BB25" s="511">
        <f t="shared" si="5"/>
        <v>409080</v>
      </c>
      <c r="BC25" s="750"/>
    </row>
    <row r="26" spans="1:55" ht="26.15" customHeight="1">
      <c r="A26" s="575"/>
      <c r="B26" s="548">
        <v>645</v>
      </c>
      <c r="C26" s="450" t="s">
        <v>147</v>
      </c>
      <c r="D26" s="619"/>
      <c r="E26" s="450" t="s">
        <v>11</v>
      </c>
      <c r="F26" s="577"/>
      <c r="G26" s="475">
        <v>-251435</v>
      </c>
      <c r="H26" s="578">
        <f>G26/G7</f>
        <v>-0.1052425599598175</v>
      </c>
      <c r="J26" s="495">
        <f>-SUMIF($AO$7:$AZ$7,$G$6,AO26:AZ26)</f>
        <v>0</v>
      </c>
      <c r="K26" s="532" t="str">
        <f t="shared" si="6"/>
        <v/>
      </c>
      <c r="L26" s="431"/>
      <c r="M26" s="753">
        <f>AG26/3</f>
        <v>0</v>
      </c>
      <c r="N26" s="517" t="str">
        <f t="shared" si="1"/>
        <v/>
      </c>
      <c r="O26" s="580"/>
      <c r="P26" s="581" t="s">
        <v>11</v>
      </c>
      <c r="Q26" s="582" t="e">
        <f>+#REF!+'31 dec 2016 BIOLAM'!AT29+'31 dec 2016 BIOLAM'!AT30+'31 dec 2016 BIOLAM'!AT31</f>
        <v>#REF!</v>
      </c>
      <c r="R26" s="583" t="e">
        <f>Q26/Q$7</f>
        <v>#REF!</v>
      </c>
      <c r="S26" s="582" t="e">
        <f>+'31 dec 2016 BIOLAM'!AV29+#REF!+'31 dec 2016 BIOLAM'!AV30+'31 dec 2016 BIOLAM'!AV31</f>
        <v>#REF!</v>
      </c>
      <c r="T26" s="583" t="e">
        <f>S26/S$7</f>
        <v>#REF!</v>
      </c>
      <c r="U26" s="582" t="e">
        <f>+'31 dec 2016 BIOLAM'!AX29+#REF!+'31 dec 2016 BIOLAM'!AX30+'31 dec 2016 BIOLAM'!AX31</f>
        <v>#REF!</v>
      </c>
      <c r="V26" s="583" t="e">
        <f>U26/U$7</f>
        <v>#REF!</v>
      </c>
      <c r="W26" s="582" t="e">
        <f>+'31 dec 2016 BIOLAM'!AZ29+#REF!+'31 dec 2016 BIOLAM'!AZ30+'31 dec 2016 BIOLAM'!AZ31</f>
        <v>#REF!</v>
      </c>
      <c r="X26" s="583" t="e">
        <f>W26/W$7</f>
        <v>#REF!</v>
      </c>
      <c r="Y26" s="582" t="e">
        <f t="shared" si="16"/>
        <v>#REF!</v>
      </c>
      <c r="Z26" s="583" t="e">
        <f>Y26/Y$7</f>
        <v>#REF!</v>
      </c>
      <c r="AA26" s="584" t="e">
        <f t="shared" si="12"/>
        <v>#REF!</v>
      </c>
      <c r="AB26" s="475">
        <v>-328132</v>
      </c>
      <c r="AC26" s="578">
        <f>AB26/AB7</f>
        <v>-8.3901636267541616E-2</v>
      </c>
      <c r="AD26" s="495">
        <f>-SUMIF($AO$7:$AZ$7,"&lt;="&amp;$AC$6,AO26:AZ26)</f>
        <v>0</v>
      </c>
      <c r="AE26" s="517" t="str">
        <f t="shared" si="3"/>
        <v/>
      </c>
      <c r="AG26" s="753"/>
      <c r="AH26" s="517" t="str">
        <f t="shared" si="4"/>
        <v/>
      </c>
      <c r="AJ26" s="620"/>
      <c r="AL26" s="435"/>
      <c r="AM26" s="450" t="s">
        <v>11</v>
      </c>
      <c r="AN26" s="747"/>
      <c r="AO26" s="431">
        <f>IF($AO$7=$AL$7,'[4]1 trim 2016 BIOGROUP'!$S$29/3,IF($AO$7=$AL$8,'[4]1 trim 2016 BIOGROUP'!$S$29/3,IF($AO$7=$AL$9,'[4]1 trim 2016 BIOGROUP'!$S$29/3,IF($AO$7=$AL$10,'[4]2 trim 2016 BIOGROUP'!$S$29/3,IF($AO$7=$AL$11,'[4]2 trim 2016 BIOGROUP'!$S$29/3,IF($AO$7=$AL$12,'[4]2 trim 2016 BIOGROUP'!$S$29/3,""))))))</f>
        <v>19066.111716666666</v>
      </c>
      <c r="AP26" s="431">
        <f>IF($AP$7=$AL$7,'[4]1 trim 2016 BIOGROUP'!$S$29/3,IF($AP$7=$AL$8,'[4]1 trim 2016 BIOGROUP'!$S$29/3,IF($AP$7=$AL$9,'[4]1 trim 2016 BIOGROUP'!$S$29/3,IF($AP$7=$AL$10,'[4]2 trim 2016 BIOGROUP'!$S$29/3,IF($AP$7=$AL$11,'[4]2 trim 2016 BIOGROUP'!$S$29/3,IF($AP$7=$AL$12,'[4]2 trim 2016 BIOGROUP'!$S$29/3,""))))))</f>
        <v>19066.111716666666</v>
      </c>
      <c r="AQ26" s="431">
        <f>IF($AQ$7=$AL$7,'[4]1 trim 2016 BIOGROUP'!$S$29/3,IF($AQ$7=$AL$8,'[4]1 trim 2016 BIOGROUP'!$S$29/3,IF($AQ$7=$AL$9,'[4]1 trim 2016 BIOGROUP'!$S$29/3,IF($AQ$7=$AL$10,'[4]2 trim 2016 BIOGROUP'!$S$29/3,IF($AQ$7=$AL$11,'[4]2 trim 2016 BIOGROUP'!$S$29/3,IF($AQ$7=$AL$12,'[4]2 trim 2016 BIOGROUP'!$S$29/3,""))))))</f>
        <v>19066.111716666666</v>
      </c>
      <c r="AR26" s="431">
        <f>IF($AR$7=$AL$7,'[4]1 trim 2016 BIOGROUP'!$S$29/3,IF($AR$7=$AL$8,'[4]1 trim 2016 BIOGROUP'!$S$29/3,IF($AR$7=$AL$9,'[4]1 trim 2016 BIOGROUP'!$S$29/3,IF($AR$7=$AL$10,'[4]2 trim 2016 BIOGROUP'!$S$29/3,IF($AR$7=$AL$11,'[4]2 trim 2016 BIOGROUP'!$S$29/3,IF($AR$7=$AL$12,'[4]2 trim 2016 BIOGROUP'!$S$29/3,""))))))</f>
        <v>19066.111716666666</v>
      </c>
      <c r="AS26" s="431">
        <f>IF($AS$7=$AL$7,'[4]1 trim 2016 BIOGROUP'!$S$29/3,IF($AS$7=$AL$8,'[4]1 trim 2016 BIOGROUP'!$S$29/3,IF($AS$7=$AL$9,'[4]1 trim 2016 BIOGROUP'!$S$29/3,IF($AS$7=$AL$10,'[4]2 trim 2016 BIOGROUP'!$S$29/3,IF($AS$7=$AL$11,'[4]2 trim 2016 BIOGROUP'!$S$29/3,IF($AS$7=$AL$12,'[4]2 trim 2016 BIOGROUP'!$S$29/3,""))))))</f>
        <v>19066.111716666666</v>
      </c>
      <c r="AT26" s="431">
        <f>IF($AT$7=$AL$7,'[4]1 trim 2016 BIOGROUP'!$S$29/3,IF($AT$7=$AL$8,'[4]1 trim 2016 BIOGROUP'!$S$29/3,IF($AT$7=$AL$9,'[4]1 trim 2016 BIOGROUP'!$S$29/3,IF($AT$7=$AL$10,'[4]2 trim 2016 BIOGROUP'!$S$29/3,IF($AT$7=$AL$11,'[4]2 trim 2016 BIOGROUP'!$S$29/3,IF($AT$7=$AL$12,'[4]2 trim 2016 BIOGROUP'!$S$29/3,""))))))</f>
        <v>19066.111716666666</v>
      </c>
      <c r="AU26" s="431">
        <f>IF($AU$7=$AL$13,'[4]3 trim 2016 BIOGROUP'!$S$29/3,IF($AU$7=$AL$14,'[4]3 trim 2016 BIOGROUP'!$S$29/3,IF($AU$7=$AL$15,'[4]3 trim 2016 BIOGROUP'!$S$29/3,IF($AU$7=$AL$16,'[4]4 trim 2016 BIOGROUP'!$S$29/3,IF($AU$7=$AL$18,'[4]4 trim 2016 BIOGROUP'!$S$29/3,IF($AU$7=$AL$19,'[4]4 trim 2016 BIOGROUP'!$S$29/3,""))))))</f>
        <v>19066.111716666666</v>
      </c>
      <c r="AV26" s="431">
        <f>IF($AV$7=$AL$13,'[4]3 trim 2016 BIOGROUP'!$S$29/3,IF($AV$7=$AL$14,'[4]3 trim 2016 BIOGROUP'!$S$29/3,IF($AV$7=$AL$15,'[4]3 trim 2016 BIOGROUP'!$S$29/3,IF($AV$7=$AL$16,'[4]4 trim 2016 BIOGROUP'!$S$29/3,IF($AV$7=$AL$18,'[4]4 trim 2016 BIOGROUP'!$S$29/3,IF($AV$7=$AL$19,'[4]4 trim 2016 BIOGROUP'!$S$29/3,""))))))</f>
        <v>19066.111716666666</v>
      </c>
      <c r="AW26" s="431">
        <f>IF($AW$7=$AL$13,'[4]3 trim 2016 BIOGROUP'!$S$29/3,IF($AW$7=$AL$14,'[4]3 trim 2016 BIOGROUP'!$S$29/3,IF($AW$7=$AL$15,'[4]3 trim 2016 BIOGROUP'!$S$29/3,IF($AW$7=$AL$16,'[4]4 trim 2016 BIOGROUP'!$S$29/3,IF($AW$7=$AL$18,'[4]4 trim 2016 BIOGROUP'!$S$29/3,IF($AW$7=$AL$19,'[4]4 trim 2016 BIOGROUP'!$S$29/3,""))))))</f>
        <v>19066.111716666666</v>
      </c>
      <c r="AX26" s="431">
        <f>IF($AX$7=$AL$13,'[4]3 trim 2016 BIOGROUP'!$S$29/3,IF($AX$7=$AL$14,'[4]3 trim 2016 BIOGROUP'!$S$29/3,IF($AX$7=$AL$15,'[4]3 trim 2016 BIOGROUP'!$S$29/3,IF($AX$7=$AL$16,'[4]4 trim 2016 BIOGROUP'!$S$29/3,IF($AX$7=$AL$18,'[4]4 trim 2016 BIOGROUP'!$S$29/3,IF($AX$7=$AL$19,'[4]4 trim 2016 BIOGROUP'!$S$29/3,""))))))</f>
        <v>19066.111716666666</v>
      </c>
      <c r="AY26" s="431">
        <f>IF($AY$7=$AL$13,'[4]3 trim 2016 BIOGROUP'!$S$29/3,IF($AY$7=$AL$14,'[4]3 trim 2016 BIOGROUP'!$S$29/3,IF($AY$7=$AL$15,'[4]3 trim 2016 BIOGROUP'!$S$29/3,IF($AY$7=$AL$16,'[4]4 trim 2016 BIOGROUP'!$S$29/3,IF($AY$7=$AL$18,'[4]4 trim 2016 BIOGROUP'!$S$29/3,IF($AY$7=$AL$19,'[4]4 trim 2016 BIOGROUP'!$S$29/3,""))))))</f>
        <v>19066.111716666666</v>
      </c>
      <c r="AZ26" s="431">
        <f>IF($AZ$7=$AL$13,'[4]3 trim 2016 BIOGROUP'!$S$29/3,IF($AZ$7=$AL$14,'[4]3 trim 2016 BIOGROUP'!$S$29/3,IF($AZ$7=$AL$15,'[4]3 trim 2016 BIOGROUP'!$S$29/3,IF($AZ$7=$AL$16,'[4]4 trim 2016 BIOGROUP'!$S$29/3,IF($AZ$7=$AL$18,'[4]4 trim 2016 BIOGROUP'!$S$29/3,IF($AZ$7=$AL$19,'[4]4 trim 2016 BIOGROUP'!$S$29/3,""))))))</f>
        <v>19066.111716666666</v>
      </c>
      <c r="BB26" s="511">
        <f t="shared" si="5"/>
        <v>328132</v>
      </c>
      <c r="BC26" s="750"/>
    </row>
    <row r="27" spans="1:55" ht="26.15" customHeight="1">
      <c r="A27" s="575"/>
      <c r="B27" s="548">
        <v>646</v>
      </c>
      <c r="C27" s="446" t="s">
        <v>146</v>
      </c>
      <c r="D27" s="555"/>
      <c r="E27" s="446" t="s">
        <v>32</v>
      </c>
      <c r="F27" s="577"/>
      <c r="G27" s="475"/>
      <c r="H27" s="578">
        <f>G27/G7</f>
        <v>0</v>
      </c>
      <c r="J27" s="495">
        <f>-SUMIF($AO$7:$AZ$7,$G$6,AO27:AZ27)</f>
        <v>0</v>
      </c>
      <c r="K27" s="532" t="str">
        <f t="shared" si="6"/>
        <v/>
      </c>
      <c r="L27" s="431"/>
      <c r="M27" s="753">
        <f>AG27/3</f>
        <v>0</v>
      </c>
      <c r="N27" s="517" t="str">
        <f t="shared" si="1"/>
        <v/>
      </c>
      <c r="O27" s="580"/>
      <c r="P27" s="586" t="s">
        <v>32</v>
      </c>
      <c r="Q27" s="582" t="e">
        <f>+#REF!+'31 dec 2016 BIOLAM'!AT33</f>
        <v>#REF!</v>
      </c>
      <c r="R27" s="583" t="e">
        <f>Q27/Q$7</f>
        <v>#REF!</v>
      </c>
      <c r="S27" s="582" t="e">
        <f>+'31 dec 2016 BIOLAM'!AV33+#REF!</f>
        <v>#REF!</v>
      </c>
      <c r="T27" s="583" t="e">
        <f>S27/S$7</f>
        <v>#REF!</v>
      </c>
      <c r="U27" s="582" t="e">
        <f>+'31 dec 2016 BIOLAM'!AX33+#REF!</f>
        <v>#REF!</v>
      </c>
      <c r="V27" s="583" t="e">
        <f>U27/U$7</f>
        <v>#REF!</v>
      </c>
      <c r="W27" s="582" t="e">
        <f>+'31 dec 2016 BIOLAM'!AZ33+#REF!</f>
        <v>#REF!</v>
      </c>
      <c r="X27" s="583" t="e">
        <f>W27/W$7</f>
        <v>#REF!</v>
      </c>
      <c r="Y27" s="582" t="e">
        <f t="shared" si="16"/>
        <v>#REF!</v>
      </c>
      <c r="Z27" s="583" t="e">
        <f>Y27/Y$7</f>
        <v>#REF!</v>
      </c>
      <c r="AA27" s="584" t="e">
        <f t="shared" si="12"/>
        <v>#REF!</v>
      </c>
      <c r="AB27" s="475"/>
      <c r="AC27" s="578">
        <f>AB27/AB7</f>
        <v>0</v>
      </c>
      <c r="AD27" s="495">
        <f>-SUMIF($AO$7:$AZ$7,"&lt;="&amp;$AC$6,AO27:AZ27)</f>
        <v>0</v>
      </c>
      <c r="AE27" s="517" t="str">
        <f t="shared" si="3"/>
        <v/>
      </c>
      <c r="AG27" s="753"/>
      <c r="AH27" s="517" t="str">
        <f t="shared" si="4"/>
        <v/>
      </c>
      <c r="AJ27" s="587"/>
      <c r="AL27" s="435"/>
      <c r="AM27" s="446" t="s">
        <v>32</v>
      </c>
      <c r="AN27" s="747"/>
      <c r="AO27" s="431">
        <f>IF($AO$7=$AL$7,'[4]1 trim 2016 BIOGROUP'!$S$33/3+'[4]1 trim 2016 BIOGROUP'!$S$34/3,IF($AO$7=$AL$8,'[4]1 trim 2016 BIOGROUP'!$S$33/3+'[4]1 trim 2016 BIOGROUP'!$S$34/3,IF($AO$7=$AL$9,'[4]1 trim 2016 BIOGROUP'!$S$33/3+'[4]1 trim 2016 BIOGROUP'!$S$34/3,IF($AO$7=$AL$10,'[4]2 trim 2016 BIOGROUP'!$S$33/3+'[4]2 trim 2016 BIOGROUP'!$S$34/3,IF($AO$7=$AL$11,'[4]2 trim 2016 BIOGROUP'!$S$33/3+'[4]2 trim 2016 BIOGROUP'!$S$34/3,IF($AO$7=$AL$12,'[4]2 trim 2016 BIOGROUP'!$S$33/3+'[4]2 trim 2016 BIOGROUP'!$S$34/3,""))))))</f>
        <v>0</v>
      </c>
      <c r="AP27" s="431">
        <f>IF($AP$7=$AL$7,'[4]1 trim 2016 BIOGROUP'!$S$33/3+'[4]1 trim 2016 BIOGROUP'!$S$34/3,IF($AP$7=$AL$8,'[4]1 trim 2016 BIOGROUP'!$S$33/3+'[4]1 trim 2016 BIOGROUP'!$S$34/3,IF($AP$7=$AL$9,'[4]1 trim 2016 BIOGROUP'!$S$33/3+'[4]1 trim 2016 BIOGROUP'!$S$34/3,IF($AP$7=$AL$10,'[4]2 trim 2016 BIOGROUP'!$S$33/3+'[4]2 trim 2016 BIOGROUP'!$S$34/3,IF($AP$7=$AL$11,'[4]2 trim 2016 BIOGROUP'!$S$33/3+'[4]2 trim 2016 BIOGROUP'!$S$34/3,IF($AP$7=$AL$12,'[4]2 trim 2016 BIOGROUP'!$S$33/3+'[4]2 trim 2016 BIOGROUP'!$S$34/3,""))))))</f>
        <v>0</v>
      </c>
      <c r="AQ27" s="431">
        <f>IF($AQ$7=$AL$7,'[4]1 trim 2016 BIOGROUP'!$S$33/3+'[4]1 trim 2016 BIOGROUP'!$S$34/3,IF($AQ$7=$AL$8,'[4]1 trim 2016 BIOGROUP'!$S$33/3+'[4]1 trim 2016 BIOGROUP'!$S$34/3,IF($AQ$7=$AL$9,'[4]1 trim 2016 BIOGROUP'!$S$33/3+'[4]1 trim 2016 BIOGROUP'!$S$34/3,IF($AQ$7=$AL$10,'[4]2 trim 2016 BIOGROUP'!$S$33/3+'[4]2 trim 2016 BIOGROUP'!$S$34/3,IF($AQ$7=$AL$11,'[4]2 trim 2016 BIOGROUP'!$S$33/3+'[4]2 trim 2016 BIOGROUP'!$S$34/3,IF($AQ$7=$AL$12,'[4]2 trim 2016 BIOGROUP'!$S$33/3+'[4]2 trim 2016 BIOGROUP'!$S$34/3,""))))))</f>
        <v>0</v>
      </c>
      <c r="AR27" s="431">
        <f>IF($AR$7=$AL$7,'[4]1 trim 2016 BIOGROUP'!$S$33/3+'[4]1 trim 2016 BIOGROUP'!$S$34/3,IF($AR$7=$AL$8,'[4]1 trim 2016 BIOGROUP'!$S$33/3+'[4]1 trim 2016 BIOGROUP'!$S$34/3,IF($AR$7=$AL$9,'[4]1 trim 2016 BIOGROUP'!$S$33/3+'[4]1 trim 2016 BIOGROUP'!$S$34/3,IF($AR$7=$AL$10,'[4]2 trim 2016 BIOGROUP'!$S$33/3+'[4]2 trim 2016 BIOGROUP'!$S$34/3,IF($AR$7=$AL$11,'[4]2 trim 2016 BIOGROUP'!$S$33/3+'[4]2 trim 2016 BIOGROUP'!$S$34/3,IF($AR$7=$AL$12,'[4]2 trim 2016 BIOGROUP'!$S$33/3+'[4]2 trim 2016 BIOGROUP'!$S$34/3,""))))))</f>
        <v>0</v>
      </c>
      <c r="AS27" s="431">
        <f>IF($AS$7=$AL$7,'[4]1 trim 2016 BIOGROUP'!$S$33/3+'[4]1 trim 2016 BIOGROUP'!$S$34/3,IF($AS$7=$AL$8,'[4]1 trim 2016 BIOGROUP'!$S$33/3+'[4]1 trim 2016 BIOGROUP'!$S$34/3,IF($AS$7=$AL$9,'[4]1 trim 2016 BIOGROUP'!$S$33/3+'[4]1 trim 2016 BIOGROUP'!$S$34/3,IF($AS$7=$AL$10,'[4]2 trim 2016 BIOGROUP'!$S$33/3+'[4]2 trim 2016 BIOGROUP'!$S$34/3,IF($AS$7=$AL$11,'[4]2 trim 2016 BIOGROUP'!$S$33/3+'[4]2 trim 2016 BIOGROUP'!$S$34/3,IF($AS$7=$AL$12,'[4]2 trim 2016 BIOGROUP'!$S$33/3+'[4]2 trim 2016 BIOGROUP'!$S$34/3,""))))))</f>
        <v>0</v>
      </c>
      <c r="AT27" s="431">
        <f>IF($AT$7=$AL$7,'[4]1 trim 2016 BIOGROUP'!$S$33/3+'[4]1 trim 2016 BIOGROUP'!$S$34/3,IF($AT$7=$AL$8,'[4]1 trim 2016 BIOGROUP'!$S$33/3+'[4]1 trim 2016 BIOGROUP'!$S$34/3,IF($AT$7=$AL$9,'[4]1 trim 2016 BIOGROUP'!$S$33/3+'[4]1 trim 2016 BIOGROUP'!$S$34/3,IF($AT$7=$AL$10,'[4]2 trim 2016 BIOGROUP'!$S$33/3+'[4]2 trim 2016 BIOGROUP'!$S$34/3,IF($AT$7=$AL$11,'[4]2 trim 2016 BIOGROUP'!$S$33/3+'[4]2 trim 2016 BIOGROUP'!$S$34/3,IF($AT$7=$AL$12,'[4]2 trim 2016 BIOGROUP'!$S$33/3+'[4]2 trim 2016 BIOGROUP'!$S$34/3,""))))))</f>
        <v>0</v>
      </c>
      <c r="AU27" s="431">
        <f>IF($AU$7=$AL$13,'[4]3 trim 2016 BIOGROUP'!$S$33/3+'[4]3 trim 2016 BIOGROUP'!$S$34/3,IF($AU$7=$AL$14,'[4]3 trim 2016 BIOGROUP'!$S$33/3+'[4]3 trim 2016 BIOGROUP'!$S$34/3,IF($AU$7=$AL$15,'[4]3 trim 2016 BIOGROUP'!$S$33/3+'[4]3 trim 2016 BIOGROUP'!$S$34/3,IF($AU$7=$AL$16,'[4]4 trim 2016 BIOGROUP'!$S$33/3+'[4]4 trim 2016 BIOGROUP'!$S$34/3,IF($AU$7=$AL$18,'[4]4 trim 2016 BIOGROUP'!$S$33/3+'[4]4 trim 2016 BIOGROUP'!$S$34/3,IF($AU$7=$AL$19,'[4]4 trim 2016 BIOGROUP'!$S$33/3+'[4]4 trim 2016 BIOGROUP'!$S$34/3,""))))))</f>
        <v>0</v>
      </c>
      <c r="AV27" s="431">
        <f>IF($AV$7=$AL$13,'[4]3 trim 2016 BIOGROUP'!$S$33/3+'[4]3 trim 2016 BIOGROUP'!$S$34/3,IF($AV$7=$AL$14,'[4]3 trim 2016 BIOGROUP'!$S$33/3+'[4]3 trim 2016 BIOGROUP'!$S$34/3,IF($AV$7=$AL$15,'[4]3 trim 2016 BIOGROUP'!$S$33/3+'[4]3 trim 2016 BIOGROUP'!$S$34/3,IF($AV$7=$AL$16,'[4]4 trim 2016 BIOGROUP'!$S$33/3+'[4]4 trim 2016 BIOGROUP'!$S$34/3,IF($AV$7=$AL$18,'[4]4 trim 2016 BIOGROUP'!$S$33/3+'[4]4 trim 2016 BIOGROUP'!$S$34/3,IF($AV$7=$AL$19,'[4]4 trim 2016 BIOGROUP'!$S$33/3+'[4]4 trim 2016 BIOGROUP'!$S$34/3,""))))))</f>
        <v>0</v>
      </c>
      <c r="AW27" s="431">
        <f>IF($AW$7=$AL$13,'[4]3 trim 2016 BIOGROUP'!$S$33/3+'[4]3 trim 2016 BIOGROUP'!$S$34/3,IF($AW$7=$AL$14,'[4]3 trim 2016 BIOGROUP'!$S$33/3+'[4]3 trim 2016 BIOGROUP'!$S$34/3,IF($AW$7=$AL$15,'[4]3 trim 2016 BIOGROUP'!$S$33/3+'[4]3 trim 2016 BIOGROUP'!$S$34/3,IF($AW$7=$AL$16,'[4]4 trim 2016 BIOGROUP'!$S$33/3+'[4]4 trim 2016 BIOGROUP'!$S$34/3,IF($AW$7=$AL$18,'[4]4 trim 2016 BIOGROUP'!$S$33/3+'[4]4 trim 2016 BIOGROUP'!$S$34/3,IF($AW$7=$AL$19,'[4]4 trim 2016 BIOGROUP'!$S$33/3+'[4]4 trim 2016 BIOGROUP'!$S$34/3,""))))))</f>
        <v>0</v>
      </c>
      <c r="AX27" s="431">
        <f>IF($AX$7=$AL$13,'[4]3 trim 2016 BIOGROUP'!$S$33/3+'[4]3 trim 2016 BIOGROUP'!$S$34/3,IF($AX$7=$AL$14,'[4]3 trim 2016 BIOGROUP'!$S$33/3+'[4]3 trim 2016 BIOGROUP'!$S$34/3,IF($AX$7=$AL$15,'[4]3 trim 2016 BIOGROUP'!$S$33/3+'[4]3 trim 2016 BIOGROUP'!$S$34/3,IF($AX$7=$AL$16,'[4]4 trim 2016 BIOGROUP'!$S$33/3+'[4]4 trim 2016 BIOGROUP'!$S$34/3,IF($AX$7=$AL$18,'[4]4 trim 2016 BIOGROUP'!$S$33/3+'[4]4 trim 2016 BIOGROUP'!$S$34/3,IF($AX$7=$AL$19,'[4]4 trim 2016 BIOGROUP'!$S$33/3+'[4]4 trim 2016 BIOGROUP'!$S$34/3,""))))))</f>
        <v>0</v>
      </c>
      <c r="AY27" s="431">
        <f>IF($AY$7=$AL$13,'[4]3 trim 2016 BIOGROUP'!$S$33/3+'[4]3 trim 2016 BIOGROUP'!$S$34/3,IF($AY$7=$AL$14,'[4]3 trim 2016 BIOGROUP'!$S$33/3+'[4]3 trim 2016 BIOGROUP'!$S$34/3,IF($AY$7=$AL$15,'[4]3 trim 2016 BIOGROUP'!$S$33/3+'[4]3 trim 2016 BIOGROUP'!$S$34/3,IF($AY$7=$AL$16,'[4]4 trim 2016 BIOGROUP'!$S$33/3+'[4]4 trim 2016 BIOGROUP'!$S$34/3,IF($AY$7=$AL$18,'[4]4 trim 2016 BIOGROUP'!$S$33/3+'[4]4 trim 2016 BIOGROUP'!$S$34/3,IF($AY$7=$AL$19,'[4]4 trim 2016 BIOGROUP'!$S$33/3+'[4]4 trim 2016 BIOGROUP'!$S$34/3,""))))))</f>
        <v>0</v>
      </c>
      <c r="AZ27" s="431">
        <f>IF($AZ$7=$AL$13,'[4]3 trim 2016 BIOGROUP'!$S$33/3+'[4]3 trim 2016 BIOGROUP'!$S$34/3,IF($AZ$7=$AL$14,'[4]3 trim 2016 BIOGROUP'!$S$33/3+'[4]3 trim 2016 BIOGROUP'!$S$34/3,IF($AZ$7=$AL$15,'[4]3 trim 2016 BIOGROUP'!$S$33/3+'[4]3 trim 2016 BIOGROUP'!$S$34/3,IF($AZ$7=$AL$16,'[4]4 trim 2016 BIOGROUP'!$S$33/3+'[4]4 trim 2016 BIOGROUP'!$S$34/3,IF($AZ$7=$AL$18,'[4]4 trim 2016 BIOGROUP'!$S$33/3+'[4]4 trim 2016 BIOGROUP'!$S$34/3,IF($AZ$7=$AL$19,'[4]4 trim 2016 BIOGROUP'!$S$33/3+'[4]4 trim 2016 BIOGROUP'!$S$34/3,""))))))</f>
        <v>0</v>
      </c>
      <c r="BB27" s="511">
        <f t="shared" si="5"/>
        <v>0</v>
      </c>
      <c r="BC27" s="750"/>
    </row>
    <row r="28" spans="1:55" ht="26.15" customHeight="1">
      <c r="A28" s="575"/>
      <c r="B28" s="548">
        <v>654</v>
      </c>
      <c r="C28" s="451" t="s">
        <v>92</v>
      </c>
      <c r="D28" s="439"/>
      <c r="E28" s="451" t="s">
        <v>93</v>
      </c>
      <c r="F28" s="577"/>
      <c r="G28" s="476"/>
      <c r="H28" s="591">
        <f>+G28/G7</f>
        <v>0</v>
      </c>
      <c r="J28" s="501">
        <v>0</v>
      </c>
      <c r="K28" s="530" t="str">
        <f t="shared" si="6"/>
        <v/>
      </c>
      <c r="L28" s="431"/>
      <c r="M28" s="755">
        <f>AG28/3</f>
        <v>0</v>
      </c>
      <c r="N28" s="518" t="str">
        <f t="shared" si="1"/>
        <v/>
      </c>
      <c r="O28" s="592"/>
      <c r="P28" s="621"/>
      <c r="Q28" s="607"/>
      <c r="R28" s="622"/>
      <c r="S28" s="607"/>
      <c r="T28" s="622"/>
      <c r="U28" s="607"/>
      <c r="V28" s="622"/>
      <c r="W28" s="607"/>
      <c r="X28" s="622"/>
      <c r="Y28" s="607"/>
      <c r="Z28" s="622"/>
      <c r="AA28" s="609"/>
      <c r="AB28" s="476"/>
      <c r="AC28" s="591">
        <f>AB28/AB7</f>
        <v>0</v>
      </c>
      <c r="AD28" s="501">
        <v>0</v>
      </c>
      <c r="AE28" s="518" t="str">
        <f t="shared" si="3"/>
        <v/>
      </c>
      <c r="AG28" s="755">
        <v>0</v>
      </c>
      <c r="AH28" s="518" t="str">
        <f t="shared" si="4"/>
        <v/>
      </c>
      <c r="AL28" s="435"/>
      <c r="AM28" s="451" t="s">
        <v>93</v>
      </c>
      <c r="AN28" s="747"/>
      <c r="BB28" s="511">
        <f t="shared" si="5"/>
        <v>0</v>
      </c>
      <c r="BC28" s="750"/>
    </row>
    <row r="29" spans="1:55" ht="37.5" customHeight="1">
      <c r="A29" s="575"/>
      <c r="B29" s="548"/>
      <c r="C29" s="452" t="s">
        <v>94</v>
      </c>
      <c r="D29" s="439"/>
      <c r="E29" s="452" t="s">
        <v>117</v>
      </c>
      <c r="F29" s="577"/>
      <c r="G29" s="479">
        <v>-1461854</v>
      </c>
      <c r="H29" s="623">
        <f>+G29/G7</f>
        <v>-0.61188481017956553</v>
      </c>
      <c r="J29" s="502">
        <f>+J11+J15+J21+J23+J28</f>
        <v>0</v>
      </c>
      <c r="K29" s="534" t="str">
        <f t="shared" si="6"/>
        <v/>
      </c>
      <c r="L29" s="431"/>
      <c r="M29" s="479">
        <f>+M11+M15+M21+M23+M28</f>
        <v>0</v>
      </c>
      <c r="N29" s="520" t="str">
        <f>IF(ISERROR((G29-M29)/M29),"",(G29-M29)/M29)</f>
        <v/>
      </c>
      <c r="O29" s="624"/>
      <c r="P29" s="625"/>
      <c r="Q29" s="594" t="e">
        <f>+#REF!+'31 dec 2016 BIOLAM'!AT35</f>
        <v>#REF!</v>
      </c>
      <c r="R29" s="517"/>
      <c r="S29" s="594" t="e">
        <f>+'31 dec 2016 BIOLAM'!AV35+#REF!</f>
        <v>#REF!</v>
      </c>
      <c r="T29" s="517"/>
      <c r="U29" s="594" t="e">
        <f>+'31 dec 2016 BIOLAM'!AX35+#REF!</f>
        <v>#REF!</v>
      </c>
      <c r="V29" s="517"/>
      <c r="W29" s="594" t="e">
        <f>+'31 dec 2016 BIOLAM'!AZ35+#REF!</f>
        <v>#REF!</v>
      </c>
      <c r="X29" s="517"/>
      <c r="Y29" s="594" t="e">
        <f t="shared" si="16"/>
        <v>#REF!</v>
      </c>
      <c r="Z29" s="517"/>
      <c r="AA29" s="626" t="e">
        <f>+G29-Y29</f>
        <v>#REF!</v>
      </c>
      <c r="AB29" s="479">
        <v>-2913292</v>
      </c>
      <c r="AC29" s="623">
        <f>AB29/AB7</f>
        <v>-0.74491352786420972</v>
      </c>
      <c r="AD29" s="502">
        <f>+AD11+AD15+AD21+AD23+AD28</f>
        <v>0</v>
      </c>
      <c r="AE29" s="520" t="str">
        <f t="shared" si="3"/>
        <v/>
      </c>
      <c r="AG29" s="479">
        <f>+AG11+AG15+AG21+AG23+AG28</f>
        <v>0</v>
      </c>
      <c r="AH29" s="520" t="str">
        <f t="shared" si="4"/>
        <v/>
      </c>
      <c r="AJ29" s="627"/>
      <c r="AL29" s="435"/>
      <c r="AM29" s="452" t="s">
        <v>117</v>
      </c>
      <c r="AN29" s="747"/>
      <c r="AO29" s="741">
        <f>+AO11+AO15+AO21+AO23+AO28</f>
        <v>-147680.95264999999</v>
      </c>
      <c r="AP29" s="741">
        <f t="shared" ref="AP29:AZ29" si="17">+AP11+AP15+AP21+AP23+AP28</f>
        <v>-147680.95264999999</v>
      </c>
      <c r="AQ29" s="741">
        <f t="shared" si="17"/>
        <v>-147680.95264999999</v>
      </c>
      <c r="AR29" s="741">
        <f t="shared" si="17"/>
        <v>-147680.95264999999</v>
      </c>
      <c r="AS29" s="741">
        <f t="shared" si="17"/>
        <v>-147680.95264999999</v>
      </c>
      <c r="AT29" s="741">
        <f t="shared" si="17"/>
        <v>-147680.95264999999</v>
      </c>
      <c r="AU29" s="741">
        <f t="shared" si="17"/>
        <v>-147680.95264999999</v>
      </c>
      <c r="AV29" s="741">
        <f t="shared" si="17"/>
        <v>-147680.95264999999</v>
      </c>
      <c r="AW29" s="741">
        <f t="shared" si="17"/>
        <v>-147680.95264999999</v>
      </c>
      <c r="AX29" s="741">
        <f t="shared" si="17"/>
        <v>-147680.95264999999</v>
      </c>
      <c r="AY29" s="741">
        <f t="shared" si="17"/>
        <v>-147680.95264999999</v>
      </c>
      <c r="AZ29" s="741">
        <f t="shared" si="17"/>
        <v>-147680.95264999999</v>
      </c>
      <c r="BB29" s="748">
        <f t="shared" si="5"/>
        <v>2913292</v>
      </c>
      <c r="BC29" s="752"/>
    </row>
    <row r="30" spans="1:55" s="439" customFormat="1" ht="33" customHeight="1">
      <c r="A30" s="628"/>
      <c r="B30" s="629"/>
      <c r="C30" s="453" t="s">
        <v>125</v>
      </c>
      <c r="D30" s="630"/>
      <c r="E30" s="453" t="s">
        <v>126</v>
      </c>
      <c r="F30" s="631"/>
      <c r="G30" s="480">
        <v>44918</v>
      </c>
      <c r="H30" s="632">
        <f>G30/G7</f>
        <v>1.8801222217571471E-2</v>
      </c>
      <c r="I30" s="431"/>
      <c r="J30" s="503">
        <f>-SUMIF($AO$7:$AZ$7,$G$6,AO30:AZ30)</f>
        <v>0</v>
      </c>
      <c r="K30" s="535" t="str">
        <f t="shared" si="6"/>
        <v/>
      </c>
      <c r="L30" s="431"/>
      <c r="M30" s="757">
        <f>AG30/3</f>
        <v>0</v>
      </c>
      <c r="N30" s="527" t="str">
        <f t="shared" si="1"/>
        <v/>
      </c>
      <c r="O30" s="634"/>
      <c r="P30" s="635" t="s">
        <v>61</v>
      </c>
      <c r="Q30" s="636" t="e">
        <f>+#REF!+'31 dec 2016 BIOLAM'!AT36</f>
        <v>#REF!</v>
      </c>
      <c r="R30" s="637" t="e">
        <f>Q30/Q$7</f>
        <v>#REF!</v>
      </c>
      <c r="S30" s="636" t="e">
        <f>+'31 dec 2016 BIOLAM'!AV36+#REF!</f>
        <v>#REF!</v>
      </c>
      <c r="T30" s="637" t="e">
        <f>S30/S$7</f>
        <v>#REF!</v>
      </c>
      <c r="U30" s="636" t="e">
        <f>+'31 dec 2016 BIOLAM'!AX36+#REF!</f>
        <v>#REF!</v>
      </c>
      <c r="V30" s="637" t="e">
        <f>U30/U$7</f>
        <v>#REF!</v>
      </c>
      <c r="W30" s="636" t="e">
        <f>+'31 dec 2016 BIOLAM'!AZ36+#REF!</f>
        <v>#REF!</v>
      </c>
      <c r="X30" s="637" t="e">
        <f>W30/W$7</f>
        <v>#REF!</v>
      </c>
      <c r="Y30" s="638" t="e">
        <f t="shared" si="16"/>
        <v>#REF!</v>
      </c>
      <c r="Z30" s="637" t="e">
        <f>Y30/Y$7</f>
        <v>#REF!</v>
      </c>
      <c r="AA30" s="639" t="e">
        <f>+G30-Y30</f>
        <v>#REF!</v>
      </c>
      <c r="AB30" s="480">
        <v>44918</v>
      </c>
      <c r="AC30" s="632">
        <f>AB30/AB7</f>
        <v>1.1485297678572752E-2</v>
      </c>
      <c r="AD30" s="503">
        <f>-SUMIF($AO$7:$AZ$7,"&lt;="&amp;$AC$6,AO30:AZ30)</f>
        <v>0</v>
      </c>
      <c r="AE30" s="521" t="str">
        <f t="shared" si="3"/>
        <v/>
      </c>
      <c r="AF30" s="431"/>
      <c r="AG30" s="757"/>
      <c r="AH30" s="527" t="str">
        <f t="shared" si="4"/>
        <v/>
      </c>
      <c r="AM30" s="453" t="s">
        <v>126</v>
      </c>
      <c r="AN30" s="747"/>
      <c r="AO30" s="431">
        <f>IF($AO$7=$AL$7,'[4]1 trim 2016 BIOGROUP'!$S$36/3,IF($AO$7=$AL$8,'[4]1 trim 2016 BIOGROUP'!$S$36/3,IF($AO$7=$AL$9,'[4]1 trim 2016 BIOGROUP'!$S$36/3,IF($AO$7=$AL$10,'[4]2 trim 2016 BIOGROUP'!$S$36/3,IF($AO$7=$AL$11,'[4]2 trim 2016 BIOGROUP'!$S$36/3,IF($AO$7=$AL$12,'[4]2 trim 2016 BIOGROUP'!$S$36/3,""))))))</f>
        <v>-3416.60275</v>
      </c>
      <c r="AP30" s="431">
        <f>IF($AP$7=$AL$7,'[4]1 trim 2016 BIOGROUP'!$S$36/3,IF($AP$7=$AL$8,'[4]1 trim 2016 BIOGROUP'!$S$36/3,IF($AP$7=$AL$9,'[4]1 trim 2016 BIOGROUP'!$S$36/3,IF($AP$7=$AL$10,'[4]2 trim 2016 BIOGROUP'!$S$36/3,IF($AP$7=$AL$11,'[4]2 trim 2016 BIOGROUP'!$S$36/3,IF($AP$7=$AL$12,'[4]2 trim 2016 BIOGROUP'!$S$36/3,""))))))</f>
        <v>-3416.60275</v>
      </c>
      <c r="AQ30" s="431">
        <f>IF($AQ$7=$AL$7,'[4]1 trim 2016 BIOGROUP'!$S$36/3,IF($AQ$7=$AL$8,'[4]1 trim 2016 BIOGROUP'!$S$36/3,IF($AQ$7=$AL$9,'[4]1 trim 2016 BIOGROUP'!$S$36/3,IF($AQ$7=$AL$10,'[4]2 trim 2016 BIOGROUP'!$S$36/3,IF($AQ$7=$AL$11,'[4]2 trim 2016 BIOGROUP'!$S$36/3,IF($AQ$7=$AL$12,'[4]2 trim 2016 BIOGROUP'!$S$36/3,""))))))</f>
        <v>-3416.60275</v>
      </c>
      <c r="AR30" s="431">
        <f>IF($AR$7=$AL$7,'[4]1 trim 2016 BIOGROUP'!$S$36/3,IF($AR$7=$AL$8,'[4]1 trim 2016 BIOGROUP'!$S$36/3,IF($AR$7=$AL$9,'[4]1 trim 2016 BIOGROUP'!$S$36/3,IF($AR$7=$AL$10,'[4]2 trim 2016 BIOGROUP'!$S$36/3,IF($AR$7=$AL$11,'[4]2 trim 2016 BIOGROUP'!$S$36/3,IF($AR$7=$AL$12,'[4]2 trim 2016 BIOGROUP'!$S$36/3,""))))))</f>
        <v>-3416.60275</v>
      </c>
      <c r="AS30" s="431">
        <f>IF($AS$7=$AL$7,'[4]1 trim 2016 BIOGROUP'!$S$36/3,IF($AS$7=$AL$8,'[4]1 trim 2016 BIOGROUP'!$S$36/3,IF($AS$7=$AL$9,'[4]1 trim 2016 BIOGROUP'!$S$36/3,IF($AS$7=$AL$10,'[4]2 trim 2016 BIOGROUP'!$S$36/3,IF($AS$7=$AL$11,'[4]2 trim 2016 BIOGROUP'!$S$36/3,IF($AS$7=$AL$12,'[4]2 trim 2016 BIOGROUP'!$S$36/3,""))))))</f>
        <v>-3416.60275</v>
      </c>
      <c r="AT30" s="431">
        <f>IF($AT$7=$AL$7,'[4]1 trim 2016 BIOGROUP'!$S$36/3,IF($AT$7=$AL$8,'[4]1 trim 2016 BIOGROUP'!$S$36/3,IF($AT$7=$AL$9,'[4]1 trim 2016 BIOGROUP'!$S$36/3,IF($AT$7=$AL$10,'[4]2 trim 2016 BIOGROUP'!$S$36/3,IF($AT$7=$AL$11,'[4]2 trim 2016 BIOGROUP'!$S$36/3,IF($AT$7=$AL$12,'[4]2 trim 2016 BIOGROUP'!$S$36/3,""))))))</f>
        <v>-3416.60275</v>
      </c>
      <c r="AU30" s="431">
        <f>IF($AU$7=$AL$13,'[4]3 trim 2016 BIOGROUP'!$S$36/3,IF($AU$7=$AL$14,'[4]3 trim 2016 BIOGROUP'!$S$36/3,IF($AU$7=$AL$15,'[4]3 trim 2016 BIOGROUP'!$S$36/3,IF($AU$7=$AL$16,'[4]4 trim 2016 BIOGROUP'!$S$36/3,IF($AU$7=$AL$18,'[4]4 trim 2016 BIOGROUP'!$S$36/3,IF($AU$7=$AL$19,'[4]4 trim 2016 BIOGROUP'!$S$36/3,""))))))</f>
        <v>-3416.60275</v>
      </c>
      <c r="AV30" s="431">
        <f>IF($AV$7=$AL$13,'[4]3 trim 2016 BIOGROUP'!$S$36/3,IF($AV$7=$AL$14,'[4]3 trim 2016 BIOGROUP'!$S$36/3,IF($AV$7=$AL$15,'[4]3 trim 2016 BIOGROUP'!$S$36/3,IF($AV$7=$AL$16,'[4]4 trim 2016 BIOGROUP'!$S$36/3,IF($AV$7=$AL$18,'[4]4 trim 2016 BIOGROUP'!$S$36/3,IF($AV$7=$AL$19,'[4]4 trim 2016 BIOGROUP'!$S$36/3,""))))))</f>
        <v>-3416.60275</v>
      </c>
      <c r="AW30" s="431">
        <f>IF($AW$7=$AL$13,'[4]3 trim 2016 BIOGROUP'!$S$36/3,IF($AW$7=$AL$14,'[4]3 trim 2016 BIOGROUP'!$S$36/3,IF($AW$7=$AL$15,'[4]3 trim 2016 BIOGROUP'!$S$36/3,IF($AW$7=$AL$16,'[4]4 trim 2016 BIOGROUP'!$S$36/3,IF($AW$7=$AL$18,'[4]4 trim 2016 BIOGROUP'!$S$36/3,IF($AW$7=$AL$19,'[4]4 trim 2016 BIOGROUP'!$S$36/3,""))))))</f>
        <v>-3416.60275</v>
      </c>
      <c r="AX30" s="431">
        <f>IF($AX$7=$AL$13,'[4]3 trim 2016 BIOGROUP'!$S$36/3,IF($AX$7=$AL$14,'[4]3 trim 2016 BIOGROUP'!$S$36/3,IF($AX$7=$AL$15,'[4]3 trim 2016 BIOGROUP'!$S$36/3,IF($AX$7=$AL$16,'[4]4 trim 2016 BIOGROUP'!$S$36/3,IF($AX$7=$AL$18,'[4]4 trim 2016 BIOGROUP'!$S$36/3,IF($AX$7=$AL$19,'[4]4 trim 2016 BIOGROUP'!$S$36/3,""))))))</f>
        <v>-3416.60275</v>
      </c>
      <c r="AY30" s="431">
        <f>IF($AY$7=$AL$13,'[4]3 trim 2016 BIOGROUP'!$S$36/3,IF($AY$7=$AL$14,'[4]3 trim 2016 BIOGROUP'!$S$36/3,IF($AY$7=$AL$15,'[4]3 trim 2016 BIOGROUP'!$S$36/3,IF($AY$7=$AL$16,'[4]4 trim 2016 BIOGROUP'!$S$36/3,IF($AY$7=$AL$18,'[4]4 trim 2016 BIOGROUP'!$S$36/3,IF($AY$7=$AL$19,'[4]4 trim 2016 BIOGROUP'!$S$36/3,""))))))</f>
        <v>-3416.60275</v>
      </c>
      <c r="AZ30" s="431">
        <f>IF($AZ$7=$AL$13,'[4]3 trim 2016 BIOGROUP'!$S$36/3,IF($AZ$7=$AL$14,'[4]3 trim 2016 BIOGROUP'!$S$36/3,IF($AZ$7=$AL$15,'[4]3 trim 2016 BIOGROUP'!$S$36/3,IF($AZ$7=$AL$16,'[4]4 trim 2016 BIOGROUP'!$S$36/3,IF($AZ$7=$AL$18,'[4]4 trim 2016 BIOGROUP'!$S$36/3,IF($AZ$7=$AL$19,'[4]4 trim 2016 BIOGROUP'!$S$36/3,""))))))</f>
        <v>-3416.60275</v>
      </c>
      <c r="BB30" s="511">
        <f t="shared" si="5"/>
        <v>44918</v>
      </c>
      <c r="BC30" s="749"/>
    </row>
    <row r="31" spans="1:55" ht="26.15" customHeight="1">
      <c r="A31" s="565"/>
      <c r="B31" s="566"/>
      <c r="C31" s="454" t="s">
        <v>97</v>
      </c>
      <c r="D31" s="439"/>
      <c r="E31" s="454" t="s">
        <v>12</v>
      </c>
      <c r="G31" s="481">
        <v>972164</v>
      </c>
      <c r="H31" s="641">
        <f>G31/G7</f>
        <v>0.40691641203800594</v>
      </c>
      <c r="J31" s="504">
        <f>J7+J29+J30</f>
        <v>0</v>
      </c>
      <c r="K31" s="505" t="str">
        <f t="shared" si="6"/>
        <v/>
      </c>
      <c r="L31" s="431"/>
      <c r="M31" s="481">
        <f>M7+M29+M30</f>
        <v>0</v>
      </c>
      <c r="N31" s="522" t="str">
        <f t="shared" si="1"/>
        <v/>
      </c>
      <c r="O31" s="580"/>
      <c r="P31" s="611" t="s">
        <v>12</v>
      </c>
      <c r="Q31" s="618" t="e">
        <f>+Q7-Q11-Q15-Q21-Q23</f>
        <v>#REF!</v>
      </c>
      <c r="R31" s="517" t="e">
        <f>Q31/Q$7</f>
        <v>#REF!</v>
      </c>
      <c r="S31" s="618" t="e">
        <f>+S7-S11-S15-S21-S23</f>
        <v>#REF!</v>
      </c>
      <c r="T31" s="517" t="e">
        <f>S31/S$7</f>
        <v>#REF!</v>
      </c>
      <c r="U31" s="618" t="e">
        <f>+U7-U11-U15-U21-U23</f>
        <v>#REF!</v>
      </c>
      <c r="V31" s="517" t="e">
        <f>U31/U$7</f>
        <v>#REF!</v>
      </c>
      <c r="W31" s="618" t="e">
        <f>+W7-W11-W15-W21-W23</f>
        <v>#REF!</v>
      </c>
      <c r="X31" s="517" t="e">
        <f>W31/W$7</f>
        <v>#REF!</v>
      </c>
      <c r="Y31" s="618" t="e">
        <f>+Y7-Y11-Y15-Y21-Y23</f>
        <v>#REF!</v>
      </c>
      <c r="Z31" s="517" t="e">
        <f>Y31/Y$7</f>
        <v>#REF!</v>
      </c>
      <c r="AA31" s="584" t="e">
        <f>+G31-Y31</f>
        <v>#REF!</v>
      </c>
      <c r="AB31" s="481">
        <v>1042539</v>
      </c>
      <c r="AC31" s="641">
        <f>AB31/AB7</f>
        <v>0.26657176981436304</v>
      </c>
      <c r="AD31" s="504">
        <f>AD7+AD29+AD30</f>
        <v>0</v>
      </c>
      <c r="AE31" s="522" t="str">
        <f t="shared" si="3"/>
        <v/>
      </c>
      <c r="AG31" s="481">
        <f>+AG7+AG29+AG30</f>
        <v>0</v>
      </c>
      <c r="AH31" s="522" t="str">
        <f t="shared" si="4"/>
        <v/>
      </c>
      <c r="AM31" s="454" t="s">
        <v>12</v>
      </c>
      <c r="AN31" s="747"/>
      <c r="AO31" s="741">
        <f>AO8+AO9+AO10+AO29-AO30</f>
        <v>63723.316550000025</v>
      </c>
      <c r="AP31" s="741">
        <f t="shared" ref="AP31:AZ31" si="18">AP8+AP9+AP10+AP29-AP30</f>
        <v>63723.316550000025</v>
      </c>
      <c r="AQ31" s="741">
        <f t="shared" si="18"/>
        <v>63723.316550000025</v>
      </c>
      <c r="AR31" s="741">
        <f t="shared" si="18"/>
        <v>30270.649883333339</v>
      </c>
      <c r="AS31" s="741">
        <f t="shared" si="18"/>
        <v>30270.649883333339</v>
      </c>
      <c r="AT31" s="741">
        <f t="shared" si="18"/>
        <v>30270.649883333339</v>
      </c>
      <c r="AU31" s="741">
        <f t="shared" si="18"/>
        <v>21174.649883333339</v>
      </c>
      <c r="AV31" s="741">
        <f t="shared" si="18"/>
        <v>21174.649883333339</v>
      </c>
      <c r="AW31" s="741">
        <f t="shared" si="18"/>
        <v>21174.649883333339</v>
      </c>
      <c r="AX31" s="741">
        <f t="shared" si="18"/>
        <v>40260.316550000025</v>
      </c>
      <c r="AY31" s="741">
        <f t="shared" si="18"/>
        <v>40260.316550000025</v>
      </c>
      <c r="AZ31" s="741">
        <f t="shared" si="18"/>
        <v>40260.316550000025</v>
      </c>
      <c r="BB31" s="748">
        <f t="shared" si="5"/>
        <v>1042539</v>
      </c>
      <c r="BC31" s="752"/>
    </row>
    <row r="32" spans="1:55" ht="26.15" hidden="1" customHeight="1">
      <c r="A32" s="565"/>
      <c r="B32" s="566"/>
      <c r="C32" s="455" t="s">
        <v>96</v>
      </c>
      <c r="D32" s="439"/>
      <c r="E32" s="455" t="str">
        <f>+C32</f>
        <v>EBITDA (% of net revenues)</v>
      </c>
      <c r="G32" s="483"/>
      <c r="H32" s="642"/>
      <c r="J32" s="536" t="e">
        <f>J31/J7</f>
        <v>#DIV/0!</v>
      </c>
      <c r="K32" s="536" t="str">
        <f t="shared" si="6"/>
        <v/>
      </c>
      <c r="L32" s="431"/>
      <c r="M32" s="758"/>
      <c r="N32" s="517" t="str">
        <f t="shared" si="1"/>
        <v/>
      </c>
      <c r="O32" s="580"/>
      <c r="P32" s="644"/>
      <c r="Q32" s="645"/>
      <c r="R32" s="517"/>
      <c r="S32" s="645"/>
      <c r="T32" s="517"/>
      <c r="U32" s="645"/>
      <c r="V32" s="517"/>
      <c r="W32" s="645"/>
      <c r="X32" s="517"/>
      <c r="Y32" s="645"/>
      <c r="Z32" s="517"/>
      <c r="AA32" s="584"/>
      <c r="AB32" s="482"/>
      <c r="AC32" s="641"/>
      <c r="AD32" s="505" t="e">
        <f>AD31/AD7</f>
        <v>#DIV/0!</v>
      </c>
      <c r="AE32" s="522" t="str">
        <f t="shared" si="3"/>
        <v/>
      </c>
      <c r="AG32" s="481"/>
      <c r="AH32" s="517" t="str">
        <f t="shared" si="4"/>
        <v/>
      </c>
      <c r="AM32" s="455">
        <f>+AL32</f>
        <v>0</v>
      </c>
      <c r="AN32" s="745"/>
      <c r="BB32" s="511" t="e">
        <f t="shared" si="5"/>
        <v>#DIV/0!</v>
      </c>
      <c r="BC32" s="752"/>
    </row>
    <row r="33" spans="1:55" ht="26.15" customHeight="1">
      <c r="A33" s="565"/>
      <c r="B33" s="566"/>
      <c r="C33" s="456" t="s">
        <v>124</v>
      </c>
      <c r="D33" s="439"/>
      <c r="E33" s="456" t="s">
        <v>98</v>
      </c>
      <c r="G33" s="476">
        <v>-1</v>
      </c>
      <c r="H33" s="591">
        <f>+G33/G7</f>
        <v>-4.1856766146247539E-7</v>
      </c>
      <c r="J33" s="496">
        <f>SUM(J34:J35)</f>
        <v>0</v>
      </c>
      <c r="K33" s="530" t="str">
        <f t="shared" si="6"/>
        <v/>
      </c>
      <c r="L33" s="431"/>
      <c r="M33" s="754">
        <f>SUM(M34:M35)</f>
        <v>0</v>
      </c>
      <c r="N33" s="518" t="str">
        <f t="shared" si="1"/>
        <v/>
      </c>
      <c r="O33" s="580"/>
      <c r="P33" s="644"/>
      <c r="Q33" s="645"/>
      <c r="R33" s="517"/>
      <c r="S33" s="645"/>
      <c r="T33" s="517"/>
      <c r="U33" s="645"/>
      <c r="V33" s="517"/>
      <c r="W33" s="645"/>
      <c r="X33" s="517"/>
      <c r="Y33" s="645"/>
      <c r="Z33" s="517"/>
      <c r="AA33" s="584"/>
      <c r="AB33" s="476">
        <v>-18</v>
      </c>
      <c r="AC33" s="591">
        <f>AB33/AB7</f>
        <v>-4.6025058598848917E-6</v>
      </c>
      <c r="AD33" s="496">
        <f>SUM(AD34:AD35)</f>
        <v>0</v>
      </c>
      <c r="AE33" s="518" t="str">
        <f>IF(ISERROR((AB33-AD33)/AD33),"",(AB33-AD33)/AD33)</f>
        <v/>
      </c>
      <c r="AG33" s="754">
        <f>SUM(AG34:AG35)</f>
        <v>0</v>
      </c>
      <c r="AH33" s="518" t="str">
        <f t="shared" si="4"/>
        <v/>
      </c>
      <c r="AM33" s="456" t="s">
        <v>98</v>
      </c>
      <c r="AN33" s="747"/>
      <c r="AO33" s="741">
        <f>-SUM(AO34:AO35)</f>
        <v>0</v>
      </c>
      <c r="AP33" s="741">
        <f t="shared" ref="AP33:AZ33" si="19">-SUM(AP34:AP35)</f>
        <v>0</v>
      </c>
      <c r="AQ33" s="741">
        <f t="shared" si="19"/>
        <v>0</v>
      </c>
      <c r="AR33" s="741">
        <f t="shared" si="19"/>
        <v>0</v>
      </c>
      <c r="AS33" s="741">
        <f t="shared" si="19"/>
        <v>0</v>
      </c>
      <c r="AT33" s="741">
        <f t="shared" si="19"/>
        <v>0</v>
      </c>
      <c r="AU33" s="741">
        <f t="shared" si="19"/>
        <v>0</v>
      </c>
      <c r="AV33" s="741">
        <f t="shared" si="19"/>
        <v>0</v>
      </c>
      <c r="AW33" s="741">
        <f t="shared" si="19"/>
        <v>0</v>
      </c>
      <c r="AX33" s="741">
        <f t="shared" si="19"/>
        <v>0</v>
      </c>
      <c r="AY33" s="741">
        <f t="shared" si="19"/>
        <v>0</v>
      </c>
      <c r="AZ33" s="741">
        <f t="shared" si="19"/>
        <v>0</v>
      </c>
      <c r="BB33" s="748">
        <f t="shared" si="5"/>
        <v>18</v>
      </c>
      <c r="BC33" s="752"/>
    </row>
    <row r="34" spans="1:55" ht="26.15" customHeight="1">
      <c r="A34" s="565"/>
      <c r="B34" s="566">
        <v>758</v>
      </c>
      <c r="C34" s="457" t="s">
        <v>127</v>
      </c>
      <c r="D34" s="439"/>
      <c r="E34" s="457" t="s">
        <v>14</v>
      </c>
      <c r="G34" s="475">
        <v>0</v>
      </c>
      <c r="H34" s="578">
        <f>+G34/$G$7</f>
        <v>0</v>
      </c>
      <c r="J34" s="506">
        <v>0</v>
      </c>
      <c r="K34" s="532" t="str">
        <f t="shared" si="6"/>
        <v/>
      </c>
      <c r="L34" s="431"/>
      <c r="M34" s="759">
        <f>AG34/3</f>
        <v>0</v>
      </c>
      <c r="N34" s="517" t="str">
        <f t="shared" si="1"/>
        <v/>
      </c>
      <c r="O34" s="580"/>
      <c r="P34" s="644"/>
      <c r="Q34" s="645"/>
      <c r="R34" s="517"/>
      <c r="S34" s="645"/>
      <c r="T34" s="517"/>
      <c r="U34" s="645"/>
      <c r="V34" s="517"/>
      <c r="W34" s="645"/>
      <c r="X34" s="517"/>
      <c r="Y34" s="645"/>
      <c r="Z34" s="517"/>
      <c r="AA34" s="584"/>
      <c r="AB34" s="475">
        <v>1</v>
      </c>
      <c r="AC34" s="578">
        <f>+AB34/AB7</f>
        <v>2.5569476999360509E-7</v>
      </c>
      <c r="AD34" s="506">
        <f>-SUMIF($AO$7:$AZ$7,"&lt;="&amp;$AC$6,AO34:AZ34)</f>
        <v>0</v>
      </c>
      <c r="AE34" s="517" t="str">
        <f t="shared" ref="AE34:AE53" si="20">IF(ISERROR((AB34-AD34)/AD34),"",(AB34-AD34)/AD34)</f>
        <v/>
      </c>
      <c r="AG34" s="759"/>
      <c r="AH34" s="517" t="str">
        <f t="shared" si="4"/>
        <v/>
      </c>
      <c r="AM34" s="457" t="s">
        <v>14</v>
      </c>
      <c r="AN34" s="747"/>
      <c r="AO34" s="431">
        <f>IF($AO$7=$AL$7,'[4]1 trim 2016 BIOGROUP'!$S$42/3,IF($AO$7=$AL$8,'[4]1 trim 2016 BIOGROUP'!$S$42/3,IF($AO$7=$AL$9,'[4]1 trim 2016 BIOGROUP'!$S$42/3,IF($AO$7=$AL$10,'[4]2 trim 2016 BIOGROUP'!$S$42/3,IF($AO$7=$AL$11,'[4]2 trim 2016 BIOGROUP'!$S$42/3,IF($AO$7=$AL$12,'[4]2 trim 2016 BIOGROUP'!$S$42/3,""))))))</f>
        <v>0</v>
      </c>
      <c r="AP34" s="431">
        <f>IF($AP$7=$AL$7,'[4]1 trim 2016 BIOGROUP'!$S$42/3,IF($AP$7=$AL$8,'[4]1 trim 2016 BIOGROUP'!$S$42/3,IF($AP$7=$AL$9,'[4]1 trim 2016 BIOGROUP'!$S$42/3,IF($AP$7=$AL$10,'[4]2 trim 2016 BIOGROUP'!$S$42/3,IF($AP$7=$AL$11,'[4]2 trim 2016 BIOGROUP'!$S$42/3,IF($AP$7=$AL$12,'[4]2 trim 2016 BIOGROUP'!$S$42/3,""))))))</f>
        <v>0</v>
      </c>
      <c r="AQ34" s="431">
        <f>IF($AQ$7=$AL$7,'[4]1 trim 2016 BIOGROUP'!$S$42/3,IF($AQ$7=$AL$8,'[4]1 trim 2016 BIOGROUP'!$S$42/3,IF($AQ$7=$AL$9,'[4]1 trim 2016 BIOGROUP'!$S$42/3,IF($AQ$7=$AL$10,'[4]2 trim 2016 BIOGROUP'!$S$42/3,IF($AQ$7=$AL$11,'[4]2 trim 2016 BIOGROUP'!$S$42/3,IF($AQ$7=$AL$12,'[4]2 trim 2016 BIOGROUP'!$S$42/3,""))))))</f>
        <v>0</v>
      </c>
      <c r="AR34" s="431">
        <f>IF($AR$7=$AL$7,'[4]1 trim 2016 BIOGROUP'!$S$42/3,IF($AR$7=$AL$8,'[4]1 trim 2016 BIOGROUP'!$S$42/3,IF($AR$7=$AL$9,'[4]1 trim 2016 BIOGROUP'!$S$42/3,IF($AR$7=$AL$10,'[4]2 trim 2016 BIOGROUP'!$S$42/3,IF($AR$7=$AL$11,'[4]2 trim 2016 BIOGROUP'!$S$42/3,IF($AR$7=$AL$12,'[4]2 trim 2016 BIOGROUP'!$S$42/3,""))))))</f>
        <v>0</v>
      </c>
      <c r="AS34" s="431">
        <f>IF($AS$7=$AL$7,'[4]1 trim 2016 BIOGROUP'!$S$42/3,IF($AS$7=$AL$8,'[4]1 trim 2016 BIOGROUP'!$S$42/3,IF($AS$7=$AL$9,'[4]1 trim 2016 BIOGROUP'!$S$42/3,IF($AS$7=$AL$10,'[4]2 trim 2016 BIOGROUP'!$S$42/3,IF($AS$7=$AL$11,'[4]2 trim 2016 BIOGROUP'!$S$42/3,IF($AS$7=$AL$12,'[4]2 trim 2016 BIOGROUP'!$S$42/3,""))))))</f>
        <v>0</v>
      </c>
      <c r="AT34" s="431">
        <f>IF($AT$7=$AL$7,'[4]1 trim 2016 BIOGROUP'!$S$42/3,IF($AT$7=$AL$8,'[4]1 trim 2016 BIOGROUP'!$S$42/3,IF($AT$7=$AL$9,'[4]1 trim 2016 BIOGROUP'!$S$42/3,IF($AT$7=$AL$10,'[4]2 trim 2016 BIOGROUP'!$S$42/3,IF($AT$7=$AL$11,'[4]2 trim 2016 BIOGROUP'!$S$42/3,IF($AT$7=$AL$12,'[4]2 trim 2016 BIOGROUP'!$S$42/3,""))))))</f>
        <v>0</v>
      </c>
      <c r="AU34" s="431">
        <f>IF($AU$7=$AL$13,'[4]3 trim 2016 BIOGROUP'!$S$42/3,IF($AU$7=$AL$14,'[4]3 trim 2016 BIOGROUP'!$S$42/3,IF($AU$7=$AL$15,'[4]3 trim 2016 BIOGROUP'!$S$42/3,IF($AU$7=$AL$16,'[4]4 trim 2016 BIOGROUP'!$S$42/3,IF($AU$7=$AL$18,'[4]4 trim 2016 BIOGROUP'!$S$42/3,IF($AU$7=$AL$19,'[4]4 trim 2016 BIOGROUP'!$S$42/3,""))))))</f>
        <v>0</v>
      </c>
      <c r="AV34" s="431">
        <f>IF($AV$7=$AL$13,'[4]3 trim 2016 BIOGROUP'!$S$42/3,IF($AV$7=$AL$14,'[4]3 trim 2016 BIOGROUP'!$S$42/3,IF($AV$7=$AL$15,'[4]3 trim 2016 BIOGROUP'!$S$42/3,IF($AV$7=$AL$16,'[4]4 trim 2016 BIOGROUP'!$S$42/3,IF($AV$7=$AL$18,'[4]4 trim 2016 BIOGROUP'!$S$42/3,IF($AV$7=$AL$19,'[4]4 trim 2016 BIOGROUP'!$S$42/3,""))))))</f>
        <v>0</v>
      </c>
      <c r="AW34" s="431">
        <f>IF($AW$7=$AL$13,'[4]3 trim 2016 BIOGROUP'!$S$42/3,IF($AW$7=$AL$14,'[4]3 trim 2016 BIOGROUP'!$S$42/3,IF($AW$7=$AL$15,'[4]3 trim 2016 BIOGROUP'!$S$42/3,IF($AW$7=$AL$16,'[4]4 trim 2016 BIOGROUP'!$S$42/3,IF($AW$7=$AL$18,'[4]4 trim 2016 BIOGROUP'!$S$42/3,IF($AW$7=$AL$19,'[4]4 trim 2016 BIOGROUP'!$S$42/3,""))))))</f>
        <v>0</v>
      </c>
      <c r="AX34" s="431">
        <f>IF($AX$7=$AL$13,'[4]3 trim 2016 BIOGROUP'!$S$42/3,IF($AX$7=$AL$14,'[4]3 trim 2016 BIOGROUP'!$S$42/3,IF($AX$7=$AL$15,'[4]3 trim 2016 BIOGROUP'!$S$42/3,IF($AX$7=$AL$16,'[4]4 trim 2016 BIOGROUP'!$S$42/3,IF($AX$7=$AL$18,'[4]4 trim 2016 BIOGROUP'!$S$42/3,IF($AX$7=$AL$19,'[4]4 trim 2016 BIOGROUP'!$S$42/3,""))))))</f>
        <v>0</v>
      </c>
      <c r="AY34" s="431">
        <f>IF($AY$7=$AL$13,'[4]3 trim 2016 BIOGROUP'!$S$42/3,IF($AY$7=$AL$14,'[4]3 trim 2016 BIOGROUP'!$S$42/3,IF($AY$7=$AL$15,'[4]3 trim 2016 BIOGROUP'!$S$42/3,IF($AY$7=$AL$16,'[4]4 trim 2016 BIOGROUP'!$S$42/3,IF($AY$7=$AL$18,'[4]4 trim 2016 BIOGROUP'!$S$42/3,IF($AY$7=$AL$19,'[4]4 trim 2016 BIOGROUP'!$S$42/3,""))))))</f>
        <v>0</v>
      </c>
      <c r="AZ34" s="431">
        <f>IF($AZ$7=$AL$13,'[4]3 trim 2016 BIOGROUP'!$S$42/3,IF($AZ$7=$AL$14,'[4]3 trim 2016 BIOGROUP'!$S$42/3,IF($AZ$7=$AL$15,'[4]3 trim 2016 BIOGROUP'!$S$42/3,IF($AZ$7=$AL$16,'[4]4 trim 2016 BIOGROUP'!$S$42/3,IF($AZ$7=$AL$18,'[4]4 trim 2016 BIOGROUP'!$S$42/3,IF($AZ$7=$AL$19,'[4]4 trim 2016 BIOGROUP'!$S$42/3,""))))))</f>
        <v>0</v>
      </c>
      <c r="BB34" s="511">
        <f t="shared" si="5"/>
        <v>1</v>
      </c>
      <c r="BC34" s="750"/>
    </row>
    <row r="35" spans="1:55" ht="26.15" customHeight="1">
      <c r="A35" s="565"/>
      <c r="B35" s="566">
        <v>658</v>
      </c>
      <c r="C35" s="457" t="s">
        <v>128</v>
      </c>
      <c r="D35" s="439"/>
      <c r="E35" s="457" t="s">
        <v>15</v>
      </c>
      <c r="G35" s="475">
        <v>-2</v>
      </c>
      <c r="H35" s="578">
        <f>+G35/$G$7</f>
        <v>-8.3713532292495078E-7</v>
      </c>
      <c r="J35" s="506">
        <v>0</v>
      </c>
      <c r="K35" s="532" t="str">
        <f t="shared" si="6"/>
        <v/>
      </c>
      <c r="L35" s="431"/>
      <c r="M35" s="759">
        <f>AG35/3</f>
        <v>0</v>
      </c>
      <c r="N35" s="517" t="str">
        <f t="shared" si="1"/>
        <v/>
      </c>
      <c r="O35" s="580"/>
      <c r="P35" s="644"/>
      <c r="Q35" s="645"/>
      <c r="R35" s="517"/>
      <c r="S35" s="645"/>
      <c r="T35" s="517"/>
      <c r="U35" s="645"/>
      <c r="V35" s="517"/>
      <c r="W35" s="645"/>
      <c r="X35" s="517"/>
      <c r="Y35" s="645"/>
      <c r="Z35" s="517"/>
      <c r="AA35" s="584"/>
      <c r="AB35" s="475">
        <v>-19</v>
      </c>
      <c r="AC35" s="578">
        <f>AB35/$AB$7</f>
        <v>-4.8582006298784968E-6</v>
      </c>
      <c r="AD35" s="506">
        <f>-SUMIF($AO$7:$AZ$7,"&lt;="&amp;$AC$6,AO35:AZ35)</f>
        <v>0</v>
      </c>
      <c r="AE35" s="517" t="str">
        <f t="shared" si="20"/>
        <v/>
      </c>
      <c r="AG35" s="759"/>
      <c r="AH35" s="517" t="str">
        <f t="shared" si="4"/>
        <v/>
      </c>
      <c r="AM35" s="457" t="s">
        <v>15</v>
      </c>
      <c r="AN35" s="747"/>
      <c r="AO35" s="431">
        <f>IF($AO$7=$AL$7,'[4]1 trim 2016 BIOGROUP'!$S$43/3,IF($AO$7=$AL$8,'[4]1 trim 2016 BIOGROUP'!$S$43/3,IF($AO$7=$AL$9,'[4]1 trim 2016 BIOGROUP'!$S$43/3,IF($AO$7=$AL$10,'[4]2 trim 2016 BIOGROUP'!$S$43/3,IF($AO$7=$AL$11,'[4]2 trim 2016 BIOGROUP'!$S$43/3,IF($AO$7=$AL$12,'[4]2 trim 2016 BIOGROUP'!$S$43/3,""))))))</f>
        <v>0</v>
      </c>
      <c r="AP35" s="431">
        <f>IF($AP$7=$AL$7,'[4]1 trim 2016 BIOGROUP'!$S$43/3,IF($AP$7=$AL$8,'[4]1 trim 2016 BIOGROUP'!$S$43/3,IF($AP$7=$AL$9,'[4]1 trim 2016 BIOGROUP'!$S$43/3,IF($AP$7=$AL$10,'[4]2 trim 2016 BIOGROUP'!$S$43/3,IF($AP$7=$AL$11,'[4]2 trim 2016 BIOGROUP'!$S$43/3,IF($AP$7=$AL$12,'[4]2 trim 2016 BIOGROUP'!$S$43/3,""))))))</f>
        <v>0</v>
      </c>
      <c r="AQ35" s="431">
        <f>IF($AQ$7=$AL$7,'[4]1 trim 2016 BIOGROUP'!$S$43/3,IF($AQ$7=$AL$8,'[4]1 trim 2016 BIOGROUP'!$S$43/3,IF($AQ$7=$AL$9,'[4]1 trim 2016 BIOGROUP'!$S$43/3,IF($AQ$7=$AL$10,'[4]2 trim 2016 BIOGROUP'!$S$43/3,IF($AQ$7=$AL$11,'[4]2 trim 2016 BIOGROUP'!$S$43/3,IF($AQ$7=$AL$12,'[4]2 trim 2016 BIOGROUP'!$S$43/3,""))))))</f>
        <v>0</v>
      </c>
      <c r="AR35" s="431">
        <f>IF($AR$7=$AL$7,'[4]1 trim 2016 BIOGROUP'!$S$43/3,IF($AR$7=$AL$8,'[4]1 trim 2016 BIOGROUP'!$S$43/3,IF($AR$7=$AL$9,'[4]1 trim 2016 BIOGROUP'!$S$43/3,IF($AR$7=$AL$10,'[4]2 trim 2016 BIOGROUP'!$S$43/3,IF($AR$7=$AL$11,'[4]2 trim 2016 BIOGROUP'!$S$43/3,IF($AR$7=$AL$12,'[4]2 trim 2016 BIOGROUP'!$S$43/3,""))))))</f>
        <v>0</v>
      </c>
      <c r="AS35" s="431">
        <f>IF($AS$7=$AL$7,'[4]1 trim 2016 BIOGROUP'!$S$43/3,IF($AS$7=$AL$8,'[4]1 trim 2016 BIOGROUP'!$S$43/3,IF($AS$7=$AL$9,'[4]1 trim 2016 BIOGROUP'!$S$43/3,IF($AS$7=$AL$10,'[4]2 trim 2016 BIOGROUP'!$S$43/3,IF($AS$7=$AL$11,'[4]2 trim 2016 BIOGROUP'!$S$43/3,IF($AS$7=$AL$12,'[4]2 trim 2016 BIOGROUP'!$S$43/3,""))))))</f>
        <v>0</v>
      </c>
      <c r="AT35" s="431">
        <f>IF($AT$7=$AL$7,'[4]1 trim 2016 BIOGROUP'!$S$43/3,IF($AT$7=$AL$8,'[4]1 trim 2016 BIOGROUP'!$S$43/3,IF($AT$7=$AL$9,'[4]1 trim 2016 BIOGROUP'!$S$43/3,IF($AT$7=$AL$10,'[4]2 trim 2016 BIOGROUP'!$S$43/3,IF($AT$7=$AL$11,'[4]2 trim 2016 BIOGROUP'!$S$43/3,IF($AT$7=$AL$12,'[4]2 trim 2016 BIOGROUP'!$S$43/3,""))))))</f>
        <v>0</v>
      </c>
      <c r="AU35" s="431">
        <f>IF($AU$7=$AL$13,'[4]3 trim 2016 BIOGROUP'!$S$43/3,IF($AU$7=$AL$14,'[4]3 trim 2016 BIOGROUP'!$S$43/3,IF($AU$7=$AL$15,'[4]3 trim 2016 BIOGROUP'!$S$43/3,IF($AU$7=$AL$16,'[4]4 trim 2016 BIOGROUP'!$S$43/3,IF($AU$7=$AL$18,'[4]4 trim 2016 BIOGROUP'!$S$43/3,IF($AU$7=$AL$19,'[4]4 trim 2016 BIOGROUP'!$S$43/3,""))))))</f>
        <v>0</v>
      </c>
      <c r="AV35" s="431">
        <f>IF($AV$7=$AL$13,'[4]3 trim 2016 BIOGROUP'!$S$43/3,IF($AV$7=$AL$14,'[4]3 trim 2016 BIOGROUP'!$S$43/3,IF($AV$7=$AL$15,'[4]3 trim 2016 BIOGROUP'!$S$43/3,IF($AV$7=$AL$16,'[4]4 trim 2016 BIOGROUP'!$S$43/3,IF($AV$7=$AL$18,'[4]4 trim 2016 BIOGROUP'!$S$43/3,IF($AV$7=$AL$19,'[4]4 trim 2016 BIOGROUP'!$S$43/3,""))))))</f>
        <v>0</v>
      </c>
      <c r="AW35" s="431">
        <f>IF($AW$7=$AL$13,'[4]3 trim 2016 BIOGROUP'!$S$43/3,IF($AW$7=$AL$14,'[4]3 trim 2016 BIOGROUP'!$S$43/3,IF($AW$7=$AL$15,'[4]3 trim 2016 BIOGROUP'!$S$43/3,IF($AW$7=$AL$16,'[4]4 trim 2016 BIOGROUP'!$S$43/3,IF($AW$7=$AL$18,'[4]4 trim 2016 BIOGROUP'!$S$43/3,IF($AW$7=$AL$19,'[4]4 trim 2016 BIOGROUP'!$S$43/3,""))))))</f>
        <v>0</v>
      </c>
      <c r="AX35" s="431">
        <f>IF($AX$7=$AL$13,'[4]3 trim 2016 BIOGROUP'!$S$43/3,IF($AX$7=$AL$14,'[4]3 trim 2016 BIOGROUP'!$S$43/3,IF($AX$7=$AL$15,'[4]3 trim 2016 BIOGROUP'!$S$43/3,IF($AX$7=$AL$16,'[4]4 trim 2016 BIOGROUP'!$S$43/3,IF($AX$7=$AL$18,'[4]4 trim 2016 BIOGROUP'!$S$43/3,IF($AX$7=$AL$19,'[4]4 trim 2016 BIOGROUP'!$S$43/3,""))))))</f>
        <v>0</v>
      </c>
      <c r="AY35" s="431">
        <f>IF($AY$7=$AL$13,'[4]3 trim 2016 BIOGROUP'!$S$43/3,IF($AY$7=$AL$14,'[4]3 trim 2016 BIOGROUP'!$S$43/3,IF($AY$7=$AL$15,'[4]3 trim 2016 BIOGROUP'!$S$43/3,IF($AY$7=$AL$16,'[4]4 trim 2016 BIOGROUP'!$S$43/3,IF($AY$7=$AL$18,'[4]4 trim 2016 BIOGROUP'!$S$43/3,IF($AY$7=$AL$19,'[4]4 trim 2016 BIOGROUP'!$S$43/3,""))))))</f>
        <v>0</v>
      </c>
      <c r="AZ35" s="431">
        <f>IF($AZ$7=$AL$13,'[4]3 trim 2016 BIOGROUP'!$S$43/3,IF($AZ$7=$AL$14,'[4]3 trim 2016 BIOGROUP'!$S$43/3,IF($AZ$7=$AL$15,'[4]3 trim 2016 BIOGROUP'!$S$43/3,IF($AZ$7=$AL$16,'[4]4 trim 2016 BIOGROUP'!$S$43/3,IF($AZ$7=$AL$18,'[4]4 trim 2016 BIOGROUP'!$S$43/3,IF($AZ$7=$AL$19,'[4]4 trim 2016 BIOGROUP'!$S$43/3,""))))))</f>
        <v>0</v>
      </c>
      <c r="BB35" s="511">
        <f t="shared" si="5"/>
        <v>19</v>
      </c>
      <c r="BC35" s="750"/>
    </row>
    <row r="36" spans="1:55" ht="26.15" customHeight="1">
      <c r="A36" s="565"/>
      <c r="B36" s="566"/>
      <c r="C36" s="455" t="s">
        <v>96</v>
      </c>
      <c r="D36" s="439"/>
      <c r="E36" s="455" t="str">
        <f>+C36</f>
        <v>EBITDA (% of net revenues)</v>
      </c>
      <c r="G36" s="484">
        <v>972163</v>
      </c>
      <c r="H36" s="641">
        <f>+G36/G7</f>
        <v>0.40691599347034446</v>
      </c>
      <c r="J36" s="504">
        <f>J31+J33</f>
        <v>0</v>
      </c>
      <c r="K36" s="505" t="str">
        <f t="shared" si="6"/>
        <v/>
      </c>
      <c r="L36" s="431"/>
      <c r="M36" s="481">
        <f>M31+M33</f>
        <v>0</v>
      </c>
      <c r="N36" s="522" t="str">
        <f t="shared" si="1"/>
        <v/>
      </c>
      <c r="O36" s="580"/>
      <c r="P36" s="644"/>
      <c r="Q36" s="645"/>
      <c r="R36" s="517"/>
      <c r="S36" s="645"/>
      <c r="T36" s="517"/>
      <c r="U36" s="645"/>
      <c r="V36" s="517"/>
      <c r="W36" s="645"/>
      <c r="X36" s="517"/>
      <c r="Y36" s="645"/>
      <c r="Z36" s="517"/>
      <c r="AA36" s="584"/>
      <c r="AB36" s="484">
        <v>1042521</v>
      </c>
      <c r="AC36" s="641">
        <f>AB36/AB7</f>
        <v>0.26656716730850316</v>
      </c>
      <c r="AD36" s="504">
        <f>AD31+AD33</f>
        <v>0</v>
      </c>
      <c r="AE36" s="522" t="str">
        <f t="shared" si="20"/>
        <v/>
      </c>
      <c r="AG36" s="481">
        <f>AG31+AG33</f>
        <v>0</v>
      </c>
      <c r="AH36" s="522" t="str">
        <f t="shared" si="4"/>
        <v/>
      </c>
      <c r="AJ36" s="587"/>
      <c r="AM36" s="455" t="s">
        <v>96</v>
      </c>
      <c r="AN36" s="747"/>
      <c r="AO36" s="741">
        <f>AO31+AO33</f>
        <v>63723.316550000025</v>
      </c>
      <c r="AP36" s="741">
        <f t="shared" ref="AP36:AZ36" si="21">AP31+AP33</f>
        <v>63723.316550000025</v>
      </c>
      <c r="AQ36" s="741">
        <f t="shared" si="21"/>
        <v>63723.316550000025</v>
      </c>
      <c r="AR36" s="741">
        <f t="shared" si="21"/>
        <v>30270.649883333339</v>
      </c>
      <c r="AS36" s="741">
        <f t="shared" si="21"/>
        <v>30270.649883333339</v>
      </c>
      <c r="AT36" s="741">
        <f t="shared" si="21"/>
        <v>30270.649883333339</v>
      </c>
      <c r="AU36" s="741">
        <f t="shared" si="21"/>
        <v>21174.649883333339</v>
      </c>
      <c r="AV36" s="741">
        <f t="shared" si="21"/>
        <v>21174.649883333339</v>
      </c>
      <c r="AW36" s="741">
        <f t="shared" si="21"/>
        <v>21174.649883333339</v>
      </c>
      <c r="AX36" s="741">
        <f t="shared" si="21"/>
        <v>40260.316550000025</v>
      </c>
      <c r="AY36" s="741">
        <f t="shared" si="21"/>
        <v>40260.316550000025</v>
      </c>
      <c r="AZ36" s="741">
        <f t="shared" si="21"/>
        <v>40260.316550000025</v>
      </c>
      <c r="BB36" s="748">
        <f t="shared" si="5"/>
        <v>1042521</v>
      </c>
      <c r="BC36" s="752"/>
    </row>
    <row r="37" spans="1:55" ht="26.15" customHeight="1" thickBot="1">
      <c r="A37" s="575"/>
      <c r="B37" s="548">
        <v>691</v>
      </c>
      <c r="C37" s="456" t="s">
        <v>99</v>
      </c>
      <c r="D37" s="439"/>
      <c r="E37" s="456" t="s">
        <v>99</v>
      </c>
      <c r="G37" s="485"/>
      <c r="H37" s="591">
        <f>G37/G7</f>
        <v>0</v>
      </c>
      <c r="J37" s="537">
        <v>0</v>
      </c>
      <c r="K37" s="538" t="str">
        <f t="shared" si="6"/>
        <v/>
      </c>
      <c r="L37" s="431"/>
      <c r="M37" s="760">
        <f>AG37/3</f>
        <v>0</v>
      </c>
      <c r="N37" s="518" t="str">
        <f t="shared" si="1"/>
        <v/>
      </c>
      <c r="O37" s="580"/>
      <c r="P37" s="646" t="s">
        <v>13</v>
      </c>
      <c r="Q37" s="582" t="e">
        <f>+#REF!+'31 dec 2016 BIOLAM'!AT39</f>
        <v>#REF!</v>
      </c>
      <c r="R37" s="583" t="e">
        <f>Q37/Q$7</f>
        <v>#REF!</v>
      </c>
      <c r="S37" s="582" t="e">
        <f>+'31 dec 2016 BIOLAM'!AV39+#REF!</f>
        <v>#REF!</v>
      </c>
      <c r="T37" s="583" t="e">
        <f>S37/S$7</f>
        <v>#REF!</v>
      </c>
      <c r="U37" s="582" t="e">
        <f>+'31 dec 2016 BIOLAM'!AX39+#REF!</f>
        <v>#REF!</v>
      </c>
      <c r="V37" s="583" t="e">
        <f>U37/U$7</f>
        <v>#REF!</v>
      </c>
      <c r="W37" s="582" t="e">
        <f>+'31 dec 2016 BIOLAM'!AZ39+#REF!</f>
        <v>#REF!</v>
      </c>
      <c r="X37" s="583" t="e">
        <f>W37/W$7</f>
        <v>#REF!</v>
      </c>
      <c r="Y37" s="582" t="e">
        <f>+W37+U37+S37+Q37</f>
        <v>#REF!</v>
      </c>
      <c r="Z37" s="583" t="e">
        <f>Y37/Y$7</f>
        <v>#REF!</v>
      </c>
      <c r="AA37" s="584" t="e">
        <f>+G37-Y37</f>
        <v>#REF!</v>
      </c>
      <c r="AB37" s="485"/>
      <c r="AC37" s="647">
        <f>AB37/AB7</f>
        <v>0</v>
      </c>
      <c r="AD37" s="507">
        <v>0</v>
      </c>
      <c r="AE37" s="518" t="str">
        <f t="shared" si="20"/>
        <v/>
      </c>
      <c r="AG37" s="760">
        <v>0</v>
      </c>
      <c r="AH37" s="518" t="str">
        <f t="shared" si="4"/>
        <v/>
      </c>
      <c r="AM37" s="456" t="s">
        <v>99</v>
      </c>
      <c r="AN37" s="747"/>
      <c r="BB37" s="511">
        <f t="shared" si="5"/>
        <v>0</v>
      </c>
      <c r="BC37" s="750"/>
    </row>
    <row r="38" spans="1:55" ht="26.15" customHeight="1">
      <c r="A38" s="575"/>
      <c r="B38" s="548"/>
      <c r="C38" s="454" t="s">
        <v>96</v>
      </c>
      <c r="D38" s="439"/>
      <c r="E38" s="454" t="str">
        <f>+C38</f>
        <v>EBITDA (% of net revenues)</v>
      </c>
      <c r="G38" s="484">
        <v>972163</v>
      </c>
      <c r="H38" s="641">
        <f>+G38/G7</f>
        <v>0.40691599347034446</v>
      </c>
      <c r="J38" s="508">
        <f>J36+J37</f>
        <v>0</v>
      </c>
      <c r="K38" s="505" t="str">
        <f t="shared" si="6"/>
        <v/>
      </c>
      <c r="L38" s="431"/>
      <c r="M38" s="761">
        <f>M36+M37</f>
        <v>0</v>
      </c>
      <c r="N38" s="522" t="str">
        <f t="shared" si="1"/>
        <v/>
      </c>
      <c r="O38" s="580"/>
      <c r="P38" s="581"/>
      <c r="Q38" s="582"/>
      <c r="R38" s="583"/>
      <c r="S38" s="582"/>
      <c r="T38" s="583"/>
      <c r="U38" s="582"/>
      <c r="V38" s="583"/>
      <c r="W38" s="582"/>
      <c r="X38" s="583"/>
      <c r="Y38" s="582"/>
      <c r="Z38" s="583"/>
      <c r="AA38" s="584"/>
      <c r="AB38" s="484">
        <v>1042521</v>
      </c>
      <c r="AC38" s="641">
        <f>+AB38/AB7</f>
        <v>0.26656716730850316</v>
      </c>
      <c r="AD38" s="508">
        <f>AD36+AD37</f>
        <v>0</v>
      </c>
      <c r="AE38" s="522" t="str">
        <f t="shared" si="20"/>
        <v/>
      </c>
      <c r="AG38" s="767">
        <f>AG36+AG37</f>
        <v>0</v>
      </c>
      <c r="AH38" s="522" t="str">
        <f t="shared" si="4"/>
        <v/>
      </c>
      <c r="AM38" s="454" t="s">
        <v>96</v>
      </c>
      <c r="AN38" s="747"/>
      <c r="AO38" s="741">
        <f>AO36-AO37</f>
        <v>63723.316550000025</v>
      </c>
      <c r="AP38" s="741">
        <f t="shared" ref="AP38:AZ38" si="22">AP36-AP37</f>
        <v>63723.316550000025</v>
      </c>
      <c r="AQ38" s="741">
        <f t="shared" si="22"/>
        <v>63723.316550000025</v>
      </c>
      <c r="AR38" s="741">
        <f t="shared" si="22"/>
        <v>30270.649883333339</v>
      </c>
      <c r="AS38" s="741">
        <f t="shared" si="22"/>
        <v>30270.649883333339</v>
      </c>
      <c r="AT38" s="741">
        <f t="shared" si="22"/>
        <v>30270.649883333339</v>
      </c>
      <c r="AU38" s="741">
        <f t="shared" si="22"/>
        <v>21174.649883333339</v>
      </c>
      <c r="AV38" s="741">
        <f t="shared" si="22"/>
        <v>21174.649883333339</v>
      </c>
      <c r="AW38" s="741">
        <f t="shared" si="22"/>
        <v>21174.649883333339</v>
      </c>
      <c r="AX38" s="741">
        <f t="shared" si="22"/>
        <v>40260.316550000025</v>
      </c>
      <c r="AY38" s="741">
        <f t="shared" si="22"/>
        <v>40260.316550000025</v>
      </c>
      <c r="AZ38" s="741">
        <f t="shared" si="22"/>
        <v>40260.316550000025</v>
      </c>
      <c r="BB38" s="748">
        <f t="shared" si="5"/>
        <v>1042521</v>
      </c>
      <c r="BC38" s="752"/>
    </row>
    <row r="39" spans="1:55" ht="26.15" customHeight="1" thickBot="1">
      <c r="A39" s="575"/>
      <c r="B39" s="548">
        <v>681</v>
      </c>
      <c r="C39" s="458" t="s">
        <v>100</v>
      </c>
      <c r="D39" s="439"/>
      <c r="E39" s="458" t="s">
        <v>118</v>
      </c>
      <c r="G39" s="475">
        <v>-58753</v>
      </c>
      <c r="H39" s="578">
        <f>+G39/G7</f>
        <v>-2.4592105813904818E-2</v>
      </c>
      <c r="J39" s="495">
        <f>-SUMIF($AO$7:$AZ$7,$G$6,AO39:AZ39)</f>
        <v>0</v>
      </c>
      <c r="K39" s="532" t="str">
        <f t="shared" si="6"/>
        <v/>
      </c>
      <c r="L39" s="431"/>
      <c r="M39" s="753">
        <f>AG39/3</f>
        <v>0</v>
      </c>
      <c r="N39" s="517" t="str">
        <f t="shared" si="1"/>
        <v/>
      </c>
      <c r="O39" s="580"/>
      <c r="P39" s="581"/>
      <c r="Q39" s="582"/>
      <c r="R39" s="583"/>
      <c r="S39" s="582"/>
      <c r="T39" s="583"/>
      <c r="U39" s="582"/>
      <c r="V39" s="583"/>
      <c r="W39" s="582"/>
      <c r="X39" s="583"/>
      <c r="Y39" s="582"/>
      <c r="Z39" s="583"/>
      <c r="AA39" s="584"/>
      <c r="AB39" s="475">
        <v>-58753</v>
      </c>
      <c r="AC39" s="578">
        <f>+AB39/AB7</f>
        <v>-1.5022834821434279E-2</v>
      </c>
      <c r="AD39" s="495">
        <f>-SUMIF($AO$7:$AZ$7,"&lt;="&amp;$AC$6,AO39:AZ39)</f>
        <v>0</v>
      </c>
      <c r="AE39" s="517" t="str">
        <f t="shared" si="20"/>
        <v/>
      </c>
      <c r="AG39" s="753"/>
      <c r="AH39" s="517" t="str">
        <f t="shared" si="4"/>
        <v/>
      </c>
      <c r="AJ39" s="620"/>
      <c r="AM39" s="458" t="s">
        <v>118</v>
      </c>
      <c r="AN39" s="747"/>
      <c r="AO39" s="431">
        <f>IF($AO$7=$AL$7,'[4]1 trim 2016 BIOGROUP'!$S$39/3,IF($AO$7=$AL$8,'[4]1 trim 2016 BIOGROUP'!$S$39/3,IF($AO$7=$AL$9,'[4]1 trim 2016 BIOGROUP'!$S$39/3,IF($AO$7=$AL$10,'[4]2 trim 2016 BIOGROUP'!$S$39/3,IF($AO$7=$AL$11,'[4]2 trim 2016 BIOGROUP'!$S$39/3,IF($AO$7=$AL$12,'[4]2 trim 2016 BIOGROUP'!$S$39/3,""))))))</f>
        <v>2030.0006833333334</v>
      </c>
      <c r="AP39" s="431">
        <f>IF($AP$7=$AL$7,'[4]1 trim 2016 BIOGROUP'!$S$39/3,IF($AP$7=$AL$8,'[4]1 trim 2016 BIOGROUP'!$S$39/3,IF($AP$7=$AL$9,'[4]1 trim 2016 BIOGROUP'!$S$39/3,IF($AP$7=$AL$10,'[4]2 trim 2016 BIOGROUP'!$S$39/3,IF($AP$7=$AL$11,'[4]2 trim 2016 BIOGROUP'!$S$39/3,IF($AP$7=$AL$12,'[4]2 trim 2016 BIOGROUP'!$S$39/3,""))))))</f>
        <v>2030.0006833333334</v>
      </c>
      <c r="AQ39" s="431">
        <f>IF($AQ$7=$AL$7,'[4]1 trim 2016 BIOGROUP'!$S$39/3,IF($AQ$7=$AL$8,'[4]1 trim 2016 BIOGROUP'!$S$39/3,IF($AQ$7=$AL$9,'[4]1 trim 2016 BIOGROUP'!$S$39/3,IF($AQ$7=$AL$10,'[4]2 trim 2016 BIOGROUP'!$S$39/3,IF($AQ$7=$AL$11,'[4]2 trim 2016 BIOGROUP'!$S$39/3,IF($AQ$7=$AL$12,'[4]2 trim 2016 BIOGROUP'!$S$39/3,""))))))</f>
        <v>2030.0006833333334</v>
      </c>
      <c r="AR39" s="431">
        <f>IF($AR$7=$AL$7,'[4]1 trim 2016 BIOGROUP'!$S$39/3,IF($AR$7=$AL$8,'[4]1 trim 2016 BIOGROUP'!$S$39/3,IF($AR$7=$AL$9,'[4]1 trim 2016 BIOGROUP'!$S$39/3,IF($AR$7=$AL$10,'[4]2 trim 2016 BIOGROUP'!$S$39/3,IF($AR$7=$AL$11,'[4]2 trim 2016 BIOGROUP'!$S$39/3,IF($AR$7=$AL$12,'[4]2 trim 2016 BIOGROUP'!$S$39/3,""))))))</f>
        <v>2030.0006833333334</v>
      </c>
      <c r="AS39" s="431">
        <f>IF($AS$7=$AL$7,'[4]1 trim 2016 BIOGROUP'!$S$39/3,IF($AS$7=$AL$8,'[4]1 trim 2016 BIOGROUP'!$S$39/3,IF($AS$7=$AL$9,'[4]1 trim 2016 BIOGROUP'!$S$39/3,IF($AS$7=$AL$10,'[4]2 trim 2016 BIOGROUP'!$S$39/3,IF($AS$7=$AL$11,'[4]2 trim 2016 BIOGROUP'!$S$39/3,IF($AS$7=$AL$12,'[4]2 trim 2016 BIOGROUP'!$S$39/3,""))))))</f>
        <v>2030.0006833333334</v>
      </c>
      <c r="AT39" s="431">
        <f>IF($AT$7=$AL$7,'[4]1 trim 2016 BIOGROUP'!$S$39/3,IF($AT$7=$AL$8,'[4]1 trim 2016 BIOGROUP'!$S$39/3,IF($AT$7=$AL$9,'[4]1 trim 2016 BIOGROUP'!$S$39/3,IF($AT$7=$AL$10,'[4]2 trim 2016 BIOGROUP'!$S$39/3,IF($AT$7=$AL$11,'[4]2 trim 2016 BIOGROUP'!$S$39/3,IF($AT$7=$AL$12,'[4]2 trim 2016 BIOGROUP'!$S$39/3,""))))))</f>
        <v>2030.0006833333334</v>
      </c>
      <c r="AU39" s="431">
        <f>IF($AU$7=$AL$13,'[4]3 trim 2016 BIOGROUP'!$S$39/3,IF($AU$7=$AL$14,'[4]3 trim 2016 BIOGROUP'!$S$39/3,IF($AU$7=$AL$15,'[4]3 trim 2016 BIOGROUP'!$S$39/3,IF($AU$7=$AL$16,'[4]4 trim 2016 BIOGROUP'!$S$39/3,IF($AU$7=$AL$18,'[4]4 trim 2016 BIOGROUP'!$S$39/3,IF($AU$7=$AL$19,'[4]4 trim 2016 BIOGROUP'!$S$39/3,""))))))</f>
        <v>2030.0006833333334</v>
      </c>
      <c r="AV39" s="431">
        <f>IF($AV$7=$AL$13,'[4]3 trim 2016 BIOGROUP'!$S$39/3,IF($AV$7=$AL$14,'[4]3 trim 2016 BIOGROUP'!$S$39/3,IF($AV$7=$AL$15,'[4]3 trim 2016 BIOGROUP'!$S$39/3,IF($AV$7=$AL$16,'[4]4 trim 2016 BIOGROUP'!$S$39/3,IF($AV$7=$AL$18,'[4]4 trim 2016 BIOGROUP'!$S$39/3,IF($AV$7=$AL$19,'[4]4 trim 2016 BIOGROUP'!$S$39/3,""))))))</f>
        <v>2030.0006833333334</v>
      </c>
      <c r="AW39" s="431">
        <f>IF($AW$7=$AL$13,'[4]3 trim 2016 BIOGROUP'!$S$39/3,IF($AW$7=$AL$14,'[4]3 trim 2016 BIOGROUP'!$S$39/3,IF($AW$7=$AL$15,'[4]3 trim 2016 BIOGROUP'!$S$39/3,IF($AW$7=$AL$16,'[4]4 trim 2016 BIOGROUP'!$S$39/3,IF($AW$7=$AL$18,'[4]4 trim 2016 BIOGROUP'!$S$39/3,IF($AW$7=$AL$19,'[4]4 trim 2016 BIOGROUP'!$S$39/3,""))))))</f>
        <v>2030.0006833333334</v>
      </c>
      <c r="AX39" s="431">
        <f>IF($AX$7=$AL$13,'[4]3 trim 2016 BIOGROUP'!$S$39/3,IF($AX$7=$AL$14,'[4]3 trim 2016 BIOGROUP'!$S$39/3,IF($AX$7=$AL$15,'[4]3 trim 2016 BIOGROUP'!$S$39/3,IF($AX$7=$AL$16,'[4]4 trim 2016 BIOGROUP'!$S$39/3,IF($AX$7=$AL$18,'[4]4 trim 2016 BIOGROUP'!$S$39/3,IF($AX$7=$AL$19,'[4]4 trim 2016 BIOGROUP'!$S$39/3,""))))))</f>
        <v>2030.0006833333334</v>
      </c>
      <c r="AY39" s="431">
        <f>IF($AY$7=$AL$13,'[4]3 trim 2016 BIOGROUP'!$S$39/3,IF($AY$7=$AL$14,'[4]3 trim 2016 BIOGROUP'!$S$39/3,IF($AY$7=$AL$15,'[4]3 trim 2016 BIOGROUP'!$S$39/3,IF($AY$7=$AL$16,'[4]4 trim 2016 BIOGROUP'!$S$39/3,IF($AY$7=$AL$18,'[4]4 trim 2016 BIOGROUP'!$S$39/3,IF($AY$7=$AL$19,'[4]4 trim 2016 BIOGROUP'!$S$39/3,""))))))</f>
        <v>2030.0006833333334</v>
      </c>
      <c r="AZ39" s="431">
        <f>IF($AZ$7=$AL$13,'[4]3 trim 2016 BIOGROUP'!$S$39/3,IF($AZ$7=$AL$14,'[4]3 trim 2016 BIOGROUP'!$S$39/3,IF($AZ$7=$AL$15,'[4]3 trim 2016 BIOGROUP'!$S$39/3,IF($AZ$7=$AL$16,'[4]4 trim 2016 BIOGROUP'!$S$39/3,IF($AZ$7=$AL$18,'[4]4 trim 2016 BIOGROUP'!$S$39/3,IF($AZ$7=$AL$19,'[4]4 trim 2016 BIOGROUP'!$S$39/3,""))))))</f>
        <v>2030.0006833333334</v>
      </c>
      <c r="BB39" s="511">
        <f t="shared" si="5"/>
        <v>58753</v>
      </c>
      <c r="BC39" s="750"/>
    </row>
    <row r="40" spans="1:55" ht="27.75" customHeight="1">
      <c r="A40" s="649"/>
      <c r="B40" s="650">
        <v>681</v>
      </c>
      <c r="C40" s="459" t="s">
        <v>129</v>
      </c>
      <c r="D40" s="651"/>
      <c r="E40" s="459" t="s">
        <v>40</v>
      </c>
      <c r="F40" s="652"/>
      <c r="G40" s="486"/>
      <c r="H40" s="653">
        <f>G40/G7</f>
        <v>0</v>
      </c>
      <c r="J40" s="509">
        <f>-SUMIF($AO$7:$AZ$7,$G$6,AO40:AZ40)</f>
        <v>0</v>
      </c>
      <c r="K40" s="539" t="str">
        <f t="shared" si="6"/>
        <v/>
      </c>
      <c r="L40" s="431"/>
      <c r="M40" s="762">
        <f>AG40/3</f>
        <v>0</v>
      </c>
      <c r="N40" s="523" t="str">
        <f t="shared" si="1"/>
        <v/>
      </c>
      <c r="O40" s="655"/>
      <c r="P40" s="656" t="s">
        <v>40</v>
      </c>
      <c r="Q40" s="657" t="e">
        <f>+#REF!+'31 dec 2016 BIOLAM'!AT40</f>
        <v>#REF!</v>
      </c>
      <c r="R40" s="658" t="e">
        <f>Q40/Q$7</f>
        <v>#REF!</v>
      </c>
      <c r="S40" s="657" t="e">
        <f>+'31 dec 2016 BIOLAM'!AV40+#REF!</f>
        <v>#REF!</v>
      </c>
      <c r="T40" s="658" t="e">
        <f>S40/S$7</f>
        <v>#REF!</v>
      </c>
      <c r="U40" s="657" t="e">
        <f>+'31 dec 2016 BIOLAM'!AX40+#REF!</f>
        <v>#REF!</v>
      </c>
      <c r="V40" s="658" t="e">
        <f>U40/U$7</f>
        <v>#REF!</v>
      </c>
      <c r="W40" s="657" t="e">
        <f>+'31 dec 2016 BIOLAM'!AZ40+#REF!</f>
        <v>#REF!</v>
      </c>
      <c r="X40" s="658" t="e">
        <f>W40/W$7</f>
        <v>#REF!</v>
      </c>
      <c r="Y40" s="657" t="e">
        <f>+W40+U40+S40+Q40</f>
        <v>#REF!</v>
      </c>
      <c r="Z40" s="658" t="e">
        <f>Y40/Y$7</f>
        <v>#REF!</v>
      </c>
      <c r="AA40" s="659" t="e">
        <f>+G40-Y40</f>
        <v>#REF!</v>
      </c>
      <c r="AB40" s="486"/>
      <c r="AC40" s="653">
        <f>AB40/AB7</f>
        <v>0</v>
      </c>
      <c r="AD40" s="509">
        <f>-SUMIF($AO$7:$AZ$7,"&lt;="&amp;$AC$6,AO40:AZ40)</f>
        <v>0</v>
      </c>
      <c r="AE40" s="523" t="str">
        <f t="shared" si="20"/>
        <v/>
      </c>
      <c r="AG40" s="762"/>
      <c r="AH40" s="523" t="str">
        <f t="shared" si="4"/>
        <v/>
      </c>
      <c r="AJ40" s="620"/>
      <c r="AM40" s="459" t="s">
        <v>40</v>
      </c>
      <c r="AN40" s="747"/>
      <c r="AO40" s="431">
        <f>IF($AO$7=$AL$7,'[4]1 trim 2016 BIOGROUP'!$S$40/3,IF($AO$7=$AL$8,'[4]1 trim 2016 BIOGROUP'!$S$40/3,IF($AO$7=$AL$9,'[4]1 trim 2016 BIOGROUP'!$S$40/3,IF($AO$7=$AL$10,'[4]2 trim 2016 BIOGROUP'!$S$40/3,IF($AO$7=$AL$11,'[4]2 trim 2016 BIOGROUP'!$S$40/3,IF($AO$7=$AL$12,'[4]2 trim 2016 BIOGROUP'!$S$40/3,""))))))</f>
        <v>4816.9278886666671</v>
      </c>
      <c r="AP40" s="431">
        <f>IF($AP$7=$AL$7,'[4]1 trim 2016 BIOGROUP'!$S$40/3,IF($AP$7=$AL$8,'[4]1 trim 2016 BIOGROUP'!$S$40/3,IF($AP$7=$AL$9,'[4]1 trim 2016 BIOGROUP'!$S$40/3,IF($AP$7=$AL$10,'[4]2 trim 2016 BIOGROUP'!$S$40/3,IF($AP$7=$AL$11,'[4]2 trim 2016 BIOGROUP'!$S$40/3,IF($AP$7=$AL$12,'[4]2 trim 2016 BIOGROUP'!$S$40/3,""))))))</f>
        <v>4816.9278886666671</v>
      </c>
      <c r="AQ40" s="431">
        <f>IF($AQ$7=$AL$7,'[4]1 trim 2016 BIOGROUP'!$S$40/3,IF($AQ$7=$AL$8,'[4]1 trim 2016 BIOGROUP'!$S$40/3,IF($AQ$7=$AL$9,'[4]1 trim 2016 BIOGROUP'!$S$40/3,IF($AQ$7=$AL$10,'[4]2 trim 2016 BIOGROUP'!$S$40/3,IF($AQ$7=$AL$11,'[4]2 trim 2016 BIOGROUP'!$S$40/3,IF($AQ$7=$AL$12,'[4]2 trim 2016 BIOGROUP'!$S$40/3,""))))))</f>
        <v>4816.9278886666671</v>
      </c>
      <c r="AR40" s="431">
        <f>IF($AR$7=$AL$7,'[4]1 trim 2016 BIOGROUP'!$S$40/3,IF($AR$7=$AL$8,'[4]1 trim 2016 BIOGROUP'!$S$40/3,IF($AR$7=$AL$9,'[4]1 trim 2016 BIOGROUP'!$S$40/3,IF($AR$7=$AL$10,'[4]2 trim 2016 BIOGROUP'!$S$40/3,IF($AR$7=$AL$11,'[4]2 trim 2016 BIOGROUP'!$S$40/3,IF($AR$7=$AL$12,'[4]2 trim 2016 BIOGROUP'!$S$40/3,""))))))</f>
        <v>4816.9278886666671</v>
      </c>
      <c r="AS40" s="431">
        <f>IF($AS$7=$AL$7,'[4]1 trim 2016 BIOGROUP'!$S$40/3,IF($AS$7=$AL$8,'[4]1 trim 2016 BIOGROUP'!$S$40/3,IF($AS$7=$AL$9,'[4]1 trim 2016 BIOGROUP'!$S$40/3,IF($AS$7=$AL$10,'[4]2 trim 2016 BIOGROUP'!$S$40/3,IF($AS$7=$AL$11,'[4]2 trim 2016 BIOGROUP'!$S$40/3,IF($AS$7=$AL$12,'[4]2 trim 2016 BIOGROUP'!$S$40/3,""))))))</f>
        <v>4816.9278886666671</v>
      </c>
      <c r="AT40" s="431">
        <f>IF($AT$7=$AL$7,'[4]1 trim 2016 BIOGROUP'!$S$40/3,IF($AT$7=$AL$8,'[4]1 trim 2016 BIOGROUP'!$S$40/3,IF($AT$7=$AL$9,'[4]1 trim 2016 BIOGROUP'!$S$40/3,IF($AT$7=$AL$10,'[4]2 trim 2016 BIOGROUP'!$S$40/3,IF($AT$7=$AL$11,'[4]2 trim 2016 BIOGROUP'!$S$40/3,IF($AT$7=$AL$12,'[4]2 trim 2016 BIOGROUP'!$S$40/3,""))))))</f>
        <v>4816.9278886666671</v>
      </c>
      <c r="AU40" s="431">
        <f>IF($AU$7=$AL$13,'[4]3 trim 2016 BIOGROUP'!$S$40/3,IF($AU$7=$AL$14,'[4]3 trim 2016 BIOGROUP'!$S$40/3,IF($AU$7=$AL$15,'[4]3 trim 2016 BIOGROUP'!$S$40/3,IF($AU$7=$AL$16,'[4]4 trim 2016 BIOGROUP'!$S$40/3,IF($AU$7=$AL$18,'[4]4 trim 2016 BIOGROUP'!$S$40/3,IF($AU$7=$AL$19,'[4]4 trim 2016 BIOGROUP'!$S$40/3,""))))))</f>
        <v>4816.9278886666671</v>
      </c>
      <c r="AV40" s="431">
        <f>IF($AV$7=$AL$13,'[4]3 trim 2016 BIOGROUP'!$S$40/3,IF($AV$7=$AL$14,'[4]3 trim 2016 BIOGROUP'!$S$40/3,IF($AV$7=$AL$15,'[4]3 trim 2016 BIOGROUP'!$S$40/3,IF($AV$7=$AL$16,'[4]4 trim 2016 BIOGROUP'!$S$40/3,IF($AV$7=$AL$18,'[4]4 trim 2016 BIOGROUP'!$S$40/3,IF($AV$7=$AL$19,'[4]4 trim 2016 BIOGROUP'!$S$40/3,""))))))</f>
        <v>4816.9278886666671</v>
      </c>
      <c r="AW40" s="431">
        <f>IF($AW$7=$AL$13,'[4]3 trim 2016 BIOGROUP'!$S$40/3,IF($AW$7=$AL$14,'[4]3 trim 2016 BIOGROUP'!$S$40/3,IF($AW$7=$AL$15,'[4]3 trim 2016 BIOGROUP'!$S$40/3,IF($AW$7=$AL$16,'[4]4 trim 2016 BIOGROUP'!$S$40/3,IF($AW$7=$AL$18,'[4]4 trim 2016 BIOGROUP'!$S$40/3,IF($AW$7=$AL$19,'[4]4 trim 2016 BIOGROUP'!$S$40/3,""))))))</f>
        <v>4816.9278886666671</v>
      </c>
      <c r="AX40" s="431">
        <f>IF($AX$7=$AL$13,'[4]3 trim 2016 BIOGROUP'!$S$40/3,IF($AX$7=$AL$14,'[4]3 trim 2016 BIOGROUP'!$S$40/3,IF($AX$7=$AL$15,'[4]3 trim 2016 BIOGROUP'!$S$40/3,IF($AX$7=$AL$16,'[4]4 trim 2016 BIOGROUP'!$S$40/3,IF($AX$7=$AL$18,'[4]4 trim 2016 BIOGROUP'!$S$40/3,IF($AX$7=$AL$19,'[4]4 trim 2016 BIOGROUP'!$S$40/3,""))))))</f>
        <v>4816.9278886666671</v>
      </c>
      <c r="AY40" s="431">
        <f>IF($AY$7=$AL$13,'[4]3 trim 2016 BIOGROUP'!$S$40/3,IF($AY$7=$AL$14,'[4]3 trim 2016 BIOGROUP'!$S$40/3,IF($AY$7=$AL$15,'[4]3 trim 2016 BIOGROUP'!$S$40/3,IF($AY$7=$AL$16,'[4]4 trim 2016 BIOGROUP'!$S$40/3,IF($AY$7=$AL$18,'[4]4 trim 2016 BIOGROUP'!$S$40/3,IF($AY$7=$AL$19,'[4]4 trim 2016 BIOGROUP'!$S$40/3,""))))))</f>
        <v>4816.9278886666671</v>
      </c>
      <c r="AZ40" s="431">
        <f>IF($AZ$7=$AL$13,'[4]3 trim 2016 BIOGROUP'!$S$40/3,IF($AZ$7=$AL$14,'[4]3 trim 2016 BIOGROUP'!$S$40/3,IF($AZ$7=$AL$15,'[4]3 trim 2016 BIOGROUP'!$S$40/3,IF($AZ$7=$AL$16,'[4]4 trim 2016 BIOGROUP'!$S$40/3,IF($AZ$7=$AL$18,'[4]4 trim 2016 BIOGROUP'!$S$40/3,IF($AZ$7=$AL$19,'[4]4 trim 2016 BIOGROUP'!$S$40/3,""))))))</f>
        <v>4816.9278886666671</v>
      </c>
      <c r="BB40" s="511">
        <f t="shared" si="5"/>
        <v>0</v>
      </c>
      <c r="BC40" s="750"/>
    </row>
    <row r="41" spans="1:55" ht="26.15" customHeight="1">
      <c r="A41" s="649"/>
      <c r="B41" s="650"/>
      <c r="C41" s="460" t="s">
        <v>96</v>
      </c>
      <c r="D41" s="439"/>
      <c r="E41" s="460" t="str">
        <f>+C41</f>
        <v>EBITDA (% of net revenues)</v>
      </c>
      <c r="G41" s="487">
        <v>913410</v>
      </c>
      <c r="H41" s="641">
        <f>+G41/G7</f>
        <v>0.38232388765643965</v>
      </c>
      <c r="J41" s="504">
        <f>J38+J39+J40</f>
        <v>0</v>
      </c>
      <c r="K41" s="505" t="str">
        <f t="shared" si="6"/>
        <v/>
      </c>
      <c r="L41" s="431"/>
      <c r="M41" s="481">
        <f>M38+M39+M40</f>
        <v>0</v>
      </c>
      <c r="N41" s="522" t="str">
        <f t="shared" si="1"/>
        <v/>
      </c>
      <c r="O41" s="580"/>
      <c r="P41" s="660"/>
      <c r="Q41" s="661"/>
      <c r="R41" s="583"/>
      <c r="S41" s="661"/>
      <c r="T41" s="583"/>
      <c r="U41" s="661"/>
      <c r="V41" s="583"/>
      <c r="W41" s="661"/>
      <c r="X41" s="583"/>
      <c r="Y41" s="661"/>
      <c r="Z41" s="583"/>
      <c r="AA41" s="584"/>
      <c r="AB41" s="487">
        <v>983769</v>
      </c>
      <c r="AC41" s="641">
        <f>+AB41/AB7</f>
        <v>0.25154458818183889</v>
      </c>
      <c r="AD41" s="504">
        <f>AD38+AD39+AD40</f>
        <v>0</v>
      </c>
      <c r="AE41" s="522" t="str">
        <f t="shared" si="20"/>
        <v/>
      </c>
      <c r="AG41" s="481">
        <f>AG38+AG39+AG40</f>
        <v>0</v>
      </c>
      <c r="AH41" s="522" t="str">
        <f t="shared" si="4"/>
        <v/>
      </c>
      <c r="AM41" s="460" t="s">
        <v>96</v>
      </c>
      <c r="AN41" s="747"/>
      <c r="AO41" s="741">
        <f>AO38-AO39-AO40</f>
        <v>56876.387978000028</v>
      </c>
      <c r="AP41" s="741">
        <f t="shared" ref="AP41:AZ41" si="23">AP38-AP39-AP40</f>
        <v>56876.387978000028</v>
      </c>
      <c r="AQ41" s="741">
        <f t="shared" si="23"/>
        <v>56876.387978000028</v>
      </c>
      <c r="AR41" s="741">
        <f t="shared" si="23"/>
        <v>23423.721311333342</v>
      </c>
      <c r="AS41" s="741">
        <f t="shared" si="23"/>
        <v>23423.721311333342</v>
      </c>
      <c r="AT41" s="741">
        <f t="shared" si="23"/>
        <v>23423.721311333342</v>
      </c>
      <c r="AU41" s="741">
        <f t="shared" si="23"/>
        <v>14327.72131133334</v>
      </c>
      <c r="AV41" s="741">
        <f>AV38-AV39-AV40</f>
        <v>14327.72131133334</v>
      </c>
      <c r="AW41" s="741">
        <f t="shared" si="23"/>
        <v>14327.72131133334</v>
      </c>
      <c r="AX41" s="741">
        <f t="shared" si="23"/>
        <v>33413.387978000028</v>
      </c>
      <c r="AY41" s="741">
        <f t="shared" si="23"/>
        <v>33413.387978000028</v>
      </c>
      <c r="AZ41" s="741">
        <f t="shared" si="23"/>
        <v>33413.387978000028</v>
      </c>
      <c r="BB41" s="748">
        <f t="shared" si="5"/>
        <v>983769</v>
      </c>
      <c r="BC41" s="752"/>
    </row>
    <row r="42" spans="1:55" ht="36.75" customHeight="1">
      <c r="A42" s="662"/>
      <c r="B42" s="566"/>
      <c r="C42" s="461" t="s">
        <v>101</v>
      </c>
      <c r="D42" s="439"/>
      <c r="E42" s="461" t="s">
        <v>102</v>
      </c>
      <c r="G42" s="488">
        <v>-11724</v>
      </c>
      <c r="H42" s="623">
        <f>G42/G7</f>
        <v>-4.9072872629860615E-3</v>
      </c>
      <c r="J42" s="510">
        <f>SUM(J43:J45)</f>
        <v>0</v>
      </c>
      <c r="K42" s="534" t="str">
        <f t="shared" si="6"/>
        <v/>
      </c>
      <c r="L42" s="431"/>
      <c r="M42" s="763">
        <f>SUM(M43:M45)</f>
        <v>0</v>
      </c>
      <c r="N42" s="520" t="str">
        <f t="shared" si="1"/>
        <v/>
      </c>
      <c r="O42" s="592"/>
      <c r="P42" s="611" t="str">
        <f>+E42</f>
        <v>RESULTAT FINANCIER</v>
      </c>
      <c r="Q42" s="663" t="e">
        <f>+Q31-Q37-Q40</f>
        <v>#REF!</v>
      </c>
      <c r="R42" s="622" t="e">
        <f>Q42/Q$7</f>
        <v>#REF!</v>
      </c>
      <c r="S42" s="663" t="e">
        <f>+S31-S37-S40</f>
        <v>#REF!</v>
      </c>
      <c r="T42" s="622" t="e">
        <f>S42/S$7</f>
        <v>#REF!</v>
      </c>
      <c r="U42" s="663" t="e">
        <f>+U31-U37-U40</f>
        <v>#REF!</v>
      </c>
      <c r="V42" s="622" t="e">
        <f>U42/U$7</f>
        <v>#REF!</v>
      </c>
      <c r="W42" s="663" t="e">
        <f>+W31-W37-W40</f>
        <v>#REF!</v>
      </c>
      <c r="X42" s="622" t="e">
        <f>W42/W$7</f>
        <v>#REF!</v>
      </c>
      <c r="Y42" s="663" t="e">
        <f>+Y31-Y37-Y40</f>
        <v>#REF!</v>
      </c>
      <c r="Z42" s="622" t="e">
        <f>Y42/Y$7</f>
        <v>#REF!</v>
      </c>
      <c r="AA42" s="609" t="e">
        <f>+G42-Y42</f>
        <v>#REF!</v>
      </c>
      <c r="AB42" s="488">
        <v>-11832</v>
      </c>
      <c r="AC42" s="664">
        <f>AB42/AB7</f>
        <v>-3.0253805185643354E-3</v>
      </c>
      <c r="AD42" s="510">
        <f>SUM(AD43:AD45)</f>
        <v>0</v>
      </c>
      <c r="AE42" s="520" t="str">
        <f t="shared" si="20"/>
        <v/>
      </c>
      <c r="AG42" s="763">
        <f>SUM(AG43:AG45)</f>
        <v>0</v>
      </c>
      <c r="AH42" s="520" t="str">
        <f t="shared" si="4"/>
        <v/>
      </c>
      <c r="AM42" s="461" t="s">
        <v>102</v>
      </c>
      <c r="AN42" s="747"/>
      <c r="AO42" s="741">
        <f>-SUM(AO43:AO45)</f>
        <v>-418.86329466666621</v>
      </c>
      <c r="AP42" s="741">
        <f t="shared" ref="AP42:AZ42" si="24">-SUM(AP43:AP45)</f>
        <v>-418.86329466666621</v>
      </c>
      <c r="AQ42" s="741">
        <f t="shared" si="24"/>
        <v>-418.86329466666621</v>
      </c>
      <c r="AR42" s="741">
        <f t="shared" si="24"/>
        <v>-418.86329466666621</v>
      </c>
      <c r="AS42" s="741">
        <f t="shared" si="24"/>
        <v>-418.86329466666621</v>
      </c>
      <c r="AT42" s="741">
        <f t="shared" si="24"/>
        <v>-418.86329466666621</v>
      </c>
      <c r="AU42" s="741">
        <f t="shared" si="24"/>
        <v>-418.86329466666621</v>
      </c>
      <c r="AV42" s="741">
        <f t="shared" si="24"/>
        <v>-418.86329466666621</v>
      </c>
      <c r="AW42" s="741">
        <f t="shared" si="24"/>
        <v>-418.86329466666621</v>
      </c>
      <c r="AX42" s="741">
        <f t="shared" si="24"/>
        <v>-418.86329466666621</v>
      </c>
      <c r="AY42" s="741">
        <f t="shared" si="24"/>
        <v>-418.86329466666621</v>
      </c>
      <c r="AZ42" s="741">
        <f t="shared" si="24"/>
        <v>-418.86329466666621</v>
      </c>
      <c r="BB42" s="748">
        <f t="shared" si="5"/>
        <v>11832</v>
      </c>
      <c r="BC42" s="752"/>
    </row>
    <row r="43" spans="1:55" ht="26.15" customHeight="1">
      <c r="A43" s="575"/>
      <c r="B43" s="548">
        <v>76</v>
      </c>
      <c r="C43" s="450" t="s">
        <v>148</v>
      </c>
      <c r="D43" s="439"/>
      <c r="E43" s="450" t="s">
        <v>16</v>
      </c>
      <c r="F43" s="577"/>
      <c r="G43" s="475">
        <v>43</v>
      </c>
      <c r="H43" s="578">
        <f>G43/G7</f>
        <v>1.7998409442886442E-5</v>
      </c>
      <c r="J43" s="511">
        <f>-SUMIF($AO$7:$AZ$7,$G$6,AO43:AZ43)</f>
        <v>0</v>
      </c>
      <c r="K43" s="532" t="str">
        <f t="shared" si="6"/>
        <v/>
      </c>
      <c r="L43" s="431"/>
      <c r="M43" s="753">
        <f>AG43/3</f>
        <v>0</v>
      </c>
      <c r="N43" s="517" t="str">
        <f t="shared" si="1"/>
        <v/>
      </c>
      <c r="O43" s="592"/>
      <c r="P43" s="616" t="s">
        <v>16</v>
      </c>
      <c r="Q43" s="607" t="e">
        <f>+#REF!+'31 dec 2016 BIOLAM'!AT45</f>
        <v>#REF!</v>
      </c>
      <c r="R43" s="622" t="e">
        <f>Q43/Q$7</f>
        <v>#REF!</v>
      </c>
      <c r="S43" s="607" t="e">
        <f>+'31 dec 2016 BIOLAM'!AV45+#REF!</f>
        <v>#REF!</v>
      </c>
      <c r="T43" s="622" t="e">
        <f>S43/S$7</f>
        <v>#REF!</v>
      </c>
      <c r="U43" s="607" t="e">
        <f>+'31 dec 2016 BIOLAM'!AX45+#REF!</f>
        <v>#REF!</v>
      </c>
      <c r="V43" s="622" t="e">
        <f>U43/U$7</f>
        <v>#REF!</v>
      </c>
      <c r="W43" s="607" t="e">
        <f>+'31 dec 2016 BIOLAM'!AZ45+#REF!</f>
        <v>#REF!</v>
      </c>
      <c r="X43" s="622" t="e">
        <f>W43/W$7</f>
        <v>#REF!</v>
      </c>
      <c r="Y43" s="607" t="e">
        <f>+W43+U43+S43+Q43</f>
        <v>#REF!</v>
      </c>
      <c r="Z43" s="622" t="e">
        <f>Y43/Y$7</f>
        <v>#REF!</v>
      </c>
      <c r="AA43" s="609" t="e">
        <f>+G43-Y43</f>
        <v>#REF!</v>
      </c>
      <c r="AB43" s="475">
        <v>1964</v>
      </c>
      <c r="AC43" s="578">
        <f>AB43/AB7</f>
        <v>5.0218452826744035E-4</v>
      </c>
      <c r="AD43" s="511">
        <f>-SUMIF($AO$7:$AZ$7,"&lt;="&amp;$AC$6,AO43:AZ43)</f>
        <v>0</v>
      </c>
      <c r="AE43" s="517" t="str">
        <f t="shared" si="20"/>
        <v/>
      </c>
      <c r="AG43" s="753"/>
      <c r="AH43" s="517" t="str">
        <f t="shared" si="4"/>
        <v/>
      </c>
      <c r="AM43" s="450" t="s">
        <v>16</v>
      </c>
      <c r="AN43" s="747"/>
      <c r="AO43" s="431">
        <f>IF($AO$7=$AL$7,'[4]1 trim 2016 BIOGROUP'!$S$45/3,IF($AO$7=$AL$8,'[4]1 trim 2016 BIOGROUP'!$S$45/3,IF($AO$7=$AL$9,'[4]1 trim 2016 BIOGROUP'!$S$45/3,IF($AO$7=$AL$10,'[4]2 trim 2016 BIOGROUP'!$S$45/3,IF($AO$7=$AL$11,'[4]2 trim 2016 BIOGROUP'!$S$45/3,IF($AO$7=$AL$12,'[4]2 trim 2016 BIOGROUP'!$S$45/3,""))))))</f>
        <v>0</v>
      </c>
      <c r="AP43" s="431">
        <f>IF($AP$7=$AL$7,'[4]1 trim 2016 BIOGROUP'!$S$45/3,IF($AP$7=$AL$8,'[4]1 trim 2016 BIOGROUP'!$S$45/3,IF($AP$7=$AL$9,'[4]1 trim 2016 BIOGROUP'!$S$45/3,IF($AP$7=$AL$10,'[4]2 trim 2016 BIOGROUP'!$S$45/3,IF($AP$7=$AL$11,'[4]2 trim 2016 BIOGROUP'!$S$45/3,IF($AP$7=$AL$12,'[4]2 trim 2016 BIOGROUP'!$S$45/3,""))))))</f>
        <v>0</v>
      </c>
      <c r="AQ43" s="431">
        <f>IF($AQ$7=$AL$7,'[4]1 trim 2016 BIOGROUP'!$S$45/3,IF($AQ$7=$AL$8,'[4]1 trim 2016 BIOGROUP'!$S$45/3,IF($AQ$7=$AL$9,'[4]1 trim 2016 BIOGROUP'!$S$45/3,IF($AQ$7=$AL$10,'[4]2 trim 2016 BIOGROUP'!$S$45/3,IF($AQ$7=$AL$11,'[4]2 trim 2016 BIOGROUP'!$S$45/3,IF($AQ$7=$AL$12,'[4]2 trim 2016 BIOGROUP'!$S$45/3,""))))))</f>
        <v>0</v>
      </c>
      <c r="AR43" s="431">
        <f>IF($AR$7=$AL$7,'[4]1 trim 2016 BIOGROUP'!$S$45/3,IF($AR$7=$AL$8,'[4]1 trim 2016 BIOGROUP'!$S$45/3,IF($AR$7=$AL$9,'[4]1 trim 2016 BIOGROUP'!$S$45/3,IF($AR$7=$AL$10,'[4]2 trim 2016 BIOGROUP'!$S$45/3,IF($AR$7=$AL$11,'[4]2 trim 2016 BIOGROUP'!$S$45/3,IF($AR$7=$AL$12,'[4]2 trim 2016 BIOGROUP'!$S$45/3,""))))))</f>
        <v>0</v>
      </c>
      <c r="AS43" s="431">
        <f>IF($AS$7=$AL$7,'[4]1 trim 2016 BIOGROUP'!$S$45/3,IF($AS$7=$AL$8,'[4]1 trim 2016 BIOGROUP'!$S$45/3,IF($AS$7=$AL$9,'[4]1 trim 2016 BIOGROUP'!$S$45/3,IF($AS$7=$AL$10,'[4]2 trim 2016 BIOGROUP'!$S$45/3,IF($AS$7=$AL$11,'[4]2 trim 2016 BIOGROUP'!$S$45/3,IF($AS$7=$AL$12,'[4]2 trim 2016 BIOGROUP'!$S$45/3,""))))))</f>
        <v>0</v>
      </c>
      <c r="AT43" s="431">
        <f>IF($AT$7=$AL$7,'[4]1 trim 2016 BIOGROUP'!$S$45/3,IF($AT$7=$AL$8,'[4]1 trim 2016 BIOGROUP'!$S$45/3,IF($AT$7=$AL$9,'[4]1 trim 2016 BIOGROUP'!$S$45/3,IF($AT$7=$AL$10,'[4]2 trim 2016 BIOGROUP'!$S$45/3,IF($AT$7=$AL$11,'[4]2 trim 2016 BIOGROUP'!$S$45/3,IF($AT$7=$AL$12,'[4]2 trim 2016 BIOGROUP'!$S$45/3,""))))))</f>
        <v>0</v>
      </c>
      <c r="AU43" s="431">
        <f>IF($AU$7=$AL$13,'[4]3 trim 2016 BIOGROUP'!$S$45/3,IF($AU$7=$AL$14,'[4]3 trim 2016 BIOGROUP'!$S$45/3,IF($AU$7=$AL$15,'[4]3 trim 2016 BIOGROUP'!$S$45/3,IF($AU$7=$AL$16,'[4]4 trim 2016 BIOGROUP'!$S$45/3,IF($AU$7=$AL$18,'[4]4 trim 2016 BIOGROUP'!$S$45/3,IF($AU$7=$AL$19,'[4]4 trim 2016 BIOGROUP'!$S$45/3,""))))))</f>
        <v>0</v>
      </c>
      <c r="AV43" s="431">
        <f>IF($AV$7=$AL$13,'[4]3 trim 2016 BIOGROUP'!$S$45/3,IF($AV$7=$AL$14,'[4]3 trim 2016 BIOGROUP'!$S$45/3,IF($AV$7=$AL$15,'[4]3 trim 2016 BIOGROUP'!$S$45/3,IF($AV$7=$AL$16,'[4]4 trim 2016 BIOGROUP'!$S$45/3,IF($AV$7=$AL$18,'[4]4 trim 2016 BIOGROUP'!$S$45/3,IF($AV$7=$AL$19,'[4]4 trim 2016 BIOGROUP'!$S$45/3,""))))))</f>
        <v>0</v>
      </c>
      <c r="AW43" s="431">
        <f>IF($AW$7=$AL$13,'[4]3 trim 2016 BIOGROUP'!$S$45/3,IF($AW$7=$AL$14,'[4]3 trim 2016 BIOGROUP'!$S$45/3,IF($AW$7=$AL$15,'[4]3 trim 2016 BIOGROUP'!$S$45/3,IF($AW$7=$AL$16,'[4]4 trim 2016 BIOGROUP'!$S$45/3,IF($AW$7=$AL$18,'[4]4 trim 2016 BIOGROUP'!$S$45/3,IF($AW$7=$AL$19,'[4]4 trim 2016 BIOGROUP'!$S$45/3,""))))))</f>
        <v>0</v>
      </c>
      <c r="AX43" s="431">
        <f>IF($AX$7=$AL$13,'[4]3 trim 2016 BIOGROUP'!$S$45/3,IF($AX$7=$AL$14,'[4]3 trim 2016 BIOGROUP'!$S$45/3,IF($AX$7=$AL$15,'[4]3 trim 2016 BIOGROUP'!$S$45/3,IF($AX$7=$AL$16,'[4]4 trim 2016 BIOGROUP'!$S$45/3,IF($AX$7=$AL$18,'[4]4 trim 2016 BIOGROUP'!$S$45/3,IF($AX$7=$AL$19,'[4]4 trim 2016 BIOGROUP'!$S$45/3,""))))))</f>
        <v>0</v>
      </c>
      <c r="AY43" s="431">
        <f>IF($AY$7=$AL$13,'[4]3 trim 2016 BIOGROUP'!$S$45/3,IF($AY$7=$AL$14,'[4]3 trim 2016 BIOGROUP'!$S$45/3,IF($AY$7=$AL$15,'[4]3 trim 2016 BIOGROUP'!$S$45/3,IF($AY$7=$AL$16,'[4]4 trim 2016 BIOGROUP'!$S$45/3,IF($AY$7=$AL$18,'[4]4 trim 2016 BIOGROUP'!$S$45/3,IF($AY$7=$AL$19,'[4]4 trim 2016 BIOGROUP'!$S$45/3,""))))))</f>
        <v>0</v>
      </c>
      <c r="AZ43" s="431">
        <f>IF($AZ$7=$AL$13,'[4]3 trim 2016 BIOGROUP'!$S$45/3,IF($AZ$7=$AL$14,'[4]3 trim 2016 BIOGROUP'!$S$45/3,IF($AZ$7=$AL$15,'[4]3 trim 2016 BIOGROUP'!$S$45/3,IF($AZ$7=$AL$16,'[4]4 trim 2016 BIOGROUP'!$S$45/3,IF($AZ$7=$AL$18,'[4]4 trim 2016 BIOGROUP'!$S$45/3,IF($AZ$7=$AL$19,'[4]4 trim 2016 BIOGROUP'!$S$45/3,""))))))</f>
        <v>0</v>
      </c>
      <c r="BB43" s="511">
        <f t="shared" si="5"/>
        <v>1964</v>
      </c>
      <c r="BC43" s="750"/>
    </row>
    <row r="44" spans="1:55" ht="26.15" customHeight="1">
      <c r="A44" s="575"/>
      <c r="B44" s="548">
        <v>66</v>
      </c>
      <c r="C44" s="450" t="s">
        <v>149</v>
      </c>
      <c r="D44" s="439"/>
      <c r="E44" s="450" t="s">
        <v>17</v>
      </c>
      <c r="F44" s="577"/>
      <c r="G44" s="489">
        <v>-11767</v>
      </c>
      <c r="H44" s="665">
        <f>G44/G7</f>
        <v>-4.9252856724289482E-3</v>
      </c>
      <c r="J44" s="495">
        <f>-SUMIF($AO$7:$AZ$7,$G$6,AO44:AZ44)</f>
        <v>0</v>
      </c>
      <c r="K44" s="532" t="str">
        <f t="shared" si="6"/>
        <v/>
      </c>
      <c r="L44" s="431"/>
      <c r="M44" s="753">
        <f>AG44/3</f>
        <v>0</v>
      </c>
      <c r="N44" s="517" t="str">
        <f t="shared" si="1"/>
        <v/>
      </c>
      <c r="O44" s="580"/>
      <c r="P44" s="586" t="s">
        <v>17</v>
      </c>
      <c r="Q44" s="582" t="e">
        <f>+#REF!+'31 dec 2016 BIOLAM'!AT46</f>
        <v>#REF!</v>
      </c>
      <c r="R44" s="583" t="e">
        <f>Q44/Q$7</f>
        <v>#REF!</v>
      </c>
      <c r="S44" s="582" t="e">
        <f>+'31 dec 2016 BIOLAM'!AV46+#REF!</f>
        <v>#REF!</v>
      </c>
      <c r="T44" s="583" t="e">
        <f>S44/S$7</f>
        <v>#REF!</v>
      </c>
      <c r="U44" s="582" t="e">
        <f>+'31 dec 2016 BIOLAM'!AX46+#REF!</f>
        <v>#REF!</v>
      </c>
      <c r="V44" s="583" t="e">
        <f>U44/U$7</f>
        <v>#REF!</v>
      </c>
      <c r="W44" s="582" t="e">
        <f>+'31 dec 2016 BIOLAM'!AZ46+#REF!</f>
        <v>#REF!</v>
      </c>
      <c r="X44" s="583" t="e">
        <f>W44/W$7</f>
        <v>#REF!</v>
      </c>
      <c r="Y44" s="582" t="e">
        <f>+W44+U44+S44+Q44</f>
        <v>#REF!</v>
      </c>
      <c r="Z44" s="583" t="e">
        <f>Y44/Y$7</f>
        <v>#REF!</v>
      </c>
      <c r="AA44" s="584" t="e">
        <f>+G44-Y44</f>
        <v>#REF!</v>
      </c>
      <c r="AB44" s="475">
        <v>-13796</v>
      </c>
      <c r="AC44" s="578">
        <f>AB44/AB7</f>
        <v>-3.5275650468317757E-3</v>
      </c>
      <c r="AD44" s="495">
        <f>-SUMIF($AO$7:$AZ$7,"&lt;="&amp;$AC$6,AO44:AZ44)</f>
        <v>0</v>
      </c>
      <c r="AE44" s="517" t="str">
        <f t="shared" si="20"/>
        <v/>
      </c>
      <c r="AG44" s="753"/>
      <c r="AH44" s="517" t="str">
        <f t="shared" si="4"/>
        <v/>
      </c>
      <c r="AM44" s="450" t="s">
        <v>17</v>
      </c>
      <c r="AN44" s="747"/>
      <c r="AO44" s="431">
        <f>IF($AO$7=$AL$7,'[4]1 trim 2016 BIOGROUP'!$S$46/3,IF($AO$7=$AL$8,'[4]1 trim 2016 BIOGROUP'!$S$46/3,IF($AO$7=$AL$9,'[4]1 trim 2016 BIOGROUP'!$S$46/3,IF($AO$7=$AL$10,'[4]2 trim 2016 BIOGROUP'!$S$46/3,IF($AO$7=$AL$11,'[4]2 trim 2016 BIOGROUP'!$S$46/3,IF($AO$7=$AL$12,'[4]2 trim 2016 BIOGROUP'!$S$46/3,""))))))</f>
        <v>0</v>
      </c>
      <c r="AP44" s="431">
        <f>IF($AP$7=$AL$7,'[4]1 trim 2016 BIOGROUP'!$S$46/3,IF($AP$7=$AL$8,'[4]1 trim 2016 BIOGROUP'!$S$46/3,IF($AP$7=$AL$9,'[4]1 trim 2016 BIOGROUP'!$S$46/3,IF($AP$7=$AL$10,'[4]2 trim 2016 BIOGROUP'!$S$46/3,IF($AP$7=$AL$11,'[4]2 trim 2016 BIOGROUP'!$S$46/3,IF($AP$7=$AL$12,'[4]2 trim 2016 BIOGROUP'!$S$46/3,""))))))</f>
        <v>0</v>
      </c>
      <c r="AQ44" s="431">
        <f>IF($AQ$7=$AL$7,'[4]1 trim 2016 BIOGROUP'!$S$46/3,IF($AQ$7=$AL$8,'[4]1 trim 2016 BIOGROUP'!$S$46/3,IF($AQ$7=$AL$9,'[4]1 trim 2016 BIOGROUP'!$S$46/3,IF($AQ$7=$AL$10,'[4]2 trim 2016 BIOGROUP'!$S$46/3,IF($AQ$7=$AL$11,'[4]2 trim 2016 BIOGROUP'!$S$46/3,IF($AQ$7=$AL$12,'[4]2 trim 2016 BIOGROUP'!$S$46/3,""))))))</f>
        <v>0</v>
      </c>
      <c r="AR44" s="431">
        <f>IF($AR$7=$AL$7,'[4]1 trim 2016 BIOGROUP'!$S$46/3,IF($AR$7=$AL$8,'[4]1 trim 2016 BIOGROUP'!$S$46/3,IF($AR$7=$AL$9,'[4]1 trim 2016 BIOGROUP'!$S$46/3,IF($AR$7=$AL$10,'[4]2 trim 2016 BIOGROUP'!$S$46/3,IF($AR$7=$AL$11,'[4]2 trim 2016 BIOGROUP'!$S$46/3,IF($AR$7=$AL$12,'[4]2 trim 2016 BIOGROUP'!$S$46/3,""))))))</f>
        <v>0</v>
      </c>
      <c r="AS44" s="431">
        <f>IF($AS$7=$AL$7,'[4]1 trim 2016 BIOGROUP'!$S$46/3,IF($AS$7=$AL$8,'[4]1 trim 2016 BIOGROUP'!$S$46/3,IF($AS$7=$AL$9,'[4]1 trim 2016 BIOGROUP'!$S$46/3,IF($AS$7=$AL$10,'[4]2 trim 2016 BIOGROUP'!$S$46/3,IF($AS$7=$AL$11,'[4]2 trim 2016 BIOGROUP'!$S$46/3,IF($AS$7=$AL$12,'[4]2 trim 2016 BIOGROUP'!$S$46/3,""))))))</f>
        <v>0</v>
      </c>
      <c r="AT44" s="431">
        <f>IF($AT$7=$AL$7,'[4]1 trim 2016 BIOGROUP'!$S$46/3,IF($AT$7=$AL$8,'[4]1 trim 2016 BIOGROUP'!$S$46/3,IF($AT$7=$AL$9,'[4]1 trim 2016 BIOGROUP'!$S$46/3,IF($AT$7=$AL$10,'[4]2 trim 2016 BIOGROUP'!$S$46/3,IF($AT$7=$AL$11,'[4]2 trim 2016 BIOGROUP'!$S$46/3,IF($AT$7=$AL$12,'[4]2 trim 2016 BIOGROUP'!$S$46/3,""))))))</f>
        <v>0</v>
      </c>
      <c r="AU44" s="431">
        <f>IF($AU$7=$AL$13,'[4]3 trim 2016 BIOGROUP'!$S$46/3,IF($AU$7=$AL$14,'[4]3 trim 2016 BIOGROUP'!$S$46/3,IF($AU$7=$AL$15,'[4]3 trim 2016 BIOGROUP'!$S$46/3,IF($AU$7=$AL$16,'[4]4 trim 2016 BIOGROUP'!$S$46/3,IF($AU$7=$AL$18,'[4]4 trim 2016 BIOGROUP'!$S$46/3,IF($AU$7=$AL$19,'[4]4 trim 2016 BIOGROUP'!$S$46/3,""))))))</f>
        <v>0</v>
      </c>
      <c r="AV44" s="431">
        <f>IF($AV$7=$AL$13,'[4]3 trim 2016 BIOGROUP'!$S$46/3,IF($AV$7=$AL$14,'[4]3 trim 2016 BIOGROUP'!$S$46/3,IF($AV$7=$AL$15,'[4]3 trim 2016 BIOGROUP'!$S$46/3,IF($AV$7=$AL$16,'[4]4 trim 2016 BIOGROUP'!$S$46/3,IF($AV$7=$AL$18,'[4]4 trim 2016 BIOGROUP'!$S$46/3,IF($AV$7=$AL$19,'[4]4 trim 2016 BIOGROUP'!$S$46/3,""))))))</f>
        <v>0</v>
      </c>
      <c r="AW44" s="431">
        <f>IF($AW$7=$AL$13,'[4]3 trim 2016 BIOGROUP'!$S$46/3,IF($AW$7=$AL$14,'[4]3 trim 2016 BIOGROUP'!$S$46/3,IF($AW$7=$AL$15,'[4]3 trim 2016 BIOGROUP'!$S$46/3,IF($AW$7=$AL$16,'[4]4 trim 2016 BIOGROUP'!$S$46/3,IF($AW$7=$AL$18,'[4]4 trim 2016 BIOGROUP'!$S$46/3,IF($AW$7=$AL$19,'[4]4 trim 2016 BIOGROUP'!$S$46/3,""))))))</f>
        <v>0</v>
      </c>
      <c r="AX44" s="431">
        <f>IF($AX$7=$AL$13,'[4]3 trim 2016 BIOGROUP'!$S$46/3,IF($AX$7=$AL$14,'[4]3 trim 2016 BIOGROUP'!$S$46/3,IF($AX$7=$AL$15,'[4]3 trim 2016 BIOGROUP'!$S$46/3,IF($AX$7=$AL$16,'[4]4 trim 2016 BIOGROUP'!$S$46/3,IF($AX$7=$AL$18,'[4]4 trim 2016 BIOGROUP'!$S$46/3,IF($AX$7=$AL$19,'[4]4 trim 2016 BIOGROUP'!$S$46/3,""))))))</f>
        <v>0</v>
      </c>
      <c r="AY44" s="431">
        <f>IF($AY$7=$AL$13,'[4]3 trim 2016 BIOGROUP'!$S$46/3,IF($AY$7=$AL$14,'[4]3 trim 2016 BIOGROUP'!$S$46/3,IF($AY$7=$AL$15,'[4]3 trim 2016 BIOGROUP'!$S$46/3,IF($AY$7=$AL$16,'[4]4 trim 2016 BIOGROUP'!$S$46/3,IF($AY$7=$AL$18,'[4]4 trim 2016 BIOGROUP'!$S$46/3,IF($AY$7=$AL$19,'[4]4 trim 2016 BIOGROUP'!$S$46/3,""))))))</f>
        <v>0</v>
      </c>
      <c r="AZ44" s="431">
        <f>IF($AZ$7=$AL$13,'[4]3 trim 2016 BIOGROUP'!$S$46/3,IF($AZ$7=$AL$14,'[4]3 trim 2016 BIOGROUP'!$S$46/3,IF($AZ$7=$AL$15,'[4]3 trim 2016 BIOGROUP'!$S$46/3,IF($AZ$7=$AL$16,'[4]4 trim 2016 BIOGROUP'!$S$46/3,IF($AZ$7=$AL$18,'[4]4 trim 2016 BIOGROUP'!$S$46/3,IF($AZ$7=$AL$19,'[4]4 trim 2016 BIOGROUP'!$S$46/3,""))))))</f>
        <v>0</v>
      </c>
      <c r="BB44" s="511">
        <f t="shared" si="5"/>
        <v>13796</v>
      </c>
      <c r="BC44" s="750"/>
    </row>
    <row r="45" spans="1:55" ht="26.15" customHeight="1">
      <c r="A45" s="649"/>
      <c r="B45" s="650">
        <v>66</v>
      </c>
      <c r="C45" s="462" t="s">
        <v>151</v>
      </c>
      <c r="D45" s="439"/>
      <c r="E45" s="462" t="s">
        <v>41</v>
      </c>
      <c r="F45" s="666"/>
      <c r="G45" s="486"/>
      <c r="H45" s="653">
        <f>G45/G7</f>
        <v>0</v>
      </c>
      <c r="J45" s="509">
        <f>-SUMIF($AO$7:$AZ$7,$G$6,AO45:AZ45)</f>
        <v>0</v>
      </c>
      <c r="K45" s="539" t="str">
        <f t="shared" si="6"/>
        <v/>
      </c>
      <c r="L45" s="431"/>
      <c r="M45" s="753">
        <f>AG45/3</f>
        <v>0</v>
      </c>
      <c r="N45" s="517" t="str">
        <f t="shared" si="1"/>
        <v/>
      </c>
      <c r="O45" s="580"/>
      <c r="P45" s="667" t="s">
        <v>41</v>
      </c>
      <c r="Q45" s="582" t="e">
        <f>+#REF!+'31 dec 2016 BIOLAM'!AT47</f>
        <v>#REF!</v>
      </c>
      <c r="R45" s="583" t="e">
        <f>Q45/Q$7</f>
        <v>#REF!</v>
      </c>
      <c r="S45" s="582" t="e">
        <f>+'31 dec 2016 BIOLAM'!AV47+#REF!</f>
        <v>#REF!</v>
      </c>
      <c r="T45" s="583" t="e">
        <f>S45/S$7</f>
        <v>#REF!</v>
      </c>
      <c r="U45" s="582" t="e">
        <f>+'31 dec 2016 BIOLAM'!AX47+#REF!</f>
        <v>#REF!</v>
      </c>
      <c r="V45" s="583" t="e">
        <f>U45/U$7</f>
        <v>#REF!</v>
      </c>
      <c r="W45" s="582" t="e">
        <f>+'31 dec 2016 BIOLAM'!AZ47+#REF!</f>
        <v>#REF!</v>
      </c>
      <c r="X45" s="583" t="e">
        <f>W45/W$7</f>
        <v>#REF!</v>
      </c>
      <c r="Y45" s="582" t="e">
        <f>+W45+U45+S45+Q45</f>
        <v>#REF!</v>
      </c>
      <c r="Z45" s="583" t="e">
        <f>Y45/Y$7</f>
        <v>#REF!</v>
      </c>
      <c r="AA45" s="584" t="e">
        <f>+G45-Y45</f>
        <v>#REF!</v>
      </c>
      <c r="AB45" s="486"/>
      <c r="AC45" s="653">
        <f>AB45/AB8</f>
        <v>0</v>
      </c>
      <c r="AD45" s="509">
        <f>-SUMIF($AO$7:$AZ$7,"&lt;="&amp;$AC$6,AO45:AZ45)</f>
        <v>0</v>
      </c>
      <c r="AE45" s="523" t="str">
        <f t="shared" si="20"/>
        <v/>
      </c>
      <c r="AG45" s="762"/>
      <c r="AH45" s="523" t="str">
        <f t="shared" si="4"/>
        <v/>
      </c>
      <c r="AM45" s="462" t="s">
        <v>41</v>
      </c>
      <c r="AN45" s="747"/>
      <c r="AO45" s="431">
        <f>IF($AO$7=$AL$7,'[4]1 trim 2016 BIOGROUP'!$S$47/3,IF($AO$7=$AL$8,'[4]1 trim 2016 BIOGROUP'!$S$47/3,IF($AO$7=$AL$9,'[4]1 trim 2016 BIOGROUP'!$S$47/3,IF($AO$7=$AL$10,'[4]2 trim 2016 BIOGROUP'!$S$47/3,IF($AO$7=$AL$11,'[4]2 trim 2016 BIOGROUP'!$S$47/3,IF($AO$7=$AL$12,'[4]2 trim 2016 BIOGROUP'!$S$47/3,""))))))</f>
        <v>418.86329466666621</v>
      </c>
      <c r="AP45" s="431">
        <f>IF($AP$7=$AL$7,'[4]1 trim 2016 BIOGROUP'!$S$47/3,IF($AP$7=$AL$8,'[4]1 trim 2016 BIOGROUP'!$S$47/3,IF($AP$7=$AL$9,'[4]1 trim 2016 BIOGROUP'!$S$47/3,IF($AP$7=$AL$10,'[4]2 trim 2016 BIOGROUP'!$S$47/3,IF($AP$7=$AL$11,'[4]2 trim 2016 BIOGROUP'!$S$47/3,IF($AP$7=$AL$12,'[4]2 trim 2016 BIOGROUP'!$S$47/3,""))))))</f>
        <v>418.86329466666621</v>
      </c>
      <c r="AQ45" s="431">
        <f>IF($AQ$7=$AL$7,'[4]1 trim 2016 BIOGROUP'!$S$47/3,IF($AQ$7=$AL$8,'[4]1 trim 2016 BIOGROUP'!$S$47/3,IF($AQ$7=$AL$9,'[4]1 trim 2016 BIOGROUP'!$S$47/3,IF($AQ$7=$AL$10,'[4]2 trim 2016 BIOGROUP'!$S$47/3,IF($AQ$7=$AL$11,'[4]2 trim 2016 BIOGROUP'!$S$47/3,IF($AQ$7=$AL$12,'[4]2 trim 2016 BIOGROUP'!$S$47/3,""))))))</f>
        <v>418.86329466666621</v>
      </c>
      <c r="AR45" s="431">
        <f>IF($AR$7=$AL$7,'[4]1 trim 2016 BIOGROUP'!$S$47/3,IF($AR$7=$AL$8,'[4]1 trim 2016 BIOGROUP'!$S$47/3,IF($AR$7=$AL$9,'[4]1 trim 2016 BIOGROUP'!$S$47/3,IF($AR$7=$AL$10,'[4]2 trim 2016 BIOGROUP'!$S$47/3,IF($AR$7=$AL$11,'[4]2 trim 2016 BIOGROUP'!$S$47/3,IF($AR$7=$AL$12,'[4]2 trim 2016 BIOGROUP'!$S$47/3,""))))))</f>
        <v>418.86329466666621</v>
      </c>
      <c r="AS45" s="431">
        <f>IF($AS$7=$AL$7,'[4]1 trim 2016 BIOGROUP'!$S$47/3,IF($AS$7=$AL$8,'[4]1 trim 2016 BIOGROUP'!$S$47/3,IF($AS$7=$AL$9,'[4]1 trim 2016 BIOGROUP'!$S$47/3,IF($AS$7=$AL$10,'[4]2 trim 2016 BIOGROUP'!$S$47/3,IF($AS$7=$AL$11,'[4]2 trim 2016 BIOGROUP'!$S$47/3,IF($AS$7=$AL$12,'[4]2 trim 2016 BIOGROUP'!$S$47/3,""))))))</f>
        <v>418.86329466666621</v>
      </c>
      <c r="AT45" s="431">
        <f>IF($AT$7=$AL$7,'[4]1 trim 2016 BIOGROUP'!$S$47/3,IF($AT$7=$AL$8,'[4]1 trim 2016 BIOGROUP'!$S$47/3,IF($AT$7=$AL$9,'[4]1 trim 2016 BIOGROUP'!$S$47/3,IF($AT$7=$AL$10,'[4]2 trim 2016 BIOGROUP'!$S$47/3,IF($AT$7=$AL$11,'[4]2 trim 2016 BIOGROUP'!$S$47/3,IF($AT$7=$AL$12,'[4]2 trim 2016 BIOGROUP'!$S$47/3,""))))))</f>
        <v>418.86329466666621</v>
      </c>
      <c r="AU45" s="431">
        <f>IF($AU$7=$AL$13,'[4]3 trim 2016 BIOGROUP'!$S$47/3,IF($AU$7=$AL$14,'[4]3 trim 2016 BIOGROUP'!$S$47/3,IF($AU$7=$AL$15,'[4]3 trim 2016 BIOGROUP'!$S$47/3,IF($AU$7=$AL$16,'[4]4 trim 2016 BIOGROUP'!$S$47/3,IF($AU$7=$AL$18,'[4]4 trim 2016 BIOGROUP'!$S$47/3,IF($AU$7=$AL$19,'[4]4 trim 2016 BIOGROUP'!$S$47/3,""))))))</f>
        <v>418.86329466666621</v>
      </c>
      <c r="AV45" s="431">
        <f>IF($AV$7=$AL$13,'[4]3 trim 2016 BIOGROUP'!$S$47/3,IF($AV$7=$AL$14,'[4]3 trim 2016 BIOGROUP'!$S$47/3,IF($AV$7=$AL$15,'[4]3 trim 2016 BIOGROUP'!$S$47/3,IF($AV$7=$AL$16,'[4]4 trim 2016 BIOGROUP'!$S$47/3,IF($AV$7=$AL$18,'[4]4 trim 2016 BIOGROUP'!$S$47/3,IF($AV$7=$AL$19,'[4]4 trim 2016 BIOGROUP'!$S$47/3,""))))))</f>
        <v>418.86329466666621</v>
      </c>
      <c r="AW45" s="431">
        <f>IF($AW$7=$AL$13,'[4]3 trim 2016 BIOGROUP'!$S$47/3,IF($AW$7=$AL$14,'[4]3 trim 2016 BIOGROUP'!$S$47/3,IF($AW$7=$AL$15,'[4]3 trim 2016 BIOGROUP'!$S$47/3,IF($AW$7=$AL$16,'[4]4 trim 2016 BIOGROUP'!$S$47/3,IF($AW$7=$AL$18,'[4]4 trim 2016 BIOGROUP'!$S$47/3,IF($AW$7=$AL$19,'[4]4 trim 2016 BIOGROUP'!$S$47/3,""))))))</f>
        <v>418.86329466666621</v>
      </c>
      <c r="AX45" s="431">
        <f>IF($AX$7=$AL$13,'[4]3 trim 2016 BIOGROUP'!$S$47/3,IF($AX$7=$AL$14,'[4]3 trim 2016 BIOGROUP'!$S$47/3,IF($AX$7=$AL$15,'[4]3 trim 2016 BIOGROUP'!$S$47/3,IF($AX$7=$AL$16,'[4]4 trim 2016 BIOGROUP'!$S$47/3,IF($AX$7=$AL$18,'[4]4 trim 2016 BIOGROUP'!$S$47/3,IF($AX$7=$AL$19,'[4]4 trim 2016 BIOGROUP'!$S$47/3,""))))))</f>
        <v>418.86329466666621</v>
      </c>
      <c r="AY45" s="431">
        <f>IF($AY$7=$AL$13,'[4]3 trim 2016 BIOGROUP'!$S$47/3,IF($AY$7=$AL$14,'[4]3 trim 2016 BIOGROUP'!$S$47/3,IF($AY$7=$AL$15,'[4]3 trim 2016 BIOGROUP'!$S$47/3,IF($AY$7=$AL$16,'[4]4 trim 2016 BIOGROUP'!$S$47/3,IF($AY$7=$AL$18,'[4]4 trim 2016 BIOGROUP'!$S$47/3,IF($AY$7=$AL$19,'[4]4 trim 2016 BIOGROUP'!$S$47/3,""))))))</f>
        <v>418.86329466666621</v>
      </c>
      <c r="AZ45" s="431">
        <f>IF($AZ$7=$AL$13,'[4]3 trim 2016 BIOGROUP'!$S$47/3,IF($AZ$7=$AL$14,'[4]3 trim 2016 BIOGROUP'!$S$47/3,IF($AZ$7=$AL$15,'[4]3 trim 2016 BIOGROUP'!$S$47/3,IF($AZ$7=$AL$16,'[4]4 trim 2016 BIOGROUP'!$S$47/3,IF($AZ$7=$AL$18,'[4]4 trim 2016 BIOGROUP'!$S$47/3,IF($AZ$7=$AL$19,'[4]4 trim 2016 BIOGROUP'!$S$47/3,""))))))</f>
        <v>418.86329466666621</v>
      </c>
      <c r="BB45" s="511">
        <f t="shared" si="5"/>
        <v>0</v>
      </c>
      <c r="BC45" s="750"/>
    </row>
    <row r="46" spans="1:55" ht="26.15" customHeight="1">
      <c r="A46" s="662"/>
      <c r="B46" s="566">
        <v>77</v>
      </c>
      <c r="C46" s="451" t="s">
        <v>103</v>
      </c>
      <c r="D46" s="589"/>
      <c r="E46" s="451" t="s">
        <v>104</v>
      </c>
      <c r="F46" s="577"/>
      <c r="G46" s="476">
        <v>-700</v>
      </c>
      <c r="H46" s="591">
        <f>G46/G7</f>
        <v>-2.9299736302373279E-4</v>
      </c>
      <c r="J46" s="496">
        <f>SUM(J47:J48)</f>
        <v>0</v>
      </c>
      <c r="K46" s="530" t="str">
        <f t="shared" si="6"/>
        <v/>
      </c>
      <c r="L46" s="431"/>
      <c r="M46" s="754">
        <f>SUM(M47:M48)</f>
        <v>0</v>
      </c>
      <c r="N46" s="518" t="str">
        <f t="shared" si="1"/>
        <v/>
      </c>
      <c r="O46" s="592"/>
      <c r="P46" s="611" t="str">
        <f>+E46</f>
        <v>NON RECURRENT</v>
      </c>
      <c r="Q46" s="668" t="e">
        <f>Q72-Q73</f>
        <v>#REF!</v>
      </c>
      <c r="R46" s="622" t="e">
        <f>Q46/Q$7</f>
        <v>#REF!</v>
      </c>
      <c r="S46" s="668" t="e">
        <f>S72-S73</f>
        <v>#REF!</v>
      </c>
      <c r="T46" s="622" t="e">
        <f>S46/S$7</f>
        <v>#REF!</v>
      </c>
      <c r="U46" s="668" t="e">
        <f>U72-U73</f>
        <v>#REF!</v>
      </c>
      <c r="V46" s="622" t="e">
        <f>U46/U$7</f>
        <v>#REF!</v>
      </c>
      <c r="W46" s="668" t="e">
        <f>W72-W73</f>
        <v>#REF!</v>
      </c>
      <c r="X46" s="622" t="e">
        <f>W46/W$7</f>
        <v>#REF!</v>
      </c>
      <c r="Y46" s="668" t="e">
        <f>Y72-Y73</f>
        <v>#REF!</v>
      </c>
      <c r="Z46" s="622" t="e">
        <f>Y46/Y$7</f>
        <v>#REF!</v>
      </c>
      <c r="AA46" s="609" t="e">
        <f>+G46-Y46</f>
        <v>#REF!</v>
      </c>
      <c r="AB46" s="476">
        <v>18937</v>
      </c>
      <c r="AC46" s="591">
        <f>AB46/AB7</f>
        <v>4.8420918593688996E-3</v>
      </c>
      <c r="AD46" s="496" t="e">
        <f>SUM(AD47:AD48)</f>
        <v>#REF!</v>
      </c>
      <c r="AE46" s="518" t="str">
        <f t="shared" si="20"/>
        <v/>
      </c>
      <c r="AG46" s="754">
        <f>SUM(AG47:AG48)</f>
        <v>0</v>
      </c>
      <c r="AH46" s="518" t="str">
        <f t="shared" si="4"/>
        <v/>
      </c>
      <c r="AM46" s="451" t="s">
        <v>104</v>
      </c>
      <c r="AN46" s="747"/>
      <c r="AO46" s="741">
        <f>-SUM(AO47:AO48)</f>
        <v>0</v>
      </c>
      <c r="AP46" s="741">
        <f t="shared" ref="AP46:AZ46" si="25">-SUM(AP47:AP48)</f>
        <v>0</v>
      </c>
      <c r="AQ46" s="741">
        <f t="shared" si="25"/>
        <v>0</v>
      </c>
      <c r="AR46" s="741">
        <f t="shared" si="25"/>
        <v>0</v>
      </c>
      <c r="AS46" s="741">
        <f t="shared" si="25"/>
        <v>0</v>
      </c>
      <c r="AT46" s="741">
        <f t="shared" si="25"/>
        <v>0</v>
      </c>
      <c r="AU46" s="741">
        <f t="shared" si="25"/>
        <v>0</v>
      </c>
      <c r="AV46" s="741">
        <f t="shared" si="25"/>
        <v>0</v>
      </c>
      <c r="AW46" s="741">
        <f t="shared" si="25"/>
        <v>0</v>
      </c>
      <c r="AX46" s="741">
        <f t="shared" si="25"/>
        <v>0</v>
      </c>
      <c r="AY46" s="741">
        <f t="shared" si="25"/>
        <v>0</v>
      </c>
      <c r="AZ46" s="741">
        <f t="shared" si="25"/>
        <v>0</v>
      </c>
      <c r="BB46" s="748" t="e">
        <f t="shared" si="5"/>
        <v>#REF!</v>
      </c>
      <c r="BC46" s="752"/>
    </row>
    <row r="47" spans="1:55" ht="27" customHeight="1">
      <c r="A47" s="662"/>
      <c r="B47" s="566">
        <v>77</v>
      </c>
      <c r="C47" s="669" t="s">
        <v>150</v>
      </c>
      <c r="D47" s="670"/>
      <c r="E47" s="463" t="s">
        <v>131</v>
      </c>
      <c r="F47" s="577"/>
      <c r="G47" s="475">
        <v>12500</v>
      </c>
      <c r="H47" s="578">
        <f>G47/$G$7</f>
        <v>5.2320957682809423E-3</v>
      </c>
      <c r="J47" s="506">
        <f>-SUMIF($AO$7:$AZ$7,$G$6,AO47:AZ47)</f>
        <v>0</v>
      </c>
      <c r="K47" s="532" t="str">
        <f t="shared" si="6"/>
        <v/>
      </c>
      <c r="L47" s="431"/>
      <c r="M47" s="759">
        <f>AG47/3</f>
        <v>0</v>
      </c>
      <c r="N47" s="517" t="str">
        <f t="shared" si="1"/>
        <v/>
      </c>
      <c r="O47" s="580"/>
      <c r="P47" s="581"/>
      <c r="Q47" s="671"/>
      <c r="R47" s="672"/>
      <c r="S47" s="671"/>
      <c r="T47" s="672"/>
      <c r="U47" s="671"/>
      <c r="V47" s="672"/>
      <c r="W47" s="671"/>
      <c r="X47" s="672"/>
      <c r="Y47" s="671"/>
      <c r="Z47" s="672"/>
      <c r="AA47" s="584"/>
      <c r="AB47" s="475">
        <v>12500</v>
      </c>
      <c r="AC47" s="578">
        <f>+AB47/$AB$7</f>
        <v>3.1961846249200635E-3</v>
      </c>
      <c r="AD47" s="506" t="e">
        <f>IF($AC$6=$AK$7,'31 dec 2016 BIOLAM'!AT49,IF($AC$6=$AK$8,'31 dec 2016 BIOLAM'!AV49,IF($AC$6=$AK$9,'31 dec 2016 BIOLAM'!AX49,IF($AC$6=$AK$10,'31 dec 2016 BIOLAM'!AZ49,""))))</f>
        <v>#REF!</v>
      </c>
      <c r="AE47" s="517" t="str">
        <f t="shared" si="20"/>
        <v/>
      </c>
      <c r="AG47" s="759"/>
      <c r="AH47" s="517" t="str">
        <f t="shared" si="4"/>
        <v/>
      </c>
      <c r="AM47" s="463" t="s">
        <v>131</v>
      </c>
      <c r="AN47" s="747"/>
      <c r="AO47" s="431">
        <f>IF($AO$7=$AL$7,'[4]1 trim 2016 BIOGROUP'!$S$49/3,IF($AO$7=$AL$8,'[4]1 trim 2016 BIOGROUP'!$S$49/3,IF($AO$7=$AL$9,'[4]1 trim 2016 BIOGROUP'!$S$49/3,IF($AO$7=$AL$10,'[4]2 trim 2016 BIOGROUP'!$S$49/3,IF($AO$7=$AL$11,'[4]2 trim 2016 BIOGROUP'!$S$49/3,IF($AO$7=$AL$12,'[4]2 trim 2016 BIOGROUP'!$S$49/3,""))))))</f>
        <v>0</v>
      </c>
      <c r="AP47" s="431">
        <f>IF($AP$7=$AL$7,'[4]1 trim 2016 BIOGROUP'!$S$49/3,IF($AP$7=$AL$8,'[4]1 trim 2016 BIOGROUP'!$S$49/3,IF($AP$7=$AL$9,'[4]1 trim 2016 BIOGROUP'!$S$49/3,IF($AP$7=$AL$10,'[4]2 trim 2016 BIOGROUP'!$S$49/3,IF($AP$7=$AL$11,'[4]2 trim 2016 BIOGROUP'!$S$49/3,IF($AP$7=$AL$12,'[4]2 trim 2016 BIOGROUP'!$S$49/3,""))))))</f>
        <v>0</v>
      </c>
      <c r="AQ47" s="431">
        <f>IF($AQ$7=$AL$7,'[4]1 trim 2016 BIOGROUP'!$S$49/3,IF($AQ$7=$AL$8,'[4]1 trim 2016 BIOGROUP'!$S$49/3,IF($AQ$7=$AL$9,'[4]1 trim 2016 BIOGROUP'!$S$49/3,IF($AQ$7=$AL$10,'[4]2 trim 2016 BIOGROUP'!$S$49/3,IF($AQ$7=$AL$11,'[4]2 trim 2016 BIOGROUP'!$S$49/3,IF($AQ$7=$AL$12,'[4]2 trim 2016 BIOGROUP'!$S$49/3,""))))))</f>
        <v>0</v>
      </c>
      <c r="AR47" s="431">
        <f>IF($AR$7=$AL$7,'[4]1 trim 2016 BIOGROUP'!$S$49/3,IF($AR$7=$AL$8,'[4]1 trim 2016 BIOGROUP'!$S$49/3,IF($AR$7=$AL$9,'[4]1 trim 2016 BIOGROUP'!$S$49/3,IF($AR$7=$AL$10,'[4]2 trim 2016 BIOGROUP'!$S$49/3,IF($AR$7=$AL$11,'[4]2 trim 2016 BIOGROUP'!$S$49/3,IF($AR$7=$AL$12,'[4]2 trim 2016 BIOGROUP'!$S$49/3,""))))))</f>
        <v>0</v>
      </c>
      <c r="AS47" s="431">
        <f>IF($AS$7=$AL$7,'[4]1 trim 2016 BIOGROUP'!$S$49/3,IF($AS$7=$AL$8,'[4]1 trim 2016 BIOGROUP'!$S$49/3,IF($AS$7=$AL$9,'[4]1 trim 2016 BIOGROUP'!$S$49/3,IF($AS$7=$AL$10,'[4]2 trim 2016 BIOGROUP'!$S$49/3,IF($AS$7=$AL$11,'[4]2 trim 2016 BIOGROUP'!$S$49/3,IF($AS$7=$AL$12,'[4]2 trim 2016 BIOGROUP'!$S$49/3,""))))))</f>
        <v>0</v>
      </c>
      <c r="AT47" s="431">
        <f>IF($AT$7=$AL$7,'[4]1 trim 2016 BIOGROUP'!$S$49/3,IF($AT$7=$AL$8,'[4]1 trim 2016 BIOGROUP'!$S$49/3,IF($AT$7=$AL$9,'[4]1 trim 2016 BIOGROUP'!$S$49/3,IF($AT$7=$AL$10,'[4]2 trim 2016 BIOGROUP'!$S$49/3,IF($AT$7=$AL$11,'[4]2 trim 2016 BIOGROUP'!$S$49/3,IF($AT$7=$AL$12,'[4]2 trim 2016 BIOGROUP'!$S$49/3,""))))))</f>
        <v>0</v>
      </c>
      <c r="AU47" s="431">
        <f>IF($AU$7=$AL$13,'[4]3 trim 2016 BIOGROUP'!$S$49/3,IF($AU$7=$AL$14,'[4]3 trim 2016 BIOGROUP'!$S$49/3,IF($AU$7=$AL$15,'[4]3 trim 2016 BIOGROUP'!$S$49/3,IF($AU$7=$AL$16,'[4]4 trim 2016 BIOGROUP'!$S$49/3,IF($AU$7=$AL$18,'[4]4 trim 2016 BIOGROUP'!$S$49/3,IF($AU$7=$AL$19,'[4]4 trim 2016 BIOGROUP'!$S$49/3,""))))))</f>
        <v>0</v>
      </c>
      <c r="AV47" s="431">
        <f>IF($AV$7=$AL$13,'[4]3 trim 2016 BIOGROUP'!$S$49/3,IF($AV$7=$AL$14,'[4]3 trim 2016 BIOGROUP'!$S$49/3,IF($AV$7=$AL$15,'[4]3 trim 2016 BIOGROUP'!$S$49/3,IF($AV$7=$AL$16,'[4]4 trim 2016 BIOGROUP'!$S$49/3,IF($AV$7=$AL$18,'[4]4 trim 2016 BIOGROUP'!$S$49/3,IF($AV$7=$AL$19,'[4]4 trim 2016 BIOGROUP'!$S$49/3,""))))))</f>
        <v>0</v>
      </c>
      <c r="AW47" s="431">
        <f>IF($AW$7=$AL$13,'[4]3 trim 2016 BIOGROUP'!$S$49/3,IF($AW$7=$AL$14,'[4]3 trim 2016 BIOGROUP'!$S$49/3,IF($AW$7=$AL$15,'[4]3 trim 2016 BIOGROUP'!$S$49/3,IF($AW$7=$AL$16,'[4]4 trim 2016 BIOGROUP'!$S$49/3,IF($AW$7=$AL$18,'[4]4 trim 2016 BIOGROUP'!$S$49/3,IF($AW$7=$AL$19,'[4]4 trim 2016 BIOGROUP'!$S$49/3,""))))))</f>
        <v>0</v>
      </c>
      <c r="AX47" s="431">
        <f>IF($AX$7=$AL$13,'[4]3 trim 2016 BIOGROUP'!$S$49/3,IF($AX$7=$AL$14,'[4]3 trim 2016 BIOGROUP'!$S$49/3,IF($AX$7=$AL$15,'[4]3 trim 2016 BIOGROUP'!$S$49/3,IF($AX$7=$AL$16,'[4]4 trim 2016 BIOGROUP'!$S$49/3,IF($AX$7=$AL$18,'[4]4 trim 2016 BIOGROUP'!$S$49/3,IF($AX$7=$AL$19,'[4]4 trim 2016 BIOGROUP'!$S$49/3,""))))))</f>
        <v>0</v>
      </c>
      <c r="AY47" s="431">
        <f>IF($AY$7=$AL$13,'[4]3 trim 2016 BIOGROUP'!$S$49/3,IF($AY$7=$AL$14,'[4]3 trim 2016 BIOGROUP'!$S$49/3,IF($AY$7=$AL$15,'[4]3 trim 2016 BIOGROUP'!$S$49/3,IF($AY$7=$AL$16,'[4]4 trim 2016 BIOGROUP'!$S$49/3,IF($AY$7=$AL$18,'[4]4 trim 2016 BIOGROUP'!$S$49/3,IF($AY$7=$AL$19,'[4]4 trim 2016 BIOGROUP'!$S$49/3,""))))))</f>
        <v>0</v>
      </c>
      <c r="AZ47" s="431">
        <f>IF($AZ$7=$AL$13,'[4]3 trim 2016 BIOGROUP'!$S$49/3,IF($AZ$7=$AL$14,'[4]3 trim 2016 BIOGROUP'!$S$49/3,IF($AZ$7=$AL$15,'[4]3 trim 2016 BIOGROUP'!$S$49/3,IF($AZ$7=$AL$16,'[4]4 trim 2016 BIOGROUP'!$S$49/3,IF($AZ$7=$AL$18,'[4]4 trim 2016 BIOGROUP'!$S$49/3,IF($AZ$7=$AL$19,'[4]4 trim 2016 BIOGROUP'!$S$49/3,""))))))</f>
        <v>0</v>
      </c>
      <c r="BB47" s="511" t="e">
        <f t="shared" si="5"/>
        <v>#REF!</v>
      </c>
      <c r="BC47" s="750"/>
    </row>
    <row r="48" spans="1:55" ht="26.15" customHeight="1">
      <c r="A48" s="662"/>
      <c r="B48" s="566">
        <v>67</v>
      </c>
      <c r="C48" s="463" t="s">
        <v>130</v>
      </c>
      <c r="D48" s="670"/>
      <c r="E48" s="463" t="s">
        <v>132</v>
      </c>
      <c r="F48" s="577"/>
      <c r="G48" s="475">
        <v>-13200</v>
      </c>
      <c r="H48" s="578">
        <f>G48/$G$7</f>
        <v>-5.5250931313046755E-3</v>
      </c>
      <c r="J48" s="506">
        <f>-SUMIF($AO$7:$AZ$7,$G$6,AO48:AZ48)</f>
        <v>0</v>
      </c>
      <c r="K48" s="532" t="str">
        <f t="shared" si="6"/>
        <v/>
      </c>
      <c r="L48" s="431"/>
      <c r="M48" s="759">
        <f>AG48/3</f>
        <v>0</v>
      </c>
      <c r="N48" s="532" t="str">
        <f t="shared" si="1"/>
        <v/>
      </c>
      <c r="O48" s="580"/>
      <c r="P48" s="581"/>
      <c r="Q48" s="671"/>
      <c r="R48" s="672"/>
      <c r="S48" s="671"/>
      <c r="T48" s="672"/>
      <c r="U48" s="671"/>
      <c r="V48" s="672"/>
      <c r="W48" s="671"/>
      <c r="X48" s="672"/>
      <c r="Y48" s="671"/>
      <c r="Z48" s="672"/>
      <c r="AA48" s="584"/>
      <c r="AB48" s="475">
        <v>6437</v>
      </c>
      <c r="AC48" s="578">
        <f>+AB48/$AB$7</f>
        <v>1.6459072344488358E-3</v>
      </c>
      <c r="AD48" s="579">
        <f>-SUMIF($AO$7:$AZ$7,"&lt;="&amp;$AC$6,AO48:AZ48)</f>
        <v>0</v>
      </c>
      <c r="AE48" s="517" t="str">
        <f t="shared" si="20"/>
        <v/>
      </c>
      <c r="AG48" s="753"/>
      <c r="AH48" s="517" t="str">
        <f t="shared" si="4"/>
        <v/>
      </c>
      <c r="AM48" s="463" t="s">
        <v>132</v>
      </c>
      <c r="AN48" s="747"/>
      <c r="AO48" s="431">
        <f>IF($AO$7=$AL$7,'[4]1 trim 2016 BIOGROUP'!$S$50/3,IF($AO$7=$AL$8,'[4]1 trim 2016 BIOGROUP'!$S$50/3,IF($AO$7=$AL$9,'[4]1 trim 2016 BIOGROUP'!$S$50/3,IF($AO$7=$AL$10,'[4]2 trim 2016 BIOGROUP'!$S$50/3,IF($AO$7=$AL$11,'[4]2 trim 2016 BIOGROUP'!$S$50/3,IF($AO$7=$AL$12,'[4]2 trim 2016 BIOGROUP'!$S$50/3,""))))))</f>
        <v>0</v>
      </c>
      <c r="AP48" s="431">
        <f>IF($AP$7=$AL$7,'[4]1 trim 2016 BIOGROUP'!$S$50/3,IF($AP$7=$AL$8,'[4]1 trim 2016 BIOGROUP'!$S$50/3,IF($AP$7=$AL$9,'[4]1 trim 2016 BIOGROUP'!$S$50/3,IF($AP$7=$AL$10,'[4]2 trim 2016 BIOGROUP'!$S$50/3,IF($AP$7=$AL$11,'[4]2 trim 2016 BIOGROUP'!$S$50/3,IF($AP$7=$AL$12,'[4]2 trim 2016 BIOGROUP'!$S$50/3,""))))))</f>
        <v>0</v>
      </c>
      <c r="AQ48" s="431">
        <f>IF($AQ$7=$AL$7,'[4]1 trim 2016 BIOGROUP'!$S$50/3,IF($AQ$7=$AL$8,'[4]1 trim 2016 BIOGROUP'!$S$50/3,IF($AQ$7=$AL$9,'[4]1 trim 2016 BIOGROUP'!$S$50/3,IF($AQ$7=$AL$10,'[4]2 trim 2016 BIOGROUP'!$S$50/3,IF($AQ$7=$AL$11,'[4]2 trim 2016 BIOGROUP'!$S$50/3,IF($AQ$7=$AL$12,'[4]2 trim 2016 BIOGROUP'!$S$50/3,""))))))</f>
        <v>0</v>
      </c>
      <c r="AR48" s="431">
        <f>IF($AR$7=$AL$7,'[4]1 trim 2016 BIOGROUP'!$S$50/3,IF($AR$7=$AL$8,'[4]1 trim 2016 BIOGROUP'!$S$50/3,IF($AR$7=$AL$9,'[4]1 trim 2016 BIOGROUP'!$S$50/3,IF($AR$7=$AL$10,'[4]2 trim 2016 BIOGROUP'!$S$50/3,IF($AR$7=$AL$11,'[4]2 trim 2016 BIOGROUP'!$S$50/3,IF($AR$7=$AL$12,'[4]2 trim 2016 BIOGROUP'!$S$50/3,""))))))</f>
        <v>0</v>
      </c>
      <c r="AS48" s="431">
        <f>IF($AS$7=$AL$7,'[4]1 trim 2016 BIOGROUP'!$S$50/3,IF($AS$7=$AL$8,'[4]1 trim 2016 BIOGROUP'!$S$50/3,IF($AS$7=$AL$9,'[4]1 trim 2016 BIOGROUP'!$S$50/3,IF($AS$7=$AL$10,'[4]2 trim 2016 BIOGROUP'!$S$50/3,IF($AS$7=$AL$11,'[4]2 trim 2016 BIOGROUP'!$S$50/3,IF($AS$7=$AL$12,'[4]2 trim 2016 BIOGROUP'!$S$50/3,""))))))</f>
        <v>0</v>
      </c>
      <c r="AT48" s="431">
        <f>IF($AT$7=$AL$7,'[4]1 trim 2016 BIOGROUP'!$S$50/3,IF($AT$7=$AL$8,'[4]1 trim 2016 BIOGROUP'!$S$50/3,IF($AT$7=$AL$9,'[4]1 trim 2016 BIOGROUP'!$S$50/3,IF($AT$7=$AL$10,'[4]2 trim 2016 BIOGROUP'!$S$50/3,IF($AT$7=$AL$11,'[4]2 trim 2016 BIOGROUP'!$S$50/3,IF($AT$7=$AL$12,'[4]2 trim 2016 BIOGROUP'!$S$50/3,""))))))</f>
        <v>0</v>
      </c>
      <c r="AU48" s="431">
        <f>IF($AU$7=$AL$13,'[4]3 trim 2016 BIOGROUP'!$S$50/3,IF($AU$7=$AL$14,'[4]3 trim 2016 BIOGROUP'!$S$50/3,IF($AU$7=$AL$15,'[4]3 trim 2016 BIOGROUP'!$S$50/3,IF($AU$7=$AL$16,'[4]4 trim 2016 BIOGROUP'!$S$50/3,IF($AU$7=$AL$18,'[4]4 trim 2016 BIOGROUP'!$S$50/3,IF($AU$7=$AL$19,'[4]4 trim 2016 BIOGROUP'!$S$50/3,""))))))</f>
        <v>0</v>
      </c>
      <c r="AV48" s="431">
        <f>IF($AV$7=$AL$13,'[4]3 trim 2016 BIOGROUP'!$S$50/3,IF($AV$7=$AL$14,'[4]3 trim 2016 BIOGROUP'!$S$50/3,IF($AV$7=$AL$15,'[4]3 trim 2016 BIOGROUP'!$S$50/3,IF($AV$7=$AL$16,'[4]4 trim 2016 BIOGROUP'!$S$50/3,IF($AV$7=$AL$18,'[4]4 trim 2016 BIOGROUP'!$S$50/3,IF($AV$7=$AL$19,'[4]4 trim 2016 BIOGROUP'!$S$50/3,""))))))</f>
        <v>0</v>
      </c>
      <c r="AW48" s="431">
        <f>IF($AW$7=$AL$13,'[4]3 trim 2016 BIOGROUP'!$S$50/3,IF($AW$7=$AL$14,'[4]3 trim 2016 BIOGROUP'!$S$50/3,IF($AW$7=$AL$15,'[4]3 trim 2016 BIOGROUP'!$S$50/3,IF($AW$7=$AL$16,'[4]4 trim 2016 BIOGROUP'!$S$50/3,IF($AW$7=$AL$18,'[4]4 trim 2016 BIOGROUP'!$S$50/3,IF($AW$7=$AL$19,'[4]4 trim 2016 BIOGROUP'!$S$50/3,""))))))</f>
        <v>0</v>
      </c>
      <c r="AX48" s="431">
        <f>IF($AX$7=$AL$13,'[4]3 trim 2016 BIOGROUP'!$S$50/3,IF($AX$7=$AL$14,'[4]3 trim 2016 BIOGROUP'!$S$50/3,IF($AX$7=$AL$15,'[4]3 trim 2016 BIOGROUP'!$S$50/3,IF($AX$7=$AL$16,'[4]4 trim 2016 BIOGROUP'!$S$50/3,IF($AX$7=$AL$18,'[4]4 trim 2016 BIOGROUP'!$S$50/3,IF($AX$7=$AL$19,'[4]4 trim 2016 BIOGROUP'!$S$50/3,""))))))</f>
        <v>0</v>
      </c>
      <c r="AY48" s="431">
        <f>IF($AY$7=$AL$13,'[4]3 trim 2016 BIOGROUP'!$S$50/3,IF($AY$7=$AL$14,'[4]3 trim 2016 BIOGROUP'!$S$50/3,IF($AY$7=$AL$15,'[4]3 trim 2016 BIOGROUP'!$S$50/3,IF($AY$7=$AL$16,'[4]4 trim 2016 BIOGROUP'!$S$50/3,IF($AY$7=$AL$18,'[4]4 trim 2016 BIOGROUP'!$S$50/3,IF($AY$7=$AL$19,'[4]4 trim 2016 BIOGROUP'!$S$50/3,""))))))</f>
        <v>0</v>
      </c>
      <c r="AZ48" s="431">
        <f>IF($AZ$7=$AL$13,'[4]3 trim 2016 BIOGROUP'!$S$50/3,IF($AZ$7=$AL$14,'[4]3 trim 2016 BIOGROUP'!$S$50/3,IF($AZ$7=$AL$15,'[4]3 trim 2016 BIOGROUP'!$S$50/3,IF($AZ$7=$AL$16,'[4]4 trim 2016 BIOGROUP'!$S$50/3,IF($AZ$7=$AL$18,'[4]4 trim 2016 BIOGROUP'!$S$50/3,IF($AZ$7=$AL$19,'[4]4 trim 2016 BIOGROUP'!$S$50/3,""))))))</f>
        <v>0</v>
      </c>
      <c r="BB48" s="511">
        <f t="shared" si="5"/>
        <v>6437</v>
      </c>
      <c r="BC48" s="750"/>
    </row>
    <row r="49" spans="1:55" ht="26.15" customHeight="1">
      <c r="A49" s="662"/>
      <c r="B49" s="566"/>
      <c r="C49" s="436" t="s">
        <v>153</v>
      </c>
      <c r="E49" s="436" t="s">
        <v>152</v>
      </c>
      <c r="F49" s="577"/>
      <c r="G49" s="474">
        <v>900986</v>
      </c>
      <c r="H49" s="673">
        <f>+G49/G7</f>
        <v>0.37712360303042985</v>
      </c>
      <c r="J49" s="494">
        <f>+J41+J42+J46</f>
        <v>0</v>
      </c>
      <c r="K49" s="531" t="str">
        <f t="shared" si="6"/>
        <v/>
      </c>
      <c r="L49" s="431"/>
      <c r="M49" s="474">
        <f>+M41+M42+M46</f>
        <v>0</v>
      </c>
      <c r="N49" s="516" t="str">
        <f t="shared" si="1"/>
        <v/>
      </c>
      <c r="O49" s="580"/>
      <c r="P49" s="581"/>
      <c r="Q49" s="671"/>
      <c r="R49" s="672"/>
      <c r="S49" s="671"/>
      <c r="T49" s="672"/>
      <c r="U49" s="671"/>
      <c r="V49" s="672"/>
      <c r="W49" s="671"/>
      <c r="X49" s="672"/>
      <c r="Y49" s="671"/>
      <c r="Z49" s="672"/>
      <c r="AA49" s="584"/>
      <c r="AB49" s="473">
        <v>990874</v>
      </c>
      <c r="AC49" s="673">
        <f>+AB49/AB7</f>
        <v>0.25336129952264341</v>
      </c>
      <c r="AD49" s="494" t="e">
        <f>+AD41+AD42+AD46</f>
        <v>#REF!</v>
      </c>
      <c r="AE49" s="516" t="str">
        <f t="shared" si="20"/>
        <v/>
      </c>
      <c r="AG49" s="474">
        <f>AG41+AG42+AG46</f>
        <v>0</v>
      </c>
      <c r="AH49" s="520" t="str">
        <f t="shared" si="4"/>
        <v/>
      </c>
      <c r="AM49" s="436" t="s">
        <v>152</v>
      </c>
      <c r="AN49" s="747"/>
      <c r="AO49" s="741">
        <f>+AO41+AO42+AO46</f>
        <v>56457.524683333359</v>
      </c>
      <c r="AP49" s="741">
        <f t="shared" ref="AP49:AZ49" si="26">+AP41+AP42+AP46</f>
        <v>56457.524683333359</v>
      </c>
      <c r="AQ49" s="741">
        <f t="shared" si="26"/>
        <v>56457.524683333359</v>
      </c>
      <c r="AR49" s="741">
        <f t="shared" si="26"/>
        <v>23004.858016666676</v>
      </c>
      <c r="AS49" s="741">
        <f t="shared" si="26"/>
        <v>23004.858016666676</v>
      </c>
      <c r="AT49" s="741">
        <f t="shared" si="26"/>
        <v>23004.858016666676</v>
      </c>
      <c r="AU49" s="741">
        <f t="shared" si="26"/>
        <v>13908.858016666674</v>
      </c>
      <c r="AV49" s="741">
        <f>+AV41+AV42+AV46</f>
        <v>13908.858016666674</v>
      </c>
      <c r="AW49" s="741">
        <f t="shared" si="26"/>
        <v>13908.858016666674</v>
      </c>
      <c r="AX49" s="741">
        <f t="shared" si="26"/>
        <v>32994.524683333359</v>
      </c>
      <c r="AY49" s="741">
        <f t="shared" si="26"/>
        <v>32994.524683333359</v>
      </c>
      <c r="AZ49" s="741">
        <f t="shared" si="26"/>
        <v>32994.524683333359</v>
      </c>
      <c r="BB49" s="748" t="e">
        <f t="shared" si="5"/>
        <v>#REF!</v>
      </c>
      <c r="BC49" s="752"/>
    </row>
    <row r="50" spans="1:55" ht="26.15" customHeight="1" thickBot="1">
      <c r="A50" s="674"/>
      <c r="B50" s="675">
        <v>695</v>
      </c>
      <c r="C50" s="464" t="s">
        <v>105</v>
      </c>
      <c r="D50" s="676"/>
      <c r="E50" s="464" t="s">
        <v>21</v>
      </c>
      <c r="F50" s="677"/>
      <c r="G50" s="490">
        <v>300328</v>
      </c>
      <c r="H50" s="678">
        <f>G50/G7</f>
        <v>0.12570758863170231</v>
      </c>
      <c r="J50" s="490">
        <f>SUMIF($AO$7:$AZ$7,$G$6,AO50:AZ50)</f>
        <v>0</v>
      </c>
      <c r="K50" s="540" t="str">
        <f t="shared" si="6"/>
        <v/>
      </c>
      <c r="L50" s="431"/>
      <c r="M50" s="764">
        <f>-M49*33.3333%</f>
        <v>0</v>
      </c>
      <c r="N50" s="524" t="str">
        <f t="shared" si="1"/>
        <v/>
      </c>
      <c r="O50" s="680"/>
      <c r="P50" s="681" t="s">
        <v>21</v>
      </c>
      <c r="Q50" s="682" t="e">
        <f>+#REF!+'31 dec 2016 BIOLAM'!AT53</f>
        <v>#REF!</v>
      </c>
      <c r="R50" s="683" t="e">
        <f>Q50/Q$7</f>
        <v>#REF!</v>
      </c>
      <c r="S50" s="682" t="e">
        <f>+'31 dec 2016 BIOLAM'!AV53+#REF!</f>
        <v>#REF!</v>
      </c>
      <c r="T50" s="683" t="e">
        <f>S50/S$7</f>
        <v>#REF!</v>
      </c>
      <c r="U50" s="682" t="e">
        <f>+'31 dec 2016 BIOLAM'!AX53+#REF!</f>
        <v>#REF!</v>
      </c>
      <c r="V50" s="683" t="e">
        <f>U50/U$7</f>
        <v>#REF!</v>
      </c>
      <c r="W50" s="682" t="e">
        <f>+'31 dec 2016 BIOLAM'!AZ53+#REF!</f>
        <v>#REF!</v>
      </c>
      <c r="X50" s="683" t="e">
        <f>W50/W$7</f>
        <v>#REF!</v>
      </c>
      <c r="Y50" s="682" t="e">
        <f>+W50+U50+S50+Q50</f>
        <v>#REF!</v>
      </c>
      <c r="Z50" s="683" t="e">
        <f>Y50/Y$7</f>
        <v>#REF!</v>
      </c>
      <c r="AA50" s="684" t="e">
        <f>+G50-Y50</f>
        <v>#REF!</v>
      </c>
      <c r="AB50" s="490">
        <v>330291</v>
      </c>
      <c r="AC50" s="678">
        <f>AB50/AB7</f>
        <v>8.4453681275957815E-2</v>
      </c>
      <c r="AD50" s="490">
        <f>SUMIF($AO$7:$AZ$7,"&lt;="&amp;$AC$6,AO50:AZ50)</f>
        <v>0</v>
      </c>
      <c r="AE50" s="524" t="str">
        <f t="shared" si="20"/>
        <v/>
      </c>
      <c r="AG50" s="764">
        <f>-AG49*33.3333%</f>
        <v>0</v>
      </c>
      <c r="AH50" s="524" t="str">
        <f t="shared" si="4"/>
        <v/>
      </c>
      <c r="AM50" s="464" t="s">
        <v>21</v>
      </c>
      <c r="AN50" s="433" t="s">
        <v>162</v>
      </c>
      <c r="AO50" s="742">
        <f>'[4]1 trim 2016 BIOGROUP'!$S$53/3</f>
        <v>-18171.324204800014</v>
      </c>
      <c r="AP50" s="742">
        <f>'[4]1 trim 2016 BIOGROUP'!$S$53/3</f>
        <v>-18171.324204800014</v>
      </c>
      <c r="AQ50" s="742">
        <f>'[4]1 trim 2016 BIOGROUP'!$S$53/3</f>
        <v>-18171.324204800014</v>
      </c>
      <c r="AR50" s="742">
        <f>'[4]2 trim 2016 BIOGROUP'!$S$53/3</f>
        <v>-7018.205138133334</v>
      </c>
      <c r="AS50" s="742">
        <f>'[4]2 trim 2016 BIOGROUP'!$S$53/3</f>
        <v>-7018.205138133334</v>
      </c>
      <c r="AT50" s="742">
        <f>'[4]2 trim 2016 BIOGROUP'!$S$53/3</f>
        <v>-7018.205138133334</v>
      </c>
      <c r="AU50" s="742">
        <f>'[4]3 trim 2016 BIOGROUP'!$S$53/3</f>
        <v>-3985.5987381333339</v>
      </c>
      <c r="AV50" s="742">
        <f>'[4]3 trim 2016 BIOGROUP'!$S$53/3</f>
        <v>-3985.5987381333339</v>
      </c>
      <c r="AW50" s="742">
        <f>'[4]3 trim 2016 BIOGROUP'!$S$53/3</f>
        <v>-3985.5987381333339</v>
      </c>
      <c r="AX50" s="742">
        <f>'[4]4 trim 2016 BIOGROUP'!$S$53/3</f>
        <v>-10348.760004800008</v>
      </c>
      <c r="AY50" s="742">
        <f>'[4]4 trim 2016 BIOGROUP'!$S$53/3</f>
        <v>-10348.760004800008</v>
      </c>
      <c r="AZ50" s="742">
        <f>'[4]4 trim 2016 BIOGROUP'!$S$53/3</f>
        <v>-10348.760004800008</v>
      </c>
      <c r="BB50" s="511">
        <f t="shared" si="5"/>
        <v>330291</v>
      </c>
      <c r="BC50" s="750"/>
    </row>
    <row r="51" spans="1:55" ht="26.15" customHeight="1" thickBot="1">
      <c r="A51" s="565"/>
      <c r="B51" s="566"/>
      <c r="C51" s="465" t="s">
        <v>106</v>
      </c>
      <c r="D51" s="589"/>
      <c r="E51" s="465" t="s">
        <v>107</v>
      </c>
      <c r="F51" s="577"/>
      <c r="G51" s="491">
        <v>600658</v>
      </c>
      <c r="H51" s="673">
        <f>G51/G7</f>
        <v>0.25141601439872757</v>
      </c>
      <c r="J51" s="494">
        <f>+J49+J50</f>
        <v>0</v>
      </c>
      <c r="K51" s="531" t="str">
        <f t="shared" si="6"/>
        <v/>
      </c>
      <c r="L51" s="431"/>
      <c r="M51" s="474">
        <f>SUM(M49:M50)</f>
        <v>0</v>
      </c>
      <c r="N51" s="516" t="str">
        <f t="shared" si="1"/>
        <v/>
      </c>
      <c r="O51" s="580"/>
      <c r="P51" s="685" t="s">
        <v>22</v>
      </c>
      <c r="Q51" s="686" t="e">
        <f>+Q75+Q50</f>
        <v>#REF!</v>
      </c>
      <c r="R51" s="687" t="e">
        <f>Q51/Q$7</f>
        <v>#REF!</v>
      </c>
      <c r="S51" s="686" t="e">
        <f>+S75+S50</f>
        <v>#REF!</v>
      </c>
      <c r="T51" s="687" t="e">
        <f>S51/S$7</f>
        <v>#REF!</v>
      </c>
      <c r="U51" s="686" t="e">
        <f>+U75+U50</f>
        <v>#REF!</v>
      </c>
      <c r="V51" s="688" t="e">
        <f>U51/U$7</f>
        <v>#REF!</v>
      </c>
      <c r="W51" s="686" t="e">
        <f>+W75+W50</f>
        <v>#REF!</v>
      </c>
      <c r="X51" s="687" t="e">
        <f>W51/W$7</f>
        <v>#REF!</v>
      </c>
      <c r="Y51" s="686" t="e">
        <f>+Y75+Y50</f>
        <v>#REF!</v>
      </c>
      <c r="Z51" s="687" t="e">
        <f>Y51/Y$7</f>
        <v>#REF!</v>
      </c>
      <c r="AA51" s="584" t="e">
        <f>+G51-Y51</f>
        <v>#REF!</v>
      </c>
      <c r="AB51" s="491">
        <v>660583</v>
      </c>
      <c r="AC51" s="673">
        <f>AB51/AB7</f>
        <v>0.16890761824668563</v>
      </c>
      <c r="AD51" s="494" t="e">
        <f>SUM(AD49:AD50)</f>
        <v>#REF!</v>
      </c>
      <c r="AE51" s="516" t="str">
        <f t="shared" si="20"/>
        <v/>
      </c>
      <c r="AG51" s="474">
        <f>SUM(AG49:AG50)</f>
        <v>0</v>
      </c>
      <c r="AH51" s="520" t="str">
        <f t="shared" si="4"/>
        <v/>
      </c>
      <c r="AM51" s="465" t="s">
        <v>107</v>
      </c>
      <c r="BB51" s="748" t="e">
        <f t="shared" si="5"/>
        <v>#REF!</v>
      </c>
      <c r="BC51" s="752"/>
    </row>
    <row r="52" spans="1:55" ht="26.15" customHeight="1">
      <c r="A52" s="689"/>
      <c r="B52" s="690">
        <v>691</v>
      </c>
      <c r="C52" s="466" t="s">
        <v>138</v>
      </c>
      <c r="D52" s="691"/>
      <c r="E52" s="466" t="s">
        <v>62</v>
      </c>
      <c r="F52" s="692"/>
      <c r="G52" s="492"/>
      <c r="H52" s="525">
        <f>G52/$G$7</f>
        <v>0</v>
      </c>
      <c r="J52" s="506">
        <f>SUMIF($AO$7:$AZ$7,$G$6,AO52:AZ52)</f>
        <v>0</v>
      </c>
      <c r="K52" s="525" t="str">
        <f t="shared" si="6"/>
        <v/>
      </c>
      <c r="L52" s="431"/>
      <c r="M52" s="492">
        <f>AG52/3</f>
        <v>0</v>
      </c>
      <c r="N52" s="525" t="str">
        <f t="shared" si="1"/>
        <v/>
      </c>
      <c r="O52" s="693"/>
      <c r="P52" s="694" t="s">
        <v>62</v>
      </c>
      <c r="Q52" s="636" t="e">
        <f>+#REF!</f>
        <v>#REF!</v>
      </c>
      <c r="R52" s="695" t="e">
        <f>Q52/Q$7</f>
        <v>#REF!</v>
      </c>
      <c r="S52" s="636" t="e">
        <f>+#REF!</f>
        <v>#REF!</v>
      </c>
      <c r="T52" s="695" t="e">
        <f>S52/S$7</f>
        <v>#REF!</v>
      </c>
      <c r="U52" s="636" t="e">
        <f>+#REF!</f>
        <v>#REF!</v>
      </c>
      <c r="V52" s="695" t="e">
        <f>U52/U$7</f>
        <v>#REF!</v>
      </c>
      <c r="W52" s="636" t="e">
        <f>+#REF!</f>
        <v>#REF!</v>
      </c>
      <c r="X52" s="695" t="e">
        <f>W52/W$7</f>
        <v>#REF!</v>
      </c>
      <c r="Y52" s="636" t="e">
        <f>+W52+U52+S52+Q52</f>
        <v>#REF!</v>
      </c>
      <c r="Z52" s="695" t="e">
        <f>Y52/Y$7</f>
        <v>#REF!</v>
      </c>
      <c r="AA52" s="639" t="e">
        <f>+G52-Y52</f>
        <v>#REF!</v>
      </c>
      <c r="AB52" s="492"/>
      <c r="AC52" s="525">
        <f>AB52/$AB$7</f>
        <v>0</v>
      </c>
      <c r="AD52" s="579">
        <f>SUMIF($AO$7:$AZ$7,"&lt;="&amp;$AC$6,AO52:AZ52)</f>
        <v>0</v>
      </c>
      <c r="AE52" s="525" t="str">
        <f t="shared" si="20"/>
        <v/>
      </c>
      <c r="AG52" s="492">
        <v>0</v>
      </c>
      <c r="AH52" s="525" t="str">
        <f t="shared" si="4"/>
        <v/>
      </c>
      <c r="AM52" s="466" t="s">
        <v>62</v>
      </c>
      <c r="AO52" s="431">
        <f>-IF($AO$7=$AL$7,'[4]1 trim 2016 BIOGROUP'!$S$31/3,IF($AO$7=$AL$8,'[4]1 trim 2016 BIOGROUP'!$S$31/3,IF($AO$7=$AL$9,'[4]1 trim 2016 BIOGROUP'!$S$31/3,IF($AO$7=$AL$10,'[4]2 trim 2016 BIOGROUP'!$S$31/3,IF($AO$7=$AL$11,'[4]2 trim 2016 BIOGROUP'!$S$31/3,IF($AO$7=$AL$12,'[4]2 trim 2016 BIOGROUP'!$S$31/3,""))))))</f>
        <v>-1954.4526833333332</v>
      </c>
      <c r="AP52" s="431">
        <f>-IF($AP$7=$AL$7,'[4]1 trim 2016 BIOGROUP'!$S$31/3,IF($AP$7=$AL$8,'[4]1 trim 2016 BIOGROUP'!$S$31/3,IF($AP$7=$AL$9,'[4]1 trim 2016 BIOGROUP'!$S$31/3,IF($AP$7=$AL$10,'[4]2 trim 2016 BIOGROUP'!$S$31/3,IF($AP$7=$AL$11,'[4]2 trim 2016 BIOGROUP'!$S$31/3,IF($AP$7=$AL$12,'[4]2 trim 2016 BIOGROUP'!$S$31/3,""))))))</f>
        <v>-1954.4526833333332</v>
      </c>
      <c r="AQ52" s="431">
        <f>-IF($AQ$7=$AL$7,'[4]1 trim 2016 BIOGROUP'!$S$31/3,IF($AQ$7=$AL$8,'[4]1 trim 2016 BIOGROUP'!$S$31/3,IF($AQ$7=$AL$9,'[4]1 trim 2016 BIOGROUP'!$S$31/3,IF($AQ$7=$AL$10,'[4]2 trim 2016 BIOGROUP'!$S$31/3,IF($AQ$7=$AL$11,'[4]2 trim 2016 BIOGROUP'!$S$31/3,IF($AQ$7=$AL$12,'[4]2 trim 2016 BIOGROUP'!$S$31/3,""))))))</f>
        <v>-1954.4526833333332</v>
      </c>
      <c r="AR52" s="431">
        <f>-IF($AR$7=$AL$7,'[4]1 trim 2016 BIOGROUP'!$S$31/3,IF($AR$7=$AL$8,'[4]1 trim 2016 BIOGROUP'!$S$31/3,IF($AR$7=$AL$9,'[4]1 trim 2016 BIOGROUP'!$S$31/3,IF($AR$7=$AL$10,'[4]2 trim 2016 BIOGROUP'!$S$31/3,IF($AR$7=$AL$11,'[4]2 trim 2016 BIOGROUP'!$S$31/3,IF($AR$7=$AL$12,'[4]2 trim 2016 BIOGROUP'!$S$31/3,""))))))</f>
        <v>-1954.4526833333332</v>
      </c>
      <c r="AS52" s="431">
        <f>-IF($AS$7=$AL$7,'[4]1 trim 2016 BIOGROUP'!$S$31/3,IF($AS$7=$AL$8,'[4]1 trim 2016 BIOGROUP'!$S$31/3,IF($AS$7=$AL$9,'[4]1 trim 2016 BIOGROUP'!$S$31/3,IF($AS$7=$AL$10,'[4]2 trim 2016 BIOGROUP'!$S$31/3,IF($AS$7=$AL$11,'[4]2 trim 2016 BIOGROUP'!$S$31/3,IF($AS$7=$AL$12,'[4]2 trim 2016 BIOGROUP'!$S$31/3,""))))))</f>
        <v>-1954.4526833333332</v>
      </c>
      <c r="AT52" s="431">
        <f>-IF($AT$7=$AL$7,'[4]1 trim 2016 BIOGROUP'!$S$31/3,IF($AT$7=$AL$8,'[4]1 trim 2016 BIOGROUP'!$S$31/3,IF($AT$7=$AL$9,'[4]1 trim 2016 BIOGROUP'!$S$31/3,IF($AT$7=$AL$10,'[4]2 trim 2016 BIOGROUP'!$S$31/3,IF($AT$7=$AL$11,'[4]2 trim 2016 BIOGROUP'!$S$31/3,IF($AT$7=$AL$12,'[4]2 trim 2016 BIOGROUP'!$S$31/3,""))))))</f>
        <v>-1954.4526833333332</v>
      </c>
      <c r="AU52" s="431">
        <f>-IF($AU$7=$AL$13,'[4]3 trim 2016 BIOGROUP'!$S$31/3,IF($AU$7=$AL$14,'[4]3 trim 2016 BIOGROUP'!$S$31/3,IF($AU$7=$AL$15,'[4]3 trim 2016 BIOGROUP'!$S$31/3,IF($AU$7=$AL$16,'[4]4 trim 2016 BIOGROUP'!$S$31/3,IF($AU$7=$AL$18,'[4]4 trim 2016 BIOGROUP'!$S$31/3,IF($AU$7=$AL$19,'[4]4 trim 2016 BIOGROUP'!$S$31/3,""))))))</f>
        <v>-1954.4526833333332</v>
      </c>
      <c r="AV52" s="431">
        <f>-IF($AV$7=$AL$13,'[4]3 trim 2016 BIOGROUP'!$S$31/3,IF($AV$7=$AL$14,'[4]3 trim 2016 BIOGROUP'!$S$31/3,IF($AV$7=$AL$15,'[4]3 trim 2016 BIOGROUP'!$S$31/3,IF($AV$7=$AL$16,'[4]4 trim 2016 BIOGROUP'!$S$31/3,IF($AV$7=$AL$18,'[4]4 trim 2016 BIOGROUP'!$S$31/3,IF($AV$7=$AL$19,'[4]4 trim 2016 BIOGROUP'!$S$31/3,""))))))</f>
        <v>-1954.4526833333332</v>
      </c>
      <c r="AW52" s="431">
        <f>-IF($AW$7=$AL$13,'[4]3 trim 2016 BIOGROUP'!$S$31/3,IF($AW$7=$AL$14,'[4]3 trim 2016 BIOGROUP'!$S$31/3,IF($AW$7=$AL$15,'[4]3 trim 2016 BIOGROUP'!$S$31/3,IF($AW$7=$AL$16,'[4]4 trim 2016 BIOGROUP'!$S$31/3,IF($AW$7=$AL$18,'[4]4 trim 2016 BIOGROUP'!$S$31/3,IF($AW$7=$AL$19,'[4]4 trim 2016 BIOGROUP'!$S$31/3,""))))))</f>
        <v>-1954.4526833333332</v>
      </c>
      <c r="AX52" s="431">
        <f>-IF($AX$7=$AL$13,'[4]3 trim 2016 BIOGROUP'!$S$31/3,IF($AX$7=$AL$14,'[4]3 trim 2016 BIOGROUP'!$S$31/3,IF($AX$7=$AL$15,'[4]3 trim 2016 BIOGROUP'!$S$31/3,IF($AX$7=$AL$16,'[4]4 trim 2016 BIOGROUP'!$S$31/3,IF($AX$7=$AL$18,'[4]4 trim 2016 BIOGROUP'!$S$31/3,IF($AX$7=$AL$19,'[4]4 trim 2016 BIOGROUP'!$S$31/3,""))))))</f>
        <v>-1954.4526833333332</v>
      </c>
      <c r="AY52" s="431">
        <f>-IF($AY$7=$AL$13,'[4]3 trim 2016 BIOGROUP'!$S$31/3,IF($AY$7=$AL$14,'[4]3 trim 2016 BIOGROUP'!$S$31/3,IF($AY$7=$AL$15,'[4]3 trim 2016 BIOGROUP'!$S$31/3,IF($AY$7=$AL$16,'[4]4 trim 2016 BIOGROUP'!$S$31/3,IF($AY$7=$AL$18,'[4]4 trim 2016 BIOGROUP'!$S$31/3,IF($AY$7=$AL$19,'[4]4 trim 2016 BIOGROUP'!$S$31/3,""))))))</f>
        <v>-1954.4526833333332</v>
      </c>
      <c r="AZ52" s="431">
        <f>-IF($AZ$7=$AL$13,'[4]3 trim 2016 BIOGROUP'!$S$31/3,IF($AZ$7=$AL$14,'[4]3 trim 2016 BIOGROUP'!$S$31/3,IF($AZ$7=$AL$15,'[4]3 trim 2016 BIOGROUP'!$S$31/3,IF($AZ$7=$AL$16,'[4]4 trim 2016 BIOGROUP'!$S$31/3,IF($AZ$7=$AL$18,'[4]4 trim 2016 BIOGROUP'!$S$31/3,IF($AZ$7=$AL$19,'[4]4 trim 2016 BIOGROUP'!$S$31/3,""))))))</f>
        <v>-1954.4526833333332</v>
      </c>
      <c r="BB52" s="511">
        <f t="shared" si="5"/>
        <v>0</v>
      </c>
      <c r="BC52" s="750"/>
    </row>
    <row r="53" spans="1:55" ht="26.15" customHeight="1">
      <c r="A53" s="689"/>
      <c r="B53" s="690"/>
      <c r="C53" s="436" t="s">
        <v>160</v>
      </c>
      <c r="D53" s="696"/>
      <c r="E53" s="436" t="s">
        <v>161</v>
      </c>
      <c r="F53" s="692"/>
      <c r="G53" s="473">
        <v>600658</v>
      </c>
      <c r="H53" s="673">
        <f>G53/$G$7</f>
        <v>0.25141601439872757</v>
      </c>
      <c r="J53" s="514">
        <f>SUM(J51:J52)</f>
        <v>0</v>
      </c>
      <c r="K53" s="531" t="str">
        <f t="shared" si="6"/>
        <v/>
      </c>
      <c r="L53" s="431"/>
      <c r="M53" s="765">
        <f>SUM(M51:M52)</f>
        <v>0</v>
      </c>
      <c r="N53" s="516" t="str">
        <f t="shared" si="1"/>
        <v/>
      </c>
      <c r="O53" s="693"/>
      <c r="P53" s="698"/>
      <c r="Q53" s="699"/>
      <c r="R53" s="700"/>
      <c r="S53" s="699"/>
      <c r="T53" s="700"/>
      <c r="U53" s="699"/>
      <c r="V53" s="700"/>
      <c r="W53" s="699"/>
      <c r="X53" s="700"/>
      <c r="Y53" s="699"/>
      <c r="Z53" s="700"/>
      <c r="AA53" s="639"/>
      <c r="AB53" s="473">
        <v>660583</v>
      </c>
      <c r="AC53" s="673">
        <f>AB53/$AB$7</f>
        <v>0.16890761824668563</v>
      </c>
      <c r="AD53" s="514" t="e">
        <f>SUM(AD51:AD52)</f>
        <v>#REF!</v>
      </c>
      <c r="AE53" s="516" t="str">
        <f t="shared" si="20"/>
        <v/>
      </c>
      <c r="AG53" s="765">
        <f>SUM(AG51:AG52)</f>
        <v>0</v>
      </c>
      <c r="AH53" s="516" t="str">
        <f t="shared" si="4"/>
        <v/>
      </c>
      <c r="AM53" s="436" t="s">
        <v>161</v>
      </c>
      <c r="BB53" s="748" t="e">
        <f t="shared" si="5"/>
        <v>#REF!</v>
      </c>
      <c r="BC53" s="752"/>
    </row>
    <row r="54" spans="1:55" ht="26.15" customHeight="1">
      <c r="A54" s="565"/>
      <c r="B54" s="566"/>
      <c r="C54" s="467" t="s">
        <v>122</v>
      </c>
      <c r="D54" s="701"/>
      <c r="E54" s="467" t="s">
        <v>133</v>
      </c>
      <c r="F54" s="577"/>
      <c r="G54" s="493"/>
      <c r="H54" s="702"/>
      <c r="J54" s="515"/>
      <c r="K54" s="541"/>
      <c r="L54" s="431"/>
      <c r="M54" s="766"/>
      <c r="N54" s="528"/>
      <c r="O54" s="703"/>
      <c r="P54" s="468"/>
      <c r="Q54" s="704"/>
      <c r="R54" s="705"/>
      <c r="S54" s="704"/>
      <c r="T54" s="705"/>
      <c r="U54" s="704"/>
      <c r="V54" s="706"/>
      <c r="W54" s="704"/>
      <c r="X54" s="705"/>
      <c r="Y54" s="704"/>
      <c r="Z54" s="705"/>
      <c r="AA54" s="707"/>
      <c r="AB54" s="493"/>
      <c r="AC54" s="702"/>
      <c r="AD54" s="515"/>
      <c r="AE54" s="526"/>
      <c r="AG54" s="766"/>
      <c r="AH54" s="528"/>
      <c r="AM54" s="467" t="s">
        <v>133</v>
      </c>
      <c r="AN54" s="433" t="s">
        <v>162</v>
      </c>
      <c r="AO54" s="742">
        <f>+AO52+AO50</f>
        <v>-20125.776888133347</v>
      </c>
      <c r="AP54" s="742">
        <f t="shared" ref="AP54:AZ54" si="27">+AP52+AP50</f>
        <v>-20125.776888133347</v>
      </c>
      <c r="AQ54" s="742">
        <f t="shared" si="27"/>
        <v>-20125.776888133347</v>
      </c>
      <c r="AR54" s="742">
        <f t="shared" si="27"/>
        <v>-8972.6578214666679</v>
      </c>
      <c r="AS54" s="742">
        <f t="shared" si="27"/>
        <v>-8972.6578214666679</v>
      </c>
      <c r="AT54" s="742">
        <f t="shared" si="27"/>
        <v>-8972.6578214666679</v>
      </c>
      <c r="AU54" s="742">
        <f t="shared" si="27"/>
        <v>-5940.0514214666673</v>
      </c>
      <c r="AV54" s="742">
        <f t="shared" si="27"/>
        <v>-5940.0514214666673</v>
      </c>
      <c r="AW54" s="742">
        <f t="shared" si="27"/>
        <v>-5940.0514214666673</v>
      </c>
      <c r="AX54" s="742">
        <f t="shared" si="27"/>
        <v>-12303.212688133341</v>
      </c>
      <c r="AY54" s="742">
        <f t="shared" si="27"/>
        <v>-12303.212688133341</v>
      </c>
      <c r="AZ54" s="742">
        <f t="shared" si="27"/>
        <v>-12303.212688133341</v>
      </c>
      <c r="BB54" s="511">
        <f>AB54-AD54</f>
        <v>0</v>
      </c>
      <c r="BC54" s="750"/>
    </row>
    <row r="55" spans="1:55" ht="26.15" customHeight="1">
      <c r="A55" s="565"/>
      <c r="B55" s="566"/>
      <c r="C55" s="468"/>
      <c r="D55" s="701"/>
      <c r="E55" s="468"/>
      <c r="F55" s="577"/>
      <c r="G55" s="708"/>
      <c r="H55" s="709"/>
      <c r="I55" s="709"/>
      <c r="J55" s="704"/>
      <c r="K55" s="710"/>
      <c r="L55" s="710"/>
      <c r="M55" s="704"/>
      <c r="N55" s="705"/>
      <c r="O55" s="703"/>
      <c r="P55" s="468"/>
      <c r="Q55" s="704"/>
      <c r="R55" s="705"/>
      <c r="S55" s="704"/>
      <c r="T55" s="705"/>
      <c r="U55" s="704"/>
      <c r="V55" s="706"/>
      <c r="W55" s="704"/>
      <c r="X55" s="705"/>
      <c r="Y55" s="704"/>
      <c r="Z55" s="705"/>
      <c r="AA55" s="707"/>
      <c r="AB55" s="708"/>
      <c r="AC55" s="709"/>
      <c r="AD55" s="704"/>
      <c r="AE55" s="711"/>
      <c r="AF55" s="711"/>
      <c r="AG55" s="704"/>
      <c r="AH55" s="705"/>
      <c r="AM55" s="468"/>
    </row>
    <row r="56" spans="1:55" ht="26.15" customHeight="1">
      <c r="A56" s="565"/>
      <c r="B56" s="567"/>
      <c r="C56" s="712" t="s">
        <v>162</v>
      </c>
      <c r="D56" s="701"/>
      <c r="E56" s="468"/>
      <c r="F56" s="577"/>
      <c r="G56" s="713">
        <v>-900986</v>
      </c>
      <c r="H56" s="709"/>
      <c r="I56" s="709"/>
      <c r="J56" s="704"/>
      <c r="K56" s="710"/>
      <c r="L56" s="710"/>
      <c r="M56" s="714">
        <f>AG56/3</f>
        <v>0</v>
      </c>
      <c r="N56" s="705"/>
      <c r="O56" s="703"/>
      <c r="P56" s="468"/>
      <c r="Q56" s="704"/>
      <c r="R56" s="705"/>
      <c r="S56" s="704"/>
      <c r="T56" s="705"/>
      <c r="U56" s="704"/>
      <c r="V56" s="706"/>
      <c r="W56" s="704"/>
      <c r="X56" s="705"/>
      <c r="Y56" s="704"/>
      <c r="Z56" s="705"/>
      <c r="AA56" s="707"/>
      <c r="AB56" s="713">
        <v>-990874.32</v>
      </c>
      <c r="AC56" s="709"/>
      <c r="AD56" s="715">
        <f>-'[4]1 trim 2016 BIOGROUP'!$S$54-'[4]2 trim 2016 BIOGROUP'!$S$54</f>
        <v>-151091.84397120011</v>
      </c>
      <c r="AE56" s="711"/>
      <c r="AF56" s="711"/>
      <c r="AG56" s="714">
        <v>0</v>
      </c>
      <c r="AH56" s="705"/>
      <c r="AM56" s="468"/>
    </row>
    <row r="57" spans="1:55" ht="15">
      <c r="B57" s="716"/>
      <c r="C57" s="551"/>
      <c r="D57" s="551"/>
      <c r="E57" s="469"/>
      <c r="F57" s="703"/>
      <c r="G57" s="717">
        <f>+G49+G56</f>
        <v>0</v>
      </c>
      <c r="H57" s="551"/>
      <c r="I57" s="551"/>
      <c r="K57" s="718"/>
      <c r="L57" s="718"/>
      <c r="M57" s="719">
        <f>+M49+M56</f>
        <v>0</v>
      </c>
      <c r="N57" s="551"/>
      <c r="O57" s="551"/>
      <c r="P57" s="551" t="s">
        <v>56</v>
      </c>
      <c r="Q57" s="720" t="e">
        <f>+'31 dec 2016 BIOLAM'!AT54+#REF!</f>
        <v>#REF!</v>
      </c>
      <c r="R57" s="720"/>
      <c r="S57" s="720" t="e">
        <f>+'31 dec 2016 BIOLAM'!AV54+#REF!</f>
        <v>#REF!</v>
      </c>
      <c r="T57" s="551"/>
      <c r="U57" s="720" t="e">
        <f>+'31 dec 2016 BIOLAM'!AX54+#REF!</f>
        <v>#REF!</v>
      </c>
      <c r="V57" s="551"/>
      <c r="W57" s="720" t="e">
        <f>+'31 dec 2016 BIOLAM'!AZ54+#REF!</f>
        <v>#REF!</v>
      </c>
      <c r="X57" s="551"/>
      <c r="Y57" s="721" t="e">
        <f>+W51+U51+S51+Q51</f>
        <v>#REF!</v>
      </c>
      <c r="Z57" s="551"/>
      <c r="AA57" s="551"/>
      <c r="AB57" s="722">
        <f>+AB49+AB56</f>
        <v>-0.31999999994877726</v>
      </c>
      <c r="AC57" s="551"/>
      <c r="AD57" s="723" t="e">
        <f>AD53+AD56</f>
        <v>#REF!</v>
      </c>
      <c r="AE57" s="551"/>
      <c r="AF57" s="551"/>
      <c r="AG57" s="717">
        <f>AG49+AG56</f>
        <v>0</v>
      </c>
      <c r="AH57" s="551"/>
      <c r="AM57" s="469"/>
    </row>
    <row r="58" spans="1:55">
      <c r="E58" s="470"/>
      <c r="G58" s="724"/>
      <c r="Q58" s="726" t="e">
        <f>SUM(#REF!)</f>
        <v>#REF!</v>
      </c>
      <c r="AM58" s="470"/>
    </row>
    <row r="59" spans="1:55" ht="25">
      <c r="E59" s="471"/>
      <c r="Q59" s="726" t="e">
        <f>SUM(#REF!)</f>
        <v>#REF!</v>
      </c>
      <c r="AM59" s="471"/>
    </row>
    <row r="60" spans="1:55">
      <c r="G60" s="726"/>
      <c r="Q60" s="726" t="e">
        <f>SUM(#REF!)</f>
        <v>#REF!</v>
      </c>
      <c r="W60" s="727" t="e">
        <f>+W50+U50+S50+Q50</f>
        <v>#REF!</v>
      </c>
    </row>
    <row r="61" spans="1:55">
      <c r="G61" s="726"/>
      <c r="Q61" s="726" t="e">
        <f>SUM(#REF!)</f>
        <v>#REF!</v>
      </c>
    </row>
    <row r="62" spans="1:55">
      <c r="Q62" s="726" t="e">
        <f>SUM(Q58:Q61)</f>
        <v>#REF!</v>
      </c>
    </row>
    <row r="65" spans="1:39">
      <c r="G65" s="615"/>
    </row>
    <row r="66" spans="1:39">
      <c r="G66" s="724"/>
    </row>
    <row r="67" spans="1:39">
      <c r="E67" s="431"/>
      <c r="F67" s="431"/>
      <c r="AM67" s="431"/>
    </row>
    <row r="68" spans="1:39">
      <c r="E68" s="431"/>
      <c r="F68" s="431"/>
      <c r="AM68" s="431"/>
    </row>
    <row r="69" spans="1:39" ht="26.15" customHeight="1">
      <c r="A69" s="662"/>
      <c r="B69" s="566"/>
      <c r="E69" s="431"/>
      <c r="F69" s="431"/>
      <c r="P69" s="728" t="s">
        <v>14</v>
      </c>
      <c r="Q69" s="729" t="e">
        <f>+#REF!+'31 dec 2016 BIOLAM'!AT42</f>
        <v>#REF!</v>
      </c>
      <c r="R69" s="730" t="e">
        <f>Q69/Q$7</f>
        <v>#REF!</v>
      </c>
      <c r="S69" s="729" t="e">
        <f>+'31 dec 2016 BIOLAM'!AV42+#REF!</f>
        <v>#REF!</v>
      </c>
      <c r="T69" s="730" t="e">
        <f>S69/S$7</f>
        <v>#REF!</v>
      </c>
      <c r="U69" s="729" t="e">
        <f>+'31 dec 2016 BIOLAM'!AX42+#REF!</f>
        <v>#REF!</v>
      </c>
      <c r="V69" s="730" t="e">
        <f>U69/U$7</f>
        <v>#REF!</v>
      </c>
      <c r="W69" s="729" t="e">
        <f>+'31 dec 2016 BIOLAM'!AZ42+#REF!</f>
        <v>#REF!</v>
      </c>
      <c r="X69" s="730" t="e">
        <f>W69/W$7</f>
        <v>#REF!</v>
      </c>
      <c r="Y69" s="729" t="e">
        <f>+W69+U69+S69+Q69</f>
        <v>#REF!</v>
      </c>
      <c r="Z69" s="730" t="e">
        <f>Y69/Y$7</f>
        <v>#REF!</v>
      </c>
      <c r="AA69" s="727" t="e">
        <f>+G69-Y69</f>
        <v>#REF!</v>
      </c>
      <c r="AM69" s="431"/>
    </row>
    <row r="70" spans="1:39" ht="26.15" customHeight="1">
      <c r="A70" s="662"/>
      <c r="B70" s="566"/>
      <c r="E70" s="431"/>
      <c r="F70" s="431"/>
      <c r="P70" s="731" t="s">
        <v>59</v>
      </c>
      <c r="Q70" s="729" t="e">
        <f>+#REF!+'31 dec 2016 BIOLAM'!AT43</f>
        <v>#REF!</v>
      </c>
      <c r="R70" s="730" t="e">
        <f>Q70/Q$7</f>
        <v>#REF!</v>
      </c>
      <c r="S70" s="729" t="e">
        <f>+'31 dec 2016 BIOLAM'!AV43+#REF!</f>
        <v>#REF!</v>
      </c>
      <c r="T70" s="730" t="e">
        <f>S70/S$7</f>
        <v>#REF!</v>
      </c>
      <c r="U70" s="729" t="e">
        <f>+'31 dec 2016 BIOLAM'!AX43+#REF!</f>
        <v>#REF!</v>
      </c>
      <c r="V70" s="730" t="e">
        <f>U70/U$7</f>
        <v>#REF!</v>
      </c>
      <c r="W70" s="729" t="e">
        <f>+'31 dec 2016 BIOLAM'!AZ43+#REF!</f>
        <v>#REF!</v>
      </c>
      <c r="X70" s="730" t="e">
        <f>W70/W$7</f>
        <v>#REF!</v>
      </c>
      <c r="Y70" s="729" t="e">
        <f>+W70+U70+S70+Q70</f>
        <v>#REF!</v>
      </c>
      <c r="Z70" s="730" t="e">
        <f>Y70/Y$7</f>
        <v>#REF!</v>
      </c>
      <c r="AA70" s="727" t="e">
        <f>+G70-Y70</f>
        <v>#REF!</v>
      </c>
      <c r="AM70" s="431"/>
    </row>
    <row r="71" spans="1:39">
      <c r="E71" s="431"/>
      <c r="F71" s="431"/>
      <c r="AM71" s="431"/>
    </row>
    <row r="72" spans="1:39" ht="26.15" customHeight="1" thickBot="1">
      <c r="A72" s="575"/>
      <c r="B72" s="548"/>
      <c r="E72" s="431"/>
      <c r="F72" s="431"/>
      <c r="P72" s="732" t="s">
        <v>18</v>
      </c>
      <c r="Q72" s="729" t="e">
        <f>+#REF!+'31 dec 2016 BIOLAM'!AT49</f>
        <v>#REF!</v>
      </c>
      <c r="R72" s="730" t="e">
        <f>Q72/Q$7</f>
        <v>#REF!</v>
      </c>
      <c r="S72" s="729" t="e">
        <f>+'31 dec 2016 BIOLAM'!AV49+#REF!</f>
        <v>#REF!</v>
      </c>
      <c r="T72" s="730" t="e">
        <f>S72/S$7</f>
        <v>#REF!</v>
      </c>
      <c r="U72" s="729" t="e">
        <f>+'31 dec 2016 BIOLAM'!AX49+#REF!</f>
        <v>#REF!</v>
      </c>
      <c r="V72" s="730" t="e">
        <f>U72/U$7</f>
        <v>#REF!</v>
      </c>
      <c r="W72" s="729" t="e">
        <f>+'31 dec 2016 BIOLAM'!AZ49+#REF!</f>
        <v>#REF!</v>
      </c>
      <c r="X72" s="730" t="e">
        <f>W72/W$7</f>
        <v>#REF!</v>
      </c>
      <c r="Y72" s="729" t="e">
        <f>+W72+U72+S72+Q72</f>
        <v>#REF!</v>
      </c>
      <c r="Z72" s="730" t="e">
        <f>Y72/Y$7</f>
        <v>#REF!</v>
      </c>
      <c r="AA72" s="727" t="e">
        <f>+G72-Y72</f>
        <v>#REF!</v>
      </c>
      <c r="AM72" s="431"/>
    </row>
    <row r="73" spans="1:39" ht="26.15" customHeight="1" thickBot="1">
      <c r="A73" s="575"/>
      <c r="B73" s="548"/>
      <c r="E73" s="431"/>
      <c r="F73" s="431"/>
      <c r="P73" s="733" t="s">
        <v>19</v>
      </c>
      <c r="Q73" s="729" t="e">
        <f>+#REF!+'31 dec 2016 BIOLAM'!AT50</f>
        <v>#REF!</v>
      </c>
      <c r="R73" s="730" t="e">
        <f>Q73/Q$7</f>
        <v>#REF!</v>
      </c>
      <c r="S73" s="729" t="e">
        <f>+'31 dec 2016 BIOLAM'!AV50+#REF!</f>
        <v>#REF!</v>
      </c>
      <c r="T73" s="730" t="e">
        <f>S73/S$7</f>
        <v>#REF!</v>
      </c>
      <c r="U73" s="729" t="e">
        <f>+'31 dec 2016 BIOLAM'!AX50+#REF!</f>
        <v>#REF!</v>
      </c>
      <c r="V73" s="730" t="e">
        <f>U73/U$7</f>
        <v>#REF!</v>
      </c>
      <c r="W73" s="729" t="e">
        <f>+'31 dec 2016 BIOLAM'!AZ50+#REF!</f>
        <v>#REF!</v>
      </c>
      <c r="X73" s="730" t="e">
        <f>W73/W$7</f>
        <v>#REF!</v>
      </c>
      <c r="Y73" s="729" t="e">
        <f>+W73+U73+S73+Q73</f>
        <v>#REF!</v>
      </c>
      <c r="Z73" s="730" t="e">
        <f>Y73/Y$7</f>
        <v>#REF!</v>
      </c>
      <c r="AA73" s="727" t="e">
        <f>+G73-Y73</f>
        <v>#REF!</v>
      </c>
      <c r="AM73" s="431"/>
    </row>
    <row r="74" spans="1:39" ht="26.15" customHeight="1">
      <c r="A74" s="575"/>
      <c r="B74" s="548"/>
      <c r="E74" s="431"/>
      <c r="F74" s="431"/>
      <c r="P74" s="734" t="s">
        <v>44</v>
      </c>
      <c r="Q74" s="735"/>
      <c r="R74" s="736"/>
      <c r="S74" s="735"/>
      <c r="T74" s="736"/>
      <c r="U74" s="735"/>
      <c r="V74" s="736"/>
      <c r="W74" s="735"/>
      <c r="X74" s="736"/>
      <c r="Y74" s="735"/>
      <c r="Z74" s="736"/>
      <c r="AA74" s="727">
        <f>+G74-Y74</f>
        <v>0</v>
      </c>
      <c r="AM74" s="431"/>
    </row>
    <row r="75" spans="1:39" ht="26.15" customHeight="1">
      <c r="A75" s="565"/>
      <c r="B75" s="566"/>
      <c r="E75" s="431"/>
      <c r="F75" s="431"/>
      <c r="P75" s="737" t="s">
        <v>20</v>
      </c>
      <c r="Q75" s="738" t="e">
        <f>+Q42+Q69-Q70+#REF!+Q46</f>
        <v>#REF!</v>
      </c>
      <c r="R75" s="739" t="e">
        <f>Q75/Q$7</f>
        <v>#REF!</v>
      </c>
      <c r="S75" s="738" t="e">
        <f>+S42+S69-S70+#REF!+S46</f>
        <v>#REF!</v>
      </c>
      <c r="T75" s="739" t="e">
        <f>S75/S$7</f>
        <v>#REF!</v>
      </c>
      <c r="U75" s="738" t="e">
        <f>+U42+U69-U70+#REF!+U46</f>
        <v>#REF!</v>
      </c>
      <c r="V75" s="739" t="e">
        <f>U75/U$7</f>
        <v>#REF!</v>
      </c>
      <c r="W75" s="738" t="e">
        <f>+W42+W69-W70+#REF!+W46</f>
        <v>#REF!</v>
      </c>
      <c r="X75" s="739" t="e">
        <f>W75/W$7</f>
        <v>#REF!</v>
      </c>
      <c r="Y75" s="738" t="e">
        <f>+Y42+Y69-Y70+#REF!+Y46</f>
        <v>#REF!</v>
      </c>
      <c r="Z75" s="739" t="e">
        <f>Y75/Y$7</f>
        <v>#REF!</v>
      </c>
      <c r="AA75" s="727" t="e">
        <f>+G75-Y75</f>
        <v>#REF!</v>
      </c>
      <c r="AM75" s="431"/>
    </row>
    <row r="76" spans="1:39">
      <c r="E76" s="431"/>
      <c r="F76" s="431"/>
      <c r="AM76" s="431"/>
    </row>
    <row r="77" spans="1:39">
      <c r="E77" s="431"/>
      <c r="F77" s="431"/>
      <c r="AM77" s="431"/>
    </row>
  </sheetData>
  <mergeCells count="18">
    <mergeCell ref="BC5:BC6"/>
    <mergeCell ref="G6:H6"/>
    <mergeCell ref="Y4:Z6"/>
    <mergeCell ref="AB4:AH4"/>
    <mergeCell ref="AM4:AM6"/>
    <mergeCell ref="G5:N5"/>
    <mergeCell ref="AB5:AH5"/>
    <mergeCell ref="BB5:BB6"/>
    <mergeCell ref="C1:AH1"/>
    <mergeCell ref="C2:AH2"/>
    <mergeCell ref="C4:C6"/>
    <mergeCell ref="E4:E6"/>
    <mergeCell ref="G4:N4"/>
    <mergeCell ref="P4:P6"/>
    <mergeCell ref="Q4:R6"/>
    <mergeCell ref="S4:T6"/>
    <mergeCell ref="U4:V6"/>
    <mergeCell ref="W4:X6"/>
  </mergeCells>
  <conditionalFormatting sqref="BB1 BB54:BB65536 BB3:BB4">
    <cfRule type="cellIs" dxfId="3" priority="1" stopIfTrue="1" operator="lessThan">
      <formula>-10000</formula>
    </cfRule>
    <cfRule type="cellIs" dxfId="2" priority="2" stopIfTrue="1" operator="greaterThan">
      <formula>10000</formula>
    </cfRule>
  </conditionalFormatting>
  <printOptions horizontalCentered="1"/>
  <pageMargins left="0.11811023622047245" right="0.11811023622047245" top="0.35433070866141736" bottom="0.39370078740157483" header="0.19685039370078741" footer="0.19685039370078741"/>
  <pageSetup paperSize="8" scale="52" fitToWidth="2" orientation="landscape" cellComments="asDisplayed" r:id="rId1"/>
  <headerFooter>
    <oddFooter>&amp;R&amp;D&amp;T&amp;Z&amp;F&amp;A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BC77"/>
  <sheetViews>
    <sheetView topLeftCell="AB37" zoomScale="70" zoomScaleNormal="70" zoomScaleSheetLayoutView="80" workbookViewId="0">
      <selection activeCell="AR50" sqref="AR50:AT50"/>
    </sheetView>
  </sheetViews>
  <sheetFormatPr baseColWidth="10" defaultColWidth="11.453125" defaultRowHeight="12.5"/>
  <cols>
    <col min="1" max="1" width="2.1796875" style="431" hidden="1" customWidth="1"/>
    <col min="2" max="2" width="7.81640625" style="542" customWidth="1"/>
    <col min="3" max="3" width="48.453125" style="431" customWidth="1"/>
    <col min="4" max="4" width="2.7265625" style="431" customWidth="1"/>
    <col min="5" max="5" width="47" style="472" customWidth="1"/>
    <col min="6" max="6" width="2.1796875" style="640" customWidth="1"/>
    <col min="7" max="7" width="20.81640625" style="431" bestFit="1" customWidth="1"/>
    <col min="8" max="8" width="13.26953125" style="431" customWidth="1"/>
    <col min="9" max="9" width="1.54296875" style="431" customWidth="1"/>
    <col min="10" max="10" width="20.81640625" style="431" bestFit="1" customWidth="1"/>
    <col min="11" max="11" width="15.7265625" style="725" customWidth="1"/>
    <col min="12" max="12" width="1.81640625" style="725" customWidth="1"/>
    <col min="13" max="13" width="18.54296875" style="431" customWidth="1"/>
    <col min="14" max="14" width="16.1796875" style="431" customWidth="1"/>
    <col min="15" max="15" width="2" style="431" customWidth="1"/>
    <col min="16" max="16" width="38.26953125" style="431" hidden="1" customWidth="1"/>
    <col min="17" max="17" width="19.81640625" style="431" hidden="1" customWidth="1"/>
    <col min="18" max="18" width="0" style="431" hidden="1" customWidth="1"/>
    <col min="19" max="19" width="19.453125" style="431" hidden="1" customWidth="1"/>
    <col min="20" max="20" width="0" style="431" hidden="1" customWidth="1"/>
    <col min="21" max="21" width="19.81640625" style="431" hidden="1" customWidth="1"/>
    <col min="22" max="22" width="0" style="431" hidden="1" customWidth="1"/>
    <col min="23" max="23" width="19.453125" style="431" hidden="1" customWidth="1"/>
    <col min="24" max="24" width="0" style="431" hidden="1" customWidth="1"/>
    <col min="25" max="25" width="20.453125" style="431" hidden="1" customWidth="1"/>
    <col min="26" max="26" width="0" style="431" hidden="1" customWidth="1"/>
    <col min="27" max="27" width="15.453125" style="431" hidden="1" customWidth="1"/>
    <col min="28" max="28" width="18.453125" style="431" bestFit="1" customWidth="1"/>
    <col min="29" max="29" width="14.81640625" style="431" customWidth="1"/>
    <col min="30" max="30" width="22.1796875" style="431" customWidth="1"/>
    <col min="31" max="31" width="15" style="431" customWidth="1"/>
    <col min="32" max="32" width="2" style="431" customWidth="1"/>
    <col min="33" max="33" width="21.7265625" style="431" customWidth="1"/>
    <col min="34" max="34" width="15" style="431" customWidth="1"/>
    <col min="35" max="35" width="4.1796875" style="431" customWidth="1"/>
    <col min="36" max="36" width="18.54296875" style="431" customWidth="1"/>
    <col min="37" max="37" width="11.453125" style="431" customWidth="1"/>
    <col min="38" max="38" width="11.81640625" style="431" customWidth="1"/>
    <col min="39" max="39" width="42.81640625" style="472" customWidth="1"/>
    <col min="40" max="40" width="12.81640625" style="431" customWidth="1"/>
    <col min="41" max="41" width="13.453125" style="431" customWidth="1"/>
    <col min="42" max="47" width="11.453125" style="431" customWidth="1"/>
    <col min="48" max="48" width="12.1796875" style="431" customWidth="1"/>
    <col min="49" max="52" width="11.453125" style="431" customWidth="1"/>
    <col min="53" max="53" width="12.81640625" style="431" customWidth="1"/>
    <col min="54" max="54" width="20" style="431" customWidth="1"/>
    <col min="55" max="55" width="68.54296875" style="431" customWidth="1"/>
    <col min="56" max="16384" width="11.453125" style="431"/>
  </cols>
  <sheetData>
    <row r="1" spans="1:55" ht="40.5" customHeight="1">
      <c r="C1" s="846" t="s">
        <v>80</v>
      </c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  <c r="O1" s="847"/>
      <c r="P1" s="847"/>
      <c r="Q1" s="847"/>
      <c r="R1" s="847"/>
      <c r="S1" s="847"/>
      <c r="T1" s="847"/>
      <c r="U1" s="847"/>
      <c r="V1" s="847"/>
      <c r="W1" s="847"/>
      <c r="X1" s="847"/>
      <c r="Y1" s="847"/>
      <c r="Z1" s="847"/>
      <c r="AA1" s="847"/>
      <c r="AB1" s="847"/>
      <c r="AC1" s="847"/>
      <c r="AD1" s="847"/>
      <c r="AE1" s="847"/>
      <c r="AF1" s="847"/>
      <c r="AG1" s="847"/>
      <c r="AH1" s="848"/>
      <c r="AM1" s="431"/>
    </row>
    <row r="2" spans="1:55" ht="51" customHeight="1">
      <c r="C2" s="846" t="s">
        <v>119</v>
      </c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7"/>
      <c r="P2" s="847"/>
      <c r="Q2" s="847"/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8"/>
      <c r="AM2" s="431"/>
    </row>
    <row r="3" spans="1:55" ht="16.5" customHeight="1">
      <c r="C3" s="543"/>
      <c r="D3" s="432"/>
      <c r="E3" s="432"/>
      <c r="F3" s="432"/>
      <c r="G3" s="544"/>
      <c r="H3" s="544"/>
      <c r="I3" s="544"/>
      <c r="J3" s="544"/>
      <c r="K3" s="545"/>
      <c r="L3" s="545"/>
      <c r="M3" s="544"/>
      <c r="N3" s="544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544"/>
      <c r="AC3" s="544"/>
      <c r="AD3" s="544"/>
      <c r="AE3" s="544"/>
      <c r="AF3" s="544"/>
      <c r="AG3" s="544"/>
      <c r="AH3" s="546"/>
      <c r="AM3" s="432"/>
    </row>
    <row r="4" spans="1:55" s="433" customFormat="1" ht="49.5" customHeight="1">
      <c r="A4" s="547"/>
      <c r="B4" s="548"/>
      <c r="C4" s="849" t="s">
        <v>120</v>
      </c>
      <c r="D4" s="549"/>
      <c r="E4" s="849" t="s">
        <v>121</v>
      </c>
      <c r="F4" s="550"/>
      <c r="G4" s="868" t="s">
        <v>170</v>
      </c>
      <c r="H4" s="869"/>
      <c r="I4" s="869"/>
      <c r="J4" s="869"/>
      <c r="K4" s="869"/>
      <c r="L4" s="869"/>
      <c r="M4" s="869"/>
      <c r="N4" s="870"/>
      <c r="O4" s="551"/>
      <c r="P4" s="855" t="s">
        <v>50</v>
      </c>
      <c r="Q4" s="857" t="s">
        <v>52</v>
      </c>
      <c r="R4" s="858"/>
      <c r="S4" s="857" t="s">
        <v>53</v>
      </c>
      <c r="T4" s="858"/>
      <c r="U4" s="857" t="s">
        <v>54</v>
      </c>
      <c r="V4" s="858"/>
      <c r="W4" s="857" t="s">
        <v>55</v>
      </c>
      <c r="X4" s="858"/>
      <c r="Y4" s="857" t="s">
        <v>46</v>
      </c>
      <c r="Z4" s="863"/>
      <c r="AA4" s="551"/>
      <c r="AB4" s="868" t="s">
        <v>170</v>
      </c>
      <c r="AC4" s="869"/>
      <c r="AD4" s="869"/>
      <c r="AE4" s="869"/>
      <c r="AF4" s="869"/>
      <c r="AG4" s="869"/>
      <c r="AH4" s="870"/>
      <c r="AM4" s="849" t="s">
        <v>121</v>
      </c>
    </row>
    <row r="5" spans="1:55" s="433" customFormat="1" ht="49.5" customHeight="1">
      <c r="A5" s="547"/>
      <c r="B5" s="548"/>
      <c r="C5" s="850"/>
      <c r="D5" s="552"/>
      <c r="E5" s="850"/>
      <c r="F5" s="553"/>
      <c r="G5" s="865" t="s">
        <v>139</v>
      </c>
      <c r="H5" s="866"/>
      <c r="I5" s="866"/>
      <c r="J5" s="866"/>
      <c r="K5" s="866"/>
      <c r="L5" s="866"/>
      <c r="M5" s="866"/>
      <c r="N5" s="867"/>
      <c r="O5" s="551"/>
      <c r="P5" s="855"/>
      <c r="Q5" s="857"/>
      <c r="R5" s="858"/>
      <c r="S5" s="857"/>
      <c r="T5" s="858"/>
      <c r="U5" s="857"/>
      <c r="V5" s="858"/>
      <c r="W5" s="857"/>
      <c r="X5" s="858"/>
      <c r="Y5" s="857"/>
      <c r="Z5" s="863"/>
      <c r="AA5" s="551"/>
      <c r="AB5" s="865" t="s">
        <v>140</v>
      </c>
      <c r="AC5" s="866"/>
      <c r="AD5" s="866"/>
      <c r="AE5" s="866"/>
      <c r="AF5" s="866"/>
      <c r="AG5" s="866"/>
      <c r="AH5" s="867"/>
      <c r="AM5" s="850"/>
      <c r="BB5" s="845" t="s">
        <v>166</v>
      </c>
      <c r="BC5" s="845" t="s">
        <v>168</v>
      </c>
    </row>
    <row r="6" spans="1:55" s="434" customFormat="1" ht="35.25" customHeight="1">
      <c r="A6" s="554"/>
      <c r="B6" s="548"/>
      <c r="C6" s="851"/>
      <c r="D6" s="555"/>
      <c r="E6" s="851"/>
      <c r="F6" s="553"/>
      <c r="G6" s="861" t="e">
        <f>#REF!</f>
        <v>#REF!</v>
      </c>
      <c r="H6" s="862"/>
      <c r="I6" s="431"/>
      <c r="J6" s="556" t="s">
        <v>108</v>
      </c>
      <c r="K6" s="557" t="s">
        <v>109</v>
      </c>
      <c r="L6" s="431"/>
      <c r="M6" s="558" t="s">
        <v>111</v>
      </c>
      <c r="N6" s="559" t="s">
        <v>112</v>
      </c>
      <c r="O6" s="560"/>
      <c r="P6" s="856"/>
      <c r="Q6" s="859"/>
      <c r="R6" s="860"/>
      <c r="S6" s="859"/>
      <c r="T6" s="860"/>
      <c r="U6" s="859"/>
      <c r="V6" s="860"/>
      <c r="W6" s="859"/>
      <c r="X6" s="860"/>
      <c r="Y6" s="859"/>
      <c r="Z6" s="864"/>
      <c r="AA6" s="560" t="s">
        <v>56</v>
      </c>
      <c r="AB6" s="561" t="s">
        <v>163</v>
      </c>
      <c r="AC6" s="744" t="e">
        <f>G6</f>
        <v>#REF!</v>
      </c>
      <c r="AD6" s="562" t="s">
        <v>108</v>
      </c>
      <c r="AE6" s="563" t="s">
        <v>109</v>
      </c>
      <c r="AF6" s="431"/>
      <c r="AG6" s="558" t="s">
        <v>111</v>
      </c>
      <c r="AH6" s="559" t="str">
        <f>N6</f>
        <v>% vs  N-1</v>
      </c>
      <c r="AJ6" s="564"/>
      <c r="AM6" s="851"/>
      <c r="AO6" s="434">
        <v>1</v>
      </c>
      <c r="AP6" s="434">
        <v>2</v>
      </c>
      <c r="AQ6" s="434">
        <v>3</v>
      </c>
      <c r="AR6" s="434">
        <v>4</v>
      </c>
      <c r="AS6" s="434">
        <v>5</v>
      </c>
      <c r="AT6" s="434">
        <v>6</v>
      </c>
      <c r="AU6" s="434">
        <v>7</v>
      </c>
      <c r="AV6" s="434">
        <v>8</v>
      </c>
      <c r="AW6" s="434">
        <v>9</v>
      </c>
      <c r="AX6" s="434">
        <v>10</v>
      </c>
      <c r="AY6" s="434">
        <v>11</v>
      </c>
      <c r="AZ6" s="434">
        <v>12</v>
      </c>
      <c r="BB6" s="845"/>
      <c r="BC6" s="845"/>
    </row>
    <row r="7" spans="1:55" s="439" customFormat="1" ht="37.5" customHeight="1">
      <c r="A7" s="565"/>
      <c r="B7" s="566"/>
      <c r="C7" s="436" t="s">
        <v>81</v>
      </c>
      <c r="D7" s="567"/>
      <c r="E7" s="436" t="s">
        <v>114</v>
      </c>
      <c r="F7" s="568"/>
      <c r="G7" s="473">
        <f>SUM(G8:G10)</f>
        <v>6202246.54</v>
      </c>
      <c r="H7" s="569" t="s">
        <v>157</v>
      </c>
      <c r="I7" s="431"/>
      <c r="J7" s="494">
        <f>SUM(J8:J10)</f>
        <v>0</v>
      </c>
      <c r="K7" s="516" t="str">
        <f>IF(ISERROR((G7-J7)/J7),"",(G7-J7)/J7)</f>
        <v/>
      </c>
      <c r="L7" s="431"/>
      <c r="M7" s="494">
        <f>SUM(M8:M10)</f>
        <v>4976795.5</v>
      </c>
      <c r="N7" s="516">
        <f>IF(ISERROR((G7-M7)/M7),"",(G7-M7)/M7)</f>
        <v>0.24623295049997534</v>
      </c>
      <c r="O7" s="570"/>
      <c r="P7" s="571" t="s">
        <v>0</v>
      </c>
      <c r="Q7" s="572" t="e">
        <f>SUM(Q8:Q10)</f>
        <v>#REF!</v>
      </c>
      <c r="R7" s="573" t="e">
        <f>SUM(R8:R10)</f>
        <v>#REF!</v>
      </c>
      <c r="S7" s="572" t="e">
        <f t="shared" ref="S7:Z7" si="0">SUM(S8:S10)</f>
        <v>#REF!</v>
      </c>
      <c r="T7" s="573" t="e">
        <f t="shared" si="0"/>
        <v>#REF!</v>
      </c>
      <c r="U7" s="572" t="e">
        <f t="shared" si="0"/>
        <v>#REF!</v>
      </c>
      <c r="V7" s="573" t="e">
        <f t="shared" si="0"/>
        <v>#REF!</v>
      </c>
      <c r="W7" s="572" t="e">
        <f t="shared" si="0"/>
        <v>#REF!</v>
      </c>
      <c r="X7" s="573" t="e">
        <f t="shared" si="0"/>
        <v>#REF!</v>
      </c>
      <c r="Y7" s="572" t="e">
        <f t="shared" si="0"/>
        <v>#REF!</v>
      </c>
      <c r="Z7" s="573" t="e">
        <f t="shared" si="0"/>
        <v>#REF!</v>
      </c>
      <c r="AA7" s="570"/>
      <c r="AB7" s="473">
        <f>SUM(AB8:AB10)</f>
        <v>17848241.460000001</v>
      </c>
      <c r="AC7" s="569" t="str">
        <f>H7</f>
        <v>%  s/Net Rev.</v>
      </c>
      <c r="AD7" s="494">
        <f>SUM(AD8:AD10)</f>
        <v>0</v>
      </c>
      <c r="AE7" s="516" t="str">
        <f>IF(ISERROR((AB7-AD7)/AD7),"",(AB7-AD7)/AD7)</f>
        <v/>
      </c>
      <c r="AF7" s="431"/>
      <c r="AG7" s="494">
        <f>SUM(AG8:AG10)</f>
        <v>14930386.500000002</v>
      </c>
      <c r="AH7" s="516">
        <f>IF(ISERROR((AB7-AG7)/AG7),"",(AB7-AG7)/AG7)</f>
        <v>0.19543063804811742</v>
      </c>
      <c r="AJ7" s="574"/>
      <c r="AK7" s="435">
        <v>42460</v>
      </c>
      <c r="AL7" s="435">
        <v>42400</v>
      </c>
      <c r="AM7" s="436" t="s">
        <v>114</v>
      </c>
      <c r="AO7" s="740">
        <v>42400</v>
      </c>
      <c r="AP7" s="740">
        <v>42428</v>
      </c>
      <c r="AQ7" s="740">
        <v>42460</v>
      </c>
      <c r="AR7" s="740">
        <v>42490</v>
      </c>
      <c r="AS7" s="740">
        <v>42521</v>
      </c>
      <c r="AT7" s="740">
        <v>42551</v>
      </c>
      <c r="AU7" s="740">
        <v>42582</v>
      </c>
      <c r="AV7" s="740">
        <v>42613</v>
      </c>
      <c r="AW7" s="740">
        <v>42643</v>
      </c>
      <c r="AX7" s="740">
        <v>42674</v>
      </c>
      <c r="AY7" s="740">
        <v>42704</v>
      </c>
      <c r="AZ7" s="740">
        <v>42735</v>
      </c>
      <c r="BA7" s="439" t="s">
        <v>162</v>
      </c>
      <c r="BB7" s="748">
        <f>IF(AB7&lt;0,AD7-AB7,AB7-AD7)</f>
        <v>17848241.460000001</v>
      </c>
      <c r="BC7" s="751"/>
    </row>
    <row r="8" spans="1:55" ht="26.15" customHeight="1">
      <c r="A8" s="575"/>
      <c r="B8" s="548">
        <v>706</v>
      </c>
      <c r="C8" s="438" t="s">
        <v>82</v>
      </c>
      <c r="D8" s="576"/>
      <c r="E8" s="438" t="s">
        <v>1</v>
      </c>
      <c r="F8" s="577"/>
      <c r="G8" s="475">
        <f>6205467.56-3221.02-G9-G10</f>
        <v>5544048.3300000001</v>
      </c>
      <c r="H8" s="578">
        <f>G8/G7</f>
        <v>0.89387745137909336</v>
      </c>
      <c r="J8" s="529">
        <f>SUMIF($AO$7:$AZ$7,$G$6,AO8:AZ8)</f>
        <v>0</v>
      </c>
      <c r="K8" s="517" t="str">
        <f>IF(ISERROR((G8-J8)/J8),"",(G8-J8)/J8)</f>
        <v/>
      </c>
      <c r="L8" s="431"/>
      <c r="M8" s="579">
        <f>AG8/3</f>
        <v>4513630.873333334</v>
      </c>
      <c r="N8" s="517">
        <f t="shared" ref="N8:N53" si="1">IF(ISERROR((G8-M8)/M8),"",(G8-M8)/M8)</f>
        <v>0.22829014724141561</v>
      </c>
      <c r="O8" s="580"/>
      <c r="P8" s="581" t="s">
        <v>1</v>
      </c>
      <c r="Q8" s="582" t="e">
        <f>+#REF!+'31 dec 2016 BIOLAM'!AT4</f>
        <v>#REF!</v>
      </c>
      <c r="R8" s="583" t="e">
        <f>Q8/Q$7</f>
        <v>#REF!</v>
      </c>
      <c r="S8" s="582" t="e">
        <f>+'31 dec 2016 BIOLAM'!AV4+#REF!</f>
        <v>#REF!</v>
      </c>
      <c r="T8" s="583" t="e">
        <f>S8/S$7</f>
        <v>#REF!</v>
      </c>
      <c r="U8" s="582" t="e">
        <f>+'31 dec 2016 BIOLAM'!AX4+#REF!</f>
        <v>#REF!</v>
      </c>
      <c r="V8" s="583" t="e">
        <f>U8/U$7</f>
        <v>#REF!</v>
      </c>
      <c r="W8" s="582" t="e">
        <f>+'31 dec 2016 BIOLAM'!AZ4+#REF!</f>
        <v>#REF!</v>
      </c>
      <c r="X8" s="583" t="e">
        <f>W8/W$7</f>
        <v>#REF!</v>
      </c>
      <c r="Y8" s="582" t="e">
        <f>+W8+U8+S8+Q8</f>
        <v>#REF!</v>
      </c>
      <c r="Z8" s="583" t="e">
        <f>Y8/Y$7</f>
        <v>#REF!</v>
      </c>
      <c r="AA8" s="584" t="e">
        <f t="shared" ref="AA8:AA13" si="2">+G8-Y8</f>
        <v>#REF!</v>
      </c>
      <c r="AB8" s="475">
        <f>17860730.02-12488.56-AB9-AB10</f>
        <v>15733464.610000001</v>
      </c>
      <c r="AC8" s="578">
        <f>AB8/AB7</f>
        <v>0.88151343342483002</v>
      </c>
      <c r="AD8" s="495">
        <f>SUMIF($AO$7:$AZ$7,"&lt;="&amp;$AC$6,AO8:AZ8)</f>
        <v>0</v>
      </c>
      <c r="AE8" s="517" t="str">
        <f t="shared" ref="AE8:AE32" si="3">IF(ISERROR((AB8-AD8)/AD8),"",(AB8-AD8)/AD8)</f>
        <v/>
      </c>
      <c r="AG8" s="579">
        <f>8291946.69+386172.23-18705.7+6006277.04+264756.24-60-AG9-AG10</f>
        <v>13540892.620000001</v>
      </c>
      <c r="AH8" s="517">
        <f t="shared" ref="AH8:AH53" si="4">IF(ISERROR((AB8-AG8)/AG8),"",(AB8-AG8)/AG8)</f>
        <v>0.16192226402870627</v>
      </c>
      <c r="AJ8" s="585"/>
      <c r="AK8" s="437">
        <v>42551</v>
      </c>
      <c r="AL8" s="435">
        <v>42428</v>
      </c>
      <c r="AM8" s="438" t="s">
        <v>1</v>
      </c>
      <c r="AO8" s="743">
        <f>IF($AO$7=$AL$7,'[4]1 trim 2016 BIOGROUP'!U4/3,IF($AO$7=$AL$8,'[4]1 trim 2016 BIOGROUP'!U4/3,IF($AO$7=$AL$9,'[4]1 trim 2016 BIOGROUP'!U4/3,IF($AO$7=$AL$10,'[4]2 trim 2016 BIOGROUP'!U4/3,IF($AO$7=$AL$11,'[4]2 trim 2016 BIOGROUP'!U4/3,IF($AO$7=$AL$12,'[4]2 trim 2016 BIOGROUP'!U4/3,""))))))</f>
        <v>78414.666666666672</v>
      </c>
      <c r="AP8" s="743">
        <f>IF($AP$7=$AL$7,'[4]1 trim 2016 BIOGROUP'!U4/3,IF($AP$7=$AL$8,'[4]1 trim 2016 BIOGROUP'!U4/3,IF($AP$7=$AL$9,'[4]1 trim 2016 BIOGROUP'!U4/3,IF($AP$7=$AL$10,'[4]2 trim 2016 BIOGROUP'!U4/3,IF($AP$7=$AL$11,'[4]2 trim 2016 BIOGROUP'!U4/3,IF($AP$7=$AL$12,'[4]2 trim 2016 BIOGROUP'!U4/3,""))))))</f>
        <v>78414.666666666672</v>
      </c>
      <c r="AQ8" s="743">
        <f>IF($AQ$7=$AL$7,'[4]1 trim 2016 BIOGROUP'!U4/3,IF($AQ$7=$AL$8,'[4]1 trim 2016 BIOGROUP'!U4/3,IF($AQ$7=$AL$9,'[4]1 trim 2016 BIOGROUP'!U4/3,IF($AQ$7=$AL$10,'[4]2 trim 2016 BIOGROUP'!U4/3,IF($AQ$7=$AL$11,'[4]2 trim 2016 BIOGROUP'!U4/3,IF($AQ$7=$AL$12,'[4]2 trim 2016 BIOGROUP'!U4/3,""))))))</f>
        <v>78414.666666666672</v>
      </c>
      <c r="AR8" s="743">
        <f>IF($AR$7=$AL$7,'[4]1 trim 2016 BIOGROUP'!U4/3,IF($AR$7=$AL$8,'[4]1 trim 2016 BIOGROUP'!U4/3,IF($AR$7=$AL$9,'[4]1 trim 2016 BIOGROUP'!U4/3,IF($AR$7=$AL$10,'[4]2 trim 2016 BIOGROUP'!U4/3,IF($AR$7=$AL$11,'[4]2 trim 2016 BIOGROUP'!U4/3,IF($AR$7=$AL$12,'[4]2 trim 2016 BIOGROUP'!U4/3,""))))))</f>
        <v>100047.66666666667</v>
      </c>
      <c r="AS8" s="743">
        <f>IF($AS$7=$AL$7,'[4]1 trim 2016 BIOGROUP'!U4/3,IF($AS$7=$AL$8,'[4]1 trim 2016 BIOGROUP'!U4/3,IF($AS$7=$AL$9,'[4]1 trim 2016 BIOGROUP'!U4/3,IF($AS$7=$AL$10,'[4]2 trim 2016 BIOGROUP'!U4/3,IF($AS$7=$AL$11,'[4]2 trim 2016 BIOGROUP'!U4/3,IF($AS$7=$AL$12,'[4]2 trim 2016 BIOGROUP'!U4/3,""))))))</f>
        <v>100047.66666666667</v>
      </c>
      <c r="AT8" s="743">
        <f>IF($AT$7=$AL$7,'[4]1 trim 2016 BIOGROUP'!U4/3,IF($AT$7=$AL$8,'[4]1 trim 2016 BIOGROUP'!U4/3,IF($AT$7=$AL$9,'[4]1 trim 2016 BIOGROUP'!U4/3,IF($AT$7=$AL$10,'[4]2 trim 2016 BIOGROUP'!U4/3,IF($AT$7=$AL$11,'[4]2 trim 2016 BIOGROUP'!U4/3,IF($AT$7=$AL$12,'[4]2 trim 2016 BIOGROUP'!U4/3,""))))))</f>
        <v>100047.66666666667</v>
      </c>
      <c r="AU8" s="743">
        <f>IF($AU$7=$AL$13,'[4]3 trim 2016 BIOGROUP'!U4/3,IF($AU$7=$AL$14,'[4]3 trim 2016 BIOGROUP'!U4/3,IF($AU$7=$AL$15,'[4]3 trim 2016 BIOGROUP'!U4/3,IF($AU$7=$AL$16,'[4]4 trim 2016 BIOGROUP'!U4/3,IF($AU$7=$AL$18,'[4]4 trim 2016 BIOGROUP'!U4/3,IF($AU$7=$AL$19,'[4]4 trim 2016 BIOGROUP'!U4/3,""))))))</f>
        <v>87888</v>
      </c>
      <c r="AV8" s="743">
        <f>IF($AV$7=$AL$13,'[4]3 trim 2016 BIOGROUP'!U4/3,IF($AV$7=$AL$14,'[4]3 trim 2016 BIOGROUP'!U4/3,IF($AV$7=$AL$15,'[4]3 trim 2016 BIOGROUP'!U4/3,IF($AV$7=$AL$16,'[4]4 trim 2016 BIOGROUP'!U4/3,IF($AV$7=$AL$18,'[4]4 trim 2016 BIOGROUP'!U4/3,IF($AV$7=$AL$19,'[4]4 trim 2016 BIOGROUP'!U4/3,""))))))</f>
        <v>87888</v>
      </c>
      <c r="AW8" s="743">
        <f>IF($AW$7=$AL$13,'[4]3 trim 2016 BIOGROUP'!U4/3,IF($AW$7=$AL$14,'[4]3 trim 2016 BIOGROUP'!U4/3,IF($AW$7=$AL$15,'[4]3 trim 2016 BIOGROUP'!U4/3,IF($AW$7=$AL$16,'[4]4 trim 2016 BIOGROUP'!U4/3,IF($AW$7=$AL$18,'[4]4 trim 2016 BIOGROUP'!U4/3,IF($AW$7=$AL$19,'[4]4 trim 2016 BIOGROUP'!U4/3,""))))))</f>
        <v>87888</v>
      </c>
      <c r="AX8" s="743">
        <f>IF($AX$7=$AL$13,'[4]3 trim 2016 BIOGROUP'!U4/3,IF($AX$7=$AL$14,'[4]3 trim 2016 BIOGROUP'!U4/3,IF($AX$7=$AL$15,'[4]3 trim 2016 BIOGROUP'!U4/3,IF($AX$7=$AL$16,'[4]4 trim 2016 BIOGROUP'!U4/3,IF($AX$7=$AL$18,'[4]4 trim 2016 BIOGROUP'!U4/3,IF($AX$7=$AL$19,'[4]4 trim 2016 BIOGROUP'!U4/3,""))))))</f>
        <v>95526</v>
      </c>
      <c r="AY8" s="743">
        <f>IF($AY$7=$AL$13,'[4]3 trim 2016 BIOGROUP'!U4/3,IF($AY$7=$AL$14,'[4]3 trim 2016 BIOGROUP'!U4/3,IF($AY$7=$AL$15,'[4]3 trim 2016 BIOGROUP'!U4/3,IF($AY$7=$AL$16,'[4]4 trim 2016 BIOGROUP'!U4/3,IF($AY$7=$AL$18,'[4]4 trim 2016 BIOGROUP'!U4/3,IF($AY$7=$AL$19,'[4]4 trim 2016 BIOGROUP'!U4/3,""))))))</f>
        <v>95526</v>
      </c>
      <c r="AZ8" s="743">
        <f>IF($AZ$7=$AL$13,'[4]3 trim 2016 BIOGROUP'!U4/3,IF($AZ$7=$AL$14,'[4]3 trim 2016 BIOGROUP'!U4/3,IF($AZ$7=$AL$15,'[4]3 trim 2016 BIOGROUP'!U4/3,IF($AZ$7=$AL$16,'[4]4 trim 2016 BIOGROUP'!U4/3,IF($AZ$7=$AL$18,'[4]4 trim 2016 BIOGROUP'!U4/3,IF($AZ$7=$AL$19,'[4]4 trim 2016 BIOGROUP'!U4/3,""))))))</f>
        <v>95526</v>
      </c>
      <c r="BA8" s="431" t="str">
        <f>IF(SUM(AO8:AZ8)-('[4]4 trim 2016 BIOGROUP'!G4+'[4]3 trim 2016 BIOGROUP'!G4+'[4]2 trim 2016 BIOGROUP'!G4+'[4]1 trim 2016 BIOGROUP'!G4)&lt;1,"OK","ERREUR")</f>
        <v>OK</v>
      </c>
      <c r="BB8" s="511">
        <f t="shared" ref="BB8:BB53" si="5">IF(AB8&lt;0,AD8-AB8,AB8-AD8)</f>
        <v>15733464.610000001</v>
      </c>
      <c r="BC8" s="750"/>
    </row>
    <row r="9" spans="1:55" ht="26.15" customHeight="1">
      <c r="A9" s="575"/>
      <c r="B9" s="548">
        <v>7061</v>
      </c>
      <c r="C9" s="440" t="s">
        <v>141</v>
      </c>
      <c r="D9" s="576"/>
      <c r="E9" s="440" t="s">
        <v>2</v>
      </c>
      <c r="F9" s="577"/>
      <c r="G9" s="475">
        <v>576034</v>
      </c>
      <c r="H9" s="578">
        <f>G9/G7</f>
        <v>9.2875056849965207E-2</v>
      </c>
      <c r="J9" s="529">
        <f>SUMIF($AO$7:$AZ$7,$G$6,AO9:AZ9)</f>
        <v>0</v>
      </c>
      <c r="K9" s="517" t="str">
        <f t="shared" ref="K9:K53" si="6">IF(ISERROR((G9-J9)/J9),"",(G9-J9)/J9)</f>
        <v/>
      </c>
      <c r="L9" s="431"/>
      <c r="M9" s="579">
        <f>AG9/3</f>
        <v>339782.33333333331</v>
      </c>
      <c r="N9" s="517">
        <f t="shared" si="1"/>
        <v>0.69530297337413083</v>
      </c>
      <c r="O9" s="580"/>
      <c r="P9" s="586" t="s">
        <v>2</v>
      </c>
      <c r="Q9" s="582" t="e">
        <f>+#REF!+'31 dec 2016 BIOLAM'!AT5</f>
        <v>#REF!</v>
      </c>
      <c r="R9" s="583" t="e">
        <f>Q9/Q$7</f>
        <v>#REF!</v>
      </c>
      <c r="S9" s="582" t="e">
        <f>+'31 dec 2016 BIOLAM'!AV5+#REF!</f>
        <v>#REF!</v>
      </c>
      <c r="T9" s="583" t="e">
        <f>S9/S$7</f>
        <v>#REF!</v>
      </c>
      <c r="U9" s="582" t="e">
        <f>+'31 dec 2016 BIOLAM'!AX5+#REF!</f>
        <v>#REF!</v>
      </c>
      <c r="V9" s="583" t="e">
        <f>U9/U$7</f>
        <v>#REF!</v>
      </c>
      <c r="W9" s="582" t="e">
        <f>+'31 dec 2016 BIOLAM'!AZ5+#REF!</f>
        <v>#REF!</v>
      </c>
      <c r="X9" s="583" t="e">
        <f>W9/W$7</f>
        <v>#REF!</v>
      </c>
      <c r="Y9" s="582" t="e">
        <f>+W9+U9+S9+Q9</f>
        <v>#REF!</v>
      </c>
      <c r="Z9" s="583" t="e">
        <f>Y9/Y$7</f>
        <v>#REF!</v>
      </c>
      <c r="AA9" s="584" t="e">
        <f t="shared" si="2"/>
        <v>#REF!</v>
      </c>
      <c r="AB9" s="475">
        <f>406518+192437+511935+81765+66819+182501+113798+120004</f>
        <v>1675777</v>
      </c>
      <c r="AC9" s="578">
        <f>AB9/AB7</f>
        <v>9.3890314278614648E-2</v>
      </c>
      <c r="AD9" s="495">
        <f>SUMIF($AO$7:$AZ$7,"&lt;="&amp;$AC$6,AO9:AZ9)</f>
        <v>0</v>
      </c>
      <c r="AE9" s="517" t="str">
        <f t="shared" si="3"/>
        <v/>
      </c>
      <c r="AG9" s="579">
        <f>168505+230722+490656+57362+72102</f>
        <v>1019347</v>
      </c>
      <c r="AH9" s="517">
        <f t="shared" si="4"/>
        <v>0.64397109129668306</v>
      </c>
      <c r="AJ9" s="587"/>
      <c r="AK9" s="437">
        <v>42643</v>
      </c>
      <c r="AL9" s="435">
        <v>42460</v>
      </c>
      <c r="AM9" s="440" t="s">
        <v>2</v>
      </c>
      <c r="AO9" s="743">
        <f>IF($AO$7=$AL$7,'[4]1 trim 2016 BIOGROUP'!U5/3,IF($AO$7=$AL$8,'[4]1 trim 2016 BIOGROUP'!U5/3,IF($AO$7=$AL$9,'[4]1 trim 2016 BIOGROUP'!U5/3,IF($AO$7=$AL$10,'[4]2 trim 2016 BIOGROUP'!U5/3,IF($AO$7=$AL$11,'[4]2 trim 2016 BIOGROUP'!U5/3,IF($AO$7=$AL$12,'[4]2 trim 2016 BIOGROUP'!U5/3,""))))))</f>
        <v>0</v>
      </c>
      <c r="AP9" s="743">
        <f>IF($AP$7=$AL$7,'[4]1 trim 2016 BIOGROUP'!U5/3,IF($AP$7=$AL$8,'[4]1 trim 2016 BIOGROUP'!U5/3,IF($AP$7=$AL$9,'[4]1 trim 2016 BIOGROUP'!U5/3,IF($AP$7=$AL$10,'[4]2 trim 2016 BIOGROUP'!U5/3,IF($AP$7=$AL$11,'[4]2 trim 2016 BIOGROUP'!U5/3,IF($AP$7=$AL$12,'[4]2 trim 2016 BIOGROUP'!U5/3,""))))))</f>
        <v>0</v>
      </c>
      <c r="AQ9" s="743">
        <f>IF($AQ$7=$AL$7,'[4]1 trim 2016 BIOGROUP'!U5/3,IF($AQ$7=$AL$8,'[4]1 trim 2016 BIOGROUP'!U5/3,IF($AQ$7=$AL$9,'[4]1 trim 2016 BIOGROUP'!U5/3,IF($AQ$7=$AL$10,'[4]2 trim 2016 BIOGROUP'!U5/3,IF($AQ$7=$AL$11,'[4]2 trim 2016 BIOGROUP'!U5/3,IF($AQ$7=$AL$12,'[4]2 trim 2016 BIOGROUP'!U5/3,""))))))</f>
        <v>0</v>
      </c>
      <c r="AR9" s="743">
        <f>IF($AR$7=$AL$7,'[4]1 trim 2016 BIOGROUP'!U5/3,IF($AR$7=$AL$8,'[4]1 trim 2016 BIOGROUP'!U5/3,IF($AR$7=$AL$9,'[4]1 trim 2016 BIOGROUP'!U5/3,IF($AR$7=$AL$10,'[4]2 trim 2016 BIOGROUP'!U5/3,IF($AR$7=$AL$11,'[4]2 trim 2016 BIOGROUP'!U5/3,IF($AR$7=$AL$12,'[4]2 trim 2016 BIOGROUP'!U5/3,""))))))</f>
        <v>0</v>
      </c>
      <c r="AS9" s="743">
        <f>IF($AS$7=$AL$7,'[4]1 trim 2016 BIOGROUP'!U5/3,IF($AS$7=$AL$8,'[4]1 trim 2016 BIOGROUP'!U5/3,IF($AS$7=$AL$9,'[4]1 trim 2016 BIOGROUP'!U5/3,IF($AS$7=$AL$10,'[4]2 trim 2016 BIOGROUP'!U5/3,IF($AS$7=$AL$11,'[4]2 trim 2016 BIOGROUP'!U5/3,IF($AS$7=$AL$12,'[4]2 trim 2016 BIOGROUP'!U5/3,""))))))</f>
        <v>0</v>
      </c>
      <c r="AT9" s="743">
        <f>IF($AT$7=$AL$7,'[4]1 trim 2016 BIOGROUP'!U5/3,IF($AT$7=$AL$8,'[4]1 trim 2016 BIOGROUP'!U5/3,IF($AT$7=$AL$9,'[4]1 trim 2016 BIOGROUP'!U5/3,IF($AT$7=$AL$10,'[4]2 trim 2016 BIOGROUP'!U5/3,IF($AT$7=$AL$11,'[4]2 trim 2016 BIOGROUP'!U5/3,IF($AT$7=$AL$12,'[4]2 trim 2016 BIOGROUP'!U5/3,""))))))</f>
        <v>0</v>
      </c>
      <c r="AU9" s="743">
        <f>IF($AU$7=$AL$13,'[4]3 trim 2016 BIOGROUP'!U5/3,IF($AU$7=$AL$14,'[4]3 trim 2016 BIOGROUP'!U5/3,IF($AU$7=$AL$15,'[4]3 trim 2016 BIOGROUP'!U5/3,IF($AU$7=$AL$16,'[4]4 trim 2016 BIOGROUP'!U5/3,IF($AU$7=$AL$18,'[4]4 trim 2016 BIOGROUP'!U5/3,IF($AU$7=$AL$19,'[4]4 trim 2016 BIOGROUP'!U5/3,""))))))</f>
        <v>0</v>
      </c>
      <c r="AV9" s="743">
        <f>IF($AV$7=$AL$13,'[4]3 trim 2016 BIOGROUP'!U5/3,IF($AV$7=$AL$14,'[4]3 trim 2016 BIOGROUP'!U5/3,IF($AV$7=$AL$15,'[4]3 trim 2016 BIOGROUP'!U5/3,IF($AV$7=$AL$16,'[4]4 trim 2016 BIOGROUP'!U5/3,IF($AV$7=$AL$18,'[4]4 trim 2016 BIOGROUP'!U5/3,IF($AV$7=$AL$19,'[4]4 trim 2016 BIOGROUP'!U5/3,""))))))</f>
        <v>0</v>
      </c>
      <c r="AW9" s="743">
        <f>IF($AW$7=$AL$13,'[4]3 trim 2016 BIOGROUP'!U5/3,IF($AW$7=$AL$14,'[4]3 trim 2016 BIOGROUP'!U5/3,IF($AW$7=$AL$15,'[4]3 trim 2016 BIOGROUP'!U5/3,IF($AW$7=$AL$16,'[4]4 trim 2016 BIOGROUP'!U5/3,IF($AW$7=$AL$18,'[4]4 trim 2016 BIOGROUP'!U5/3,IF($AW$7=$AL$19,'[4]4 trim 2016 BIOGROUP'!U5/3,""))))))</f>
        <v>0</v>
      </c>
      <c r="AX9" s="743">
        <f>IF($AX$7=$AL$13,'[4]3 trim 2016 BIOGROUP'!U5/3,IF($AX$7=$AL$14,'[4]3 trim 2016 BIOGROUP'!U5/3,IF($AX$7=$AL$15,'[4]3 trim 2016 BIOGROUP'!U5/3,IF($AX$7=$AL$16,'[4]4 trim 2016 BIOGROUP'!U5/3,IF($AX$7=$AL$18,'[4]4 trim 2016 BIOGROUP'!U5/3,IF($AX$7=$AL$19,'[4]4 trim 2016 BIOGROUP'!U5/3,""))))))</f>
        <v>0</v>
      </c>
      <c r="AY9" s="743">
        <f>IF($AY$7=$AL$13,'[4]3 trim 2016 BIOGROUP'!U5/3,IF($AY$7=$AL$14,'[4]3 trim 2016 BIOGROUP'!U5/3,IF($AY$7=$AL$15,'[4]3 trim 2016 BIOGROUP'!U5/3,IF($AY$7=$AL$16,'[4]4 trim 2016 BIOGROUP'!U5/3,IF($AY$7=$AL$18,'[4]4 trim 2016 BIOGROUP'!U5/3,IF($AY$7=$AL$19,'[4]4 trim 2016 BIOGROUP'!U5/3,""))))))</f>
        <v>0</v>
      </c>
      <c r="AZ9" s="743">
        <f>IF($AZ$7=$AL$13,'[4]3 trim 2016 BIOGROUP'!U5/3,IF($AZ$7=$AL$14,'[4]3 trim 2016 BIOGROUP'!U5/3,IF($AZ$7=$AL$15,'[4]3 trim 2016 BIOGROUP'!U5/3,IF($AZ$7=$AL$16,'[4]4 trim 2016 BIOGROUP'!U5/3,IF($AZ$7=$AL$18,'[4]4 trim 2016 BIOGROUP'!U5/3,IF($AZ$7=$AL$19,'[4]4 trim 2016 BIOGROUP'!U5/3,""))))))</f>
        <v>0</v>
      </c>
      <c r="BA9" s="431" t="str">
        <f>IF(SUM(AO9:AZ9)-('[4]4 trim 2016 BIOGROUP'!G5+'[4]3 trim 2016 BIOGROUP'!G5+'[4]2 trim 2016 BIOGROUP'!G5+'[4]1 trim 2016 BIOGROUP'!G5)&lt;1,"OK","ERREUR")</f>
        <v>OK</v>
      </c>
      <c r="BB9" s="511">
        <f t="shared" si="5"/>
        <v>1675777</v>
      </c>
      <c r="BC9" s="750"/>
    </row>
    <row r="10" spans="1:55" ht="26.15" customHeight="1">
      <c r="B10" s="588" t="s">
        <v>159</v>
      </c>
      <c r="C10" s="438" t="s">
        <v>83</v>
      </c>
      <c r="D10" s="576"/>
      <c r="E10" s="438" t="s">
        <v>113</v>
      </c>
      <c r="F10" s="577"/>
      <c r="G10" s="475">
        <f>45+85340.23-3221.02</f>
        <v>82164.209999999992</v>
      </c>
      <c r="H10" s="578">
        <f>G10/G7</f>
        <v>1.3247491770941436E-2</v>
      </c>
      <c r="J10" s="529">
        <f>SUMIF($AO$7:$AZ$7,$G$6,AO10:AZ10)</f>
        <v>0</v>
      </c>
      <c r="K10" s="517" t="str">
        <f t="shared" si="6"/>
        <v/>
      </c>
      <c r="L10" s="431"/>
      <c r="M10" s="579">
        <f>AG10/3</f>
        <v>123382.29333333332</v>
      </c>
      <c r="N10" s="517">
        <f t="shared" si="1"/>
        <v>-0.33406805968484726</v>
      </c>
      <c r="O10" s="580"/>
      <c r="P10" s="581" t="s">
        <v>113</v>
      </c>
      <c r="Q10" s="582" t="e">
        <f>+#REF!+'31 dec 2016 BIOLAM'!AT6</f>
        <v>#REF!</v>
      </c>
      <c r="R10" s="583" t="e">
        <f>Q10/Q$7</f>
        <v>#REF!</v>
      </c>
      <c r="S10" s="582" t="e">
        <f>+'31 dec 2016 BIOLAM'!AV6+#REF!</f>
        <v>#REF!</v>
      </c>
      <c r="T10" s="583" t="e">
        <f>S10/S$7</f>
        <v>#REF!</v>
      </c>
      <c r="U10" s="582" t="e">
        <f>+'31 dec 2016 BIOLAM'!AX6+#REF!</f>
        <v>#REF!</v>
      </c>
      <c r="V10" s="583" t="e">
        <f>U10/U$7</f>
        <v>#REF!</v>
      </c>
      <c r="W10" s="582" t="e">
        <f>+'31 dec 2016 BIOLAM'!AZ6+#REF!</f>
        <v>#REF!</v>
      </c>
      <c r="X10" s="583" t="e">
        <f>W10/W$7</f>
        <v>#REF!</v>
      </c>
      <c r="Y10" s="582" t="e">
        <f>+W10+U10+S10+Q10</f>
        <v>#REF!</v>
      </c>
      <c r="Z10" s="583" t="e">
        <f>Y10/Y$7</f>
        <v>#REF!</v>
      </c>
      <c r="AA10" s="584" t="e">
        <f t="shared" si="2"/>
        <v>#REF!</v>
      </c>
      <c r="AB10" s="475">
        <f>4849+249882.49+13485.25+170783.11</f>
        <v>438999.85</v>
      </c>
      <c r="AC10" s="578">
        <f>AB10/AB7</f>
        <v>2.459625229655538E-2</v>
      </c>
      <c r="AD10" s="495">
        <f>SUMIF($AO$7:$AZ$7,"&lt;="&amp;$AC$6,AO10:AZ10)</f>
        <v>0</v>
      </c>
      <c r="AE10" s="517" t="str">
        <f t="shared" si="3"/>
        <v/>
      </c>
      <c r="AG10" s="579">
        <f>64176+296.05+92121.94+19520.52+112057.33+15+63807.79+18152.25</f>
        <v>370146.87999999995</v>
      </c>
      <c r="AH10" s="517">
        <f t="shared" si="4"/>
        <v>0.18601526507531291</v>
      </c>
      <c r="AJ10" s="587"/>
      <c r="AK10" s="437">
        <v>42735</v>
      </c>
      <c r="AL10" s="435">
        <v>42490</v>
      </c>
      <c r="AM10" s="438" t="s">
        <v>113</v>
      </c>
      <c r="AO10" s="743">
        <f>IF($AO$7=$AL$7,'[4]1 trim 2016 BIOGROUP'!U6/3,IF($AO$7=$AL$8,'[4]1 trim 2016 BIOGROUP'!U6/3,IF($AO$7=$AL$9,'[4]1 trim 2016 BIOGROUP'!U6/3,IF($AO$7=$AL$10,'[4]2 trim 2016 BIOGROUP'!U6/3,IF($AO$7=$AL$11,'[4]2 trim 2016 BIOGROUP'!U6/3,IF($AO$7=$AL$12,'[4]2 trim 2016 BIOGROUP'!U6/3,""))))))</f>
        <v>1214.8044333333335</v>
      </c>
      <c r="AP10" s="743">
        <f>IF($AP$7=$AL$7,'[4]1 trim 2016 BIOGROUP'!U6/3,IF($AP$7=$AL$8,'[4]1 trim 2016 BIOGROUP'!U6/3,IF($AP$7=$AL$9,'[4]1 trim 2016 BIOGROUP'!U6/3,IF($AP$7=$AL$10,'[4]2 trim 2016 BIOGROUP'!U6/3,IF($AP$7=$AL$11,'[4]2 trim 2016 BIOGROUP'!U6/3,IF($AP$7=$AL$12,'[4]2 trim 2016 BIOGROUP'!U6/3,""))))))</f>
        <v>1214.8044333333335</v>
      </c>
      <c r="AQ10" s="743">
        <f>IF($AQ$7=$AL$7,'[4]1 trim 2016 BIOGROUP'!U6/3,IF($AQ$7=$AL$8,'[4]1 trim 2016 BIOGROUP'!U6/3,IF($AQ$7=$AL$9,'[4]1 trim 2016 BIOGROUP'!U6/3,IF($AQ$7=$AL$10,'[4]2 trim 2016 BIOGROUP'!U6/3,IF($AQ$7=$AL$11,'[4]2 trim 2016 BIOGROUP'!U6/3,IF($AQ$7=$AL$12,'[4]2 trim 2016 BIOGROUP'!U6/3,""))))))</f>
        <v>1214.8044333333335</v>
      </c>
      <c r="AR10" s="743">
        <f>IF($AR$7=$AL$7,'[4]1 trim 2016 BIOGROUP'!U6/3,IF($AR$7=$AL$8,'[4]1 trim 2016 BIOGROUP'!U6/3,IF($AR$7=$AL$9,'[4]1 trim 2016 BIOGROUP'!U6/3,IF($AR$7=$AL$10,'[4]2 trim 2016 BIOGROUP'!U6/3,IF($AR$7=$AL$11,'[4]2 trim 2016 BIOGROUP'!U6/3,IF($AR$7=$AL$12,'[4]2 trim 2016 BIOGROUP'!U6/3,""))))))</f>
        <v>1214.8044333333335</v>
      </c>
      <c r="AS10" s="743">
        <f>IF($AS$7=$AL$7,'[4]1 trim 2016 BIOGROUP'!U6/3,IF($AS$7=$AL$8,'[4]1 trim 2016 BIOGROUP'!U6/3,IF($AS$7=$AL$9,'[4]1 trim 2016 BIOGROUP'!U6/3,IF($AS$7=$AL$10,'[4]2 trim 2016 BIOGROUP'!U6/3,IF($AS$7=$AL$11,'[4]2 trim 2016 BIOGROUP'!U6/3,IF($AS$7=$AL$12,'[4]2 trim 2016 BIOGROUP'!U6/3,""))))))</f>
        <v>1214.8044333333335</v>
      </c>
      <c r="AT10" s="743">
        <f>IF($AT$7=$AL$7,'[4]1 trim 2016 BIOGROUP'!U6/3,IF($AT$7=$AL$8,'[4]1 trim 2016 BIOGROUP'!U6/3,IF($AT$7=$AL$9,'[4]1 trim 2016 BIOGROUP'!U6/3,IF($AT$7=$AL$10,'[4]2 trim 2016 BIOGROUP'!U6/3,IF($AT$7=$AL$11,'[4]2 trim 2016 BIOGROUP'!U6/3,IF($AT$7=$AL$12,'[4]2 trim 2016 BIOGROUP'!U6/3,""))))))</f>
        <v>1214.8044333333335</v>
      </c>
      <c r="AU10" s="743">
        <f>IF($AU$7=$AL$13,'[4]3 trim 2016 BIOGROUP'!U6/3,IF($AU$7=$AL$14,'[4]3 trim 2016 BIOGROUP'!U6/3,IF($AU$7=$AL$15,'[4]3 trim 2016 BIOGROUP'!U6/3,IF($AU$7=$AL$16,'[4]4 trim 2016 BIOGROUP'!U6/3,IF($AU$7=$AL$18,'[4]4 trim 2016 BIOGROUP'!U6/3,IF($AU$7=$AL$19,'[4]4 trim 2016 BIOGROUP'!U6/3,""))))))</f>
        <v>1214.8044333333335</v>
      </c>
      <c r="AV10" s="743">
        <f>IF($AV$7=$AL$13,'[4]3 trim 2016 BIOGROUP'!U6/3,IF($AV$7=$AL$14,'[4]3 trim 2016 BIOGROUP'!U6/3,IF($AV$7=$AL$15,'[4]3 trim 2016 BIOGROUP'!U6/3,IF($AV$7=$AL$16,'[4]4 trim 2016 BIOGROUP'!U6/3,IF($AV$7=$AL$18,'[4]4 trim 2016 BIOGROUP'!U6/3,IF($AV$7=$AL$19,'[4]4 trim 2016 BIOGROUP'!U6/3,""))))))</f>
        <v>1214.8044333333335</v>
      </c>
      <c r="AW10" s="743">
        <f>IF($AW$7=$AL$13,'[4]3 trim 2016 BIOGROUP'!U6/3,IF($AW$7=$AL$14,'[4]3 trim 2016 BIOGROUP'!U6/3,IF($AW$7=$AL$15,'[4]3 trim 2016 BIOGROUP'!U6/3,IF($AW$7=$AL$16,'[4]4 trim 2016 BIOGROUP'!U6/3,IF($AW$7=$AL$18,'[4]4 trim 2016 BIOGROUP'!U6/3,IF($AW$7=$AL$19,'[4]4 trim 2016 BIOGROUP'!U6/3,""))))))</f>
        <v>1214.8044333333335</v>
      </c>
      <c r="AX10" s="743">
        <f>IF($AX$7=$AL$13,'[4]3 trim 2016 BIOGROUP'!U6/3,IF($AX$7=$AL$14,'[4]3 trim 2016 BIOGROUP'!U6/3,IF($AX$7=$AL$15,'[4]3 trim 2016 BIOGROUP'!U6/3,IF($AX$7=$AL$16,'[4]4 trim 2016 BIOGROUP'!U6/3,IF($AX$7=$AL$18,'[4]4 trim 2016 BIOGROUP'!U6/3,IF($AX$7=$AL$19,'[4]4 trim 2016 BIOGROUP'!U6/3,""))))))</f>
        <v>1214.8044333333335</v>
      </c>
      <c r="AY10" s="743">
        <f>IF($AY$7=$AL$13,'[4]3 trim 2016 BIOGROUP'!U6/3,IF($AY$7=$AL$14,'[4]3 trim 2016 BIOGROUP'!U6/3,IF($AY$7=$AL$15,'[4]3 trim 2016 BIOGROUP'!U6/3,IF($AY$7=$AL$16,'[4]4 trim 2016 BIOGROUP'!U6/3,IF($AY$7=$AL$18,'[4]4 trim 2016 BIOGROUP'!U6/3,IF($AY$7=$AL$19,'[4]4 trim 2016 BIOGROUP'!U6/3,""))))))</f>
        <v>1214.8044333333335</v>
      </c>
      <c r="AZ10" s="743">
        <f>IF($AZ$7=$AL$13,'[4]3 trim 2016 BIOGROUP'!U6/3,IF($AZ$7=$AL$14,'[4]3 trim 2016 BIOGROUP'!U6/3,IF($AZ$7=$AL$15,'[4]3 trim 2016 BIOGROUP'!U6/3,IF($AZ$7=$AL$16,'[4]4 trim 2016 BIOGROUP'!U6/3,IF($AZ$7=$AL$18,'[4]4 trim 2016 BIOGROUP'!U6/3,IF($AZ$7=$AL$19,'[4]4 trim 2016 BIOGROUP'!U6/3,""))))))</f>
        <v>1214.8044333333335</v>
      </c>
      <c r="BA10" s="431" t="str">
        <f>IF(SUM(AO10:AZ10)-('[4]4 trim 2016 BIOGROUP'!G6+'[4]3 trim 2016 BIOGROUP'!G6+'[4]2 trim 2016 BIOGROUP'!G6+'[4]1 trim 2016 BIOGROUP'!G6)&lt;1,"OK","ERREUR")</f>
        <v>OK</v>
      </c>
      <c r="BB10" s="511">
        <f t="shared" si="5"/>
        <v>438999.85</v>
      </c>
      <c r="BC10" s="750"/>
    </row>
    <row r="11" spans="1:55" s="439" customFormat="1" ht="26.15" customHeight="1">
      <c r="A11" s="431"/>
      <c r="B11" s="542"/>
      <c r="C11" s="441" t="s">
        <v>87</v>
      </c>
      <c r="D11" s="589"/>
      <c r="E11" s="441" t="s">
        <v>115</v>
      </c>
      <c r="F11" s="590"/>
      <c r="G11" s="476">
        <f>SUM(G12:G13)</f>
        <v>-953257.30999999994</v>
      </c>
      <c r="H11" s="591">
        <f>G11/G7</f>
        <v>-0.1536954882157909</v>
      </c>
      <c r="I11" s="431"/>
      <c r="J11" s="496">
        <f>SUM(J12:J13)</f>
        <v>0</v>
      </c>
      <c r="K11" s="530" t="str">
        <f t="shared" si="6"/>
        <v/>
      </c>
      <c r="L11" s="431"/>
      <c r="M11" s="496">
        <f>SUM(M12:M13)</f>
        <v>-836751.05333333323</v>
      </c>
      <c r="N11" s="518">
        <f t="shared" si="1"/>
        <v>0.13923646250882526</v>
      </c>
      <c r="O11" s="592"/>
      <c r="P11" s="593" t="s">
        <v>3</v>
      </c>
      <c r="Q11" s="594" t="e">
        <f t="shared" ref="Q11:Z11" si="7">SUM(Q12:Q13)</f>
        <v>#REF!</v>
      </c>
      <c r="R11" s="595" t="e">
        <f t="shared" si="7"/>
        <v>#REF!</v>
      </c>
      <c r="S11" s="594" t="e">
        <f t="shared" si="7"/>
        <v>#REF!</v>
      </c>
      <c r="T11" s="595" t="e">
        <f t="shared" si="7"/>
        <v>#REF!</v>
      </c>
      <c r="U11" s="594" t="e">
        <f t="shared" si="7"/>
        <v>#REF!</v>
      </c>
      <c r="V11" s="595" t="e">
        <f t="shared" si="7"/>
        <v>#REF!</v>
      </c>
      <c r="W11" s="594" t="e">
        <f t="shared" si="7"/>
        <v>#REF!</v>
      </c>
      <c r="X11" s="595" t="e">
        <f t="shared" si="7"/>
        <v>#REF!</v>
      </c>
      <c r="Y11" s="594" t="e">
        <f t="shared" si="7"/>
        <v>#REF!</v>
      </c>
      <c r="Z11" s="595" t="e">
        <f t="shared" si="7"/>
        <v>#REF!</v>
      </c>
      <c r="AA11" s="584" t="e">
        <f t="shared" si="2"/>
        <v>#REF!</v>
      </c>
      <c r="AB11" s="476">
        <f>SUM(AB12:AB13)</f>
        <v>-2616023.77</v>
      </c>
      <c r="AC11" s="591">
        <f>AB11/AB7</f>
        <v>-0.14657039327167418</v>
      </c>
      <c r="AD11" s="496">
        <f>SUM(AD12:AD13)</f>
        <v>0</v>
      </c>
      <c r="AE11" s="518" t="str">
        <f t="shared" si="3"/>
        <v/>
      </c>
      <c r="AF11" s="431"/>
      <c r="AG11" s="496">
        <f>SUM(AG12:AG13)</f>
        <v>-2510253.16</v>
      </c>
      <c r="AH11" s="518">
        <f t="shared" si="4"/>
        <v>4.2135435455442218E-2</v>
      </c>
      <c r="AJ11" s="596"/>
      <c r="AL11" s="435">
        <v>42521</v>
      </c>
      <c r="AM11" s="441" t="s">
        <v>115</v>
      </c>
      <c r="AN11" s="746"/>
      <c r="AO11" s="741">
        <f>-SUM(AO12:AO13)</f>
        <v>-21300.740083333334</v>
      </c>
      <c r="AP11" s="741">
        <f t="shared" ref="AP11:AZ11" si="8">-SUM(AP12:AP13)</f>
        <v>-21300.740083333334</v>
      </c>
      <c r="AQ11" s="741">
        <f t="shared" si="8"/>
        <v>-21300.740083333334</v>
      </c>
      <c r="AR11" s="741">
        <f t="shared" si="8"/>
        <v>-21300.740083333334</v>
      </c>
      <c r="AS11" s="741">
        <f t="shared" si="8"/>
        <v>-21300.740083333334</v>
      </c>
      <c r="AT11" s="741">
        <f t="shared" si="8"/>
        <v>-21300.740083333334</v>
      </c>
      <c r="AU11" s="741">
        <f t="shared" si="8"/>
        <v>-21300.740083333334</v>
      </c>
      <c r="AV11" s="741">
        <f t="shared" si="8"/>
        <v>-21300.740083333334</v>
      </c>
      <c r="AW11" s="741">
        <f t="shared" si="8"/>
        <v>-21300.740083333334</v>
      </c>
      <c r="AX11" s="741">
        <f t="shared" si="8"/>
        <v>-21300.740083333334</v>
      </c>
      <c r="AY11" s="741">
        <f t="shared" si="8"/>
        <v>-21300.740083333334</v>
      </c>
      <c r="AZ11" s="741">
        <f t="shared" si="8"/>
        <v>-21300.740083333334</v>
      </c>
      <c r="BA11" s="431"/>
      <c r="BB11" s="748">
        <f t="shared" si="5"/>
        <v>2616023.77</v>
      </c>
      <c r="BC11" s="751"/>
    </row>
    <row r="12" spans="1:55" ht="26.15" customHeight="1">
      <c r="B12" s="588" t="s">
        <v>154</v>
      </c>
      <c r="C12" s="597" t="s">
        <v>84</v>
      </c>
      <c r="D12" s="576"/>
      <c r="E12" s="442" t="s">
        <v>135</v>
      </c>
      <c r="F12" s="577"/>
      <c r="G12" s="476">
        <f>-26549.34-671714.22</f>
        <v>-698263.55999999994</v>
      </c>
      <c r="H12" s="591">
        <f>G12/G7</f>
        <v>-0.11258236116489492</v>
      </c>
      <c r="J12" s="497">
        <f>-SUMIF($AO$7:$AZ$7,$G$6,AO12:AZ12)</f>
        <v>0</v>
      </c>
      <c r="K12" s="530" t="str">
        <f t="shared" si="6"/>
        <v/>
      </c>
      <c r="L12" s="431"/>
      <c r="M12" s="598">
        <f>AG12/3</f>
        <v>-619774.89666666661</v>
      </c>
      <c r="N12" s="518">
        <f t="shared" si="1"/>
        <v>0.12664059766774785</v>
      </c>
      <c r="O12" s="580"/>
      <c r="P12" s="581" t="s">
        <v>4</v>
      </c>
      <c r="Q12" s="582" t="e">
        <f>+#REF!+'31 dec 2016 BIOLAM'!AT8+'31 dec 2016 BIOLAM'!AT9</f>
        <v>#REF!</v>
      </c>
      <c r="R12" s="583" t="e">
        <f>Q12/Q$7</f>
        <v>#REF!</v>
      </c>
      <c r="S12" s="582" t="e">
        <f>+'31 dec 2016 BIOLAM'!AV8+'31 dec 2016 BIOLAM'!AV9+#REF!</f>
        <v>#REF!</v>
      </c>
      <c r="T12" s="583" t="e">
        <f>S12/S$7</f>
        <v>#REF!</v>
      </c>
      <c r="U12" s="582" t="e">
        <f>+'31 dec 2016 BIOLAM'!AX8+'31 dec 2016 BIOLAM'!AX9+#REF!</f>
        <v>#REF!</v>
      </c>
      <c r="V12" s="583" t="e">
        <f>U12/U$7</f>
        <v>#REF!</v>
      </c>
      <c r="W12" s="582" t="e">
        <f>+'31 dec 2016 BIOLAM'!AZ8+'31 dec 2016 BIOLAM'!AZ9+#REF!</f>
        <v>#REF!</v>
      </c>
      <c r="X12" s="583" t="e">
        <f>W12/W$7</f>
        <v>#REF!</v>
      </c>
      <c r="Y12" s="582" t="e">
        <f>+W12+U12+S12+Q12</f>
        <v>#REF!</v>
      </c>
      <c r="Z12" s="583" t="e">
        <f>Y12/Y$7</f>
        <v>#REF!</v>
      </c>
      <c r="AA12" s="584" t="e">
        <f t="shared" si="2"/>
        <v>#REF!</v>
      </c>
      <c r="AB12" s="476">
        <f>-25477.34-1856904.1</f>
        <v>-1882381.4400000002</v>
      </c>
      <c r="AC12" s="591">
        <f>AB12/AB7</f>
        <v>-0.10546593311271799</v>
      </c>
      <c r="AD12" s="497">
        <f>-SUMIF($AO$7:$AZ$7,"&lt;="&amp;$AC$6,AO12:AZ12)</f>
        <v>0</v>
      </c>
      <c r="AE12" s="518" t="str">
        <f t="shared" si="3"/>
        <v/>
      </c>
      <c r="AG12" s="598">
        <f>-1036333.24-11342.69-817266.76+5618</f>
        <v>-1859324.69</v>
      </c>
      <c r="AH12" s="518">
        <f t="shared" si="4"/>
        <v>1.2400604436657178E-2</v>
      </c>
      <c r="AJ12" s="599"/>
      <c r="AL12" s="435">
        <v>42551</v>
      </c>
      <c r="AM12" s="442" t="s">
        <v>135</v>
      </c>
      <c r="AN12" s="747"/>
      <c r="AO12" s="431">
        <f>IF($AO$7=$AL$7,'[4]1 trim 2016 BIOGROUP'!U8/3,IF($AO$7=$AL$8,'[4]1 trim 2016 BIOGROUP'!U8/3,IF($AO$7=$AL$9,'[4]1 trim 2016 BIOGROUP'!U8/3,IF($AO$7=$AL$10,'[4]2 trim 2016 BIOGROUP'!U8/3,IF($AO$7=$AL$11,'[4]2 trim 2016 BIOGROUP'!U8/3,IF($AO$7=$AL$12,'[4]2 trim 2016 BIOGROUP'!U8/3,""))))))</f>
        <v>16862.276566666667</v>
      </c>
      <c r="AP12" s="431">
        <f>IF($AP$7=$AL$7,'[4]1 trim 2016 BIOGROUP'!U8/3,IF($AP$7=$AL$8,'[4]1 trim 2016 BIOGROUP'!U8/3,IF($AP$7=$AL$9,'[4]1 trim 2016 BIOGROUP'!U8/3,IF($AP$7=$AL$10,'[4]2 trim 2016 BIOGROUP'!U8/3,IF($AP$7=$AL$11,'[4]2 trim 2016 BIOGROUP'!U8/3,IF($AP$7=$AL$12,'[4]2 trim 2016 BIOGROUP'!U8/3,""))))))</f>
        <v>16862.276566666667</v>
      </c>
      <c r="AQ12" s="431">
        <f>IF($AQ$7=$AL$7,'[4]1 trim 2016 BIOGROUP'!U8/3,IF($AQ$7=$AL$8,'[4]1 trim 2016 BIOGROUP'!U8/3,IF($AQ$7=$AL$9,'[4]1 trim 2016 BIOGROUP'!U8/3,IF($AQ$7=$AL$10,'[4]2 trim 2016 BIOGROUP'!U8/3,IF($AQ$7=$AL$11,'[4]2 trim 2016 BIOGROUP'!U8/3,IF($AQ$7=$AL$12,'[4]2 trim 2016 BIOGROUP'!U8/3,""))))))</f>
        <v>16862.276566666667</v>
      </c>
      <c r="AR12" s="431">
        <f>IF($AR$7=$AL$7,'[4]1 trim 2016 BIOGROUP'!U8/3,IF($AR$7=$AL$8,'[4]1 trim 2016 BIOGROUP'!U8/3,IF($AR$7=$AL$9,'[4]1 trim 2016 BIOGROUP'!U8/3,IF($AR$7=$AL$10,'[4]2 trim 2016 BIOGROUP'!U8/3,IF($AR$7=$AL$11,'[4]2 trim 2016 BIOGROUP'!U8/3,IF($AR$7=$AL$12,'[4]2 trim 2016 BIOGROUP'!U8/3,""))))))</f>
        <v>16862.276566666667</v>
      </c>
      <c r="AS12" s="431">
        <f>IF($AS$7=$AL$7,'[4]1 trim 2016 BIOGROUP'!U8/3,IF($AS$7=$AL$8,'[4]1 trim 2016 BIOGROUP'!U8/3,IF($AS$7=$AL$9,'[4]1 trim 2016 BIOGROUP'!U8/3,IF($AS$7=$AL$10,'[4]2 trim 2016 BIOGROUP'!U8/3,IF($AS$7=$AL$11,'[4]2 trim 2016 BIOGROUP'!U8/3,IF($AS$7=$AL$12,'[4]2 trim 2016 BIOGROUP'!U8/3,""))))))</f>
        <v>16862.276566666667</v>
      </c>
      <c r="AT12" s="431">
        <f>IF($AT$7=$AL$7,'[4]1 trim 2016 BIOGROUP'!U8/3,IF($AT$7=$AL$8,'[4]1 trim 2016 BIOGROUP'!U8/3,IF($AT$7=$AL$9,'[4]1 trim 2016 BIOGROUP'!U8/3,IF($AT$7=$AL$10,'[4]2 trim 2016 BIOGROUP'!U8/3,IF($AT$7=$AL$11,'[4]2 trim 2016 BIOGROUP'!U8/3,IF($AT$7=$AL$12,'[4]2 trim 2016 BIOGROUP'!U8/3,""))))))</f>
        <v>16862.276566666667</v>
      </c>
      <c r="AU12" s="431">
        <f>IF($AU$7=$AL$13,'[4]3 trim 2016 BIOGROUP'!U8/3,IF($AU$7=$AL$14,'[4]3 trim 2016 BIOGROUP'!U8/3,IF($AU$7=$AL$15,'[4]3 trim 2016 BIOGROUP'!U8/3,IF($AU$7=$AL$16,'[4]4 trim 2016 BIOGROUP'!U8/3,IF($AU$7=$AL$18,'[4]4 trim 2016 BIOGROUP'!U8/3,IF($AU$7=$AL$19,'[4]4 trim 2016 BIOGROUP'!U8/3,""))))))</f>
        <v>16862.276566666667</v>
      </c>
      <c r="AV12" s="431">
        <f>IF($AV$7=$AL$13,'[4]3 trim 2016 BIOGROUP'!U8/3,IF($AV$7=$AL$14,'[4]3 trim 2016 BIOGROUP'!U8/3,IF($AV$7=$AL$15,'[4]3 trim 2016 BIOGROUP'!U8/3,IF($AV$7=$AL$16,'[4]4 trim 2016 BIOGROUP'!U8/3,IF($AV$7=$AL$18,'[4]4 trim 2016 BIOGROUP'!U8/3,IF($AV$7=$AL$19,'[4]4 trim 2016 BIOGROUP'!U8/3,""))))))</f>
        <v>16862.276566666667</v>
      </c>
      <c r="AW12" s="431">
        <f>IF($AW$7=$AL$13,'[4]3 trim 2016 BIOGROUP'!U8/3,IF($AW$7=$AL$14,'[4]3 trim 2016 BIOGROUP'!U8/3,IF($AW$7=$AL$15,'[4]3 trim 2016 BIOGROUP'!U8/3,IF($AW$7=$AL$16,'[4]4 trim 2016 BIOGROUP'!U8/3,IF($AW$7=$AL$18,'[4]4 trim 2016 BIOGROUP'!U8/3,IF($AW$7=$AL$19,'[4]4 trim 2016 BIOGROUP'!U8/3,""))))))</f>
        <v>16862.276566666667</v>
      </c>
      <c r="AX12" s="431">
        <f>IF($AX$7=$AL$13,'[4]3 trim 2016 BIOGROUP'!U8/3,IF($AX$7=$AL$14,'[4]3 trim 2016 BIOGROUP'!U8/3,IF($AX$7=$AL$15,'[4]3 trim 2016 BIOGROUP'!U8/3,IF($AX$7=$AL$16,'[4]4 trim 2016 BIOGROUP'!U8/3,IF($AX$7=$AL$18,'[4]4 trim 2016 BIOGROUP'!U8/3,IF($AX$7=$AL$19,'[4]4 trim 2016 BIOGROUP'!U8/3,""))))))</f>
        <v>16862.276566666667</v>
      </c>
      <c r="AY12" s="431">
        <f>IF($AY$7=$AL$13,'[4]3 trim 2016 BIOGROUP'!U8/3,IF($AY$7=$AL$14,'[4]3 trim 2016 BIOGROUP'!U8/3,IF($AY$7=$AL$15,'[4]3 trim 2016 BIOGROUP'!U8/3,IF($AY$7=$AL$16,'[4]4 trim 2016 BIOGROUP'!U8/3,IF($AY$7=$AL$18,'[4]4 trim 2016 BIOGROUP'!U8/3,IF($AY$7=$AL$19,'[4]4 trim 2016 BIOGROUP'!U8/3,""))))))</f>
        <v>16862.276566666667</v>
      </c>
      <c r="AZ12" s="431">
        <f>IF($AZ$7=$AL$13,'[4]3 trim 2016 BIOGROUP'!U8/3,IF($AZ$7=$AL$14,'[4]3 trim 2016 BIOGROUP'!U8/3,IF($AZ$7=$AL$15,'[4]3 trim 2016 BIOGROUP'!U8/3,IF($AZ$7=$AL$16,'[4]4 trim 2016 BIOGROUP'!U8/3,IF($AZ$7=$AL$18,'[4]4 trim 2016 BIOGROUP'!U8/3,IF($AZ$7=$AL$19,'[4]4 trim 2016 BIOGROUP'!U8/3,""))))))</f>
        <v>16862.276566666667</v>
      </c>
      <c r="BB12" s="511">
        <f t="shared" si="5"/>
        <v>1882381.4400000002</v>
      </c>
      <c r="BC12" s="750"/>
    </row>
    <row r="13" spans="1:55" ht="26.15" customHeight="1">
      <c r="B13" s="542">
        <v>604</v>
      </c>
      <c r="C13" s="445" t="s">
        <v>85</v>
      </c>
      <c r="D13" s="600"/>
      <c r="E13" s="443" t="s">
        <v>134</v>
      </c>
      <c r="F13" s="601"/>
      <c r="G13" s="476">
        <v>-254993.75</v>
      </c>
      <c r="H13" s="591">
        <f>G13/G7</f>
        <v>-4.1113127050895981E-2</v>
      </c>
      <c r="J13" s="497">
        <f>-SUMIF($AO$7:$AZ$7,$G$6,AO13:AZ13)</f>
        <v>0</v>
      </c>
      <c r="K13" s="530" t="str">
        <f t="shared" si="6"/>
        <v/>
      </c>
      <c r="L13" s="431"/>
      <c r="M13" s="598">
        <f>AG13/3</f>
        <v>-216976.15666666665</v>
      </c>
      <c r="N13" s="518">
        <f t="shared" si="1"/>
        <v>0.17521553481905633</v>
      </c>
      <c r="O13" s="580"/>
      <c r="P13" s="602" t="s">
        <v>58</v>
      </c>
      <c r="Q13" s="582" t="e">
        <f>+'31 dec 2016 BIOLAM'!AT10+#REF!</f>
        <v>#REF!</v>
      </c>
      <c r="R13" s="583" t="e">
        <f>Q13/Q$7</f>
        <v>#REF!</v>
      </c>
      <c r="S13" s="582" t="e">
        <f>+'31 dec 2016 BIOLAM'!AV10+#REF!</f>
        <v>#REF!</v>
      </c>
      <c r="T13" s="583" t="e">
        <f>S13/S$7</f>
        <v>#REF!</v>
      </c>
      <c r="U13" s="582" t="e">
        <f>+'31 dec 2016 BIOLAM'!AX10+#REF!</f>
        <v>#REF!</v>
      </c>
      <c r="V13" s="583" t="e">
        <f>U13/U$7</f>
        <v>#REF!</v>
      </c>
      <c r="W13" s="582" t="e">
        <f>+'31 dec 2016 BIOLAM'!AZ10+#REF!</f>
        <v>#REF!</v>
      </c>
      <c r="X13" s="583" t="e">
        <f>W13/W$7</f>
        <v>#REF!</v>
      </c>
      <c r="Y13" s="582" t="e">
        <f>+W13+U13+S13+Q13</f>
        <v>#REF!</v>
      </c>
      <c r="Z13" s="583" t="e">
        <f>Y13/Y$7</f>
        <v>#REF!</v>
      </c>
      <c r="AA13" s="584" t="e">
        <f t="shared" si="2"/>
        <v>#REF!</v>
      </c>
      <c r="AB13" s="476">
        <f>-733642.33</f>
        <v>-733642.33</v>
      </c>
      <c r="AC13" s="591">
        <f>AB13/AB7</f>
        <v>-4.1104460158956184E-2</v>
      </c>
      <c r="AD13" s="497">
        <f>-SUMIF($AO$7:$AZ$7,"&lt;="&amp;$AC$6,AO13:AZ13)</f>
        <v>0</v>
      </c>
      <c r="AE13" s="518" t="str">
        <f t="shared" si="3"/>
        <v/>
      </c>
      <c r="AG13" s="598">
        <f>-386172.23-264756.24</f>
        <v>-650928.47</v>
      </c>
      <c r="AH13" s="518">
        <f t="shared" si="4"/>
        <v>0.12707058273238531</v>
      </c>
      <c r="AJ13" s="599"/>
      <c r="AL13" s="435">
        <v>42582</v>
      </c>
      <c r="AM13" s="443" t="s">
        <v>134</v>
      </c>
      <c r="AN13" s="747"/>
      <c r="AO13" s="431">
        <f>IF($AO$7=$AL$7,'[4]1 trim 2016 BIOGROUP'!U9/3,IF($AO$7=$AL$8,'[4]1 trim 2016 BIOGROUP'!U9/3,IF($AO$7=$AL$9,'[4]1 trim 2016 BIOGROUP'!U9/3,IF($AO$7=$AL$10,'[4]2 trim 2016 BIOGROUP'!U9/3,IF($AO$7=$AL$11,'[4]2 trim 2016 BIOGROUP'!U9/3,IF($AO$7=$AL$12,'[4]2 trim 2016 BIOGROUP'!U9/3,""))))))</f>
        <v>4438.4635166666667</v>
      </c>
      <c r="AP13" s="431">
        <f>IF($AP$7=$AL$7,'[4]1 trim 2016 BIOGROUP'!U9/3,IF($AP$7=$AL$8,'[4]1 trim 2016 BIOGROUP'!U9/3,IF($AP$7=$AL$9,'[4]1 trim 2016 BIOGROUP'!U9/3,IF($AP$7=$AL$10,'[4]2 trim 2016 BIOGROUP'!U9/3,IF($AP$7=$AL$11,'[4]2 trim 2016 BIOGROUP'!U9/3,IF($AP$7=$AL$12,'[4]2 trim 2016 BIOGROUP'!U9/3,""))))))</f>
        <v>4438.4635166666667</v>
      </c>
      <c r="AQ13" s="431">
        <f>IF($AQ$7=$AL$7,'[4]1 trim 2016 BIOGROUP'!U9/3,IF($AQ$7=$AL$8,'[4]1 trim 2016 BIOGROUP'!U9/3,IF($AQ$7=$AL$9,'[4]1 trim 2016 BIOGROUP'!U9/3,IF($AQ$7=$AL$10,'[4]2 trim 2016 BIOGROUP'!U9/3,IF($AQ$7=$AL$11,'[4]2 trim 2016 BIOGROUP'!U9/3,IF($AQ$7=$AL$12,'[4]2 trim 2016 BIOGROUP'!U9/3,""))))))</f>
        <v>4438.4635166666667</v>
      </c>
      <c r="AR13" s="431">
        <f>IF($AR$7=$AL$7,'[4]1 trim 2016 BIOGROUP'!U9/3,IF($AR$7=$AL$8,'[4]1 trim 2016 BIOGROUP'!U9/3,IF($AR$7=$AL$9,'[4]1 trim 2016 BIOGROUP'!U9/3,IF($AR$7=$AL$10,'[4]2 trim 2016 BIOGROUP'!U9/3,IF($AR$7=$AL$11,'[4]2 trim 2016 BIOGROUP'!U9/3,IF($AR$7=$AL$12,'[4]2 trim 2016 BIOGROUP'!U9/3,""))))))</f>
        <v>4438.4635166666667</v>
      </c>
      <c r="AS13" s="431">
        <f>IF($AS$7=$AL$7,'[4]1 trim 2016 BIOGROUP'!U9/3,IF($AS$7=$AL$8,'[4]1 trim 2016 BIOGROUP'!U9/3,IF($AS$7=$AL$9,'[4]1 trim 2016 BIOGROUP'!U9/3,IF($AS$7=$AL$10,'[4]2 trim 2016 BIOGROUP'!U9/3,IF($AS$7=$AL$11,'[4]2 trim 2016 BIOGROUP'!U9/3,IF($AS$7=$AL$12,'[4]2 trim 2016 BIOGROUP'!U9/3,""))))))</f>
        <v>4438.4635166666667</v>
      </c>
      <c r="AT13" s="431">
        <f>IF($AT$7=$AL$7,'[4]1 trim 2016 BIOGROUP'!U9/3,IF($AT$7=$AL$8,'[4]1 trim 2016 BIOGROUP'!U9/3,IF($AT$7=$AL$9,'[4]1 trim 2016 BIOGROUP'!U9/3,IF($AT$7=$AL$10,'[4]2 trim 2016 BIOGROUP'!U9/3,IF($AT$7=$AL$11,'[4]2 trim 2016 BIOGROUP'!U9/3,IF($AT$7=$AL$12,'[4]2 trim 2016 BIOGROUP'!U9/3,""))))))</f>
        <v>4438.4635166666667</v>
      </c>
      <c r="AU13" s="431">
        <f>IF($AU$7=$AL$13,'[4]3 trim 2016 BIOGROUP'!U9/3,IF($AU$7=$AL$14,'[4]3 trim 2016 BIOGROUP'!U9/3,IF($AU$7=$AL$15,'[4]3 trim 2016 BIOGROUP'!U9/3,IF($AU$7=$AL$16,'[4]4 trim 2016 BIOGROUP'!U9/3,IF($AU$7=$AL$18,'[4]4 trim 2016 BIOGROUP'!U9/3,IF($AU$7=$AL$19,'[4]4 trim 2016 BIOGROUP'!U9/3,""))))))</f>
        <v>4438.4635166666667</v>
      </c>
      <c r="AV13" s="431">
        <f>IF($AV$7=$AL$13,'[4]3 trim 2016 BIOGROUP'!U9/3,IF($AV$7=$AL$14,'[4]3 trim 2016 BIOGROUP'!U9/3,IF($AV$7=$AL$15,'[4]3 trim 2016 BIOGROUP'!U9/3,IF($AV$7=$AL$16,'[4]4 trim 2016 BIOGROUP'!U9/3,IF($AV$7=$AL$18,'[4]4 trim 2016 BIOGROUP'!U9/3,IF($AV$7=$AL$19,'[4]4 trim 2016 BIOGROUP'!U9/3,""))))))</f>
        <v>4438.4635166666667</v>
      </c>
      <c r="AW13" s="431">
        <f>IF($AW$7=$AL$13,'[4]3 trim 2016 BIOGROUP'!U9/3,IF($AW$7=$AL$14,'[4]3 trim 2016 BIOGROUP'!U9/3,IF($AW$7=$AL$15,'[4]3 trim 2016 BIOGROUP'!U9/3,IF($AW$7=$AL$16,'[4]4 trim 2016 BIOGROUP'!U9/3,IF($AW$7=$AL$18,'[4]4 trim 2016 BIOGROUP'!U9/3,IF($AW$7=$AL$19,'[4]4 trim 2016 BIOGROUP'!U9/3,""))))))</f>
        <v>4438.4635166666667</v>
      </c>
      <c r="AX13" s="431">
        <f>IF($AX$7=$AL$13,'[4]3 trim 2016 BIOGROUP'!U9/3,IF($AX$7=$AL$14,'[4]3 trim 2016 BIOGROUP'!U9/3,IF($AX$7=$AL$15,'[4]3 trim 2016 BIOGROUP'!U9/3,IF($AX$7=$AL$16,'[4]4 trim 2016 BIOGROUP'!U9/3,IF($AX$7=$AL$18,'[4]4 trim 2016 BIOGROUP'!U9/3,IF($AX$7=$AL$19,'[4]4 trim 2016 BIOGROUP'!U9/3,""))))))</f>
        <v>4438.4635166666667</v>
      </c>
      <c r="AY13" s="431">
        <f>IF($AY$7=$AL$13,'[4]3 trim 2016 BIOGROUP'!U9/3,IF($AY$7=$AL$14,'[4]3 trim 2016 BIOGROUP'!U9/3,IF($AY$7=$AL$15,'[4]3 trim 2016 BIOGROUP'!U9/3,IF($AY$7=$AL$16,'[4]4 trim 2016 BIOGROUP'!U9/3,IF($AY$7=$AL$18,'[4]4 trim 2016 BIOGROUP'!U9/3,IF($AY$7=$AL$19,'[4]4 trim 2016 BIOGROUP'!U9/3,""))))))</f>
        <v>4438.4635166666667</v>
      </c>
      <c r="AZ13" s="431">
        <f>IF($AZ$7=$AL$13,'[4]3 trim 2016 BIOGROUP'!U9/3,IF($AZ$7=$AL$14,'[4]3 trim 2016 BIOGROUP'!U9/3,IF($AZ$7=$AL$15,'[4]3 trim 2016 BIOGROUP'!U9/3,IF($AZ$7=$AL$16,'[4]4 trim 2016 BIOGROUP'!U9/3,IF($AZ$7=$AL$18,'[4]4 trim 2016 BIOGROUP'!U9/3,IF($AZ$7=$AL$19,'[4]4 trim 2016 BIOGROUP'!U9/3,""))))))</f>
        <v>4438.4635166666667</v>
      </c>
      <c r="BB13" s="511">
        <f t="shared" si="5"/>
        <v>733642.33</v>
      </c>
      <c r="BC13" s="750"/>
    </row>
    <row r="14" spans="1:55" ht="36.75" customHeight="1">
      <c r="C14" s="603" t="s">
        <v>95</v>
      </c>
      <c r="D14" s="604"/>
      <c r="E14" s="444" t="s">
        <v>116</v>
      </c>
      <c r="F14" s="577"/>
      <c r="G14" s="473">
        <f>+G7+G11</f>
        <v>5248989.2300000004</v>
      </c>
      <c r="H14" s="605">
        <f>+G14/G7</f>
        <v>0.84630451178420918</v>
      </c>
      <c r="J14" s="498">
        <f>+J7+J11</f>
        <v>0</v>
      </c>
      <c r="K14" s="531" t="str">
        <f t="shared" si="6"/>
        <v/>
      </c>
      <c r="L14" s="431"/>
      <c r="M14" s="498">
        <f>+M7+M11</f>
        <v>4140044.4466666668</v>
      </c>
      <c r="N14" s="516">
        <f t="shared" si="1"/>
        <v>0.26785818307486875</v>
      </c>
      <c r="O14" s="592"/>
      <c r="P14" s="606"/>
      <c r="Q14" s="607"/>
      <c r="R14" s="608"/>
      <c r="S14" s="607"/>
      <c r="T14" s="608"/>
      <c r="U14" s="607"/>
      <c r="V14" s="608"/>
      <c r="W14" s="607"/>
      <c r="X14" s="608"/>
      <c r="Y14" s="607"/>
      <c r="Z14" s="608"/>
      <c r="AA14" s="609"/>
      <c r="AB14" s="477">
        <f>+AB7+AB11</f>
        <v>15232217.690000001</v>
      </c>
      <c r="AC14" s="605">
        <f>AB14/AB7</f>
        <v>0.85342960672832591</v>
      </c>
      <c r="AD14" s="498">
        <f>AD7+AD11</f>
        <v>0</v>
      </c>
      <c r="AE14" s="519" t="str">
        <f t="shared" si="3"/>
        <v/>
      </c>
      <c r="AG14" s="498">
        <f>AG7+AG11</f>
        <v>12420133.340000002</v>
      </c>
      <c r="AH14" s="520">
        <f t="shared" si="4"/>
        <v>0.22641337842513043</v>
      </c>
      <c r="AJ14" s="599"/>
      <c r="AL14" s="435">
        <v>42613</v>
      </c>
      <c r="AM14" s="444" t="s">
        <v>116</v>
      </c>
      <c r="AN14" s="747"/>
      <c r="AO14" s="741">
        <f>AO8+AO9+AO10+AO11</f>
        <v>58328.731016666672</v>
      </c>
      <c r="AP14" s="741">
        <f t="shared" ref="AP14:AZ14" si="9">AP8+AP9+AP10+AP11</f>
        <v>58328.731016666672</v>
      </c>
      <c r="AQ14" s="741">
        <f t="shared" si="9"/>
        <v>58328.731016666672</v>
      </c>
      <c r="AR14" s="741">
        <f t="shared" si="9"/>
        <v>79961.731016666672</v>
      </c>
      <c r="AS14" s="741">
        <f t="shared" si="9"/>
        <v>79961.731016666672</v>
      </c>
      <c r="AT14" s="741">
        <f t="shared" si="9"/>
        <v>79961.731016666672</v>
      </c>
      <c r="AU14" s="741">
        <f t="shared" si="9"/>
        <v>67802.064350000001</v>
      </c>
      <c r="AV14" s="741">
        <f t="shared" si="9"/>
        <v>67802.064350000001</v>
      </c>
      <c r="AW14" s="741">
        <f t="shared" si="9"/>
        <v>67802.064350000001</v>
      </c>
      <c r="AX14" s="741">
        <f t="shared" si="9"/>
        <v>75440.064350000001</v>
      </c>
      <c r="AY14" s="741">
        <f t="shared" si="9"/>
        <v>75440.064350000001</v>
      </c>
      <c r="AZ14" s="741">
        <f t="shared" si="9"/>
        <v>75440.064350000001</v>
      </c>
      <c r="BB14" s="748">
        <f t="shared" si="5"/>
        <v>15232217.690000001</v>
      </c>
      <c r="BC14" s="752"/>
    </row>
    <row r="15" spans="1:55" ht="26.15" customHeight="1">
      <c r="C15" s="445" t="s">
        <v>142</v>
      </c>
      <c r="D15" s="610"/>
      <c r="E15" s="445" t="s">
        <v>143</v>
      </c>
      <c r="F15" s="577"/>
      <c r="G15" s="476">
        <f>SUM(G16:G20)</f>
        <v>-873766.52</v>
      </c>
      <c r="H15" s="591">
        <f>G15/G7</f>
        <v>-0.14087903703357138</v>
      </c>
      <c r="J15" s="496">
        <f>SUM(J16:J20)</f>
        <v>0</v>
      </c>
      <c r="K15" s="530" t="str">
        <f t="shared" si="6"/>
        <v/>
      </c>
      <c r="L15" s="431"/>
      <c r="M15" s="496">
        <f>SUM(M16:M20)</f>
        <v>-861136.13666666672</v>
      </c>
      <c r="N15" s="518">
        <f t="shared" si="1"/>
        <v>1.4667115680714186E-2</v>
      </c>
      <c r="O15" s="580"/>
      <c r="P15" s="611" t="s">
        <v>5</v>
      </c>
      <c r="Q15" s="594" t="e">
        <f t="shared" ref="Q15:Z15" si="10">SUM(Q16:Q20)</f>
        <v>#REF!</v>
      </c>
      <c r="R15" s="595" t="e">
        <f t="shared" si="10"/>
        <v>#REF!</v>
      </c>
      <c r="S15" s="594" t="e">
        <f t="shared" si="10"/>
        <v>#REF!</v>
      </c>
      <c r="T15" s="595" t="e">
        <f t="shared" si="10"/>
        <v>#REF!</v>
      </c>
      <c r="U15" s="594" t="e">
        <f t="shared" si="10"/>
        <v>#REF!</v>
      </c>
      <c r="V15" s="595" t="e">
        <f t="shared" si="10"/>
        <v>#REF!</v>
      </c>
      <c r="W15" s="594" t="e">
        <f t="shared" si="10"/>
        <v>#REF!</v>
      </c>
      <c r="X15" s="595" t="e">
        <f t="shared" si="10"/>
        <v>#REF!</v>
      </c>
      <c r="Y15" s="594" t="e">
        <f t="shared" si="10"/>
        <v>#REF!</v>
      </c>
      <c r="Z15" s="595" t="e">
        <f t="shared" si="10"/>
        <v>#REF!</v>
      </c>
      <c r="AA15" s="584" t="e">
        <f>+G15-Y15</f>
        <v>#REF!</v>
      </c>
      <c r="AB15" s="476">
        <f>SUM(AB16:AB20)</f>
        <v>-2747655.05</v>
      </c>
      <c r="AC15" s="591">
        <f>AB15/AB7</f>
        <v>-0.15394542124263708</v>
      </c>
      <c r="AD15" s="496">
        <f>SUM(AD16:AD20)</f>
        <v>0</v>
      </c>
      <c r="AE15" s="518" t="str">
        <f t="shared" si="3"/>
        <v/>
      </c>
      <c r="AG15" s="496">
        <f>SUM(AG16:AG20)</f>
        <v>-2583408.41</v>
      </c>
      <c r="AH15" s="518">
        <f t="shared" si="4"/>
        <v>6.3577496831017766E-2</v>
      </c>
      <c r="AJ15" s="599"/>
      <c r="AL15" s="435">
        <v>42643</v>
      </c>
      <c r="AM15" s="445" t="s">
        <v>143</v>
      </c>
      <c r="AN15" s="747"/>
      <c r="AO15" s="741">
        <f>-AO16-AO19</f>
        <v>-18078.562333333335</v>
      </c>
      <c r="AP15" s="741">
        <f t="shared" ref="AP15:AZ15" si="11">-AP16-AP19</f>
        <v>-18078.562333333335</v>
      </c>
      <c r="AQ15" s="741">
        <f t="shared" si="11"/>
        <v>-18078.562333333335</v>
      </c>
      <c r="AR15" s="741">
        <f t="shared" si="11"/>
        <v>-18078.562333333335</v>
      </c>
      <c r="AS15" s="741">
        <f t="shared" si="11"/>
        <v>-18078.562333333335</v>
      </c>
      <c r="AT15" s="741">
        <f t="shared" si="11"/>
        <v>-18078.562333333335</v>
      </c>
      <c r="AU15" s="741">
        <f t="shared" si="11"/>
        <v>-18078.562333333335</v>
      </c>
      <c r="AV15" s="741">
        <f t="shared" si="11"/>
        <v>-18078.562333333335</v>
      </c>
      <c r="AW15" s="741">
        <f t="shared" si="11"/>
        <v>-18078.562333333335</v>
      </c>
      <c r="AX15" s="741">
        <f t="shared" si="11"/>
        <v>-18078.562333333335</v>
      </c>
      <c r="AY15" s="741">
        <f t="shared" si="11"/>
        <v>-18078.562333333335</v>
      </c>
      <c r="AZ15" s="741">
        <f t="shared" si="11"/>
        <v>-18078.562333333335</v>
      </c>
      <c r="BB15" s="748">
        <f t="shared" si="5"/>
        <v>2747655.05</v>
      </c>
      <c r="BC15" s="752"/>
    </row>
    <row r="16" spans="1:55" ht="26.15" customHeight="1">
      <c r="B16" s="542">
        <v>628</v>
      </c>
      <c r="C16" s="446" t="s">
        <v>86</v>
      </c>
      <c r="D16" s="610"/>
      <c r="E16" s="446" t="s">
        <v>137</v>
      </c>
      <c r="F16" s="577"/>
      <c r="G16" s="475">
        <f>-1128760.27-G13</f>
        <v>-873766.52</v>
      </c>
      <c r="H16" s="578">
        <f>G16/G7</f>
        <v>-0.14087903703357138</v>
      </c>
      <c r="J16" s="495">
        <f>-SUMIF($AO$7:$AZ$7,$G$6,AO16:AZ16)</f>
        <v>0</v>
      </c>
      <c r="K16" s="532" t="str">
        <f t="shared" si="6"/>
        <v/>
      </c>
      <c r="L16" s="431"/>
      <c r="M16" s="579">
        <f>AG16/3</f>
        <v>-851656.01666666672</v>
      </c>
      <c r="N16" s="517">
        <f t="shared" si="1"/>
        <v>2.5961776704017839E-2</v>
      </c>
      <c r="O16" s="580"/>
      <c r="P16" s="612" t="s">
        <v>6</v>
      </c>
      <c r="Q16" s="582" t="e">
        <f>+#REF!+'31 dec 2016 BIOLAM'!AT13+'31 dec 2016 BIOLAM'!AT14+'31 dec 2016 BIOLAM'!AT15</f>
        <v>#REF!</v>
      </c>
      <c r="R16" s="583" t="e">
        <f>Q16/Q$7</f>
        <v>#REF!</v>
      </c>
      <c r="S16" s="582" t="e">
        <f>+'31 dec 2016 BIOLAM'!AV13+#REF!+'31 dec 2016 BIOLAM'!AV14+'31 dec 2016 BIOLAM'!AV15</f>
        <v>#REF!</v>
      </c>
      <c r="T16" s="583" t="e">
        <f>S16/S$7</f>
        <v>#REF!</v>
      </c>
      <c r="U16" s="582" t="e">
        <f>+'31 dec 2016 BIOLAM'!AX13+#REF!+'31 dec 2016 BIOLAM'!AX14+'31 dec 2016 BIOLAM'!AX15</f>
        <v>#REF!</v>
      </c>
      <c r="V16" s="583" t="e">
        <f>U16/U$7</f>
        <v>#REF!</v>
      </c>
      <c r="W16" s="582" t="e">
        <f>+'31 dec 2016 BIOLAM'!AZ13+#REF!+'31 dec 2016 BIOLAM'!AZ14+'31 dec 2016 BIOLAM'!AZ15</f>
        <v>#REF!</v>
      </c>
      <c r="X16" s="583" t="e">
        <f>W16/W$7</f>
        <v>#REF!</v>
      </c>
      <c r="Y16" s="582" t="e">
        <f>+W16+U16+S16+Q16</f>
        <v>#REF!</v>
      </c>
      <c r="Z16" s="583" t="e">
        <f>Y16/Y$7</f>
        <v>#REF!</v>
      </c>
      <c r="AA16" s="584" t="e">
        <f>+G16-Y16</f>
        <v>#REF!</v>
      </c>
      <c r="AB16" s="475">
        <f>-3481297.38-AB13-AB18</f>
        <v>-2710746.52</v>
      </c>
      <c r="AC16" s="578">
        <f>AB16/AB7</f>
        <v>-0.1518775127552538</v>
      </c>
      <c r="AD16" s="495">
        <f>-SUMIF($AO$7:$AZ$7,"&lt;="&amp;$AC$6,AO16:AZ16)</f>
        <v>0</v>
      </c>
      <c r="AE16" s="517" t="str">
        <f t="shared" si="3"/>
        <v/>
      </c>
      <c r="AG16" s="579">
        <f>-1432637.94-1150770.47-AG18</f>
        <v>-2554968.0500000003</v>
      </c>
      <c r="AH16" s="517">
        <f t="shared" si="4"/>
        <v>6.0970809400140921E-2</v>
      </c>
      <c r="AL16" s="435">
        <v>42674</v>
      </c>
      <c r="AM16" s="446" t="s">
        <v>137</v>
      </c>
      <c r="AN16" s="747"/>
      <c r="AO16" s="431">
        <f>IF($AO$7=$AL$7,'[4]1 trim 2016 BIOGROUP'!$U$13/3,IF($AO$7=$AL$8,'[4]1 trim 2016 BIOGROUP'!$U$13/3,IF($AO$7=$AL$9,'[4]1 trim 2016 BIOGROUP'!$U$13/3,IF($AO$7=$AL$10,'[4]2 trim 2016 BIOGROUP'!$U$13/3,IF($AO$7=$AL$11,'[4]2 trim 2016 BIOGROUP'!$U$13/3,IF($AO$7=$AL$12,'[4]2 trim 2016 BIOGROUP'!$U$13/3,""))))))</f>
        <v>18078.562333333335</v>
      </c>
      <c r="AP16" s="431">
        <f>IF($AP$7=$AL$7,'[4]1 trim 2016 BIOGROUP'!$U$13/3,IF($AP$7=$AL$8,'[4]1 trim 2016 BIOGROUP'!$U$13/3,IF($AP$7=$AL$9,'[4]1 trim 2016 BIOGROUP'!$U$13/3,IF($AP$7=$AL$10,'[4]2 trim 2016 BIOGROUP'!$U$13/3,IF($AP$7=$AL$11,'[4]2 trim 2016 BIOGROUP'!$U$13/3,IF($AP$7=$AL$12,'[4]2 trim 2016 BIOGROUP'!$U$13/3,""))))))</f>
        <v>18078.562333333335</v>
      </c>
      <c r="AQ16" s="431">
        <f>IF($AQ$7=$AL$7,'[4]1 trim 2016 BIOGROUP'!$U$13/3,IF($AQ$7=$AL$8,'[4]1 trim 2016 BIOGROUP'!$U$13/3,IF($AQ$7=$AL$9,'[4]1 trim 2016 BIOGROUP'!$U$13/3,IF($AQ$7=$AL$10,'[4]2 trim 2016 BIOGROUP'!$U$13/3,IF($AQ$7=$AL$11,'[4]2 trim 2016 BIOGROUP'!$U$13/3,IF($AQ$7=$AL$12,'[4]2 trim 2016 BIOGROUP'!$U$13/3,""))))))</f>
        <v>18078.562333333335</v>
      </c>
      <c r="AR16" s="431">
        <f>IF($AR$7=$AL$7,'[4]1 trim 2016 BIOGROUP'!$U$13/3,IF($AR$7=$AL$8,'[4]1 trim 2016 BIOGROUP'!$U$13/3,IF($AR$7=$AL$9,'[4]1 trim 2016 BIOGROUP'!$U$13/3,IF($AR$7=$AL$10,'[4]2 trim 2016 BIOGROUP'!$U$13/3,IF($AR$7=$AL$11,'[4]2 trim 2016 BIOGROUP'!$U$13/3,IF($AR$7=$AL$12,'[4]2 trim 2016 BIOGROUP'!$U$13/3,""))))))</f>
        <v>18078.562333333335</v>
      </c>
      <c r="AS16" s="431">
        <f>IF($AS$7=$AL$7,'[4]1 trim 2016 BIOGROUP'!$U$13/3,IF($AS$7=$AL$8,'[4]1 trim 2016 BIOGROUP'!$U$13/3,IF($AS$7=$AL$9,'[4]1 trim 2016 BIOGROUP'!$U$13/3,IF($AS$7=$AL$10,'[4]2 trim 2016 BIOGROUP'!$U$13/3,IF($AS$7=$AL$11,'[4]2 trim 2016 BIOGROUP'!$U$13/3,IF($AS$7=$AL$12,'[4]2 trim 2016 BIOGROUP'!$U$13/3,""))))))</f>
        <v>18078.562333333335</v>
      </c>
      <c r="AT16" s="431">
        <f>IF($AT$7=$AL$7,'[4]1 trim 2016 BIOGROUP'!$U$13/3,IF($AT$7=$AL$8,'[4]1 trim 2016 BIOGROUP'!$U$13/3,IF($AT$7=$AL$9,'[4]1 trim 2016 BIOGROUP'!$U$13/3,IF($AT$7=$AL$10,'[4]2 trim 2016 BIOGROUP'!$U$13/3,IF($AT$7=$AL$11,'[4]2 trim 2016 BIOGROUP'!$U$13/3,IF($AT$7=$AL$12,'[4]2 trim 2016 BIOGROUP'!$U$13/3,""))))))</f>
        <v>18078.562333333335</v>
      </c>
      <c r="AU16" s="431">
        <f>IF($AU$7=$AL$13,'[4]3 trim 2016 BIOGROUP'!$U$13/3,IF($AU$7=$AL$14,'[4]3 trim 2016 BIOGROUP'!$U$13/3,IF($AU$7=$AL$15,'[4]3 trim 2016 BIOGROUP'!$U$13/3,IF($AU$7=$AL$16,'[4]4 trim 2016 BIOGROUP'!$U$13/3,IF($AU$7=$AL$18,'[4]4 trim 2016 BIOGROUP'!$U$13/3,IF($AU$7=$AL$19,'[4]4 trim 2016 BIOGROUP'!$U$13/3,""))))))</f>
        <v>18078.562333333335</v>
      </c>
      <c r="AV16" s="431">
        <f>IF($AV$7=$AL$13,'[4]3 trim 2016 BIOGROUP'!$U$13/3,IF($AV$7=$AL$14,'[4]3 trim 2016 BIOGROUP'!$U$13/3,IF($AV$7=$AL$15,'[4]3 trim 2016 BIOGROUP'!$U$13/3,IF($AV$7=$AL$16,'[4]4 trim 2016 BIOGROUP'!$U$13/3,IF($AV$7=$AL$18,'[4]4 trim 2016 BIOGROUP'!$U$13/3,IF($AV$7=$AL$19,'[4]4 trim 2016 BIOGROUP'!$U$13/3,""))))))</f>
        <v>18078.562333333335</v>
      </c>
      <c r="AW16" s="431">
        <f>IF($AW$7=$AL$13,'[4]3 trim 2016 BIOGROUP'!$U$13/3,IF($AW$7=$AL$14,'[4]3 trim 2016 BIOGROUP'!$U$13/3,IF($AW$7=$AL$15,'[4]3 trim 2016 BIOGROUP'!$U$13/3,IF($AW$7=$AL$16,'[4]4 trim 2016 BIOGROUP'!$U$13/3,IF($AW$7=$AL$18,'[4]4 trim 2016 BIOGROUP'!$U$13/3,IF($AW$7=$AL$19,'[4]4 trim 2016 BIOGROUP'!$U$13/3,""))))))</f>
        <v>18078.562333333335</v>
      </c>
      <c r="AX16" s="431">
        <f>IF($AX$7=$AL$13,'[4]3 trim 2016 BIOGROUP'!$U$13/3,IF($AX$7=$AL$14,'[4]3 trim 2016 BIOGROUP'!$U$13/3,IF($AX$7=$AL$15,'[4]3 trim 2016 BIOGROUP'!$U$13/3,IF($AX$7=$AL$16,'[4]4 trim 2016 BIOGROUP'!$U$13/3,IF($AX$7=$AL$18,'[4]4 trim 2016 BIOGROUP'!$U$13/3,IF($AX$7=$AL$19,'[4]4 trim 2016 BIOGROUP'!$U$13/3,""))))))</f>
        <v>18078.562333333335</v>
      </c>
      <c r="AY16" s="431">
        <f>IF($AY$7=$AL$13,'[4]3 trim 2016 BIOGROUP'!$U$13/3,IF($AY$7=$AL$14,'[4]3 trim 2016 BIOGROUP'!$U$13/3,IF($AY$7=$AL$15,'[4]3 trim 2016 BIOGROUP'!$U$13/3,IF($AY$7=$AL$16,'[4]4 trim 2016 BIOGROUP'!$U$13/3,IF($AY$7=$AL$18,'[4]4 trim 2016 BIOGROUP'!$U$13/3,IF($AY$7=$AL$19,'[4]4 trim 2016 BIOGROUP'!$U$13/3,""))))))</f>
        <v>18078.562333333335</v>
      </c>
      <c r="AZ16" s="431">
        <f>IF($AZ$7=$AL$13,'[4]3 trim 2016 BIOGROUP'!$U$13/3,IF($AZ$7=$AL$14,'[4]3 trim 2016 BIOGROUP'!$U$13/3,IF($AZ$7=$AL$15,'[4]3 trim 2016 BIOGROUP'!$U$13/3,IF($AZ$7=$AL$16,'[4]4 trim 2016 BIOGROUP'!$U$13/3,IF($AZ$7=$AL$18,'[4]4 trim 2016 BIOGROUP'!$U$13/3,IF($AZ$7=$AL$19,'[4]4 trim 2016 BIOGROUP'!$U$13/3,""))))))</f>
        <v>18078.562333333335</v>
      </c>
      <c r="BB16" s="511">
        <f t="shared" si="5"/>
        <v>2710746.52</v>
      </c>
      <c r="BC16" s="750"/>
    </row>
    <row r="17" spans="1:55" ht="26.15" hidden="1" customHeight="1">
      <c r="C17" s="446" t="s">
        <v>136</v>
      </c>
      <c r="D17" s="610"/>
      <c r="E17" s="446" t="s">
        <v>123</v>
      </c>
      <c r="F17" s="577"/>
      <c r="G17" s="475"/>
      <c r="H17" s="578"/>
      <c r="J17" s="495"/>
      <c r="K17" s="532" t="str">
        <f t="shared" si="6"/>
        <v/>
      </c>
      <c r="L17" s="431"/>
      <c r="M17" s="579"/>
      <c r="N17" s="517" t="str">
        <f t="shared" si="1"/>
        <v/>
      </c>
      <c r="O17" s="580"/>
      <c r="P17" s="612"/>
      <c r="Q17" s="582"/>
      <c r="R17" s="583"/>
      <c r="S17" s="582"/>
      <c r="T17" s="583"/>
      <c r="U17" s="582"/>
      <c r="V17" s="583"/>
      <c r="W17" s="582"/>
      <c r="X17" s="583"/>
      <c r="Y17" s="582"/>
      <c r="Z17" s="583"/>
      <c r="AA17" s="584"/>
      <c r="AB17" s="475"/>
      <c r="AC17" s="578"/>
      <c r="AD17" s="495"/>
      <c r="AE17" s="517" t="str">
        <f t="shared" si="3"/>
        <v/>
      </c>
      <c r="AG17" s="579"/>
      <c r="AH17" s="517" t="str">
        <f t="shared" si="4"/>
        <v/>
      </c>
      <c r="AL17" s="435"/>
      <c r="AM17" s="446" t="s">
        <v>123</v>
      </c>
      <c r="AN17" s="747"/>
      <c r="AO17" s="431">
        <f>IF($AO$7=$AL$7,'[4]1 trim 2016 BIOGROUP'!$U$13/3,IF($AO$7=$AL$8,'[4]1 trim 2016 BIOGROUP'!$U$13/3,IF($AO$7=$AL$9,'[4]1 trim 2016 BIOGROUP'!$U$13/3,IF($AO$7=$AL$10,'[4]2 trim 2016 BIOGROUP'!$U$13/3,IF($AO$7=$AL$11,'[4]2 trim 2016 BIOGROUP'!$U$13/3,IF($AO$7=$AL$12,'[4]2 trim 2016 BIOGROUP'!$U$13/3,""))))))</f>
        <v>18078.562333333335</v>
      </c>
      <c r="AP17" s="431">
        <f>IF($AP$7=$AL$7,'[4]1 trim 2016 BIOGROUP'!$U$13/3,IF($AP$7=$AL$8,'[4]1 trim 2016 BIOGROUP'!$U$13/3,IF($AP$7=$AL$9,'[4]1 trim 2016 BIOGROUP'!$U$13/3,IF($AP$7=$AL$10,'[4]2 trim 2016 BIOGROUP'!$U$13/3,IF($AP$7=$AL$11,'[4]2 trim 2016 BIOGROUP'!$U$13/3,IF($AP$7=$AL$12,'[4]2 trim 2016 BIOGROUP'!$U$13/3,""))))))</f>
        <v>18078.562333333335</v>
      </c>
      <c r="AQ17" s="431">
        <f>IF($AQ$7=$AL$7,'[4]1 trim 2016 BIOGROUP'!$U$13/3,IF($AQ$7=$AL$8,'[4]1 trim 2016 BIOGROUP'!$U$13/3,IF($AQ$7=$AL$9,'[4]1 trim 2016 BIOGROUP'!$U$13/3,IF($AQ$7=$AL$10,'[4]2 trim 2016 BIOGROUP'!$U$13/3,IF($AQ$7=$AL$11,'[4]2 trim 2016 BIOGROUP'!$U$13/3,IF($AQ$7=$AL$12,'[4]2 trim 2016 BIOGROUP'!$U$13/3,""))))))</f>
        <v>18078.562333333335</v>
      </c>
      <c r="AR17" s="431">
        <f>IF($AR$7=$AL$7,'[4]1 trim 2016 BIOGROUP'!$U$13/3,IF($AR$7=$AL$8,'[4]1 trim 2016 BIOGROUP'!$U$13/3,IF($AR$7=$AL$9,'[4]1 trim 2016 BIOGROUP'!$U$13/3,IF($AR$7=$AL$10,'[4]2 trim 2016 BIOGROUP'!$U$13/3,IF($AR$7=$AL$11,'[4]2 trim 2016 BIOGROUP'!$U$13/3,IF($AR$7=$AL$12,'[4]2 trim 2016 BIOGROUP'!$U$13/3,""))))))</f>
        <v>18078.562333333335</v>
      </c>
      <c r="AS17" s="431">
        <f>IF($AS$7=$AL$7,'[4]1 trim 2016 BIOGROUP'!$U$13/3,IF($AS$7=$AL$8,'[4]1 trim 2016 BIOGROUP'!$U$13/3,IF($AS$7=$AL$9,'[4]1 trim 2016 BIOGROUP'!$U$13/3,IF($AS$7=$AL$10,'[4]2 trim 2016 BIOGROUP'!$U$13/3,IF($AS$7=$AL$11,'[4]2 trim 2016 BIOGROUP'!$U$13/3,IF($AS$7=$AL$12,'[4]2 trim 2016 BIOGROUP'!$U$13/3,""))))))</f>
        <v>18078.562333333335</v>
      </c>
      <c r="AT17" s="431">
        <f>IF($AT$7=$AL$7,'[4]1 trim 2016 BIOGROUP'!$U$13/3,IF($AT$7=$AL$8,'[4]1 trim 2016 BIOGROUP'!$U$13/3,IF($AT$7=$AL$9,'[4]1 trim 2016 BIOGROUP'!$U$13/3,IF($AT$7=$AL$10,'[4]2 trim 2016 BIOGROUP'!$U$13/3,IF($AT$7=$AL$11,'[4]2 trim 2016 BIOGROUP'!$U$13/3,IF($AT$7=$AL$12,'[4]2 trim 2016 BIOGROUP'!$U$13/3,""))))))</f>
        <v>18078.562333333335</v>
      </c>
      <c r="AU17" s="431">
        <f>IF($AU$7=$AL$13,'[4]3 trim 2016 BIOGROUP'!$U$13/3,IF($AU$7=$AL$14,'[4]3 trim 2016 BIOGROUP'!$U$13/3,IF($AU$7=$AL$15,'[4]3 trim 2016 BIOGROUP'!$U$13/3,IF($AU$7=$AL$16,'[4]4 trim 2016 BIOGROUP'!$U$13/3,IF($AU$7=$AL$18,'[4]4 trim 2016 BIOGROUP'!$U$13/3,IF($AU$7=$AL$19,'[4]4 trim 2016 BIOGROUP'!$U$13/3,""))))))</f>
        <v>18078.562333333335</v>
      </c>
      <c r="AV17" s="431">
        <f>IF($AV$7=$AL$13,'[4]3 trim 2016 BIOGROUP'!$U$13/3,IF($AV$7=$AL$14,'[4]3 trim 2016 BIOGROUP'!$U$13/3,IF($AV$7=$AL$15,'[4]3 trim 2016 BIOGROUP'!$U$13/3,IF($AV$7=$AL$16,'[4]4 trim 2016 BIOGROUP'!$U$13/3,IF($AV$7=$AL$18,'[4]4 trim 2016 BIOGROUP'!$U$13/3,IF($AV$7=$AL$19,'[4]4 trim 2016 BIOGROUP'!$U$13/3,""))))))</f>
        <v>18078.562333333335</v>
      </c>
      <c r="AW17" s="431">
        <f>IF($AW$7=$AL$13,'[4]3 trim 2016 BIOGROUP'!$U$13/3,IF($AW$7=$AL$14,'[4]3 trim 2016 BIOGROUP'!$U$13/3,IF($AW$7=$AL$15,'[4]3 trim 2016 BIOGROUP'!$U$13/3,IF($AW$7=$AL$16,'[4]4 trim 2016 BIOGROUP'!$U$13/3,IF($AW$7=$AL$18,'[4]4 trim 2016 BIOGROUP'!$U$13/3,IF($AW$7=$AL$19,'[4]4 trim 2016 BIOGROUP'!$U$13/3,""))))))</f>
        <v>18078.562333333335</v>
      </c>
      <c r="AX17" s="431">
        <f>IF($AX$7=$AL$13,'[4]3 trim 2016 BIOGROUP'!$U$13/3,IF($AX$7=$AL$14,'[4]3 trim 2016 BIOGROUP'!$U$13/3,IF($AX$7=$AL$15,'[4]3 trim 2016 BIOGROUP'!$U$13/3,IF($AX$7=$AL$16,'[4]4 trim 2016 BIOGROUP'!$U$13/3,IF($AX$7=$AL$18,'[4]4 trim 2016 BIOGROUP'!$U$13/3,IF($AX$7=$AL$19,'[4]4 trim 2016 BIOGROUP'!$U$13/3,""))))))</f>
        <v>18078.562333333335</v>
      </c>
      <c r="AY17" s="431">
        <f>IF($AY$7=$AL$13,'[4]3 trim 2016 BIOGROUP'!$U$13/3,IF($AY$7=$AL$14,'[4]3 trim 2016 BIOGROUP'!$U$13/3,IF($AY$7=$AL$15,'[4]3 trim 2016 BIOGROUP'!$U$13/3,IF($AY$7=$AL$16,'[4]4 trim 2016 BIOGROUP'!$U$13/3,IF($AY$7=$AL$18,'[4]4 trim 2016 BIOGROUP'!$U$13/3,IF($AY$7=$AL$19,'[4]4 trim 2016 BIOGROUP'!$U$13/3,""))))))</f>
        <v>18078.562333333335</v>
      </c>
      <c r="AZ17" s="431">
        <f>IF($AZ$7=$AL$13,'[4]3 trim 2016 BIOGROUP'!$U$13/3,IF($AZ$7=$AL$14,'[4]3 trim 2016 BIOGROUP'!$U$13/3,IF($AZ$7=$AL$15,'[4]3 trim 2016 BIOGROUP'!$U$13/3,IF($AZ$7=$AL$16,'[4]4 trim 2016 BIOGROUP'!$U$13/3,IF($AZ$7=$AL$18,'[4]4 trim 2016 BIOGROUP'!$U$13/3,IF($AZ$7=$AL$19,'[4]4 trim 2016 BIOGROUP'!$U$13/3,""))))))</f>
        <v>18078.562333333335</v>
      </c>
      <c r="BB17" s="511">
        <f t="shared" si="5"/>
        <v>0</v>
      </c>
      <c r="BC17" s="750"/>
    </row>
    <row r="18" spans="1:55" ht="20.25" customHeight="1">
      <c r="C18" s="446" t="s">
        <v>156</v>
      </c>
      <c r="D18" s="610"/>
      <c r="E18" s="446" t="s">
        <v>155</v>
      </c>
      <c r="F18" s="577"/>
      <c r="G18" s="475">
        <v>0</v>
      </c>
      <c r="H18" s="578">
        <f>G18/G7</f>
        <v>0</v>
      </c>
      <c r="J18" s="499">
        <v>0</v>
      </c>
      <c r="K18" s="532" t="str">
        <f t="shared" si="6"/>
        <v/>
      </c>
      <c r="L18" s="431"/>
      <c r="M18" s="579">
        <f>AG18/3</f>
        <v>-9480.119999999999</v>
      </c>
      <c r="N18" s="517">
        <f t="shared" si="1"/>
        <v>-1</v>
      </c>
      <c r="O18" s="580"/>
      <c r="P18" s="612"/>
      <c r="Q18" s="582"/>
      <c r="R18" s="583"/>
      <c r="S18" s="582"/>
      <c r="T18" s="583"/>
      <c r="U18" s="582"/>
      <c r="V18" s="583"/>
      <c r="W18" s="582"/>
      <c r="X18" s="583"/>
      <c r="Y18" s="582"/>
      <c r="Z18" s="583"/>
      <c r="AA18" s="584"/>
      <c r="AB18" s="475">
        <f>-31988.96-4919.57</f>
        <v>-36908.53</v>
      </c>
      <c r="AC18" s="578">
        <f>AB18/AB7</f>
        <v>-2.0679084873832716E-3</v>
      </c>
      <c r="AD18" s="499">
        <v>0</v>
      </c>
      <c r="AE18" s="517" t="str">
        <f t="shared" si="3"/>
        <v/>
      </c>
      <c r="AG18" s="579">
        <f>-16844.51-3229.36-1241.57-5977.71-1147.21</f>
        <v>-28440.359999999997</v>
      </c>
      <c r="AH18" s="517">
        <f t="shared" si="4"/>
        <v>0.29775185686819727</v>
      </c>
      <c r="AL18" s="435">
        <v>42704</v>
      </c>
      <c r="AM18" s="446" t="s">
        <v>155</v>
      </c>
      <c r="AN18" s="747"/>
      <c r="BB18" s="511">
        <f t="shared" si="5"/>
        <v>36908.53</v>
      </c>
      <c r="BC18" s="750"/>
    </row>
    <row r="19" spans="1:55" ht="26.15" customHeight="1">
      <c r="C19" s="446" t="s">
        <v>60</v>
      </c>
      <c r="D19" s="613"/>
      <c r="E19" s="446" t="s">
        <v>60</v>
      </c>
      <c r="F19" s="577"/>
      <c r="G19" s="475">
        <v>0</v>
      </c>
      <c r="H19" s="578">
        <f>G19/G7</f>
        <v>0</v>
      </c>
      <c r="J19" s="499">
        <v>0</v>
      </c>
      <c r="K19" s="532" t="str">
        <f t="shared" si="6"/>
        <v/>
      </c>
      <c r="L19" s="431"/>
      <c r="M19" s="579">
        <v>0</v>
      </c>
      <c r="N19" s="517" t="str">
        <f t="shared" si="1"/>
        <v/>
      </c>
      <c r="O19" s="580"/>
      <c r="P19" s="614" t="s">
        <v>60</v>
      </c>
      <c r="Q19" s="582" t="e">
        <f>+#REF!</f>
        <v>#REF!</v>
      </c>
      <c r="R19" s="583" t="e">
        <f>Q19/Q$7</f>
        <v>#REF!</v>
      </c>
      <c r="S19" s="582" t="e">
        <f>+#REF!</f>
        <v>#REF!</v>
      </c>
      <c r="T19" s="583" t="e">
        <f>S19/S$7</f>
        <v>#REF!</v>
      </c>
      <c r="U19" s="582" t="e">
        <f>+#REF!</f>
        <v>#REF!</v>
      </c>
      <c r="V19" s="583" t="e">
        <f>U19/U$7</f>
        <v>#REF!</v>
      </c>
      <c r="W19" s="582" t="e">
        <f>+#REF!</f>
        <v>#REF!</v>
      </c>
      <c r="X19" s="583" t="e">
        <f>W19/W$7</f>
        <v>#REF!</v>
      </c>
      <c r="Y19" s="582" t="e">
        <f>+W19+U19+S19+Q19</f>
        <v>#REF!</v>
      </c>
      <c r="Z19" s="583" t="e">
        <f>Y19/Y$7</f>
        <v>#REF!</v>
      </c>
      <c r="AA19" s="584" t="e">
        <f t="shared" ref="AA19:AA27" si="12">+G19-Y19</f>
        <v>#REF!</v>
      </c>
      <c r="AB19" s="475">
        <v>0</v>
      </c>
      <c r="AC19" s="578">
        <f>AB19/AB7</f>
        <v>0</v>
      </c>
      <c r="AD19" s="499">
        <v>0</v>
      </c>
      <c r="AE19" s="517" t="str">
        <f t="shared" si="3"/>
        <v/>
      </c>
      <c r="AG19" s="579">
        <v>0</v>
      </c>
      <c r="AH19" s="517" t="str">
        <f t="shared" si="4"/>
        <v/>
      </c>
      <c r="AL19" s="435">
        <v>42735</v>
      </c>
      <c r="AM19" s="446" t="s">
        <v>60</v>
      </c>
      <c r="AN19" s="747"/>
      <c r="AO19" s="431">
        <f>IF($AO$7=$AL$7,'[4]1 trim 2016 BIOGROUP'!$U$14/3,IF($AO$7=$AL$8,'[4]1 trim 2016 BIOGROUP'!$U$14/3,IF($AO$7=$AL$9,'[4]1 trim 2016 BIOGROUP'!$U$14/3,IF($AO$7=$AL$10,'[4]2 trim 2016 BIOGROUP'!$U$14/3,IF($AO$7=$AL$11,'[4]2 trim 2016 BIOGROUP'!$U$14/3,IF($AO$7=$AL$12,'[4]2 trim 2016 BIOGROUP'!$U$14/3,""))))))</f>
        <v>0</v>
      </c>
      <c r="AP19" s="431">
        <f>IF($AP$7=$AL$7,'[4]1 trim 2016 BIOGROUP'!$U$14/3,IF($AP$7=$AL$8,'[4]1 trim 2016 BIOGROUP'!$U$14/3,IF($AP$7=$AL$9,'[4]1 trim 2016 BIOGROUP'!$U$14/3,IF($AP$7=$AL$10,'[4]2 trim 2016 BIOGROUP'!$U$14/3,IF($AP$7=$AL$11,'[4]2 trim 2016 BIOGROUP'!$U$14/3,IF($AP$7=$AL$12,'[4]2 trim 2016 BIOGROUP'!$U$14/3,""))))))</f>
        <v>0</v>
      </c>
      <c r="AQ19" s="431">
        <f>IF($AQ$7=$AL$7,'[4]1 trim 2016 BIOGROUP'!$U$14/3,IF($AQ$7=$AL$8,'[4]1 trim 2016 BIOGROUP'!$U$14/3,IF($AQ$7=$AL$9,'[4]1 trim 2016 BIOGROUP'!$U$14/3,IF($AQ$7=$AL$10,'[4]2 trim 2016 BIOGROUP'!$U$14/3,IF($AQ$7=$AL$11,'[4]2 trim 2016 BIOGROUP'!$U$14/3,IF($AQ$7=$AL$12,'[4]2 trim 2016 BIOGROUP'!$U$14/3,""))))))</f>
        <v>0</v>
      </c>
      <c r="AR19" s="431">
        <f>IF($AR$7=$AL$7,'[4]1 trim 2016 BIOGROUP'!$U$14/3,IF($AR$7=$AL$8,'[4]1 trim 2016 BIOGROUP'!$U$14/3,IF($AR$7=$AL$9,'[4]1 trim 2016 BIOGROUP'!$U$14/3,IF($AR$7=$AL$10,'[4]2 trim 2016 BIOGROUP'!$U$14/3,IF($AR$7=$AL$11,'[4]2 trim 2016 BIOGROUP'!$U$14/3,IF($AR$7=$AL$12,'[4]2 trim 2016 BIOGROUP'!$U$14/3,""))))))</f>
        <v>0</v>
      </c>
      <c r="AS19" s="431">
        <f>IF($AS$7=$AL$7,'[4]1 trim 2016 BIOGROUP'!$U$14/3,IF($AS$7=$AL$8,'[4]1 trim 2016 BIOGROUP'!$U$14/3,IF($AS$7=$AL$9,'[4]1 trim 2016 BIOGROUP'!$U$14/3,IF($AS$7=$AL$10,'[4]2 trim 2016 BIOGROUP'!$U$14/3,IF($AS$7=$AL$11,'[4]2 trim 2016 BIOGROUP'!$U$14/3,IF($AS$7=$AL$12,'[4]2 trim 2016 BIOGROUP'!$U$14/3,""))))))</f>
        <v>0</v>
      </c>
      <c r="AT19" s="431">
        <f>IF($AT$7=$AL$7,'[4]1 trim 2016 BIOGROUP'!$U$14/3,IF($AT$7=$AL$8,'[4]1 trim 2016 BIOGROUP'!$U$14/3,IF($AT$7=$AL$9,'[4]1 trim 2016 BIOGROUP'!$U$14/3,IF($AT$7=$AL$10,'[4]2 trim 2016 BIOGROUP'!$U$14/3,IF($AT$7=$AL$11,'[4]2 trim 2016 BIOGROUP'!$U$14/3,IF($AT$7=$AL$12,'[4]2 trim 2016 BIOGROUP'!$U$14/3,""))))))</f>
        <v>0</v>
      </c>
      <c r="AU19" s="431">
        <f>IF($AU$7=$AL$13,'[4]3 trim 2016 BIOGROUP'!$U$14/3,IF($AU$7=$AL$14,'[4]3 trim 2016 BIOGROUP'!$U$14/3,IF($AU$7=$AL$15,'[4]3 trim 2016 BIOGROUP'!$U$14/3,IF($AU$7=$AL$16,'[4]4 trim 2016 BIOGROUP'!$U$14/3,IF($AU$7=$AL$18,'[4]4 trim 2016 BIOGROUP'!$U$14/3,IF($AU$7=$AL$19,'[4]4 trim 2016 BIOGROUP'!$U$14/3,""))))))</f>
        <v>0</v>
      </c>
      <c r="AV19" s="431">
        <f>IF($AV$7=$AL$13,'[4]3 trim 2016 BIOGROUP'!$U$14/3,IF($AV$7=$AL$14,'[4]3 trim 2016 BIOGROUP'!$U$14/3,IF($AV$7=$AL$15,'[4]3 trim 2016 BIOGROUP'!$U$14/3,IF($AV$7=$AL$16,'[4]4 trim 2016 BIOGROUP'!$U$14/3,IF($AV$7=$AL$18,'[4]4 trim 2016 BIOGROUP'!$U$14/3,IF($AV$7=$AL$19,'[4]4 trim 2016 BIOGROUP'!$U$14/3,""))))))</f>
        <v>0</v>
      </c>
      <c r="AW19" s="431">
        <f>IF($AW$7=$AL$13,'[4]3 trim 2016 BIOGROUP'!$U$14/3,IF($AW$7=$AL$14,'[4]3 trim 2016 BIOGROUP'!$U$14/3,IF($AW$7=$AL$15,'[4]3 trim 2016 BIOGROUP'!$U$14/3,IF($AW$7=$AL$16,'[4]4 trim 2016 BIOGROUP'!$U$14/3,IF($AW$7=$AL$18,'[4]4 trim 2016 BIOGROUP'!$U$14/3,IF($AW$7=$AL$19,'[4]4 trim 2016 BIOGROUP'!$U$14/3,""))))))</f>
        <v>0</v>
      </c>
      <c r="AX19" s="431">
        <f>IF($AX$7=$AL$13,'[4]3 trim 2016 BIOGROUP'!$U$14/3,IF($AX$7=$AL$14,'[4]3 trim 2016 BIOGROUP'!$U$14/3,IF($AX$7=$AL$15,'[4]3 trim 2016 BIOGROUP'!$U$14/3,IF($AX$7=$AL$16,'[4]4 trim 2016 BIOGROUP'!$U$14/3,IF($AX$7=$AL$18,'[4]4 trim 2016 BIOGROUP'!$U$14/3,IF($AX$7=$AL$19,'[4]4 trim 2016 BIOGROUP'!$U$14/3,""))))))</f>
        <v>0</v>
      </c>
      <c r="AY19" s="431">
        <f>IF($AY$7=$AL$13,'[4]3 trim 2016 BIOGROUP'!$U$14/3,IF($AY$7=$AL$14,'[4]3 trim 2016 BIOGROUP'!$U$14/3,IF($AY$7=$AL$15,'[4]3 trim 2016 BIOGROUP'!$U$14/3,IF($AY$7=$AL$16,'[4]4 trim 2016 BIOGROUP'!$U$14/3,IF($AY$7=$AL$18,'[4]4 trim 2016 BIOGROUP'!$U$14/3,IF($AY$7=$AL$19,'[4]4 trim 2016 BIOGROUP'!$U$14/3,""))))))</f>
        <v>0</v>
      </c>
      <c r="AZ19" s="431">
        <f>IF($AZ$7=$AL$13,'[4]3 trim 2016 BIOGROUP'!$U$14/3,IF($AZ$7=$AL$14,'[4]3 trim 2016 BIOGROUP'!$U$14/3,IF($AZ$7=$AL$15,'[4]3 trim 2016 BIOGROUP'!$U$14/3,IF($AZ$7=$AL$16,'[4]4 trim 2016 BIOGROUP'!$U$14/3,IF($AZ$7=$AL$18,'[4]4 trim 2016 BIOGROUP'!$U$14/3,IF($AZ$7=$AL$19,'[4]4 trim 2016 BIOGROUP'!$U$14/3,""))))))</f>
        <v>0</v>
      </c>
      <c r="BB19" s="511">
        <f t="shared" si="5"/>
        <v>0</v>
      </c>
      <c r="BC19" s="750"/>
    </row>
    <row r="20" spans="1:55" ht="26.15" customHeight="1">
      <c r="B20" s="542">
        <v>624</v>
      </c>
      <c r="C20" s="440" t="s">
        <v>90</v>
      </c>
      <c r="D20" s="610"/>
      <c r="E20" s="440" t="s">
        <v>91</v>
      </c>
      <c r="F20" s="577"/>
      <c r="G20" s="475">
        <v>0</v>
      </c>
      <c r="H20" s="578">
        <f>G20/G7</f>
        <v>0</v>
      </c>
      <c r="J20" s="499">
        <v>0</v>
      </c>
      <c r="K20" s="532" t="str">
        <f t="shared" si="6"/>
        <v/>
      </c>
      <c r="L20" s="431"/>
      <c r="M20" s="579">
        <v>0</v>
      </c>
      <c r="N20" s="517" t="str">
        <f t="shared" si="1"/>
        <v/>
      </c>
      <c r="O20" s="580"/>
      <c r="P20" s="602"/>
      <c r="Q20" s="582" t="e">
        <f>+#REF!</f>
        <v>#REF!</v>
      </c>
      <c r="R20" s="583" t="e">
        <f>Q20/Q$7</f>
        <v>#REF!</v>
      </c>
      <c r="S20" s="582" t="e">
        <f>+#REF!</f>
        <v>#REF!</v>
      </c>
      <c r="T20" s="583" t="e">
        <f>S20/S$7</f>
        <v>#REF!</v>
      </c>
      <c r="U20" s="582" t="e">
        <f>+#REF!</f>
        <v>#REF!</v>
      </c>
      <c r="V20" s="583" t="e">
        <f>U20/U$7</f>
        <v>#REF!</v>
      </c>
      <c r="W20" s="582" t="e">
        <f>+#REF!</f>
        <v>#REF!</v>
      </c>
      <c r="X20" s="583" t="e">
        <f>W20/W$7</f>
        <v>#REF!</v>
      </c>
      <c r="Y20" s="582" t="e">
        <f>+W20+U20+S20+Q20</f>
        <v>#REF!</v>
      </c>
      <c r="Z20" s="583" t="e">
        <f>Y20/Y$7</f>
        <v>#REF!</v>
      </c>
      <c r="AA20" s="584" t="e">
        <f t="shared" si="12"/>
        <v>#REF!</v>
      </c>
      <c r="AB20" s="475">
        <v>0</v>
      </c>
      <c r="AC20" s="578">
        <f>AB20/AB7</f>
        <v>0</v>
      </c>
      <c r="AD20" s="499">
        <v>0</v>
      </c>
      <c r="AE20" s="517" t="str">
        <f t="shared" si="3"/>
        <v/>
      </c>
      <c r="AG20" s="579">
        <v>0</v>
      </c>
      <c r="AH20" s="517" t="str">
        <f t="shared" si="4"/>
        <v/>
      </c>
      <c r="AL20" s="435"/>
      <c r="AM20" s="440" t="s">
        <v>91</v>
      </c>
      <c r="AN20" s="747"/>
      <c r="BB20" s="511">
        <f t="shared" si="5"/>
        <v>0</v>
      </c>
      <c r="BC20" s="750"/>
    </row>
    <row r="21" spans="1:55" ht="26.15" customHeight="1">
      <c r="C21" s="445" t="s">
        <v>88</v>
      </c>
      <c r="D21" s="555"/>
      <c r="E21" s="445" t="s">
        <v>7</v>
      </c>
      <c r="F21" s="577"/>
      <c r="G21" s="478">
        <f>SUM(G22:G22)</f>
        <v>-260652.17</v>
      </c>
      <c r="H21" s="591">
        <f>G21/G7</f>
        <v>-4.2025444864047599E-2</v>
      </c>
      <c r="J21" s="500">
        <f>SUM(J22:J22)</f>
        <v>0</v>
      </c>
      <c r="K21" s="533" t="str">
        <f t="shared" si="6"/>
        <v/>
      </c>
      <c r="L21" s="431"/>
      <c r="M21" s="500">
        <f>SUM(M22)</f>
        <v>-196930.40333333332</v>
      </c>
      <c r="N21" s="518">
        <f t="shared" si="1"/>
        <v>0.32357505792951807</v>
      </c>
      <c r="O21" s="580"/>
      <c r="P21" s="611" t="s">
        <v>7</v>
      </c>
      <c r="Q21" s="594" t="e">
        <f t="shared" ref="Q21:Z21" si="13">SUM(Q22:Q22)</f>
        <v>#REF!</v>
      </c>
      <c r="R21" s="595" t="e">
        <f t="shared" si="13"/>
        <v>#REF!</v>
      </c>
      <c r="S21" s="594" t="e">
        <f t="shared" si="13"/>
        <v>#REF!</v>
      </c>
      <c r="T21" s="595" t="e">
        <f t="shared" si="13"/>
        <v>#REF!</v>
      </c>
      <c r="U21" s="594" t="e">
        <f t="shared" si="13"/>
        <v>#REF!</v>
      </c>
      <c r="V21" s="595" t="e">
        <f t="shared" si="13"/>
        <v>#REF!</v>
      </c>
      <c r="W21" s="594" t="e">
        <f t="shared" si="13"/>
        <v>#REF!</v>
      </c>
      <c r="X21" s="595" t="e">
        <f t="shared" si="13"/>
        <v>#REF!</v>
      </c>
      <c r="Y21" s="594" t="e">
        <f t="shared" si="13"/>
        <v>#REF!</v>
      </c>
      <c r="Z21" s="595" t="e">
        <f t="shared" si="13"/>
        <v>#REF!</v>
      </c>
      <c r="AA21" s="584" t="e">
        <f t="shared" si="12"/>
        <v>#REF!</v>
      </c>
      <c r="AB21" s="478">
        <f>SUM(AB22:AB22)</f>
        <v>-643245.75</v>
      </c>
      <c r="AC21" s="591">
        <f>AB21/AB7</f>
        <v>-3.6039727019694857E-2</v>
      </c>
      <c r="AD21" s="500">
        <f>SUM(AD22:AD22)</f>
        <v>0</v>
      </c>
      <c r="AE21" s="518" t="str">
        <f t="shared" si="3"/>
        <v/>
      </c>
      <c r="AG21" s="500">
        <f>SUM(AG22)</f>
        <v>-590791.21</v>
      </c>
      <c r="AH21" s="518">
        <f t="shared" si="4"/>
        <v>8.8786933712165492E-2</v>
      </c>
      <c r="AJ21" s="615"/>
      <c r="AL21" s="435"/>
      <c r="AM21" s="445" t="s">
        <v>7</v>
      </c>
      <c r="AN21" s="747"/>
      <c r="AO21" s="741">
        <f>-SUM(AO22:AO22)</f>
        <v>-3315.0758666666666</v>
      </c>
      <c r="AP21" s="741">
        <f t="shared" ref="AP21:AZ21" si="14">-SUM(AP22:AP22)</f>
        <v>-3315.0758666666666</v>
      </c>
      <c r="AQ21" s="741">
        <f t="shared" si="14"/>
        <v>-3315.0758666666666</v>
      </c>
      <c r="AR21" s="741">
        <f t="shared" si="14"/>
        <v>-3315.0758666666666</v>
      </c>
      <c r="AS21" s="741">
        <f t="shared" si="14"/>
        <v>-3315.0758666666666</v>
      </c>
      <c r="AT21" s="741">
        <f t="shared" si="14"/>
        <v>-3315.0758666666666</v>
      </c>
      <c r="AU21" s="741">
        <f t="shared" si="14"/>
        <v>-3315.0758666666666</v>
      </c>
      <c r="AV21" s="741">
        <f t="shared" si="14"/>
        <v>-3315.0758666666666</v>
      </c>
      <c r="AW21" s="741">
        <f t="shared" si="14"/>
        <v>-3315.0758666666666</v>
      </c>
      <c r="AX21" s="741">
        <f t="shared" si="14"/>
        <v>-3315.0758666666666</v>
      </c>
      <c r="AY21" s="741">
        <f t="shared" si="14"/>
        <v>-3315.0758666666666</v>
      </c>
      <c r="AZ21" s="741">
        <f t="shared" si="14"/>
        <v>-3315.0758666666666</v>
      </c>
      <c r="BB21" s="748">
        <f t="shared" si="5"/>
        <v>643245.75</v>
      </c>
      <c r="BC21" s="752"/>
    </row>
    <row r="22" spans="1:55" ht="26.15" customHeight="1">
      <c r="B22" s="542">
        <v>63</v>
      </c>
      <c r="C22" s="447" t="s">
        <v>88</v>
      </c>
      <c r="D22" s="551"/>
      <c r="E22" s="447" t="s">
        <v>8</v>
      </c>
      <c r="F22" s="577"/>
      <c r="G22" s="475">
        <v>-260652.17</v>
      </c>
      <c r="H22" s="578">
        <f>G22/G7</f>
        <v>-4.2025444864047599E-2</v>
      </c>
      <c r="J22" s="495">
        <f>-SUMIF($AO$7:$AZ$7,$G$6,AO22:AZ22)</f>
        <v>0</v>
      </c>
      <c r="K22" s="532" t="str">
        <f t="shared" si="6"/>
        <v/>
      </c>
      <c r="L22" s="431"/>
      <c r="M22" s="579">
        <f>AG22/3</f>
        <v>-196930.40333333332</v>
      </c>
      <c r="N22" s="517">
        <f t="shared" si="1"/>
        <v>0.32357505792951807</v>
      </c>
      <c r="O22" s="580"/>
      <c r="P22" s="616" t="s">
        <v>8</v>
      </c>
      <c r="Q22" s="582" t="e">
        <f>+#REF!+'31 dec 2016 BIOLAM'!AT18+'31 dec 2016 BIOLAM'!AT19+'31 dec 2016 BIOLAM'!AT20</f>
        <v>#REF!</v>
      </c>
      <c r="R22" s="583" t="e">
        <f>Q22/Q$7</f>
        <v>#REF!</v>
      </c>
      <c r="S22" s="582" t="e">
        <f>+'31 dec 2016 BIOLAM'!AV18+#REF!+'31 dec 2016 BIOLAM'!AV19+'31 dec 2016 BIOLAM'!AV20</f>
        <v>#REF!</v>
      </c>
      <c r="T22" s="583" t="e">
        <f>S22/S$7</f>
        <v>#REF!</v>
      </c>
      <c r="U22" s="582" t="e">
        <f>+'31 dec 2016 BIOLAM'!AX18+#REF!+'31 dec 2016 BIOLAM'!AX19+'31 dec 2016 BIOLAM'!AX20</f>
        <v>#REF!</v>
      </c>
      <c r="V22" s="583" t="e">
        <f>U22/U$7</f>
        <v>#REF!</v>
      </c>
      <c r="W22" s="582" t="e">
        <f>+'31 dec 2016 BIOLAM'!AZ18+#REF!+'31 dec 2016 BIOLAM'!AZ19+'31 dec 2016 BIOLAM'!AZ20</f>
        <v>#REF!</v>
      </c>
      <c r="X22" s="583" t="e">
        <f>W22/W$7</f>
        <v>#REF!</v>
      </c>
      <c r="Y22" s="582" t="e">
        <f>+W22+U22+S22+Q22</f>
        <v>#REF!</v>
      </c>
      <c r="Z22" s="583" t="e">
        <f>Y22/Y$7</f>
        <v>#REF!</v>
      </c>
      <c r="AA22" s="584" t="e">
        <f t="shared" si="12"/>
        <v>#REF!</v>
      </c>
      <c r="AB22" s="475">
        <v>-643245.75</v>
      </c>
      <c r="AC22" s="578">
        <f>AB22/AB7</f>
        <v>-3.6039727019694857E-2</v>
      </c>
      <c r="AD22" s="495">
        <f>-SUMIF($AO$7:$AZ$7,"&lt;="&amp;$AC$6,AO22:AZ22)</f>
        <v>0</v>
      </c>
      <c r="AE22" s="517" t="str">
        <f t="shared" si="3"/>
        <v/>
      </c>
      <c r="AG22" s="579">
        <f>-338114.77-252676.44</f>
        <v>-590791.21</v>
      </c>
      <c r="AH22" s="517">
        <f t="shared" si="4"/>
        <v>8.8786933712165492E-2</v>
      </c>
      <c r="AL22" s="435"/>
      <c r="AM22" s="447" t="s">
        <v>8</v>
      </c>
      <c r="AN22" s="747"/>
      <c r="AO22" s="431">
        <f>IF($AO$7=$AL$7,'[4]1 trim 2016 BIOGROUP'!$U$18/3,IF($AO$7=$AL$8,'[4]1 trim 2016 BIOGROUP'!$U$18/3,IF($AO$7=$AL$9,'[4]1 trim 2016 BIOGROUP'!$U$18/3,IF($AO$7=$AL$10,'[4]2 trim 2016 BIOGROUP'!$U$18/3,IF($AO$7=$AL$11,'[4]2 trim 2016 BIOGROUP'!$U$18/3,IF($AO$7=$AL$12,'[4]2 trim 2016 BIOGROUP'!$U$18/3,""))))))</f>
        <v>3315.0758666666666</v>
      </c>
      <c r="AP22" s="431">
        <f>IF($AP$7=$AL$7,'[4]1 trim 2016 BIOGROUP'!$U$18/3,IF($AP$7=$AL$8,'[4]1 trim 2016 BIOGROUP'!$U$18/3,IF($AP$7=$AL$9,'[4]1 trim 2016 BIOGROUP'!$U$18/3,IF($AP$7=$AL$10,'[4]2 trim 2016 BIOGROUP'!$U$18/3,IF($AP$7=$AL$11,'[4]2 trim 2016 BIOGROUP'!$U$18/3,IF($AP$7=$AL$12,'[4]2 trim 2016 BIOGROUP'!$U$18/3,""))))))</f>
        <v>3315.0758666666666</v>
      </c>
      <c r="AQ22" s="431">
        <f>IF($AQ$7=$AL$7,'[4]1 trim 2016 BIOGROUP'!$U$18/3,IF($AQ$7=$AL$8,'[4]1 trim 2016 BIOGROUP'!$U$18/3,IF($AQ$7=$AL$9,'[4]1 trim 2016 BIOGROUP'!$U$18/3,IF($AQ$7=$AL$10,'[4]2 trim 2016 BIOGROUP'!$U$18/3,IF($AQ$7=$AL$11,'[4]2 trim 2016 BIOGROUP'!$U$18/3,IF($AQ$7=$AL$12,'[4]2 trim 2016 BIOGROUP'!$U$18/3,""))))))</f>
        <v>3315.0758666666666</v>
      </c>
      <c r="AR22" s="431">
        <f>IF($AR$7=$AL$7,'[4]1 trim 2016 BIOGROUP'!$U$18/3,IF($AR$7=$AL$8,'[4]1 trim 2016 BIOGROUP'!$U$18/3,IF($AR$7=$AL$9,'[4]1 trim 2016 BIOGROUP'!$U$18/3,IF($AR$7=$AL$10,'[4]2 trim 2016 BIOGROUP'!$U$18/3,IF($AR$7=$AL$11,'[4]2 trim 2016 BIOGROUP'!$U$18/3,IF($AR$7=$AL$12,'[4]2 trim 2016 BIOGROUP'!$U$18/3,""))))))</f>
        <v>3315.0758666666666</v>
      </c>
      <c r="AS22" s="431">
        <f>IF($AS$7=$AL$7,'[4]1 trim 2016 BIOGROUP'!$U$18/3,IF($AS$7=$AL$8,'[4]1 trim 2016 BIOGROUP'!$U$18/3,IF($AS$7=$AL$9,'[4]1 trim 2016 BIOGROUP'!$U$18/3,IF($AS$7=$AL$10,'[4]2 trim 2016 BIOGROUP'!$U$18/3,IF($AS$7=$AL$11,'[4]2 trim 2016 BIOGROUP'!$U$18/3,IF($AS$7=$AL$12,'[4]2 trim 2016 BIOGROUP'!$U$18/3,""))))))</f>
        <v>3315.0758666666666</v>
      </c>
      <c r="AT22" s="431">
        <f>IF($AT$7=$AL$7,'[4]1 trim 2016 BIOGROUP'!$U$18/3,IF($AT$7=$AL$8,'[4]1 trim 2016 BIOGROUP'!$U$18/3,IF($AT$7=$AL$9,'[4]1 trim 2016 BIOGROUP'!$U$18/3,IF($AT$7=$AL$10,'[4]2 trim 2016 BIOGROUP'!$U$18/3,IF($AT$7=$AL$11,'[4]2 trim 2016 BIOGROUP'!$U$18/3,IF($AT$7=$AL$12,'[4]2 trim 2016 BIOGROUP'!$U$18/3,""))))))</f>
        <v>3315.0758666666666</v>
      </c>
      <c r="AU22" s="431">
        <f>IF($AU$7=$AL$13,'[4]3 trim 2016 BIOGROUP'!$U$18/3,IF($AU$7=$AL$14,'[4]3 trim 2016 BIOGROUP'!$U$18/3,IF($AU$7=$AL$15,'[4]3 trim 2016 BIOGROUP'!$U$18/3,IF($AU$7=$AL$16,'[4]4 trim 2016 BIOGROUP'!$U$18/3,IF($AU$7=$AL$18,'[4]4 trim 2016 BIOGROUP'!$U$18/3,IF($AU$7=$AL$19,'[4]4 trim 2016 BIOGROUP'!$U$18/3,""))))))</f>
        <v>3315.0758666666666</v>
      </c>
      <c r="AV22" s="431">
        <f>IF($AV$7=$AL$13,'[4]3 trim 2016 BIOGROUP'!$U$18/3,IF($AV$7=$AL$14,'[4]3 trim 2016 BIOGROUP'!$U$18/3,IF($AV$7=$AL$15,'[4]3 trim 2016 BIOGROUP'!$U$18/3,IF($AV$7=$AL$16,'[4]4 trim 2016 BIOGROUP'!$U$18/3,IF($AV$7=$AL$18,'[4]4 trim 2016 BIOGROUP'!$U$18/3,IF($AV$7=$AL$19,'[4]4 trim 2016 BIOGROUP'!$U$18/3,""))))))</f>
        <v>3315.0758666666666</v>
      </c>
      <c r="AW22" s="431">
        <f>IF($AW$7=$AL$13,'[4]3 trim 2016 BIOGROUP'!$U$18/3,IF($AW$7=$AL$14,'[4]3 trim 2016 BIOGROUP'!$U$18/3,IF($AW$7=$AL$15,'[4]3 trim 2016 BIOGROUP'!$U$18/3,IF($AW$7=$AL$16,'[4]4 trim 2016 BIOGROUP'!$U$18/3,IF($AW$7=$AL$18,'[4]4 trim 2016 BIOGROUP'!$U$18/3,IF($AW$7=$AL$19,'[4]4 trim 2016 BIOGROUP'!$U$18/3,""))))))</f>
        <v>3315.0758666666666</v>
      </c>
      <c r="AX22" s="431">
        <f>IF($AX$7=$AL$13,'[4]3 trim 2016 BIOGROUP'!$U$18/3,IF($AX$7=$AL$14,'[4]3 trim 2016 BIOGROUP'!$U$18/3,IF($AX$7=$AL$15,'[4]3 trim 2016 BIOGROUP'!$U$18/3,IF($AX$7=$AL$16,'[4]4 trim 2016 BIOGROUP'!$U$18/3,IF($AX$7=$AL$18,'[4]4 trim 2016 BIOGROUP'!$U$18/3,IF($AX$7=$AL$19,'[4]4 trim 2016 BIOGROUP'!$U$18/3,""))))))</f>
        <v>3315.0758666666666</v>
      </c>
      <c r="AY22" s="431">
        <f>IF($AY$7=$AL$13,'[4]3 trim 2016 BIOGROUP'!$U$18/3,IF($AY$7=$AL$14,'[4]3 trim 2016 BIOGROUP'!$U$18/3,IF($AY$7=$AL$15,'[4]3 trim 2016 BIOGROUP'!$U$18/3,IF($AY$7=$AL$16,'[4]4 trim 2016 BIOGROUP'!$U$18/3,IF($AY$7=$AL$18,'[4]4 trim 2016 BIOGROUP'!$U$18/3,IF($AY$7=$AL$19,'[4]4 trim 2016 BIOGROUP'!$U$18/3,""))))))</f>
        <v>3315.0758666666666</v>
      </c>
      <c r="AZ22" s="431">
        <f>IF($AZ$7=$AL$13,'[4]3 trim 2016 BIOGROUP'!$U$18/3,IF($AZ$7=$AL$14,'[4]3 trim 2016 BIOGROUP'!$U$18/3,IF($AZ$7=$AL$15,'[4]3 trim 2016 BIOGROUP'!$U$18/3,IF($AZ$7=$AL$16,'[4]4 trim 2016 BIOGROUP'!$U$18/3,IF($AZ$7=$AL$18,'[4]4 trim 2016 BIOGROUP'!$U$18/3,IF($AZ$7=$AL$19,'[4]4 trim 2016 BIOGROUP'!$U$18/3,""))))))</f>
        <v>3315.0758666666666</v>
      </c>
      <c r="BB22" s="511">
        <f t="shared" si="5"/>
        <v>643245.75</v>
      </c>
      <c r="BC22" s="750"/>
    </row>
    <row r="23" spans="1:55" ht="34.5" customHeight="1">
      <c r="C23" s="448" t="s">
        <v>89</v>
      </c>
      <c r="D23" s="551"/>
      <c r="E23" s="448" t="s">
        <v>158</v>
      </c>
      <c r="F23" s="577"/>
      <c r="G23" s="476">
        <f>SUM(G24:G27)</f>
        <v>-2215485.16</v>
      </c>
      <c r="H23" s="591">
        <f>G23/G7</f>
        <v>-0.35720688394305594</v>
      </c>
      <c r="J23" s="496">
        <f>SUM(J24:J27)</f>
        <v>0</v>
      </c>
      <c r="K23" s="530" t="str">
        <f t="shared" si="6"/>
        <v/>
      </c>
      <c r="L23" s="431"/>
      <c r="M23" s="496">
        <f>SUM(M24:M27)</f>
        <v>-1928294.4433333336</v>
      </c>
      <c r="N23" s="518">
        <f t="shared" si="1"/>
        <v>0.14893509529084997</v>
      </c>
      <c r="O23" s="580"/>
      <c r="P23" s="617" t="s">
        <v>9</v>
      </c>
      <c r="Q23" s="618" t="e">
        <f>SUM(Q24:Q30)</f>
        <v>#REF!</v>
      </c>
      <c r="R23" s="595" t="e">
        <f>SUM(R24:R27)</f>
        <v>#REF!</v>
      </c>
      <c r="S23" s="618" t="e">
        <f>SUM(S24:S30)</f>
        <v>#REF!</v>
      </c>
      <c r="T23" s="595" t="e">
        <f>SUM(T24:T27)</f>
        <v>#REF!</v>
      </c>
      <c r="U23" s="618" t="e">
        <f>SUM(U24:U30)</f>
        <v>#REF!</v>
      </c>
      <c r="V23" s="595" t="e">
        <f>SUM(V24:V27)</f>
        <v>#REF!</v>
      </c>
      <c r="W23" s="618" t="e">
        <f>SUM(W24:W30)</f>
        <v>#REF!</v>
      </c>
      <c r="X23" s="595" t="e">
        <f>SUM(X24:X27)</f>
        <v>#REF!</v>
      </c>
      <c r="Y23" s="618" t="e">
        <f>SUM(Y24:Y30)</f>
        <v>#REF!</v>
      </c>
      <c r="Z23" s="595" t="e">
        <f>SUM(Z24:Z27)</f>
        <v>#REF!</v>
      </c>
      <c r="AA23" s="584" t="e">
        <f t="shared" si="12"/>
        <v>#REF!</v>
      </c>
      <c r="AB23" s="476">
        <f>SUM(AB24:AB27)</f>
        <v>-6589077.6400000006</v>
      </c>
      <c r="AC23" s="591">
        <f>AB23/AB7</f>
        <v>-0.36917237223436805</v>
      </c>
      <c r="AD23" s="496">
        <f>SUM(AD24:AD27)</f>
        <v>0</v>
      </c>
      <c r="AE23" s="518" t="str">
        <f t="shared" si="3"/>
        <v/>
      </c>
      <c r="AG23" s="496">
        <f>SUM(AG24:AG28)</f>
        <v>-5784883.3300000001</v>
      </c>
      <c r="AH23" s="518">
        <f t="shared" si="4"/>
        <v>0.13901651323363864</v>
      </c>
      <c r="AJ23" s="587"/>
      <c r="AL23" s="435"/>
      <c r="AM23" s="448" t="s">
        <v>158</v>
      </c>
      <c r="AN23" s="747"/>
      <c r="AO23" s="741">
        <f>-SUM(AO24:AO27)</f>
        <v>-39596.8177</v>
      </c>
      <c r="AP23" s="741">
        <f t="shared" ref="AP23:AZ23" si="15">-SUM(AP24:AP27)</f>
        <v>-39596.8177</v>
      </c>
      <c r="AQ23" s="741">
        <f t="shared" si="15"/>
        <v>-39596.8177</v>
      </c>
      <c r="AR23" s="741">
        <f t="shared" si="15"/>
        <v>-39596.8177</v>
      </c>
      <c r="AS23" s="741">
        <f t="shared" si="15"/>
        <v>-39596.8177</v>
      </c>
      <c r="AT23" s="741">
        <f t="shared" si="15"/>
        <v>-39596.8177</v>
      </c>
      <c r="AU23" s="741">
        <f t="shared" si="15"/>
        <v>-39596.8177</v>
      </c>
      <c r="AV23" s="741">
        <f t="shared" si="15"/>
        <v>-39596.8177</v>
      </c>
      <c r="AW23" s="741">
        <f t="shared" si="15"/>
        <v>-39596.8177</v>
      </c>
      <c r="AX23" s="741">
        <f t="shared" si="15"/>
        <v>-39596.8177</v>
      </c>
      <c r="AY23" s="741">
        <f t="shared" si="15"/>
        <v>-39596.8177</v>
      </c>
      <c r="AZ23" s="741">
        <f t="shared" si="15"/>
        <v>-39596.8177</v>
      </c>
      <c r="BB23" s="748">
        <f t="shared" si="5"/>
        <v>6589077.6400000006</v>
      </c>
      <c r="BC23" s="752"/>
    </row>
    <row r="24" spans="1:55" ht="26.15" customHeight="1">
      <c r="B24" s="542">
        <v>641</v>
      </c>
      <c r="C24" s="438" t="s">
        <v>144</v>
      </c>
      <c r="D24" s="555"/>
      <c r="E24" s="438" t="s">
        <v>10</v>
      </c>
      <c r="F24" s="577"/>
      <c r="G24" s="475">
        <f>-1596316.04-G25</f>
        <v>-1281372.3900000001</v>
      </c>
      <c r="H24" s="578">
        <f>G24/G7</f>
        <v>-0.20659810630488096</v>
      </c>
      <c r="J24" s="495">
        <f>-SUMIF($AO$7:$AZ$7,$G$6,AO24:AZ24)</f>
        <v>0</v>
      </c>
      <c r="K24" s="532" t="str">
        <f t="shared" si="6"/>
        <v/>
      </c>
      <c r="L24" s="431"/>
      <c r="M24" s="579">
        <f>AG24/3</f>
        <v>-1039698.6566666667</v>
      </c>
      <c r="N24" s="517">
        <f t="shared" si="1"/>
        <v>0.23244594170021646</v>
      </c>
      <c r="O24" s="580"/>
      <c r="P24" s="581" t="s">
        <v>10</v>
      </c>
      <c r="Q24" s="582" t="e">
        <f>+#REF!+'31 dec 2016 BIOLAM'!AT23+'31 dec 2016 BIOLAM'!AT24+'31 dec 2016 BIOLAM'!AT25</f>
        <v>#REF!</v>
      </c>
      <c r="R24" s="583" t="e">
        <f>Q24/Q$7</f>
        <v>#REF!</v>
      </c>
      <c r="S24" s="582" t="e">
        <f>+'31 dec 2016 BIOLAM'!AV23+#REF!+'31 dec 2016 BIOLAM'!AV24+'31 dec 2016 BIOLAM'!AV25</f>
        <v>#REF!</v>
      </c>
      <c r="T24" s="583" t="e">
        <f>S24/S$7</f>
        <v>#REF!</v>
      </c>
      <c r="U24" s="582" t="e">
        <f>+'31 dec 2016 BIOLAM'!AX23+#REF!+'31 dec 2016 BIOLAM'!AX24+'31 dec 2016 BIOLAM'!AX25</f>
        <v>#REF!</v>
      </c>
      <c r="V24" s="583" t="e">
        <f>U24/U$7</f>
        <v>#REF!</v>
      </c>
      <c r="W24" s="582" t="e">
        <f>+'31 dec 2016 BIOLAM'!AZ23+#REF!+'31 dec 2016 BIOLAM'!AZ24+'31 dec 2016 BIOLAM'!AZ25</f>
        <v>#REF!</v>
      </c>
      <c r="X24" s="583" t="e">
        <f>W24/W$7</f>
        <v>#REF!</v>
      </c>
      <c r="Y24" s="582" t="e">
        <f t="shared" ref="Y24:Y30" si="16">+W24+U24+S24+Q24</f>
        <v>#REF!</v>
      </c>
      <c r="Z24" s="583" t="e">
        <f>Y24/Y$7</f>
        <v>#REF!</v>
      </c>
      <c r="AA24" s="584" t="e">
        <f t="shared" si="12"/>
        <v>#REF!</v>
      </c>
      <c r="AB24" s="475">
        <f>-4664154.01-AB25</f>
        <v>-3706607.8</v>
      </c>
      <c r="AC24" s="578">
        <f>AB24/AB7</f>
        <v>-0.20767355754946176</v>
      </c>
      <c r="AD24" s="495">
        <f>-SUMIF($AO$7:$AZ$7,"&lt;="&amp;$AC$6,AO24:AZ24)</f>
        <v>0</v>
      </c>
      <c r="AE24" s="517" t="str">
        <f t="shared" si="3"/>
        <v/>
      </c>
      <c r="AG24" s="579">
        <f>-2417576.68-1642541.87-AG25</f>
        <v>-3119095.97</v>
      </c>
      <c r="AH24" s="517">
        <f t="shared" si="4"/>
        <v>0.18835965153069642</v>
      </c>
      <c r="AJ24" s="587"/>
      <c r="AL24" s="435"/>
      <c r="AM24" s="438" t="s">
        <v>10</v>
      </c>
      <c r="AN24" s="747"/>
      <c r="AO24" s="431">
        <f>IF($AO$7=$AL$7,'[4]1 trim 2016 BIOGROUP'!$U$23/3,IF($AO$7=$AL$8,'[4]1 trim 2016 BIOGROUP'!$U$23/3,IF($AO$7=$AL$9,'[4]1 trim 2016 BIOGROUP'!$U$23/3,IF($AO$7=$AL$10,'[4]2 trim 2016 BIOGROUP'!$U$23/3,IF($AO$7=$AL$11,'[4]2 trim 2016 BIOGROUP'!$U$23/3,IF($AO$7=$AL$12,'[4]2 trim 2016 BIOGROUP'!$U$23/3,""))))))</f>
        <v>21115.091983333336</v>
      </c>
      <c r="AP24" s="431">
        <f>IF($AP$7=$AL$7,'[4]1 trim 2016 BIOGROUP'!$U$23/3,IF($AP$7=$AL$8,'[4]1 trim 2016 BIOGROUP'!$U$23/3,IF($AP$7=$AL$9,'[4]1 trim 2016 BIOGROUP'!$U$23/3,IF($AP$7=$AL$10,'[4]2 trim 2016 BIOGROUP'!$U$23/3,IF($AP$7=$AL$11,'[4]2 trim 2016 BIOGROUP'!$U$23/3,IF($AP$7=$AL$12,'[4]2 trim 2016 BIOGROUP'!$U$23/3,""))))))</f>
        <v>21115.091983333336</v>
      </c>
      <c r="AQ24" s="431">
        <f>IF($AQ$7=$AL$7,'[4]1 trim 2016 BIOGROUP'!$U$23/3,IF($AQ$7=$AL$8,'[4]1 trim 2016 BIOGROUP'!$U$23/3,IF($AQ$7=$AL$9,'[4]1 trim 2016 BIOGROUP'!$U$23/3,IF($AQ$7=$AL$10,'[4]2 trim 2016 BIOGROUP'!$U$23/3,IF($AQ$7=$AL$11,'[4]2 trim 2016 BIOGROUP'!$U$23/3,IF($AQ$7=$AL$12,'[4]2 trim 2016 BIOGROUP'!$U$23/3,""))))))</f>
        <v>21115.091983333336</v>
      </c>
      <c r="AR24" s="431">
        <f>IF($AR$7=$AL$7,'[4]1 trim 2016 BIOGROUP'!$U$23/3,IF($AR$7=$AL$8,'[4]1 trim 2016 BIOGROUP'!$U$23/3,IF($AR$7=$AL$9,'[4]1 trim 2016 BIOGROUP'!$U$23/3,IF($AR$7=$AL$10,'[4]2 trim 2016 BIOGROUP'!$U$23/3,IF($AR$7=$AL$11,'[4]2 trim 2016 BIOGROUP'!$U$23/3,IF($AR$7=$AL$12,'[4]2 trim 2016 BIOGROUP'!$U$23/3,""))))))</f>
        <v>21115.091983333336</v>
      </c>
      <c r="AS24" s="431">
        <f>IF($AS$7=$AL$7,'[4]1 trim 2016 BIOGROUP'!$U$23/3,IF($AS$7=$AL$8,'[4]1 trim 2016 BIOGROUP'!$U$23/3,IF($AS$7=$AL$9,'[4]1 trim 2016 BIOGROUP'!$U$23/3,IF($AS$7=$AL$10,'[4]2 trim 2016 BIOGROUP'!$U$23/3,IF($AS$7=$AL$11,'[4]2 trim 2016 BIOGROUP'!$U$23/3,IF($AS$7=$AL$12,'[4]2 trim 2016 BIOGROUP'!$U$23/3,""))))))</f>
        <v>21115.091983333336</v>
      </c>
      <c r="AT24" s="431">
        <f>IF($AT$7=$AL$7,'[4]1 trim 2016 BIOGROUP'!$U$23/3,IF($AT$7=$AL$8,'[4]1 trim 2016 BIOGROUP'!$U$23/3,IF($AT$7=$AL$9,'[4]1 trim 2016 BIOGROUP'!$U$23/3,IF($AT$7=$AL$10,'[4]2 trim 2016 BIOGROUP'!$U$23/3,IF($AT$7=$AL$11,'[4]2 trim 2016 BIOGROUP'!$U$23/3,IF($AT$7=$AL$12,'[4]2 trim 2016 BIOGROUP'!$U$23/3,""))))))</f>
        <v>21115.091983333336</v>
      </c>
      <c r="AU24" s="431">
        <f>IF($AU$7=$AL$13,'[4]3 trim 2016 BIOGROUP'!$U$23/3,IF($AU$7=$AL$14,'[4]3 trim 2016 BIOGROUP'!$U$23/3,IF($AU$7=$AL$15,'[4]3 trim 2016 BIOGROUP'!$U$23/3,IF($AU$7=$AL$16,'[4]4 trim 2016 BIOGROUP'!$U$23/3,IF($AU$7=$AL$18,'[4]4 trim 2016 BIOGROUP'!$U$23/3,IF($AU$7=$AL$19,'[4]4 trim 2016 BIOGROUP'!$U$23/3,""))))))</f>
        <v>21115.091983333336</v>
      </c>
      <c r="AV24" s="431">
        <f>IF($AV$7=$AL$13,'[4]3 trim 2016 BIOGROUP'!$U$23/3,IF($AV$7=$AL$14,'[4]3 trim 2016 BIOGROUP'!$U$23/3,IF($AV$7=$AL$15,'[4]3 trim 2016 BIOGROUP'!$U$23/3,IF($AV$7=$AL$16,'[4]4 trim 2016 BIOGROUP'!$U$23/3,IF($AV$7=$AL$18,'[4]4 trim 2016 BIOGROUP'!$U$23/3,IF($AV$7=$AL$19,'[4]4 trim 2016 BIOGROUP'!$U$23/3,""))))))</f>
        <v>21115.091983333336</v>
      </c>
      <c r="AW24" s="431">
        <f>IF($AW$7=$AL$13,'[4]3 trim 2016 BIOGROUP'!$U$23/3,IF($AW$7=$AL$14,'[4]3 trim 2016 BIOGROUP'!$U$23/3,IF($AW$7=$AL$15,'[4]3 trim 2016 BIOGROUP'!$U$23/3,IF($AW$7=$AL$16,'[4]4 trim 2016 BIOGROUP'!$U$23/3,IF($AW$7=$AL$18,'[4]4 trim 2016 BIOGROUP'!$U$23/3,IF($AW$7=$AL$19,'[4]4 trim 2016 BIOGROUP'!$U$23/3,""))))))</f>
        <v>21115.091983333336</v>
      </c>
      <c r="AX24" s="431">
        <f>IF($AX$7=$AL$13,'[4]3 trim 2016 BIOGROUP'!$U$23/3,IF($AX$7=$AL$14,'[4]3 trim 2016 BIOGROUP'!$U$23/3,IF($AX$7=$AL$15,'[4]3 trim 2016 BIOGROUP'!$U$23/3,IF($AX$7=$AL$16,'[4]4 trim 2016 BIOGROUP'!$U$23/3,IF($AX$7=$AL$18,'[4]4 trim 2016 BIOGROUP'!$U$23/3,IF($AX$7=$AL$19,'[4]4 trim 2016 BIOGROUP'!$U$23/3,""))))))</f>
        <v>21115.091983333336</v>
      </c>
      <c r="AY24" s="431">
        <f>IF($AY$7=$AL$13,'[4]3 trim 2016 BIOGROUP'!$U$23/3,IF($AY$7=$AL$14,'[4]3 trim 2016 BIOGROUP'!$U$23/3,IF($AY$7=$AL$15,'[4]3 trim 2016 BIOGROUP'!$U$23/3,IF($AY$7=$AL$16,'[4]4 trim 2016 BIOGROUP'!$U$23/3,IF($AY$7=$AL$18,'[4]4 trim 2016 BIOGROUP'!$U$23/3,IF($AY$7=$AL$19,'[4]4 trim 2016 BIOGROUP'!$U$23/3,""))))))</f>
        <v>21115.091983333336</v>
      </c>
      <c r="AZ24" s="431">
        <f>IF($AZ$7=$AL$13,'[4]3 trim 2016 BIOGROUP'!$U$23/3,IF($AZ$7=$AL$14,'[4]3 trim 2016 BIOGROUP'!$U$23/3,IF($AZ$7=$AL$15,'[4]3 trim 2016 BIOGROUP'!$U$23/3,IF($AZ$7=$AL$16,'[4]4 trim 2016 BIOGROUP'!$U$23/3,IF($AZ$7=$AL$18,'[4]4 trim 2016 BIOGROUP'!$U$23/3,IF($AZ$7=$AL$19,'[4]4 trim 2016 BIOGROUP'!$U$23/3,""))))))</f>
        <v>21115.091983333336</v>
      </c>
      <c r="BB24" s="511">
        <f t="shared" si="5"/>
        <v>3706607.8</v>
      </c>
      <c r="BC24" s="750"/>
    </row>
    <row r="25" spans="1:55" ht="26.15" customHeight="1">
      <c r="A25" s="575"/>
      <c r="B25" s="548">
        <v>644</v>
      </c>
      <c r="C25" s="449" t="s">
        <v>145</v>
      </c>
      <c r="D25" s="555"/>
      <c r="E25" s="449" t="s">
        <v>28</v>
      </c>
      <c r="F25" s="577"/>
      <c r="G25" s="475">
        <v>-314943.65000000002</v>
      </c>
      <c r="H25" s="578">
        <f>G25/G7</f>
        <v>-5.0778963391545542E-2</v>
      </c>
      <c r="J25" s="495">
        <f>-SUMIF($AO$7:$AZ$7,$G$6,AO25:AZ25)</f>
        <v>0</v>
      </c>
      <c r="K25" s="532" t="str">
        <f t="shared" si="6"/>
        <v/>
      </c>
      <c r="L25" s="431"/>
      <c r="M25" s="579">
        <f>AG25/3</f>
        <v>-313674.19333333336</v>
      </c>
      <c r="N25" s="517">
        <f t="shared" si="1"/>
        <v>4.0470548538803341E-3</v>
      </c>
      <c r="O25" s="580"/>
      <c r="P25" s="586" t="s">
        <v>28</v>
      </c>
      <c r="Q25" s="582" t="e">
        <f>+#REF!+'31 dec 2016 BIOLAM'!AT27</f>
        <v>#REF!</v>
      </c>
      <c r="R25" s="583" t="e">
        <f>Q25/Q$7</f>
        <v>#REF!</v>
      </c>
      <c r="S25" s="582" t="e">
        <f>+'31 dec 2016 BIOLAM'!AV27+#REF!</f>
        <v>#REF!</v>
      </c>
      <c r="T25" s="583" t="e">
        <f>S25/S$7</f>
        <v>#REF!</v>
      </c>
      <c r="U25" s="582" t="e">
        <f>+'31 dec 2016 BIOLAM'!AX27+#REF!</f>
        <v>#REF!</v>
      </c>
      <c r="V25" s="583" t="e">
        <f>U25/U$7</f>
        <v>#REF!</v>
      </c>
      <c r="W25" s="582" t="e">
        <f>+'31 dec 2016 BIOLAM'!AZ27+#REF!</f>
        <v>#REF!</v>
      </c>
      <c r="X25" s="583" t="e">
        <f>W25/W$7</f>
        <v>#REF!</v>
      </c>
      <c r="Y25" s="582" t="e">
        <f t="shared" si="16"/>
        <v>#REF!</v>
      </c>
      <c r="Z25" s="583" t="e">
        <f>Y25/Y$7</f>
        <v>#REF!</v>
      </c>
      <c r="AA25" s="584" t="e">
        <f t="shared" si="12"/>
        <v>#REF!</v>
      </c>
      <c r="AB25" s="475">
        <v>-957546.21</v>
      </c>
      <c r="AC25" s="578">
        <f>AB25/AB7</f>
        <v>-5.3649330783986378E-2</v>
      </c>
      <c r="AD25" s="495">
        <f>-SUMIF($AO$7:$AZ$7,"&lt;="&amp;$AC$6,AO25:AZ25)</f>
        <v>0</v>
      </c>
      <c r="AE25" s="517" t="str">
        <f t="shared" si="3"/>
        <v/>
      </c>
      <c r="AG25" s="579">
        <f>-544884.29-396138.29</f>
        <v>-941022.58000000007</v>
      </c>
      <c r="AH25" s="517">
        <f t="shared" si="4"/>
        <v>1.7559227962414978E-2</v>
      </c>
      <c r="AJ25" s="587"/>
      <c r="AL25" s="435"/>
      <c r="AM25" s="449" t="s">
        <v>28</v>
      </c>
      <c r="AN25" s="747"/>
      <c r="AO25" s="431">
        <f>IF($AO$7=$AL$7,'[4]1 trim 2016 BIOGROUP'!$U$25/3+'[4]1 trim 2016 BIOGROUP'!$U$27/3+'[4]1 trim 2016 BIOGROUP'!$U$28/3,IF($AO$7=$AL$8,'[4]1 trim 2016 BIOGROUP'!$U$25/3+'[4]1 trim 2016 BIOGROUP'!$U$27/3+'[4]1 trim 2016 BIOGROUP'!$U$28/3,IF($AO$7=$AL$9,'[4]1 trim 2016 BIOGROUP'!$U$25/3+'[4]1 trim 2016 BIOGROUP'!$U$27/3+'[4]1 trim 2016 BIOGROUP'!$U$28/3,IF($AO$7=$AL$10,'[4]2 trim 2016 BIOGROUP'!$U$25/3+'[4]2 trim 2016 BIOGROUP'!$U$27/3+'[4]2 trim 2016 BIOGROUP'!$U$28/3,IF($AO$7=$AL$11,'[4]2 trim 2016 BIOGROUP'!$U$25/3+'[4]2 trim 2016 BIOGROUP'!$U$27/3+'[4]2 trim 2016 BIOGROUP'!$U$28/3,IF($AO$7=$AL$12,'[4]2 trim 2016 BIOGROUP'!$U$25/3+'[4]2 trim 2016 BIOGROUP'!$U$27/3+'[4]2 trim 2016 BIOGROUP'!$U$28/3,""))))))</f>
        <v>9622.8339166666665</v>
      </c>
      <c r="AP25" s="431">
        <f>IF($AP$7=$AL$7,'[4]1 trim 2016 BIOGROUP'!$U$25/3+'[4]1 trim 2016 BIOGROUP'!$U$27/3+'[4]1 trim 2016 BIOGROUP'!$U$28/3,IF($AP$7=$AL$8,'[4]1 trim 2016 BIOGROUP'!$U$25/3+'[4]1 trim 2016 BIOGROUP'!$U$27/3+'[4]1 trim 2016 BIOGROUP'!$U$28/3,IF($AP$7=$AL$9,'[4]1 trim 2016 BIOGROUP'!$U$25/3+'[4]1 trim 2016 BIOGROUP'!$U$27/3+'[4]1 trim 2016 BIOGROUP'!$U$28/3,IF($AP$7=$AL$10,'[4]2 trim 2016 BIOGROUP'!$U$25/3+'[4]2 trim 2016 BIOGROUP'!$U$27/3+'[4]2 trim 2016 BIOGROUP'!$U$28/3,IF($AP$7=$AL$11,'[4]2 trim 2016 BIOGROUP'!$U$25/3+'[4]2 trim 2016 BIOGROUP'!$U$27/3+'[4]2 trim 2016 BIOGROUP'!$U$28/3,IF($AP$7=$AL$12,'[4]2 trim 2016 BIOGROUP'!$U$25/3+'[4]2 trim 2016 BIOGROUP'!$U$27/3+'[4]2 trim 2016 BIOGROUP'!$U$28/3,""))))))</f>
        <v>9622.8339166666665</v>
      </c>
      <c r="AQ25" s="431">
        <f>IF($AQ$7=$AL$7,'[4]1 trim 2016 BIOGROUP'!$U$25/3+'[4]1 trim 2016 BIOGROUP'!$U$27/3+'[4]1 trim 2016 BIOGROUP'!$U$28/3,IF($AQ$7=$AL$8,'[4]1 trim 2016 BIOGROUP'!$U$25/3+'[4]1 trim 2016 BIOGROUP'!$U$27/3+'[4]1 trim 2016 BIOGROUP'!$U$28/3,IF($AQ$7=$AL$9,'[4]1 trim 2016 BIOGROUP'!$U$25/3+'[4]1 trim 2016 BIOGROUP'!$U$27/3+'[4]1 trim 2016 BIOGROUP'!$U$28/3,IF($AQ$7=$AL$10,'[4]2 trim 2016 BIOGROUP'!$U$25/3+'[4]2 trim 2016 BIOGROUP'!$U$27/3+'[4]2 trim 2016 BIOGROUP'!$U$28/3,IF($AQ$7=$AL$11,'[4]2 trim 2016 BIOGROUP'!$U$25/3+'[4]2 trim 2016 BIOGROUP'!$U$27/3+'[4]2 trim 2016 BIOGROUP'!$U$28/3,IF($AQ$7=$AL$12,'[4]2 trim 2016 BIOGROUP'!$U$25/3+'[4]2 trim 2016 BIOGROUP'!$U$27/3+'[4]2 trim 2016 BIOGROUP'!$U$28/3,""))))))</f>
        <v>9622.8339166666665</v>
      </c>
      <c r="AR25" s="431">
        <f>IF($AR$7=$AL$7,'[4]1 trim 2016 BIOGROUP'!$U$25/3+'[4]1 trim 2016 BIOGROUP'!$U$27/3+'[4]1 trim 2016 BIOGROUP'!$U$28/3,IF($AR$7=$AL$8,'[4]1 trim 2016 BIOGROUP'!$U$25/3+'[4]1 trim 2016 BIOGROUP'!$U$27/3+'[4]1 trim 2016 BIOGROUP'!$U$28/3,IF($AR$7=$AL$9,'[4]1 trim 2016 BIOGROUP'!$U$25/3+'[4]1 trim 2016 BIOGROUP'!$U$27/3+'[4]1 trim 2016 BIOGROUP'!$U$28/3,IF($AR$7=$AL$10,'[4]2 trim 2016 BIOGROUP'!$U$25/3+'[4]2 trim 2016 BIOGROUP'!$U$27/3+'[4]2 trim 2016 BIOGROUP'!$U$28/3,IF($AR$7=$AL$11,'[4]2 trim 2016 BIOGROUP'!$U$25/3+'[4]2 trim 2016 BIOGROUP'!$U$27/3+'[4]2 trim 2016 BIOGROUP'!$U$28/3,IF($AR$7=$AL$12,'[4]2 trim 2016 BIOGROUP'!$U$25/3+'[4]2 trim 2016 BIOGROUP'!$U$27/3+'[4]2 trim 2016 BIOGROUP'!$U$28/3,""))))))</f>
        <v>9622.8339166666665</v>
      </c>
      <c r="AS25" s="431">
        <f>IF($AS$7=$AL$7,'[4]1 trim 2016 BIOGROUP'!$U$25/3+'[4]1 trim 2016 BIOGROUP'!$U$27/3+'[4]1 trim 2016 BIOGROUP'!$U$28/3,IF($AS$7=$AL$8,'[4]1 trim 2016 BIOGROUP'!$U$25/3+'[4]1 trim 2016 BIOGROUP'!$U$27/3+'[4]1 trim 2016 BIOGROUP'!$U$28/3,IF($AS$7=$AL$9,'[4]1 trim 2016 BIOGROUP'!$U$25/3+'[4]1 trim 2016 BIOGROUP'!$U$27/3+'[4]1 trim 2016 BIOGROUP'!$U$28/3,IF($AS$7=$AL$10,'[4]2 trim 2016 BIOGROUP'!$U$25/3+'[4]2 trim 2016 BIOGROUP'!$U$27/3+'[4]2 trim 2016 BIOGROUP'!$U$28/3,IF($AS$7=$AL$11,'[4]2 trim 2016 BIOGROUP'!$U$25/3+'[4]2 trim 2016 BIOGROUP'!$U$27/3+'[4]2 trim 2016 BIOGROUP'!$U$28/3,IF($AS$7=$AL$12,'[4]2 trim 2016 BIOGROUP'!$U$25/3+'[4]2 trim 2016 BIOGROUP'!$U$27/3+'[4]2 trim 2016 BIOGROUP'!$U$28/3,""))))))</f>
        <v>9622.8339166666665</v>
      </c>
      <c r="AT25" s="431">
        <f>IF($AT$7=$AL$7,'[4]1 trim 2016 BIOGROUP'!$U$25/3+'[4]1 trim 2016 BIOGROUP'!$U$27/3+'[4]1 trim 2016 BIOGROUP'!$U$28/3,IF($AT$7=$AL$8,'[4]1 trim 2016 BIOGROUP'!$U$25/3+'[4]1 trim 2016 BIOGROUP'!$U$27/3+'[4]1 trim 2016 BIOGROUP'!$U$28/3,IF($AT$7=$AL$9,'[4]1 trim 2016 BIOGROUP'!$U$25/3+'[4]1 trim 2016 BIOGROUP'!$U$27/3+'[4]1 trim 2016 BIOGROUP'!$U$28/3,IF($AT$7=$AL$10,'[4]2 trim 2016 BIOGROUP'!$U$25/3+'[4]2 trim 2016 BIOGROUP'!$U$27/3+'[4]2 trim 2016 BIOGROUP'!$U$28/3,IF($AT$7=$AL$11,'[4]2 trim 2016 BIOGROUP'!$U$25/3+'[4]2 trim 2016 BIOGROUP'!$U$27/3+'[4]2 trim 2016 BIOGROUP'!$U$28/3,IF($AT$7=$AL$12,'[4]2 trim 2016 BIOGROUP'!$U$25/3+'[4]2 trim 2016 BIOGROUP'!$U$27/3+'[4]2 trim 2016 BIOGROUP'!$U$28/3,""))))))</f>
        <v>9622.8339166666665</v>
      </c>
      <c r="AU25" s="431">
        <f>IF($AU$7=$AL$13,'[4]3 trim 2016 BIOGROUP'!$U$25/3+'[4]3 trim 2016 BIOGROUP'!$U$27/3+'[4]3 trim 2016 BIOGROUP'!$U$28/3,IF($AU$7=$AL$14,'[4]3 trim 2016 BIOGROUP'!$U$25/3+'[4]3 trim 2016 BIOGROUP'!$U$27/3+'[4]3 trim 2016 BIOGROUP'!$U$28/3,IF($AU$7=$AL$15,'[4]3 trim 2016 BIOGROUP'!$U$25/3+'[4]3 trim 2016 BIOGROUP'!$U$27/3+'[4]3 trim 2016 BIOGROUP'!$U$28/3,IF($AU$7=$AL$16,'[4]4 trim 2016 BIOGROUP'!$U$25/3+'[4]4 trim 2016 BIOGROUP'!$U$27/3+'[4]4 trim 2016 BIOGROUP'!$U$28/3,IF($AU$7=$AL$18,'[4]4 trim 2016 BIOGROUP'!$U$25/3+'[4]4 trim 2016 BIOGROUP'!$U$27/3+'[4]4 trim 2016 BIOGROUP'!$U$28/3,IF($AU$7=$AL$19,'[4]4 trim 2016 BIOGROUP'!$U$25/3+'[4]4 trim 2016 BIOGROUP'!$U$27/3+'[4]4 trim 2016 BIOGROUP'!$U$28/3,""))))))</f>
        <v>9622.8339166666665</v>
      </c>
      <c r="AV25" s="431">
        <f>IF($AV$7=$AL$13,'[4]3 trim 2016 BIOGROUP'!$U$25/3+'[4]3 trim 2016 BIOGROUP'!$U$27/3+'[4]3 trim 2016 BIOGROUP'!$U$28/3,IF($AV$7=$AL$14,'[4]3 trim 2016 BIOGROUP'!$U$25/3+'[4]3 trim 2016 BIOGROUP'!$U$27/3+'[4]3 trim 2016 BIOGROUP'!$U$28/3,IF($AV$7=$AL$15,'[4]3 trim 2016 BIOGROUP'!$U$25/3+'[4]3 trim 2016 BIOGROUP'!$U$27/3+'[4]3 trim 2016 BIOGROUP'!$U$28/3,IF($AV$7=$AL$16,'[4]4 trim 2016 BIOGROUP'!$U$25/3+'[4]4 trim 2016 BIOGROUP'!$U$27/3+'[4]4 trim 2016 BIOGROUP'!$U$28/3,IF($AV$7=$AL$18,'[4]4 trim 2016 BIOGROUP'!$U$25/3+'[4]4 trim 2016 BIOGROUP'!$U$27/3+'[4]4 trim 2016 BIOGROUP'!$U$28/3,IF($AV$7=$AL$19,'[4]4 trim 2016 BIOGROUP'!$U$25/3+'[4]4 trim 2016 BIOGROUP'!$U$27/3+'[4]4 trim 2016 BIOGROUP'!$U$28/3,""))))))</f>
        <v>9622.8339166666665</v>
      </c>
      <c r="AW25" s="431">
        <f>IF($AW$7=$AL$13,'[4]3 trim 2016 BIOGROUP'!$U$25/3+'[4]3 trim 2016 BIOGROUP'!$U$27/3+'[4]3 trim 2016 BIOGROUP'!$U$28/3,IF($AW$7=$AL$14,'[4]3 trim 2016 BIOGROUP'!$U$25/3+'[4]3 trim 2016 BIOGROUP'!$U$27/3+'[4]3 trim 2016 BIOGROUP'!$U$28/3,IF($AW$7=$AL$15,'[4]3 trim 2016 BIOGROUP'!$U$25/3+'[4]3 trim 2016 BIOGROUP'!$U$27/3+'[4]3 trim 2016 BIOGROUP'!$U$28/3,IF($AW$7=$AL$16,'[4]4 trim 2016 BIOGROUP'!$U$25/3+'[4]4 trim 2016 BIOGROUP'!$U$27/3+'[4]4 trim 2016 BIOGROUP'!$U$28/3,IF($AW$7=$AL$18,'[4]4 trim 2016 BIOGROUP'!$U$25/3+'[4]4 trim 2016 BIOGROUP'!$U$27/3+'[4]4 trim 2016 BIOGROUP'!$U$28/3,IF($AW$7=$AL$19,'[4]4 trim 2016 BIOGROUP'!$U$25/3+'[4]4 trim 2016 BIOGROUP'!$U$27/3+'[4]4 trim 2016 BIOGROUP'!$U$28/3,""))))))</f>
        <v>9622.8339166666665</v>
      </c>
      <c r="AX25" s="431">
        <f>IF($AX$7=$AL$13,'[4]3 trim 2016 BIOGROUP'!$U$25/3+'[4]3 trim 2016 BIOGROUP'!$U$27/3+'[4]3 trim 2016 BIOGROUP'!$U$28/3,IF($AX$7=$AL$14,'[4]3 trim 2016 BIOGROUP'!$U$25/3+'[4]3 trim 2016 BIOGROUP'!$U$27/3+'[4]3 trim 2016 BIOGROUP'!$U$28/3,IF($AX$7=$AL$15,'[4]3 trim 2016 BIOGROUP'!$U$25/3+'[4]3 trim 2016 BIOGROUP'!$U$27/3+'[4]3 trim 2016 BIOGROUP'!$U$28/3,IF($AX$7=$AL$16,'[4]4 trim 2016 BIOGROUP'!$U$25/3+'[4]4 trim 2016 BIOGROUP'!$U$27/3+'[4]4 trim 2016 BIOGROUP'!$U$28/3,IF($AX$7=$AL$18,'[4]4 trim 2016 BIOGROUP'!$U$25/3+'[4]4 trim 2016 BIOGROUP'!$U$27/3+'[4]4 trim 2016 BIOGROUP'!$U$28/3,IF($AX$7=$AL$19,'[4]4 trim 2016 BIOGROUP'!$U$25/3+'[4]4 trim 2016 BIOGROUP'!$U$27/3+'[4]4 trim 2016 BIOGROUP'!$U$28/3,""))))))</f>
        <v>9622.8339166666665</v>
      </c>
      <c r="AY25" s="431">
        <f>IF($AY$7=$AL$13,'[4]3 trim 2016 BIOGROUP'!$U$25/3+'[4]3 trim 2016 BIOGROUP'!$U$27/3+'[4]3 trim 2016 BIOGROUP'!$U$28/3,IF($AY$7=$AL$14,'[4]3 trim 2016 BIOGROUP'!$U$25/3+'[4]3 trim 2016 BIOGROUP'!$U$27/3+'[4]3 trim 2016 BIOGROUP'!$U$28/3,IF($AY$7=$AL$15,'[4]3 trim 2016 BIOGROUP'!$U$25/3+'[4]3 trim 2016 BIOGROUP'!$U$27/3+'[4]3 trim 2016 BIOGROUP'!$U$28/3,IF($AY$7=$AL$16,'[4]4 trim 2016 BIOGROUP'!$U$25/3+'[4]4 trim 2016 BIOGROUP'!$U$27/3+'[4]4 trim 2016 BIOGROUP'!$U$28/3,IF($AY$7=$AL$18,'[4]4 trim 2016 BIOGROUP'!$U$25/3+'[4]4 trim 2016 BIOGROUP'!$U$27/3+'[4]4 trim 2016 BIOGROUP'!$U$28/3,IF($AY$7=$AL$19,'[4]4 trim 2016 BIOGROUP'!$U$25/3+'[4]4 trim 2016 BIOGROUP'!$U$27/3+'[4]4 trim 2016 BIOGROUP'!$U$28/3,""))))))</f>
        <v>9622.8339166666665</v>
      </c>
      <c r="AZ25" s="431">
        <f>IF($AZ$7=$AL$13,'[4]3 trim 2016 BIOGROUP'!$U$25/3+'[4]3 trim 2016 BIOGROUP'!$U$27/3+'[4]3 trim 2016 BIOGROUP'!$U$28/3,IF($AZ$7=$AL$14,'[4]3 trim 2016 BIOGROUP'!$U$25/3+'[4]3 trim 2016 BIOGROUP'!$U$27/3+'[4]3 trim 2016 BIOGROUP'!$U$28/3,IF($AZ$7=$AL$15,'[4]3 trim 2016 BIOGROUP'!$U$25/3+'[4]3 trim 2016 BIOGROUP'!$U$27/3+'[4]3 trim 2016 BIOGROUP'!$U$28/3,IF($AZ$7=$AL$16,'[4]4 trim 2016 BIOGROUP'!$U$25/3+'[4]4 trim 2016 BIOGROUP'!$U$27/3+'[4]4 trim 2016 BIOGROUP'!$U$28/3,IF($AZ$7=$AL$18,'[4]4 trim 2016 BIOGROUP'!$U$25/3+'[4]4 trim 2016 BIOGROUP'!$U$27/3+'[4]4 trim 2016 BIOGROUP'!$U$28/3,IF($AZ$7=$AL$19,'[4]4 trim 2016 BIOGROUP'!$U$25/3+'[4]4 trim 2016 BIOGROUP'!$U$27/3+'[4]4 trim 2016 BIOGROUP'!$U$28/3,""))))))</f>
        <v>9622.8339166666665</v>
      </c>
      <c r="BB25" s="511">
        <f t="shared" si="5"/>
        <v>957546.21</v>
      </c>
      <c r="BC25" s="750"/>
    </row>
    <row r="26" spans="1:55" ht="26.15" customHeight="1">
      <c r="A26" s="575"/>
      <c r="B26" s="548">
        <v>645</v>
      </c>
      <c r="C26" s="450" t="s">
        <v>147</v>
      </c>
      <c r="D26" s="619"/>
      <c r="E26" s="450" t="s">
        <v>11</v>
      </c>
      <c r="F26" s="577"/>
      <c r="G26" s="475">
        <f>-577331.07-G27-G30</f>
        <v>-529379.28</v>
      </c>
      <c r="H26" s="578">
        <f>G26/G7</f>
        <v>-8.5352827654606583E-2</v>
      </c>
      <c r="J26" s="495">
        <f>-SUMIF($AO$7:$AZ$7,$G$6,AO26:AZ26)</f>
        <v>0</v>
      </c>
      <c r="K26" s="532" t="str">
        <f t="shared" si="6"/>
        <v/>
      </c>
      <c r="L26" s="431"/>
      <c r="M26" s="579">
        <f>AG26/3</f>
        <v>-476437.33</v>
      </c>
      <c r="N26" s="517">
        <f t="shared" si="1"/>
        <v>0.11112049091535293</v>
      </c>
      <c r="O26" s="580"/>
      <c r="P26" s="581" t="s">
        <v>11</v>
      </c>
      <c r="Q26" s="582" t="e">
        <f>+#REF!+'31 dec 2016 BIOLAM'!AT29+'31 dec 2016 BIOLAM'!AT30+'31 dec 2016 BIOLAM'!AT31</f>
        <v>#REF!</v>
      </c>
      <c r="R26" s="583" t="e">
        <f>Q26/Q$7</f>
        <v>#REF!</v>
      </c>
      <c r="S26" s="582" t="e">
        <f>+'31 dec 2016 BIOLAM'!AV29+#REF!+'31 dec 2016 BIOLAM'!AV30+'31 dec 2016 BIOLAM'!AV31</f>
        <v>#REF!</v>
      </c>
      <c r="T26" s="583" t="e">
        <f>S26/S$7</f>
        <v>#REF!</v>
      </c>
      <c r="U26" s="582" t="e">
        <f>+'31 dec 2016 BIOLAM'!AX29+#REF!+'31 dec 2016 BIOLAM'!AX30+'31 dec 2016 BIOLAM'!AX31</f>
        <v>#REF!</v>
      </c>
      <c r="V26" s="583" t="e">
        <f>U26/U$7</f>
        <v>#REF!</v>
      </c>
      <c r="W26" s="582" t="e">
        <f>+'31 dec 2016 BIOLAM'!AZ29+#REF!+'31 dec 2016 BIOLAM'!AZ30+'31 dec 2016 BIOLAM'!AZ31</f>
        <v>#REF!</v>
      </c>
      <c r="X26" s="583" t="e">
        <f>W26/W$7</f>
        <v>#REF!</v>
      </c>
      <c r="Y26" s="582" t="e">
        <f t="shared" si="16"/>
        <v>#REF!</v>
      </c>
      <c r="Z26" s="583" t="e">
        <f>Y26/Y$7</f>
        <v>#REF!</v>
      </c>
      <c r="AA26" s="584" t="e">
        <f t="shared" si="12"/>
        <v>#REF!</v>
      </c>
      <c r="AB26" s="475">
        <f>-1798710.63-AB27-AB30</f>
        <v>-1656126.15</v>
      </c>
      <c r="AC26" s="578">
        <f>AB26/AB7</f>
        <v>-9.2789317855855577E-2</v>
      </c>
      <c r="AD26" s="495">
        <f>-SUMIF($AO$7:$AZ$7,"&lt;="&amp;$AC$6,AO26:AZ26)</f>
        <v>0</v>
      </c>
      <c r="AE26" s="517" t="str">
        <f t="shared" si="3"/>
        <v/>
      </c>
      <c r="AG26" s="579">
        <f>-961446.56-637673.31-AG27-AG30</f>
        <v>-1429311.99</v>
      </c>
      <c r="AH26" s="517">
        <f t="shared" si="4"/>
        <v>0.15868764943334723</v>
      </c>
      <c r="AJ26" s="620"/>
      <c r="AL26" s="435"/>
      <c r="AM26" s="450" t="s">
        <v>11</v>
      </c>
      <c r="AN26" s="747"/>
      <c r="AO26" s="431">
        <f>IF($AO$7=$AL$7,'[4]1 trim 2016 BIOGROUP'!$U$29/3,IF($AO$7=$AL$8,'[4]1 trim 2016 BIOGROUP'!$U$29/3,IF($AO$7=$AL$9,'[4]1 trim 2016 BIOGROUP'!$U$29/3,IF($AO$7=$AL$10,'[4]2 trim 2016 BIOGROUP'!$U$29/3,IF($AO$7=$AL$11,'[4]2 trim 2016 BIOGROUP'!$U$29/3,IF($AO$7=$AL$12,'[4]2 trim 2016 BIOGROUP'!$U$29/3,""))))))</f>
        <v>8858.8917999999994</v>
      </c>
      <c r="AP26" s="431">
        <f>IF($AP$7=$AL$7,'[4]1 trim 2016 BIOGROUP'!$U$29/3,IF($AP$7=$AL$8,'[4]1 trim 2016 BIOGROUP'!$U$29/3,IF($AP$7=$AL$9,'[4]1 trim 2016 BIOGROUP'!$U$29/3,IF($AP$7=$AL$10,'[4]2 trim 2016 BIOGROUP'!$U$29/3,IF($AP$7=$AL$11,'[4]2 trim 2016 BIOGROUP'!$U$29/3,IF($AP$7=$AL$12,'[4]2 trim 2016 BIOGROUP'!$U$29/3,""))))))</f>
        <v>8858.8917999999994</v>
      </c>
      <c r="AQ26" s="431">
        <f>IF($AQ$7=$AL$7,'[4]1 trim 2016 BIOGROUP'!$U$29/3,IF($AQ$7=$AL$8,'[4]1 trim 2016 BIOGROUP'!$U$29/3,IF($AQ$7=$AL$9,'[4]1 trim 2016 BIOGROUP'!$U$29/3,IF($AQ$7=$AL$10,'[4]2 trim 2016 BIOGROUP'!$U$29/3,IF($AQ$7=$AL$11,'[4]2 trim 2016 BIOGROUP'!$U$29/3,IF($AQ$7=$AL$12,'[4]2 trim 2016 BIOGROUP'!$U$29/3,""))))))</f>
        <v>8858.8917999999994</v>
      </c>
      <c r="AR26" s="431">
        <f>IF($AR$7=$AL$7,'[4]1 trim 2016 BIOGROUP'!$U$29/3,IF($AR$7=$AL$8,'[4]1 trim 2016 BIOGROUP'!$U$29/3,IF($AR$7=$AL$9,'[4]1 trim 2016 BIOGROUP'!$U$29/3,IF($AR$7=$AL$10,'[4]2 trim 2016 BIOGROUP'!$U$29/3,IF($AR$7=$AL$11,'[4]2 trim 2016 BIOGROUP'!$U$29/3,IF($AR$7=$AL$12,'[4]2 trim 2016 BIOGROUP'!$U$29/3,""))))))</f>
        <v>8858.8917999999994</v>
      </c>
      <c r="AS26" s="431">
        <f>IF($AS$7=$AL$7,'[4]1 trim 2016 BIOGROUP'!$U$29/3,IF($AS$7=$AL$8,'[4]1 trim 2016 BIOGROUP'!$U$29/3,IF($AS$7=$AL$9,'[4]1 trim 2016 BIOGROUP'!$U$29/3,IF($AS$7=$AL$10,'[4]2 trim 2016 BIOGROUP'!$U$29/3,IF($AS$7=$AL$11,'[4]2 trim 2016 BIOGROUP'!$U$29/3,IF($AS$7=$AL$12,'[4]2 trim 2016 BIOGROUP'!$U$29/3,""))))))</f>
        <v>8858.8917999999994</v>
      </c>
      <c r="AT26" s="431">
        <f>IF($AT$7=$AL$7,'[4]1 trim 2016 BIOGROUP'!$U$29/3,IF($AT$7=$AL$8,'[4]1 trim 2016 BIOGROUP'!$U$29/3,IF($AT$7=$AL$9,'[4]1 trim 2016 BIOGROUP'!$U$29/3,IF($AT$7=$AL$10,'[4]2 trim 2016 BIOGROUP'!$U$29/3,IF($AT$7=$AL$11,'[4]2 trim 2016 BIOGROUP'!$U$29/3,IF($AT$7=$AL$12,'[4]2 trim 2016 BIOGROUP'!$U$29/3,""))))))</f>
        <v>8858.8917999999994</v>
      </c>
      <c r="AU26" s="431">
        <f>IF($AU$7=$AL$13,'[4]3 trim 2016 BIOGROUP'!$U$29/3,IF($AU$7=$AL$14,'[4]3 trim 2016 BIOGROUP'!$U$29/3,IF($AU$7=$AL$15,'[4]3 trim 2016 BIOGROUP'!$U$29/3,IF($AU$7=$AL$16,'[4]4 trim 2016 BIOGROUP'!$U$29/3,IF($AU$7=$AL$18,'[4]4 trim 2016 BIOGROUP'!$U$29/3,IF($AU$7=$AL$19,'[4]4 trim 2016 BIOGROUP'!$U$29/3,""))))))</f>
        <v>8858.8917999999994</v>
      </c>
      <c r="AV26" s="431">
        <f>IF($AV$7=$AL$13,'[4]3 trim 2016 BIOGROUP'!$U$29/3,IF($AV$7=$AL$14,'[4]3 trim 2016 BIOGROUP'!$U$29/3,IF($AV$7=$AL$15,'[4]3 trim 2016 BIOGROUP'!$U$29/3,IF($AV$7=$AL$16,'[4]4 trim 2016 BIOGROUP'!$U$29/3,IF($AV$7=$AL$18,'[4]4 trim 2016 BIOGROUP'!$U$29/3,IF($AV$7=$AL$19,'[4]4 trim 2016 BIOGROUP'!$U$29/3,""))))))</f>
        <v>8858.8917999999994</v>
      </c>
      <c r="AW26" s="431">
        <f>IF($AW$7=$AL$13,'[4]3 trim 2016 BIOGROUP'!$U$29/3,IF($AW$7=$AL$14,'[4]3 trim 2016 BIOGROUP'!$U$29/3,IF($AW$7=$AL$15,'[4]3 trim 2016 BIOGROUP'!$U$29/3,IF($AW$7=$AL$16,'[4]4 trim 2016 BIOGROUP'!$U$29/3,IF($AW$7=$AL$18,'[4]4 trim 2016 BIOGROUP'!$U$29/3,IF($AW$7=$AL$19,'[4]4 trim 2016 BIOGROUP'!$U$29/3,""))))))</f>
        <v>8858.8917999999994</v>
      </c>
      <c r="AX26" s="431">
        <f>IF($AX$7=$AL$13,'[4]3 trim 2016 BIOGROUP'!$U$29/3,IF($AX$7=$AL$14,'[4]3 trim 2016 BIOGROUP'!$U$29/3,IF($AX$7=$AL$15,'[4]3 trim 2016 BIOGROUP'!$U$29/3,IF($AX$7=$AL$16,'[4]4 trim 2016 BIOGROUP'!$U$29/3,IF($AX$7=$AL$18,'[4]4 trim 2016 BIOGROUP'!$U$29/3,IF($AX$7=$AL$19,'[4]4 trim 2016 BIOGROUP'!$U$29/3,""))))))</f>
        <v>8858.8917999999994</v>
      </c>
      <c r="AY26" s="431">
        <f>IF($AY$7=$AL$13,'[4]3 trim 2016 BIOGROUP'!$U$29/3,IF($AY$7=$AL$14,'[4]3 trim 2016 BIOGROUP'!$U$29/3,IF($AY$7=$AL$15,'[4]3 trim 2016 BIOGROUP'!$U$29/3,IF($AY$7=$AL$16,'[4]4 trim 2016 BIOGROUP'!$U$29/3,IF($AY$7=$AL$18,'[4]4 trim 2016 BIOGROUP'!$U$29/3,IF($AY$7=$AL$19,'[4]4 trim 2016 BIOGROUP'!$U$29/3,""))))))</f>
        <v>8858.8917999999994</v>
      </c>
      <c r="AZ26" s="431">
        <f>IF($AZ$7=$AL$13,'[4]3 trim 2016 BIOGROUP'!$U$29/3,IF($AZ$7=$AL$14,'[4]3 trim 2016 BIOGROUP'!$U$29/3,IF($AZ$7=$AL$15,'[4]3 trim 2016 BIOGROUP'!$U$29/3,IF($AZ$7=$AL$16,'[4]4 trim 2016 BIOGROUP'!$U$29/3,IF($AZ$7=$AL$18,'[4]4 trim 2016 BIOGROUP'!$U$29/3,IF($AZ$7=$AL$19,'[4]4 trim 2016 BIOGROUP'!$U$29/3,""))))))</f>
        <v>8858.8917999999994</v>
      </c>
      <c r="BB26" s="511">
        <f t="shared" si="5"/>
        <v>1656126.15</v>
      </c>
      <c r="BC26" s="750"/>
    </row>
    <row r="27" spans="1:55" ht="26.15" customHeight="1">
      <c r="A27" s="575"/>
      <c r="B27" s="548">
        <v>646</v>
      </c>
      <c r="C27" s="446" t="s">
        <v>146</v>
      </c>
      <c r="D27" s="555"/>
      <c r="E27" s="446" t="s">
        <v>32</v>
      </c>
      <c r="F27" s="577"/>
      <c r="G27" s="475">
        <v>-89789.84</v>
      </c>
      <c r="H27" s="578">
        <f>G27/G7</f>
        <v>-1.4476986592022831E-2</v>
      </c>
      <c r="J27" s="495">
        <f>-SUMIF($AO$7:$AZ$7,$G$6,AO27:AZ27)</f>
        <v>0</v>
      </c>
      <c r="K27" s="532" t="str">
        <f t="shared" si="6"/>
        <v/>
      </c>
      <c r="L27" s="431"/>
      <c r="M27" s="579">
        <f>AG27/3</f>
        <v>-98484.263333333351</v>
      </c>
      <c r="N27" s="517">
        <f t="shared" si="1"/>
        <v>-8.8282361456123185E-2</v>
      </c>
      <c r="O27" s="580"/>
      <c r="P27" s="586" t="s">
        <v>32</v>
      </c>
      <c r="Q27" s="582" t="e">
        <f>+#REF!+'31 dec 2016 BIOLAM'!AT33</f>
        <v>#REF!</v>
      </c>
      <c r="R27" s="583" t="e">
        <f>Q27/Q$7</f>
        <v>#REF!</v>
      </c>
      <c r="S27" s="582" t="e">
        <f>+'31 dec 2016 BIOLAM'!AV33+#REF!</f>
        <v>#REF!</v>
      </c>
      <c r="T27" s="583" t="e">
        <f>S27/S$7</f>
        <v>#REF!</v>
      </c>
      <c r="U27" s="582" t="e">
        <f>+'31 dec 2016 BIOLAM'!AX33+#REF!</f>
        <v>#REF!</v>
      </c>
      <c r="V27" s="583" t="e">
        <f>U27/U$7</f>
        <v>#REF!</v>
      </c>
      <c r="W27" s="582" t="e">
        <f>+'31 dec 2016 BIOLAM'!AZ33+#REF!</f>
        <v>#REF!</v>
      </c>
      <c r="X27" s="583" t="e">
        <f>W27/W$7</f>
        <v>#REF!</v>
      </c>
      <c r="Y27" s="582" t="e">
        <f t="shared" si="16"/>
        <v>#REF!</v>
      </c>
      <c r="Z27" s="583" t="e">
        <f>Y27/Y$7</f>
        <v>#REF!</v>
      </c>
      <c r="AA27" s="584" t="e">
        <f t="shared" si="12"/>
        <v>#REF!</v>
      </c>
      <c r="AB27" s="475">
        <f>-268797.48</f>
        <v>-268797.48</v>
      </c>
      <c r="AC27" s="578">
        <f>AB27/AB7</f>
        <v>-1.5060166045064249E-2</v>
      </c>
      <c r="AD27" s="495">
        <f>-SUMIF($AO$7:$AZ$7,"&lt;="&amp;$AC$6,AO27:AZ27)</f>
        <v>0</v>
      </c>
      <c r="AE27" s="517" t="str">
        <f t="shared" si="3"/>
        <v/>
      </c>
      <c r="AG27" s="579">
        <f>-189033.29-106419.5</f>
        <v>-295452.79000000004</v>
      </c>
      <c r="AH27" s="517">
        <f t="shared" si="4"/>
        <v>-9.0218508344429751E-2</v>
      </c>
      <c r="AJ27" s="587"/>
      <c r="AL27" s="435"/>
      <c r="AM27" s="446" t="s">
        <v>32</v>
      </c>
      <c r="AN27" s="747"/>
      <c r="AO27" s="431">
        <f>IF($AO$7=$AL$7,'[4]1 trim 2016 BIOGROUP'!$U$33/3+'[4]1 trim 2016 BIOGROUP'!$U$34/3,IF($AO$7=$AL$8,'[4]1 trim 2016 BIOGROUP'!$U$33/3+'[4]1 trim 2016 BIOGROUP'!$U$34/3,IF($AO$7=$AL$9,'[4]1 trim 2016 BIOGROUP'!$U$33/3+'[4]1 trim 2016 BIOGROUP'!$U$34/3,IF($AO$7=$AL$10,'[4]2 trim 2016 BIOGROUP'!$U$33/3+'[4]2 trim 2016 BIOGROUP'!$U$34/3,IF($AO$7=$AL$11,'[4]2 trim 2016 BIOGROUP'!$U$33/3+'[4]2 trim 2016 BIOGROUP'!$U$34/3,IF($AO$7=$AL$12,'[4]2 trim 2016 BIOGROUP'!$U$33/3+'[4]2 trim 2016 BIOGROUP'!$U$34/3,""))))))</f>
        <v>0</v>
      </c>
      <c r="AP27" s="431">
        <f>IF($AP$7=$AL$7,'[4]1 trim 2016 BIOGROUP'!$U$33/3+'[4]1 trim 2016 BIOGROUP'!$U$34/3,IF($AP$7=$AL$8,'[4]1 trim 2016 BIOGROUP'!$U$33/3+'[4]1 trim 2016 BIOGROUP'!$U$34/3,IF($AP$7=$AL$9,'[4]1 trim 2016 BIOGROUP'!$U$33/3+'[4]1 trim 2016 BIOGROUP'!$U$34/3,IF($AP$7=$AL$10,'[4]2 trim 2016 BIOGROUP'!$U$33/3+'[4]2 trim 2016 BIOGROUP'!$U$34/3,IF($AP$7=$AL$11,'[4]2 trim 2016 BIOGROUP'!$U$33/3+'[4]2 trim 2016 BIOGROUP'!$U$34/3,IF($AP$7=$AL$12,'[4]2 trim 2016 BIOGROUP'!$U$33/3+'[4]2 trim 2016 BIOGROUP'!$U$34/3,""))))))</f>
        <v>0</v>
      </c>
      <c r="AQ27" s="431">
        <f>IF($AQ$7=$AL$7,'[4]1 trim 2016 BIOGROUP'!$U$33/3+'[4]1 trim 2016 BIOGROUP'!$U$34/3,IF($AQ$7=$AL$8,'[4]1 trim 2016 BIOGROUP'!$U$33/3+'[4]1 trim 2016 BIOGROUP'!$U$34/3,IF($AQ$7=$AL$9,'[4]1 trim 2016 BIOGROUP'!$U$33/3+'[4]1 trim 2016 BIOGROUP'!$U$34/3,IF($AQ$7=$AL$10,'[4]2 trim 2016 BIOGROUP'!$U$33/3+'[4]2 trim 2016 BIOGROUP'!$U$34/3,IF($AQ$7=$AL$11,'[4]2 trim 2016 BIOGROUP'!$U$33/3+'[4]2 trim 2016 BIOGROUP'!$U$34/3,IF($AQ$7=$AL$12,'[4]2 trim 2016 BIOGROUP'!$U$33/3+'[4]2 trim 2016 BIOGROUP'!$U$34/3,""))))))</f>
        <v>0</v>
      </c>
      <c r="AR27" s="431">
        <f>IF($AR$7=$AL$7,'[4]1 trim 2016 BIOGROUP'!$U$33/3+'[4]1 trim 2016 BIOGROUP'!$U$34/3,IF($AR$7=$AL$8,'[4]1 trim 2016 BIOGROUP'!$U$33/3+'[4]1 trim 2016 BIOGROUP'!$U$34/3,IF($AR$7=$AL$9,'[4]1 trim 2016 BIOGROUP'!$U$33/3+'[4]1 trim 2016 BIOGROUP'!$U$34/3,IF($AR$7=$AL$10,'[4]2 trim 2016 BIOGROUP'!$U$33/3+'[4]2 trim 2016 BIOGROUP'!$U$34/3,IF($AR$7=$AL$11,'[4]2 trim 2016 BIOGROUP'!$U$33/3+'[4]2 trim 2016 BIOGROUP'!$U$34/3,IF($AR$7=$AL$12,'[4]2 trim 2016 BIOGROUP'!$U$33/3+'[4]2 trim 2016 BIOGROUP'!$U$34/3,""))))))</f>
        <v>0</v>
      </c>
      <c r="AS27" s="431">
        <f>IF($AS$7=$AL$7,'[4]1 trim 2016 BIOGROUP'!$U$33/3+'[4]1 trim 2016 BIOGROUP'!$U$34/3,IF($AS$7=$AL$8,'[4]1 trim 2016 BIOGROUP'!$U$33/3+'[4]1 trim 2016 BIOGROUP'!$U$34/3,IF($AS$7=$AL$9,'[4]1 trim 2016 BIOGROUP'!$U$33/3+'[4]1 trim 2016 BIOGROUP'!$U$34/3,IF($AS$7=$AL$10,'[4]2 trim 2016 BIOGROUP'!$U$33/3+'[4]2 trim 2016 BIOGROUP'!$U$34/3,IF($AS$7=$AL$11,'[4]2 trim 2016 BIOGROUP'!$U$33/3+'[4]2 trim 2016 BIOGROUP'!$U$34/3,IF($AS$7=$AL$12,'[4]2 trim 2016 BIOGROUP'!$U$33/3+'[4]2 trim 2016 BIOGROUP'!$U$34/3,""))))))</f>
        <v>0</v>
      </c>
      <c r="AT27" s="431">
        <f>IF($AT$7=$AL$7,'[4]1 trim 2016 BIOGROUP'!$U$33/3+'[4]1 trim 2016 BIOGROUP'!$U$34/3,IF($AT$7=$AL$8,'[4]1 trim 2016 BIOGROUP'!$U$33/3+'[4]1 trim 2016 BIOGROUP'!$U$34/3,IF($AT$7=$AL$9,'[4]1 trim 2016 BIOGROUP'!$U$33/3+'[4]1 trim 2016 BIOGROUP'!$U$34/3,IF($AT$7=$AL$10,'[4]2 trim 2016 BIOGROUP'!$U$33/3+'[4]2 trim 2016 BIOGROUP'!$U$34/3,IF($AT$7=$AL$11,'[4]2 trim 2016 BIOGROUP'!$U$33/3+'[4]2 trim 2016 BIOGROUP'!$U$34/3,IF($AT$7=$AL$12,'[4]2 trim 2016 BIOGROUP'!$U$33/3+'[4]2 trim 2016 BIOGROUP'!$U$34/3,""))))))</f>
        <v>0</v>
      </c>
      <c r="AU27" s="431">
        <f>IF($AU$7=$AL$13,'[4]3 trim 2016 BIOGROUP'!$U$33/3+'[4]3 trim 2016 BIOGROUP'!$U$34/3,IF($AU$7=$AL$14,'[4]3 trim 2016 BIOGROUP'!$U$33/3+'[4]3 trim 2016 BIOGROUP'!$U$34/3,IF($AU$7=$AL$15,'[4]3 trim 2016 BIOGROUP'!$U$33/3+'[4]3 trim 2016 BIOGROUP'!$U$34/3,IF($AU$7=$AL$16,'[4]4 trim 2016 BIOGROUP'!$U$33/3+'[4]4 trim 2016 BIOGROUP'!$U$34/3,IF($AU$7=$AL$18,'[4]4 trim 2016 BIOGROUP'!$U$33/3+'[4]4 trim 2016 BIOGROUP'!$U$34/3,IF($AU$7=$AL$19,'[4]4 trim 2016 BIOGROUP'!$U$33/3+'[4]4 trim 2016 BIOGROUP'!$U$34/3,""))))))</f>
        <v>0</v>
      </c>
      <c r="AV27" s="431">
        <f>IF($AV$7=$AL$13,'[4]3 trim 2016 BIOGROUP'!$U$33/3+'[4]3 trim 2016 BIOGROUP'!$U$34/3,IF($AV$7=$AL$14,'[4]3 trim 2016 BIOGROUP'!$U$33/3+'[4]3 trim 2016 BIOGROUP'!$U$34/3,IF($AV$7=$AL$15,'[4]3 trim 2016 BIOGROUP'!$U$33/3+'[4]3 trim 2016 BIOGROUP'!$U$34/3,IF($AV$7=$AL$16,'[4]4 trim 2016 BIOGROUP'!$U$33/3+'[4]4 trim 2016 BIOGROUP'!$U$34/3,IF($AV$7=$AL$18,'[4]4 trim 2016 BIOGROUP'!$U$33/3+'[4]4 trim 2016 BIOGROUP'!$U$34/3,IF($AV$7=$AL$19,'[4]4 trim 2016 BIOGROUP'!$U$33/3+'[4]4 trim 2016 BIOGROUP'!$U$34/3,""))))))</f>
        <v>0</v>
      </c>
      <c r="AW27" s="431">
        <f>IF($AW$7=$AL$13,'[4]3 trim 2016 BIOGROUP'!$U$33/3+'[4]3 trim 2016 BIOGROUP'!$U$34/3,IF($AW$7=$AL$14,'[4]3 trim 2016 BIOGROUP'!$U$33/3+'[4]3 trim 2016 BIOGROUP'!$U$34/3,IF($AW$7=$AL$15,'[4]3 trim 2016 BIOGROUP'!$U$33/3+'[4]3 trim 2016 BIOGROUP'!$U$34/3,IF($AW$7=$AL$16,'[4]4 trim 2016 BIOGROUP'!$U$33/3+'[4]4 trim 2016 BIOGROUP'!$U$34/3,IF($AW$7=$AL$18,'[4]4 trim 2016 BIOGROUP'!$U$33/3+'[4]4 trim 2016 BIOGROUP'!$U$34/3,IF($AW$7=$AL$19,'[4]4 trim 2016 BIOGROUP'!$U$33/3+'[4]4 trim 2016 BIOGROUP'!$U$34/3,""))))))</f>
        <v>0</v>
      </c>
      <c r="AX27" s="431">
        <f>IF($AX$7=$AL$13,'[4]3 trim 2016 BIOGROUP'!$U$33/3+'[4]3 trim 2016 BIOGROUP'!$U$34/3,IF($AX$7=$AL$14,'[4]3 trim 2016 BIOGROUP'!$U$33/3+'[4]3 trim 2016 BIOGROUP'!$U$34/3,IF($AX$7=$AL$15,'[4]3 trim 2016 BIOGROUP'!$U$33/3+'[4]3 trim 2016 BIOGROUP'!$U$34/3,IF($AX$7=$AL$16,'[4]4 trim 2016 BIOGROUP'!$U$33/3+'[4]4 trim 2016 BIOGROUP'!$U$34/3,IF($AX$7=$AL$18,'[4]4 trim 2016 BIOGROUP'!$U$33/3+'[4]4 trim 2016 BIOGROUP'!$U$34/3,IF($AX$7=$AL$19,'[4]4 trim 2016 BIOGROUP'!$U$33/3+'[4]4 trim 2016 BIOGROUP'!$U$34/3,""))))))</f>
        <v>0</v>
      </c>
      <c r="AY27" s="431">
        <f>IF($AY$7=$AL$13,'[4]3 trim 2016 BIOGROUP'!$U$33/3+'[4]3 trim 2016 BIOGROUP'!$U$34/3,IF($AY$7=$AL$14,'[4]3 trim 2016 BIOGROUP'!$U$33/3+'[4]3 trim 2016 BIOGROUP'!$U$34/3,IF($AY$7=$AL$15,'[4]3 trim 2016 BIOGROUP'!$U$33/3+'[4]3 trim 2016 BIOGROUP'!$U$34/3,IF($AY$7=$AL$16,'[4]4 trim 2016 BIOGROUP'!$U$33/3+'[4]4 trim 2016 BIOGROUP'!$U$34/3,IF($AY$7=$AL$18,'[4]4 trim 2016 BIOGROUP'!$U$33/3+'[4]4 trim 2016 BIOGROUP'!$U$34/3,IF($AY$7=$AL$19,'[4]4 trim 2016 BIOGROUP'!$U$33/3+'[4]4 trim 2016 BIOGROUP'!$U$34/3,""))))))</f>
        <v>0</v>
      </c>
      <c r="AZ27" s="431">
        <f>IF($AZ$7=$AL$13,'[4]3 trim 2016 BIOGROUP'!$U$33/3+'[4]3 trim 2016 BIOGROUP'!$U$34/3,IF($AZ$7=$AL$14,'[4]3 trim 2016 BIOGROUP'!$U$33/3+'[4]3 trim 2016 BIOGROUP'!$U$34/3,IF($AZ$7=$AL$15,'[4]3 trim 2016 BIOGROUP'!$U$33/3+'[4]3 trim 2016 BIOGROUP'!$U$34/3,IF($AZ$7=$AL$16,'[4]4 trim 2016 BIOGROUP'!$U$33/3+'[4]4 trim 2016 BIOGROUP'!$U$34/3,IF($AZ$7=$AL$18,'[4]4 trim 2016 BIOGROUP'!$U$33/3+'[4]4 trim 2016 BIOGROUP'!$U$34/3,IF($AZ$7=$AL$19,'[4]4 trim 2016 BIOGROUP'!$U$33/3+'[4]4 trim 2016 BIOGROUP'!$U$34/3,""))))))</f>
        <v>0</v>
      </c>
      <c r="BB27" s="511">
        <f t="shared" si="5"/>
        <v>268797.48</v>
      </c>
      <c r="BC27" s="750"/>
    </row>
    <row r="28" spans="1:55" ht="26.15" customHeight="1">
      <c r="A28" s="575"/>
      <c r="B28" s="548">
        <v>654</v>
      </c>
      <c r="C28" s="451" t="s">
        <v>92</v>
      </c>
      <c r="D28" s="439"/>
      <c r="E28" s="451" t="s">
        <v>93</v>
      </c>
      <c r="F28" s="577"/>
      <c r="G28" s="476">
        <v>0</v>
      </c>
      <c r="H28" s="591">
        <f>+G28/G7</f>
        <v>0</v>
      </c>
      <c r="J28" s="501">
        <v>0</v>
      </c>
      <c r="K28" s="530" t="str">
        <f t="shared" si="6"/>
        <v/>
      </c>
      <c r="L28" s="431"/>
      <c r="M28" s="598">
        <f>AG28/3</f>
        <v>0</v>
      </c>
      <c r="N28" s="518" t="str">
        <f t="shared" si="1"/>
        <v/>
      </c>
      <c r="O28" s="592"/>
      <c r="P28" s="621"/>
      <c r="Q28" s="607"/>
      <c r="R28" s="622"/>
      <c r="S28" s="607"/>
      <c r="T28" s="622"/>
      <c r="U28" s="607"/>
      <c r="V28" s="622"/>
      <c r="W28" s="607"/>
      <c r="X28" s="622"/>
      <c r="Y28" s="607"/>
      <c r="Z28" s="622"/>
      <c r="AA28" s="609"/>
      <c r="AB28" s="476">
        <v>0</v>
      </c>
      <c r="AC28" s="591">
        <f>AB28/AB7</f>
        <v>0</v>
      </c>
      <c r="AD28" s="501">
        <v>0</v>
      </c>
      <c r="AE28" s="518" t="str">
        <f t="shared" si="3"/>
        <v/>
      </c>
      <c r="AG28" s="598">
        <v>0</v>
      </c>
      <c r="AH28" s="518" t="str">
        <f t="shared" si="4"/>
        <v/>
      </c>
      <c r="AL28" s="435"/>
      <c r="AM28" s="451" t="s">
        <v>93</v>
      </c>
      <c r="AN28" s="747"/>
      <c r="BB28" s="511">
        <f t="shared" si="5"/>
        <v>0</v>
      </c>
      <c r="BC28" s="750"/>
    </row>
    <row r="29" spans="1:55" ht="37.5" customHeight="1">
      <c r="A29" s="575"/>
      <c r="B29" s="548"/>
      <c r="C29" s="452" t="s">
        <v>94</v>
      </c>
      <c r="D29" s="439"/>
      <c r="E29" s="452" t="s">
        <v>117</v>
      </c>
      <c r="F29" s="577"/>
      <c r="G29" s="479">
        <f>+G11+G15+G21+G23+G28</f>
        <v>-4303161.16</v>
      </c>
      <c r="H29" s="623">
        <f>+G29/G7</f>
        <v>-0.6938068540564658</v>
      </c>
      <c r="J29" s="502">
        <f>+J11+J15+J21+J23+J28</f>
        <v>0</v>
      </c>
      <c r="K29" s="534" t="str">
        <f t="shared" si="6"/>
        <v/>
      </c>
      <c r="L29" s="431"/>
      <c r="M29" s="502">
        <f>+M11+M15+M21+M23+M28</f>
        <v>-3823112.0366666671</v>
      </c>
      <c r="N29" s="520">
        <f>IF(ISERROR((G29-M29)/M29),"",(G29-M29)/M29)</f>
        <v>0.12556501581153845</v>
      </c>
      <c r="O29" s="624"/>
      <c r="P29" s="625"/>
      <c r="Q29" s="594" t="e">
        <f>+#REF!+'31 dec 2016 BIOLAM'!AT35</f>
        <v>#REF!</v>
      </c>
      <c r="R29" s="517"/>
      <c r="S29" s="594" t="e">
        <f>+'31 dec 2016 BIOLAM'!AV35+#REF!</f>
        <v>#REF!</v>
      </c>
      <c r="T29" s="517"/>
      <c r="U29" s="594" t="e">
        <f>+'31 dec 2016 BIOLAM'!AX35+#REF!</f>
        <v>#REF!</v>
      </c>
      <c r="V29" s="517"/>
      <c r="W29" s="594" t="e">
        <f>+'31 dec 2016 BIOLAM'!AZ35+#REF!</f>
        <v>#REF!</v>
      </c>
      <c r="X29" s="517"/>
      <c r="Y29" s="594" t="e">
        <f t="shared" si="16"/>
        <v>#REF!</v>
      </c>
      <c r="Z29" s="517"/>
      <c r="AA29" s="626" t="e">
        <f>+G29-Y29</f>
        <v>#REF!</v>
      </c>
      <c r="AB29" s="479">
        <f>+AB11+AB15+AB21+AB23+AB28</f>
        <v>-12596002.210000001</v>
      </c>
      <c r="AC29" s="623">
        <f>AB29/AB7</f>
        <v>-0.70572791376837418</v>
      </c>
      <c r="AD29" s="502">
        <f>+AD11+AD15+AD21+AD23+AD28</f>
        <v>0</v>
      </c>
      <c r="AE29" s="520" t="str">
        <f t="shared" si="3"/>
        <v/>
      </c>
      <c r="AG29" s="502">
        <f>+AG11+AG15+AG21+AG23+AG28</f>
        <v>-11469336.109999999</v>
      </c>
      <c r="AH29" s="520">
        <f t="shared" si="4"/>
        <v>9.8232895888165014E-2</v>
      </c>
      <c r="AJ29" s="627"/>
      <c r="AL29" s="435"/>
      <c r="AM29" s="452" t="s">
        <v>117</v>
      </c>
      <c r="AN29" s="747"/>
      <c r="AO29" s="741">
        <f>+AO11+AO15+AO21+AO23+AO28</f>
        <v>-82291.195983333339</v>
      </c>
      <c r="AP29" s="741">
        <f t="shared" ref="AP29:AZ29" si="17">+AP11+AP15+AP21+AP23+AP28</f>
        <v>-82291.195983333339</v>
      </c>
      <c r="AQ29" s="741">
        <f t="shared" si="17"/>
        <v>-82291.195983333339</v>
      </c>
      <c r="AR29" s="741">
        <f t="shared" si="17"/>
        <v>-82291.195983333339</v>
      </c>
      <c r="AS29" s="741">
        <f t="shared" si="17"/>
        <v>-82291.195983333339</v>
      </c>
      <c r="AT29" s="741">
        <f t="shared" si="17"/>
        <v>-82291.195983333339</v>
      </c>
      <c r="AU29" s="741">
        <f t="shared" si="17"/>
        <v>-82291.195983333339</v>
      </c>
      <c r="AV29" s="741">
        <f t="shared" si="17"/>
        <v>-82291.195983333339</v>
      </c>
      <c r="AW29" s="741">
        <f t="shared" si="17"/>
        <v>-82291.195983333339</v>
      </c>
      <c r="AX29" s="741">
        <f t="shared" si="17"/>
        <v>-82291.195983333339</v>
      </c>
      <c r="AY29" s="741">
        <f t="shared" si="17"/>
        <v>-82291.195983333339</v>
      </c>
      <c r="AZ29" s="741">
        <f t="shared" si="17"/>
        <v>-82291.195983333339</v>
      </c>
      <c r="BB29" s="748">
        <f t="shared" si="5"/>
        <v>12596002.210000001</v>
      </c>
      <c r="BC29" s="752"/>
    </row>
    <row r="30" spans="1:55" s="439" customFormat="1" ht="33" customHeight="1">
      <c r="A30" s="628"/>
      <c r="B30" s="629"/>
      <c r="C30" s="453" t="s">
        <v>125</v>
      </c>
      <c r="D30" s="630"/>
      <c r="E30" s="453" t="s">
        <v>126</v>
      </c>
      <c r="F30" s="631"/>
      <c r="G30" s="480">
        <v>41838.050000000003</v>
      </c>
      <c r="H30" s="632">
        <f>G30/G7</f>
        <v>6.7456283348581629E-3</v>
      </c>
      <c r="I30" s="431"/>
      <c r="J30" s="503">
        <f>-SUMIF($AO$7:$AZ$7,$G$6,AO30:AZ30)</f>
        <v>0</v>
      </c>
      <c r="K30" s="535" t="str">
        <f t="shared" si="6"/>
        <v/>
      </c>
      <c r="L30" s="431"/>
      <c r="M30" s="633">
        <f>AG30/3</f>
        <v>41881.636666666665</v>
      </c>
      <c r="N30" s="527">
        <f t="shared" si="1"/>
        <v>-1.040710682191483E-3</v>
      </c>
      <c r="O30" s="634"/>
      <c r="P30" s="635" t="s">
        <v>61</v>
      </c>
      <c r="Q30" s="636" t="e">
        <f>+#REF!+'31 dec 2016 BIOLAM'!AT36</f>
        <v>#REF!</v>
      </c>
      <c r="R30" s="637" t="e">
        <f>Q30/Q$7</f>
        <v>#REF!</v>
      </c>
      <c r="S30" s="636" t="e">
        <f>+'31 dec 2016 BIOLAM'!AV36+#REF!</f>
        <v>#REF!</v>
      </c>
      <c r="T30" s="637" t="e">
        <f>S30/S$7</f>
        <v>#REF!</v>
      </c>
      <c r="U30" s="636" t="e">
        <f>+'31 dec 2016 BIOLAM'!AX36+#REF!</f>
        <v>#REF!</v>
      </c>
      <c r="V30" s="637" t="e">
        <f>U30/U$7</f>
        <v>#REF!</v>
      </c>
      <c r="W30" s="636" t="e">
        <f>+'31 dec 2016 BIOLAM'!AZ36+#REF!</f>
        <v>#REF!</v>
      </c>
      <c r="X30" s="637" t="e">
        <f>W30/W$7</f>
        <v>#REF!</v>
      </c>
      <c r="Y30" s="638" t="e">
        <f t="shared" si="16"/>
        <v>#REF!</v>
      </c>
      <c r="Z30" s="637" t="e">
        <f>Y30/Y$7</f>
        <v>#REF!</v>
      </c>
      <c r="AA30" s="639" t="e">
        <f>+G30-Y30</f>
        <v>#REF!</v>
      </c>
      <c r="AB30" s="480">
        <f>126213</f>
        <v>126213</v>
      </c>
      <c r="AC30" s="632">
        <f>AB30/AB7</f>
        <v>7.0714529654284496E-3</v>
      </c>
      <c r="AD30" s="503">
        <f>-SUMIF($AO$7:$AZ$7,"&lt;="&amp;$AC$6,AO30:AZ30)</f>
        <v>0</v>
      </c>
      <c r="AE30" s="521" t="str">
        <f t="shared" si="3"/>
        <v/>
      </c>
      <c r="AF30" s="431"/>
      <c r="AG30" s="633">
        <f>71003+54641.91</f>
        <v>125644.91</v>
      </c>
      <c r="AH30" s="527">
        <f t="shared" si="4"/>
        <v>4.5213928682029097E-3</v>
      </c>
      <c r="AM30" s="453" t="s">
        <v>126</v>
      </c>
      <c r="AN30" s="747"/>
      <c r="AO30" s="431">
        <f>IF($AO$7=$AL$7,'[4]1 trim 2016 BIOGROUP'!$U$36/3,IF($AO$7=$AL$8,'[4]1 trim 2016 BIOGROUP'!$U$36/3,IF($AO$7=$AL$9,'[4]1 trim 2016 BIOGROUP'!$U$36/3,IF($AO$7=$AL$10,'[4]2 trim 2016 BIOGROUP'!$U$36/3,IF($AO$7=$AL$11,'[4]2 trim 2016 BIOGROUP'!$U$36/3,IF($AO$7=$AL$12,'[4]2 trim 2016 BIOGROUP'!$U$36/3,""))))))</f>
        <v>-2091.51305</v>
      </c>
      <c r="AP30" s="431">
        <f>IF($AP$7=$AL$7,'[4]1 trim 2016 BIOGROUP'!$U$36/3,IF($AP$7=$AL$8,'[4]1 trim 2016 BIOGROUP'!$U$36/3,IF($AP$7=$AL$9,'[4]1 trim 2016 BIOGROUP'!$U$36/3,IF($AP$7=$AL$10,'[4]2 trim 2016 BIOGROUP'!$U$36/3,IF($AP$7=$AL$11,'[4]2 trim 2016 BIOGROUP'!$U$36/3,IF($AP$7=$AL$12,'[4]2 trim 2016 BIOGROUP'!$U$36/3,""))))))</f>
        <v>-2091.51305</v>
      </c>
      <c r="AQ30" s="431">
        <f>IF($AQ$7=$AL$7,'[4]1 trim 2016 BIOGROUP'!$U$36/3,IF($AQ$7=$AL$8,'[4]1 trim 2016 BIOGROUP'!$U$36/3,IF($AQ$7=$AL$9,'[4]1 trim 2016 BIOGROUP'!$U$36/3,IF($AQ$7=$AL$10,'[4]2 trim 2016 BIOGROUP'!$U$36/3,IF($AQ$7=$AL$11,'[4]2 trim 2016 BIOGROUP'!$U$36/3,IF($AQ$7=$AL$12,'[4]2 trim 2016 BIOGROUP'!$U$36/3,""))))))</f>
        <v>-2091.51305</v>
      </c>
      <c r="AR30" s="431">
        <f>IF($AR$7=$AL$7,'[4]1 trim 2016 BIOGROUP'!$U$36/3,IF($AR$7=$AL$8,'[4]1 trim 2016 BIOGROUP'!$U$36/3,IF($AR$7=$AL$9,'[4]1 trim 2016 BIOGROUP'!$U$36/3,IF($AR$7=$AL$10,'[4]2 trim 2016 BIOGROUP'!$U$36/3,IF($AR$7=$AL$11,'[4]2 trim 2016 BIOGROUP'!$U$36/3,IF($AR$7=$AL$12,'[4]2 trim 2016 BIOGROUP'!$U$36/3,""))))))</f>
        <v>-2091.51305</v>
      </c>
      <c r="AS30" s="431">
        <f>IF($AS$7=$AL$7,'[4]1 trim 2016 BIOGROUP'!$U$36/3,IF($AS$7=$AL$8,'[4]1 trim 2016 BIOGROUP'!$U$36/3,IF($AS$7=$AL$9,'[4]1 trim 2016 BIOGROUP'!$U$36/3,IF($AS$7=$AL$10,'[4]2 trim 2016 BIOGROUP'!$U$36/3,IF($AS$7=$AL$11,'[4]2 trim 2016 BIOGROUP'!$U$36/3,IF($AS$7=$AL$12,'[4]2 trim 2016 BIOGROUP'!$U$36/3,""))))))</f>
        <v>-2091.51305</v>
      </c>
      <c r="AT30" s="431">
        <f>IF($AT$7=$AL$7,'[4]1 trim 2016 BIOGROUP'!$U$36/3,IF($AT$7=$AL$8,'[4]1 trim 2016 BIOGROUP'!$U$36/3,IF($AT$7=$AL$9,'[4]1 trim 2016 BIOGROUP'!$U$36/3,IF($AT$7=$AL$10,'[4]2 trim 2016 BIOGROUP'!$U$36/3,IF($AT$7=$AL$11,'[4]2 trim 2016 BIOGROUP'!$U$36/3,IF($AT$7=$AL$12,'[4]2 trim 2016 BIOGROUP'!$U$36/3,""))))))</f>
        <v>-2091.51305</v>
      </c>
      <c r="AU30" s="431">
        <f>IF($AU$7=$AL$13,'[4]3 trim 2016 BIOGROUP'!$U$36/3,IF($AU$7=$AL$14,'[4]3 trim 2016 BIOGROUP'!$U$36/3,IF($AU$7=$AL$15,'[4]3 trim 2016 BIOGROUP'!$U$36/3,IF($AU$7=$AL$16,'[4]4 trim 2016 BIOGROUP'!$U$36/3,IF($AU$7=$AL$18,'[4]4 trim 2016 BIOGROUP'!$U$36/3,IF($AU$7=$AL$19,'[4]4 trim 2016 BIOGROUP'!$U$36/3,""))))))</f>
        <v>-2091.51305</v>
      </c>
      <c r="AV30" s="431">
        <f>IF($AV$7=$AL$13,'[4]3 trim 2016 BIOGROUP'!$U$36/3,IF($AV$7=$AL$14,'[4]3 trim 2016 BIOGROUP'!$U$36/3,IF($AV$7=$AL$15,'[4]3 trim 2016 BIOGROUP'!$U$36/3,IF($AV$7=$AL$16,'[4]4 trim 2016 BIOGROUP'!$U$36/3,IF($AV$7=$AL$18,'[4]4 trim 2016 BIOGROUP'!$U$36/3,IF($AV$7=$AL$19,'[4]4 trim 2016 BIOGROUP'!$U$36/3,""))))))</f>
        <v>-2091.51305</v>
      </c>
      <c r="AW30" s="431">
        <f>IF($AW$7=$AL$13,'[4]3 trim 2016 BIOGROUP'!$U$36/3,IF($AW$7=$AL$14,'[4]3 trim 2016 BIOGROUP'!$U$36/3,IF($AW$7=$AL$15,'[4]3 trim 2016 BIOGROUP'!$U$36/3,IF($AW$7=$AL$16,'[4]4 trim 2016 BIOGROUP'!$U$36/3,IF($AW$7=$AL$18,'[4]4 trim 2016 BIOGROUP'!$U$36/3,IF($AW$7=$AL$19,'[4]4 trim 2016 BIOGROUP'!$U$36/3,""))))))</f>
        <v>-2091.51305</v>
      </c>
      <c r="AX30" s="431">
        <f>IF($AX$7=$AL$13,'[4]3 trim 2016 BIOGROUP'!$U$36/3,IF($AX$7=$AL$14,'[4]3 trim 2016 BIOGROUP'!$U$36/3,IF($AX$7=$AL$15,'[4]3 trim 2016 BIOGROUP'!$U$36/3,IF($AX$7=$AL$16,'[4]4 trim 2016 BIOGROUP'!$U$36/3,IF($AX$7=$AL$18,'[4]4 trim 2016 BIOGROUP'!$U$36/3,IF($AX$7=$AL$19,'[4]4 trim 2016 BIOGROUP'!$U$36/3,""))))))</f>
        <v>-2091.51305</v>
      </c>
      <c r="AY30" s="431">
        <f>IF($AY$7=$AL$13,'[4]3 trim 2016 BIOGROUP'!$U$36/3,IF($AY$7=$AL$14,'[4]3 trim 2016 BIOGROUP'!$U$36/3,IF($AY$7=$AL$15,'[4]3 trim 2016 BIOGROUP'!$U$36/3,IF($AY$7=$AL$16,'[4]4 trim 2016 BIOGROUP'!$U$36/3,IF($AY$7=$AL$18,'[4]4 trim 2016 BIOGROUP'!$U$36/3,IF($AY$7=$AL$19,'[4]4 trim 2016 BIOGROUP'!$U$36/3,""))))))</f>
        <v>-2091.51305</v>
      </c>
      <c r="AZ30" s="431">
        <f>IF($AZ$7=$AL$13,'[4]3 trim 2016 BIOGROUP'!$U$36/3,IF($AZ$7=$AL$14,'[4]3 trim 2016 BIOGROUP'!$U$36/3,IF($AZ$7=$AL$15,'[4]3 trim 2016 BIOGROUP'!$U$36/3,IF($AZ$7=$AL$16,'[4]4 trim 2016 BIOGROUP'!$U$36/3,IF($AZ$7=$AL$18,'[4]4 trim 2016 BIOGROUP'!$U$36/3,IF($AZ$7=$AL$19,'[4]4 trim 2016 BIOGROUP'!$U$36/3,""))))))</f>
        <v>-2091.51305</v>
      </c>
      <c r="BB30" s="511">
        <f t="shared" si="5"/>
        <v>126213</v>
      </c>
      <c r="BC30" s="749"/>
    </row>
    <row r="31" spans="1:55" ht="26.15" customHeight="1">
      <c r="A31" s="565"/>
      <c r="B31" s="566"/>
      <c r="C31" s="454" t="s">
        <v>97</v>
      </c>
      <c r="D31" s="439"/>
      <c r="E31" s="454" t="s">
        <v>12</v>
      </c>
      <c r="G31" s="481">
        <f>G7+G29+G30</f>
        <v>1940923.43</v>
      </c>
      <c r="H31" s="641">
        <f>G31/G7</f>
        <v>0.31293877427839234</v>
      </c>
      <c r="J31" s="504">
        <f>J7+J29+J30</f>
        <v>0</v>
      </c>
      <c r="K31" s="505" t="str">
        <f t="shared" si="6"/>
        <v/>
      </c>
      <c r="L31" s="431"/>
      <c r="M31" s="504">
        <f>M7+M29+M30</f>
        <v>1195565.0999999996</v>
      </c>
      <c r="N31" s="522">
        <f t="shared" si="1"/>
        <v>0.62343600528319243</v>
      </c>
      <c r="O31" s="580"/>
      <c r="P31" s="611" t="s">
        <v>12</v>
      </c>
      <c r="Q31" s="618" t="e">
        <f>+Q7-Q11-Q15-Q21-Q23</f>
        <v>#REF!</v>
      </c>
      <c r="R31" s="517" t="e">
        <f>Q31/Q$7</f>
        <v>#REF!</v>
      </c>
      <c r="S31" s="618" t="e">
        <f>+S7-S11-S15-S21-S23</f>
        <v>#REF!</v>
      </c>
      <c r="T31" s="517" t="e">
        <f>S31/S$7</f>
        <v>#REF!</v>
      </c>
      <c r="U31" s="618" t="e">
        <f>+U7-U11-U15-U21-U23</f>
        <v>#REF!</v>
      </c>
      <c r="V31" s="517" t="e">
        <f>U31/U$7</f>
        <v>#REF!</v>
      </c>
      <c r="W31" s="618" t="e">
        <f>+W7-W11-W15-W21-W23</f>
        <v>#REF!</v>
      </c>
      <c r="X31" s="517" t="e">
        <f>W31/W$7</f>
        <v>#REF!</v>
      </c>
      <c r="Y31" s="618" t="e">
        <f>+Y7-Y11-Y15-Y21-Y23</f>
        <v>#REF!</v>
      </c>
      <c r="Z31" s="517" t="e">
        <f>Y31/Y$7</f>
        <v>#REF!</v>
      </c>
      <c r="AA31" s="584" t="e">
        <f>+G31-Y31</f>
        <v>#REF!</v>
      </c>
      <c r="AB31" s="481">
        <f>AB7+AB29+AB30</f>
        <v>5378452.25</v>
      </c>
      <c r="AC31" s="641">
        <f>AB31/AB7</f>
        <v>0.30134353919705431</v>
      </c>
      <c r="AD31" s="504">
        <f>AD7+AD29+AD30</f>
        <v>0</v>
      </c>
      <c r="AE31" s="522" t="str">
        <f t="shared" si="3"/>
        <v/>
      </c>
      <c r="AG31" s="504">
        <f>+AG7+AG29+AG30</f>
        <v>3586695.3000000026</v>
      </c>
      <c r="AH31" s="522">
        <f t="shared" si="4"/>
        <v>0.49955649982310907</v>
      </c>
      <c r="AM31" s="454" t="s">
        <v>12</v>
      </c>
      <c r="AN31" s="747"/>
      <c r="AO31" s="741">
        <f>AO8+AO9+AO10+AO29-AO30</f>
        <v>-570.21183333332874</v>
      </c>
      <c r="AP31" s="741">
        <f t="shared" ref="AP31:AZ31" si="18">AP8+AP9+AP10+AP29-AP30</f>
        <v>-570.21183333332874</v>
      </c>
      <c r="AQ31" s="741">
        <f t="shared" si="18"/>
        <v>-570.21183333332874</v>
      </c>
      <c r="AR31" s="741">
        <f t="shared" si="18"/>
        <v>21062.788166666673</v>
      </c>
      <c r="AS31" s="741">
        <f t="shared" si="18"/>
        <v>21062.788166666673</v>
      </c>
      <c r="AT31" s="741">
        <f t="shared" si="18"/>
        <v>21062.788166666673</v>
      </c>
      <c r="AU31" s="741">
        <f t="shared" si="18"/>
        <v>8903.1214999999993</v>
      </c>
      <c r="AV31" s="741">
        <f t="shared" si="18"/>
        <v>8903.1214999999993</v>
      </c>
      <c r="AW31" s="741">
        <f t="shared" si="18"/>
        <v>8903.1214999999993</v>
      </c>
      <c r="AX31" s="741">
        <f t="shared" si="18"/>
        <v>16541.121500000001</v>
      </c>
      <c r="AY31" s="741">
        <f t="shared" si="18"/>
        <v>16541.121500000001</v>
      </c>
      <c r="AZ31" s="741">
        <f t="shared" si="18"/>
        <v>16541.121500000001</v>
      </c>
      <c r="BB31" s="748">
        <f t="shared" si="5"/>
        <v>5378452.25</v>
      </c>
      <c r="BC31" s="752"/>
    </row>
    <row r="32" spans="1:55" ht="26.15" hidden="1" customHeight="1">
      <c r="A32" s="565"/>
      <c r="B32" s="566"/>
      <c r="C32" s="455" t="s">
        <v>96</v>
      </c>
      <c r="D32" s="439"/>
      <c r="E32" s="455" t="str">
        <f>+C32</f>
        <v>EBITDA (% of net revenues)</v>
      </c>
      <c r="G32" s="483"/>
      <c r="H32" s="642"/>
      <c r="J32" s="536" t="e">
        <f>J31/J7</f>
        <v>#DIV/0!</v>
      </c>
      <c r="K32" s="536" t="str">
        <f t="shared" si="6"/>
        <v/>
      </c>
      <c r="L32" s="431"/>
      <c r="M32" s="643"/>
      <c r="N32" s="517" t="str">
        <f t="shared" si="1"/>
        <v/>
      </c>
      <c r="O32" s="580"/>
      <c r="P32" s="644"/>
      <c r="Q32" s="645"/>
      <c r="R32" s="517"/>
      <c r="S32" s="645"/>
      <c r="T32" s="517"/>
      <c r="U32" s="645"/>
      <c r="V32" s="517"/>
      <c r="W32" s="645"/>
      <c r="X32" s="517"/>
      <c r="Y32" s="645"/>
      <c r="Z32" s="517"/>
      <c r="AA32" s="584"/>
      <c r="AB32" s="482">
        <f>AB31/AB7</f>
        <v>0.30134353919705431</v>
      </c>
      <c r="AC32" s="641"/>
      <c r="AD32" s="505" t="e">
        <f>AD31/AD7</f>
        <v>#DIV/0!</v>
      </c>
      <c r="AE32" s="522" t="str">
        <f t="shared" si="3"/>
        <v/>
      </c>
      <c r="AG32" s="504"/>
      <c r="AH32" s="517" t="str">
        <f t="shared" si="4"/>
        <v/>
      </c>
      <c r="AM32" s="455">
        <f>+AL32</f>
        <v>0</v>
      </c>
      <c r="AN32" s="745"/>
      <c r="BB32" s="511" t="e">
        <f t="shared" si="5"/>
        <v>#DIV/0!</v>
      </c>
      <c r="BC32" s="752"/>
    </row>
    <row r="33" spans="1:55" ht="26.15" customHeight="1">
      <c r="A33" s="565"/>
      <c r="B33" s="566"/>
      <c r="C33" s="456" t="s">
        <v>124</v>
      </c>
      <c r="D33" s="439"/>
      <c r="E33" s="456" t="s">
        <v>98</v>
      </c>
      <c r="G33" s="476">
        <f>SUM(G34:G35)</f>
        <v>3221.02</v>
      </c>
      <c r="H33" s="591">
        <f>+G33/G7</f>
        <v>5.1933117769936308E-4</v>
      </c>
      <c r="J33" s="496">
        <f>SUM(J34:J35)</f>
        <v>0</v>
      </c>
      <c r="K33" s="530" t="str">
        <f t="shared" si="6"/>
        <v/>
      </c>
      <c r="L33" s="431"/>
      <c r="M33" s="496">
        <f>SUM(M34:M35)</f>
        <v>4412.2133333333331</v>
      </c>
      <c r="N33" s="518">
        <f t="shared" si="1"/>
        <v>-0.26997636862527041</v>
      </c>
      <c r="O33" s="580"/>
      <c r="P33" s="644"/>
      <c r="Q33" s="645"/>
      <c r="R33" s="517"/>
      <c r="S33" s="645"/>
      <c r="T33" s="517"/>
      <c r="U33" s="645"/>
      <c r="V33" s="517"/>
      <c r="W33" s="645"/>
      <c r="X33" s="517"/>
      <c r="Y33" s="645"/>
      <c r="Z33" s="517"/>
      <c r="AA33" s="584"/>
      <c r="AB33" s="476">
        <f>SUM(AB34:AB35)</f>
        <v>12488.56</v>
      </c>
      <c r="AC33" s="591">
        <f>AB33/AB7</f>
        <v>6.9970814928677007E-4</v>
      </c>
      <c r="AD33" s="496">
        <f>SUM(AD34:AD35)</f>
        <v>0</v>
      </c>
      <c r="AE33" s="518" t="str">
        <f>IF(ISERROR((AB33-AD33)/AD33),"",(AB33-AD33)/AD33)</f>
        <v/>
      </c>
      <c r="AG33" s="496">
        <f>SUM(AG34:AG35)</f>
        <v>13236.64</v>
      </c>
      <c r="AH33" s="518">
        <f t="shared" si="4"/>
        <v>-5.6515852965707304E-2</v>
      </c>
      <c r="AM33" s="456" t="s">
        <v>98</v>
      </c>
      <c r="AN33" s="747"/>
      <c r="AO33" s="741">
        <f>-SUM(AO34:AO35)</f>
        <v>0</v>
      </c>
      <c r="AP33" s="741">
        <f t="shared" ref="AP33:AZ33" si="19">-SUM(AP34:AP35)</f>
        <v>0</v>
      </c>
      <c r="AQ33" s="741">
        <f t="shared" si="19"/>
        <v>0</v>
      </c>
      <c r="AR33" s="741">
        <f t="shared" si="19"/>
        <v>0</v>
      </c>
      <c r="AS33" s="741">
        <f t="shared" si="19"/>
        <v>0</v>
      </c>
      <c r="AT33" s="741">
        <f t="shared" si="19"/>
        <v>0</v>
      </c>
      <c r="AU33" s="741">
        <f t="shared" si="19"/>
        <v>0</v>
      </c>
      <c r="AV33" s="741">
        <f t="shared" si="19"/>
        <v>0</v>
      </c>
      <c r="AW33" s="741">
        <f t="shared" si="19"/>
        <v>0</v>
      </c>
      <c r="AX33" s="741">
        <f t="shared" si="19"/>
        <v>0</v>
      </c>
      <c r="AY33" s="741">
        <f t="shared" si="19"/>
        <v>0</v>
      </c>
      <c r="AZ33" s="741">
        <f t="shared" si="19"/>
        <v>0</v>
      </c>
      <c r="BB33" s="748">
        <f t="shared" si="5"/>
        <v>12488.56</v>
      </c>
      <c r="BC33" s="752"/>
    </row>
    <row r="34" spans="1:55" ht="26.15" customHeight="1">
      <c r="A34" s="565"/>
      <c r="B34" s="566">
        <v>758</v>
      </c>
      <c r="C34" s="457" t="s">
        <v>127</v>
      </c>
      <c r="D34" s="439"/>
      <c r="E34" s="457" t="s">
        <v>14</v>
      </c>
      <c r="G34" s="475">
        <v>3221.02</v>
      </c>
      <c r="H34" s="578">
        <f>+G34/$G$7</f>
        <v>5.1933117769936308E-4</v>
      </c>
      <c r="J34" s="506">
        <v>0</v>
      </c>
      <c r="K34" s="532" t="str">
        <f t="shared" si="6"/>
        <v/>
      </c>
      <c r="L34" s="431"/>
      <c r="M34" s="506">
        <f>AG34/3</f>
        <v>6255.2333333333336</v>
      </c>
      <c r="N34" s="517">
        <f t="shared" si="1"/>
        <v>-0.48506796975332656</v>
      </c>
      <c r="O34" s="580"/>
      <c r="P34" s="644"/>
      <c r="Q34" s="645"/>
      <c r="R34" s="517"/>
      <c r="S34" s="645"/>
      <c r="T34" s="517"/>
      <c r="U34" s="645"/>
      <c r="V34" s="517"/>
      <c r="W34" s="645"/>
      <c r="X34" s="517"/>
      <c r="Y34" s="645"/>
      <c r="Z34" s="517"/>
      <c r="AA34" s="584"/>
      <c r="AB34" s="475">
        <v>12488.56</v>
      </c>
      <c r="AC34" s="578">
        <f>+AB34/AB7</f>
        <v>6.9970814928677007E-4</v>
      </c>
      <c r="AD34" s="506">
        <f>-SUMIF($AO$7:$AZ$7,"&lt;="&amp;$AC$6,AO34:AZ34)</f>
        <v>0</v>
      </c>
      <c r="AE34" s="517" t="str">
        <f t="shared" ref="AE34:AE53" si="20">IF(ISERROR((AB34-AD34)/AD34),"",(AB34-AD34)/AD34)</f>
        <v/>
      </c>
      <c r="AG34" s="506">
        <f>18705.7+60</f>
        <v>18765.7</v>
      </c>
      <c r="AH34" s="517">
        <f t="shared" si="4"/>
        <v>-0.33450071140431753</v>
      </c>
      <c r="AM34" s="457" t="s">
        <v>14</v>
      </c>
      <c r="AN34" s="747"/>
      <c r="AO34" s="431">
        <f>IF($AO$7=$AL$7,'[4]1 trim 2016 BIOGROUP'!$U$42/3,IF($AO$7=$AL$8,'[4]1 trim 2016 BIOGROUP'!$U$42/3,IF($AO$7=$AL$9,'[4]1 trim 2016 BIOGROUP'!$U$42/3,IF($AO$7=$AL$10,'[4]2 trim 2016 BIOGROUP'!$U$42/3,IF($AO$7=$AL$11,'[4]2 trim 2016 BIOGROUP'!$U$42/3,IF($AO$7=$AL$12,'[4]2 trim 2016 BIOGROUP'!$U$42/3,""))))))</f>
        <v>0</v>
      </c>
      <c r="AP34" s="431">
        <f>IF($AP$7=$AL$7,'[4]1 trim 2016 BIOGROUP'!$U$42/3,IF($AP$7=$AL$8,'[4]1 trim 2016 BIOGROUP'!$U$42/3,IF($AP$7=$AL$9,'[4]1 trim 2016 BIOGROUP'!$U$42/3,IF($AP$7=$AL$10,'[4]2 trim 2016 BIOGROUP'!$U$42/3,IF($AP$7=$AL$11,'[4]2 trim 2016 BIOGROUP'!$U$42/3,IF($AP$7=$AL$12,'[4]2 trim 2016 BIOGROUP'!$U$42/3,""))))))</f>
        <v>0</v>
      </c>
      <c r="AQ34" s="431">
        <f>IF($AQ$7=$AL$7,'[4]1 trim 2016 BIOGROUP'!$U$42/3,IF($AQ$7=$AL$8,'[4]1 trim 2016 BIOGROUP'!$U$42/3,IF($AQ$7=$AL$9,'[4]1 trim 2016 BIOGROUP'!$U$42/3,IF($AQ$7=$AL$10,'[4]2 trim 2016 BIOGROUP'!$U$42/3,IF($AQ$7=$AL$11,'[4]2 trim 2016 BIOGROUP'!$U$42/3,IF($AQ$7=$AL$12,'[4]2 trim 2016 BIOGROUP'!$U$42/3,""))))))</f>
        <v>0</v>
      </c>
      <c r="AR34" s="431">
        <f>IF($AR$7=$AL$7,'[4]1 trim 2016 BIOGROUP'!$U$42/3,IF($AR$7=$AL$8,'[4]1 trim 2016 BIOGROUP'!$U$42/3,IF($AR$7=$AL$9,'[4]1 trim 2016 BIOGROUP'!$U$42/3,IF($AR$7=$AL$10,'[4]2 trim 2016 BIOGROUP'!$U$42/3,IF($AR$7=$AL$11,'[4]2 trim 2016 BIOGROUP'!$U$42/3,IF($AR$7=$AL$12,'[4]2 trim 2016 BIOGROUP'!$U$42/3,""))))))</f>
        <v>0</v>
      </c>
      <c r="AS34" s="431">
        <f>IF($AS$7=$AL$7,'[4]1 trim 2016 BIOGROUP'!$U$42/3,IF($AS$7=$AL$8,'[4]1 trim 2016 BIOGROUP'!$U$42/3,IF($AS$7=$AL$9,'[4]1 trim 2016 BIOGROUP'!$U$42/3,IF($AS$7=$AL$10,'[4]2 trim 2016 BIOGROUP'!$U$42/3,IF($AS$7=$AL$11,'[4]2 trim 2016 BIOGROUP'!$U$42/3,IF($AS$7=$AL$12,'[4]2 trim 2016 BIOGROUP'!$U$42/3,""))))))</f>
        <v>0</v>
      </c>
      <c r="AT34" s="431">
        <f>IF($AT$7=$AL$7,'[4]1 trim 2016 BIOGROUP'!$U$42/3,IF($AT$7=$AL$8,'[4]1 trim 2016 BIOGROUP'!$U$42/3,IF($AT$7=$AL$9,'[4]1 trim 2016 BIOGROUP'!$U$42/3,IF($AT$7=$AL$10,'[4]2 trim 2016 BIOGROUP'!$U$42/3,IF($AT$7=$AL$11,'[4]2 trim 2016 BIOGROUP'!$U$42/3,IF($AT$7=$AL$12,'[4]2 trim 2016 BIOGROUP'!$U$42/3,""))))))</f>
        <v>0</v>
      </c>
      <c r="AU34" s="431">
        <f>IF($AU$7=$AL$13,'[4]3 trim 2016 BIOGROUP'!$U$42/3,IF($AU$7=$AL$14,'[4]3 trim 2016 BIOGROUP'!$U$42/3,IF($AU$7=$AL$15,'[4]3 trim 2016 BIOGROUP'!$U$42/3,IF($AU$7=$AL$16,'[4]4 trim 2016 BIOGROUP'!$U$42/3,IF($AU$7=$AL$18,'[4]4 trim 2016 BIOGROUP'!$U$42/3,IF($AU$7=$AL$19,'[4]4 trim 2016 BIOGROUP'!$U$42/3,""))))))</f>
        <v>0</v>
      </c>
      <c r="AV34" s="431">
        <f>IF($AV$7=$AL$13,'[4]3 trim 2016 BIOGROUP'!$U$42/3,IF($AV$7=$AL$14,'[4]3 trim 2016 BIOGROUP'!$U$42/3,IF($AV$7=$AL$15,'[4]3 trim 2016 BIOGROUP'!$U$42/3,IF($AV$7=$AL$16,'[4]4 trim 2016 BIOGROUP'!$U$42/3,IF($AV$7=$AL$18,'[4]4 trim 2016 BIOGROUP'!$U$42/3,IF($AV$7=$AL$19,'[4]4 trim 2016 BIOGROUP'!$U$42/3,""))))))</f>
        <v>0</v>
      </c>
      <c r="AW34" s="431">
        <f>IF($AW$7=$AL$13,'[4]3 trim 2016 BIOGROUP'!$U$42/3,IF($AW$7=$AL$14,'[4]3 trim 2016 BIOGROUP'!$U$42/3,IF($AW$7=$AL$15,'[4]3 trim 2016 BIOGROUP'!$U$42/3,IF($AW$7=$AL$16,'[4]4 trim 2016 BIOGROUP'!$U$42/3,IF($AW$7=$AL$18,'[4]4 trim 2016 BIOGROUP'!$U$42/3,IF($AW$7=$AL$19,'[4]4 trim 2016 BIOGROUP'!$U$42/3,""))))))</f>
        <v>0</v>
      </c>
      <c r="AX34" s="431">
        <f>IF($AX$7=$AL$13,'[4]3 trim 2016 BIOGROUP'!$U$42/3,IF($AX$7=$AL$14,'[4]3 trim 2016 BIOGROUP'!$U$42/3,IF($AX$7=$AL$15,'[4]3 trim 2016 BIOGROUP'!$U$42/3,IF($AX$7=$AL$16,'[4]4 trim 2016 BIOGROUP'!$U$42/3,IF($AX$7=$AL$18,'[4]4 trim 2016 BIOGROUP'!$U$42/3,IF($AX$7=$AL$19,'[4]4 trim 2016 BIOGROUP'!$U$42/3,""))))))</f>
        <v>0</v>
      </c>
      <c r="AY34" s="431">
        <f>IF($AY$7=$AL$13,'[4]3 trim 2016 BIOGROUP'!$U$42/3,IF($AY$7=$AL$14,'[4]3 trim 2016 BIOGROUP'!$U$42/3,IF($AY$7=$AL$15,'[4]3 trim 2016 BIOGROUP'!$U$42/3,IF($AY$7=$AL$16,'[4]4 trim 2016 BIOGROUP'!$U$42/3,IF($AY$7=$AL$18,'[4]4 trim 2016 BIOGROUP'!$U$42/3,IF($AY$7=$AL$19,'[4]4 trim 2016 BIOGROUP'!$U$42/3,""))))))</f>
        <v>0</v>
      </c>
      <c r="AZ34" s="431">
        <f>IF($AZ$7=$AL$13,'[4]3 trim 2016 BIOGROUP'!$U$42/3,IF($AZ$7=$AL$14,'[4]3 trim 2016 BIOGROUP'!$U$42/3,IF($AZ$7=$AL$15,'[4]3 trim 2016 BIOGROUP'!$U$42/3,IF($AZ$7=$AL$16,'[4]4 trim 2016 BIOGROUP'!$U$42/3,IF($AZ$7=$AL$18,'[4]4 trim 2016 BIOGROUP'!$U$42/3,IF($AZ$7=$AL$19,'[4]4 trim 2016 BIOGROUP'!$U$42/3,""))))))</f>
        <v>0</v>
      </c>
      <c r="BB34" s="511">
        <f t="shared" si="5"/>
        <v>12488.56</v>
      </c>
      <c r="BC34" s="750"/>
    </row>
    <row r="35" spans="1:55" ht="26.15" customHeight="1">
      <c r="A35" s="565"/>
      <c r="B35" s="566">
        <v>658</v>
      </c>
      <c r="C35" s="457" t="s">
        <v>128</v>
      </c>
      <c r="D35" s="439"/>
      <c r="E35" s="457" t="s">
        <v>15</v>
      </c>
      <c r="G35" s="475">
        <v>0</v>
      </c>
      <c r="H35" s="578">
        <f>+G35/$G$7</f>
        <v>0</v>
      </c>
      <c r="J35" s="506">
        <v>0</v>
      </c>
      <c r="K35" s="532" t="str">
        <f t="shared" si="6"/>
        <v/>
      </c>
      <c r="L35" s="431"/>
      <c r="M35" s="506">
        <f>AG35/3</f>
        <v>-1843.0200000000002</v>
      </c>
      <c r="N35" s="517">
        <f t="shared" si="1"/>
        <v>-1</v>
      </c>
      <c r="O35" s="580"/>
      <c r="P35" s="644"/>
      <c r="Q35" s="645"/>
      <c r="R35" s="517"/>
      <c r="S35" s="645"/>
      <c r="T35" s="517"/>
      <c r="U35" s="645"/>
      <c r="V35" s="517"/>
      <c r="W35" s="645"/>
      <c r="X35" s="517"/>
      <c r="Y35" s="645"/>
      <c r="Z35" s="517"/>
      <c r="AA35" s="584"/>
      <c r="AB35" s="475">
        <v>0</v>
      </c>
      <c r="AC35" s="578">
        <f>AB35/$AB$7</f>
        <v>0</v>
      </c>
      <c r="AD35" s="506">
        <f>-SUMIF($AO$7:$AZ$7,"&lt;="&amp;$AC$6,AO35:AZ35)</f>
        <v>0</v>
      </c>
      <c r="AE35" s="517" t="str">
        <f t="shared" si="20"/>
        <v/>
      </c>
      <c r="AG35" s="506">
        <f>-5386.02-143.04</f>
        <v>-5529.06</v>
      </c>
      <c r="AH35" s="517">
        <f t="shared" si="4"/>
        <v>-1</v>
      </c>
      <c r="AM35" s="457" t="s">
        <v>15</v>
      </c>
      <c r="AN35" s="747"/>
      <c r="AO35" s="431">
        <f>IF($AO$7=$AL$7,'[4]1 trim 2016 BIOGROUP'!$U$43/3,IF($AO$7=$AL$8,'[4]1 trim 2016 BIOGROUP'!$U$43/3,IF($AO$7=$AL$9,'[4]1 trim 2016 BIOGROUP'!$U$43/3,IF($AO$7=$AL$10,'[4]2 trim 2016 BIOGROUP'!$U$43/3,IF($AO$7=$AL$11,'[4]2 trim 2016 BIOGROUP'!$U$43/3,IF($AO$7=$AL$12,'[4]2 trim 2016 BIOGROUP'!$U$43/3,""))))))</f>
        <v>0</v>
      </c>
      <c r="AP35" s="431">
        <f>IF($AP$7=$AL$7,'[4]1 trim 2016 BIOGROUP'!$U$43/3,IF($AP$7=$AL$8,'[4]1 trim 2016 BIOGROUP'!$U$43/3,IF($AP$7=$AL$9,'[4]1 trim 2016 BIOGROUP'!$U$43/3,IF($AP$7=$AL$10,'[4]2 trim 2016 BIOGROUP'!$U$43/3,IF($AP$7=$AL$11,'[4]2 trim 2016 BIOGROUP'!$U$43/3,IF($AP$7=$AL$12,'[4]2 trim 2016 BIOGROUP'!$U$43/3,""))))))</f>
        <v>0</v>
      </c>
      <c r="AQ35" s="431">
        <f>IF($AQ$7=$AL$7,'[4]1 trim 2016 BIOGROUP'!$U$43/3,IF($AQ$7=$AL$8,'[4]1 trim 2016 BIOGROUP'!$U$43/3,IF($AQ$7=$AL$9,'[4]1 trim 2016 BIOGROUP'!$U$43/3,IF($AQ$7=$AL$10,'[4]2 trim 2016 BIOGROUP'!$U$43/3,IF($AQ$7=$AL$11,'[4]2 trim 2016 BIOGROUP'!$U$43/3,IF($AQ$7=$AL$12,'[4]2 trim 2016 BIOGROUP'!$U$43/3,""))))))</f>
        <v>0</v>
      </c>
      <c r="AR35" s="431">
        <f>IF($AR$7=$AL$7,'[4]1 trim 2016 BIOGROUP'!$U$43/3,IF($AR$7=$AL$8,'[4]1 trim 2016 BIOGROUP'!$U$43/3,IF($AR$7=$AL$9,'[4]1 trim 2016 BIOGROUP'!$U$43/3,IF($AR$7=$AL$10,'[4]2 trim 2016 BIOGROUP'!$U$43/3,IF($AR$7=$AL$11,'[4]2 trim 2016 BIOGROUP'!$U$43/3,IF($AR$7=$AL$12,'[4]2 trim 2016 BIOGROUP'!$U$43/3,""))))))</f>
        <v>0</v>
      </c>
      <c r="AS35" s="431">
        <f>IF($AS$7=$AL$7,'[4]1 trim 2016 BIOGROUP'!$U$43/3,IF($AS$7=$AL$8,'[4]1 trim 2016 BIOGROUP'!$U$43/3,IF($AS$7=$AL$9,'[4]1 trim 2016 BIOGROUP'!$U$43/3,IF($AS$7=$AL$10,'[4]2 trim 2016 BIOGROUP'!$U$43/3,IF($AS$7=$AL$11,'[4]2 trim 2016 BIOGROUP'!$U$43/3,IF($AS$7=$AL$12,'[4]2 trim 2016 BIOGROUP'!$U$43/3,""))))))</f>
        <v>0</v>
      </c>
      <c r="AT35" s="431">
        <f>IF($AT$7=$AL$7,'[4]1 trim 2016 BIOGROUP'!$U$43/3,IF($AT$7=$AL$8,'[4]1 trim 2016 BIOGROUP'!$U$43/3,IF($AT$7=$AL$9,'[4]1 trim 2016 BIOGROUP'!$U$43/3,IF($AT$7=$AL$10,'[4]2 trim 2016 BIOGROUP'!$U$43/3,IF($AT$7=$AL$11,'[4]2 trim 2016 BIOGROUP'!$U$43/3,IF($AT$7=$AL$12,'[4]2 trim 2016 BIOGROUP'!$U$43/3,""))))))</f>
        <v>0</v>
      </c>
      <c r="AU35" s="431">
        <f>IF($AU$7=$AL$13,'[4]3 trim 2016 BIOGROUP'!$U$43/3,IF($AU$7=$AL$14,'[4]3 trim 2016 BIOGROUP'!$U$43/3,IF($AU$7=$AL$15,'[4]3 trim 2016 BIOGROUP'!$U$43/3,IF($AU$7=$AL$16,'[4]4 trim 2016 BIOGROUP'!$U$43/3,IF($AU$7=$AL$18,'[4]4 trim 2016 BIOGROUP'!$U$43/3,IF($AU$7=$AL$19,'[4]4 trim 2016 BIOGROUP'!$U$43/3,""))))))</f>
        <v>0</v>
      </c>
      <c r="AV35" s="431">
        <f>IF($AV$7=$AL$13,'[4]3 trim 2016 BIOGROUP'!$U$43/3,IF($AV$7=$AL$14,'[4]3 trim 2016 BIOGROUP'!$U$43/3,IF($AV$7=$AL$15,'[4]3 trim 2016 BIOGROUP'!$U$43/3,IF($AV$7=$AL$16,'[4]4 trim 2016 BIOGROUP'!$U$43/3,IF($AV$7=$AL$18,'[4]4 trim 2016 BIOGROUP'!$U$43/3,IF($AV$7=$AL$19,'[4]4 trim 2016 BIOGROUP'!$U$43/3,""))))))</f>
        <v>0</v>
      </c>
      <c r="AW35" s="431">
        <f>IF($AW$7=$AL$13,'[4]3 trim 2016 BIOGROUP'!$U$43/3,IF($AW$7=$AL$14,'[4]3 trim 2016 BIOGROUP'!$U$43/3,IF($AW$7=$AL$15,'[4]3 trim 2016 BIOGROUP'!$U$43/3,IF($AW$7=$AL$16,'[4]4 trim 2016 BIOGROUP'!$U$43/3,IF($AW$7=$AL$18,'[4]4 trim 2016 BIOGROUP'!$U$43/3,IF($AW$7=$AL$19,'[4]4 trim 2016 BIOGROUP'!$U$43/3,""))))))</f>
        <v>0</v>
      </c>
      <c r="AX35" s="431">
        <f>IF($AX$7=$AL$13,'[4]3 trim 2016 BIOGROUP'!$U$43/3,IF($AX$7=$AL$14,'[4]3 trim 2016 BIOGROUP'!$U$43/3,IF($AX$7=$AL$15,'[4]3 trim 2016 BIOGROUP'!$U$43/3,IF($AX$7=$AL$16,'[4]4 trim 2016 BIOGROUP'!$U$43/3,IF($AX$7=$AL$18,'[4]4 trim 2016 BIOGROUP'!$U$43/3,IF($AX$7=$AL$19,'[4]4 trim 2016 BIOGROUP'!$U$43/3,""))))))</f>
        <v>0</v>
      </c>
      <c r="AY35" s="431">
        <f>IF($AY$7=$AL$13,'[4]3 trim 2016 BIOGROUP'!$U$43/3,IF($AY$7=$AL$14,'[4]3 trim 2016 BIOGROUP'!$U$43/3,IF($AY$7=$AL$15,'[4]3 trim 2016 BIOGROUP'!$U$43/3,IF($AY$7=$AL$16,'[4]4 trim 2016 BIOGROUP'!$U$43/3,IF($AY$7=$AL$18,'[4]4 trim 2016 BIOGROUP'!$U$43/3,IF($AY$7=$AL$19,'[4]4 trim 2016 BIOGROUP'!$U$43/3,""))))))</f>
        <v>0</v>
      </c>
      <c r="AZ35" s="431">
        <f>IF($AZ$7=$AL$13,'[4]3 trim 2016 BIOGROUP'!$U$43/3,IF($AZ$7=$AL$14,'[4]3 trim 2016 BIOGROUP'!$U$43/3,IF($AZ$7=$AL$15,'[4]3 trim 2016 BIOGROUP'!$U$43/3,IF($AZ$7=$AL$16,'[4]4 trim 2016 BIOGROUP'!$U$43/3,IF($AZ$7=$AL$18,'[4]4 trim 2016 BIOGROUP'!$U$43/3,IF($AZ$7=$AL$19,'[4]4 trim 2016 BIOGROUP'!$U$43/3,""))))))</f>
        <v>0</v>
      </c>
      <c r="BB35" s="511">
        <f t="shared" si="5"/>
        <v>0</v>
      </c>
      <c r="BC35" s="750"/>
    </row>
    <row r="36" spans="1:55" ht="26.15" customHeight="1">
      <c r="A36" s="565"/>
      <c r="B36" s="566"/>
      <c r="C36" s="455" t="s">
        <v>96</v>
      </c>
      <c r="D36" s="439"/>
      <c r="E36" s="455" t="str">
        <f>+C36</f>
        <v>EBITDA (% of net revenues)</v>
      </c>
      <c r="G36" s="484">
        <f>+G31+G33</f>
        <v>1944144.45</v>
      </c>
      <c r="H36" s="641">
        <f>+G36/G7</f>
        <v>0.31345810545609171</v>
      </c>
      <c r="J36" s="504">
        <f>J31+J33</f>
        <v>0</v>
      </c>
      <c r="K36" s="505" t="str">
        <f t="shared" si="6"/>
        <v/>
      </c>
      <c r="L36" s="431"/>
      <c r="M36" s="504">
        <f>M31+M33</f>
        <v>1199977.313333333</v>
      </c>
      <c r="N36" s="522">
        <f t="shared" si="1"/>
        <v>0.6201510048548311</v>
      </c>
      <c r="O36" s="580"/>
      <c r="P36" s="644"/>
      <c r="Q36" s="645"/>
      <c r="R36" s="517"/>
      <c r="S36" s="645"/>
      <c r="T36" s="517"/>
      <c r="U36" s="645"/>
      <c r="V36" s="517"/>
      <c r="W36" s="645"/>
      <c r="X36" s="517"/>
      <c r="Y36" s="645"/>
      <c r="Z36" s="517"/>
      <c r="AA36" s="584"/>
      <c r="AB36" s="484">
        <f>AB31+AB33</f>
        <v>5390940.8099999996</v>
      </c>
      <c r="AC36" s="641">
        <f>AB36/AB7</f>
        <v>0.30204324734634103</v>
      </c>
      <c r="AD36" s="504">
        <f>AD31+AD33</f>
        <v>0</v>
      </c>
      <c r="AE36" s="522" t="str">
        <f t="shared" si="20"/>
        <v/>
      </c>
      <c r="AG36" s="504">
        <f>AG31+AG33</f>
        <v>3599931.9400000027</v>
      </c>
      <c r="AH36" s="522">
        <f t="shared" si="4"/>
        <v>0.49751186962717842</v>
      </c>
      <c r="AJ36" s="587"/>
      <c r="AM36" s="455" t="s">
        <v>96</v>
      </c>
      <c r="AN36" s="747"/>
      <c r="AO36" s="741">
        <f>AO31+AO33</f>
        <v>-570.21183333332874</v>
      </c>
      <c r="AP36" s="741">
        <f t="shared" ref="AP36:AZ36" si="21">AP31+AP33</f>
        <v>-570.21183333332874</v>
      </c>
      <c r="AQ36" s="741">
        <f t="shared" si="21"/>
        <v>-570.21183333332874</v>
      </c>
      <c r="AR36" s="741">
        <f t="shared" si="21"/>
        <v>21062.788166666673</v>
      </c>
      <c r="AS36" s="741">
        <f t="shared" si="21"/>
        <v>21062.788166666673</v>
      </c>
      <c r="AT36" s="741">
        <f t="shared" si="21"/>
        <v>21062.788166666673</v>
      </c>
      <c r="AU36" s="741">
        <f t="shared" si="21"/>
        <v>8903.1214999999993</v>
      </c>
      <c r="AV36" s="741">
        <f t="shared" si="21"/>
        <v>8903.1214999999993</v>
      </c>
      <c r="AW36" s="741">
        <f t="shared" si="21"/>
        <v>8903.1214999999993</v>
      </c>
      <c r="AX36" s="741">
        <f t="shared" si="21"/>
        <v>16541.121500000001</v>
      </c>
      <c r="AY36" s="741">
        <f t="shared" si="21"/>
        <v>16541.121500000001</v>
      </c>
      <c r="AZ36" s="741">
        <f t="shared" si="21"/>
        <v>16541.121500000001</v>
      </c>
      <c r="BB36" s="748">
        <f t="shared" si="5"/>
        <v>5390940.8099999996</v>
      </c>
      <c r="BC36" s="752"/>
    </row>
    <row r="37" spans="1:55" ht="26.15" customHeight="1" thickBot="1">
      <c r="A37" s="575"/>
      <c r="B37" s="548">
        <v>691</v>
      </c>
      <c r="C37" s="456" t="s">
        <v>99</v>
      </c>
      <c r="D37" s="439"/>
      <c r="E37" s="456" t="s">
        <v>99</v>
      </c>
      <c r="G37" s="485">
        <v>0</v>
      </c>
      <c r="H37" s="591">
        <f>G37/G7</f>
        <v>0</v>
      </c>
      <c r="J37" s="537">
        <v>0</v>
      </c>
      <c r="K37" s="538" t="str">
        <f t="shared" si="6"/>
        <v/>
      </c>
      <c r="L37" s="431"/>
      <c r="M37" s="507">
        <f>AG37/3</f>
        <v>0</v>
      </c>
      <c r="N37" s="518" t="str">
        <f t="shared" si="1"/>
        <v/>
      </c>
      <c r="O37" s="580"/>
      <c r="P37" s="646" t="s">
        <v>13</v>
      </c>
      <c r="Q37" s="582" t="e">
        <f>+#REF!+'31 dec 2016 BIOLAM'!AT39</f>
        <v>#REF!</v>
      </c>
      <c r="R37" s="583" t="e">
        <f>Q37/Q$7</f>
        <v>#REF!</v>
      </c>
      <c r="S37" s="582" t="e">
        <f>+'31 dec 2016 BIOLAM'!AV39+#REF!</f>
        <v>#REF!</v>
      </c>
      <c r="T37" s="583" t="e">
        <f>S37/S$7</f>
        <v>#REF!</v>
      </c>
      <c r="U37" s="582" t="e">
        <f>+'31 dec 2016 BIOLAM'!AX39+#REF!</f>
        <v>#REF!</v>
      </c>
      <c r="V37" s="583" t="e">
        <f>U37/U$7</f>
        <v>#REF!</v>
      </c>
      <c r="W37" s="582" t="e">
        <f>+'31 dec 2016 BIOLAM'!AZ39+#REF!</f>
        <v>#REF!</v>
      </c>
      <c r="X37" s="583" t="e">
        <f>W37/W$7</f>
        <v>#REF!</v>
      </c>
      <c r="Y37" s="582" t="e">
        <f>+W37+U37+S37+Q37</f>
        <v>#REF!</v>
      </c>
      <c r="Z37" s="583" t="e">
        <f>Y37/Y$7</f>
        <v>#REF!</v>
      </c>
      <c r="AA37" s="584" t="e">
        <f>+G37-Y37</f>
        <v>#REF!</v>
      </c>
      <c r="AB37" s="485">
        <v>0</v>
      </c>
      <c r="AC37" s="647">
        <f>AB37/AB7</f>
        <v>0</v>
      </c>
      <c r="AD37" s="507">
        <v>0</v>
      </c>
      <c r="AE37" s="518" t="str">
        <f t="shared" si="20"/>
        <v/>
      </c>
      <c r="AG37" s="507">
        <v>0</v>
      </c>
      <c r="AH37" s="518" t="str">
        <f t="shared" si="4"/>
        <v/>
      </c>
      <c r="AM37" s="456" t="s">
        <v>99</v>
      </c>
      <c r="AN37" s="747"/>
      <c r="BB37" s="511">
        <f t="shared" si="5"/>
        <v>0</v>
      </c>
      <c r="BC37" s="750"/>
    </row>
    <row r="38" spans="1:55" ht="26.15" customHeight="1">
      <c r="A38" s="575"/>
      <c r="B38" s="548"/>
      <c r="C38" s="454" t="s">
        <v>96</v>
      </c>
      <c r="D38" s="439"/>
      <c r="E38" s="454" t="str">
        <f>+C38</f>
        <v>EBITDA (% of net revenues)</v>
      </c>
      <c r="G38" s="484">
        <f>+G36+G37</f>
        <v>1944144.45</v>
      </c>
      <c r="H38" s="641">
        <f>+G38/G7</f>
        <v>0.31345810545609171</v>
      </c>
      <c r="J38" s="508">
        <f>J36+J37</f>
        <v>0</v>
      </c>
      <c r="K38" s="505" t="str">
        <f t="shared" si="6"/>
        <v/>
      </c>
      <c r="L38" s="431"/>
      <c r="M38" s="508">
        <f>M36+M37</f>
        <v>1199977.313333333</v>
      </c>
      <c r="N38" s="522">
        <f t="shared" si="1"/>
        <v>0.6201510048548311</v>
      </c>
      <c r="O38" s="580"/>
      <c r="P38" s="581"/>
      <c r="Q38" s="582"/>
      <c r="R38" s="583"/>
      <c r="S38" s="582"/>
      <c r="T38" s="583"/>
      <c r="U38" s="582"/>
      <c r="V38" s="583"/>
      <c r="W38" s="582"/>
      <c r="X38" s="583"/>
      <c r="Y38" s="582"/>
      <c r="Z38" s="583"/>
      <c r="AA38" s="584"/>
      <c r="AB38" s="484">
        <f>+AB36+AB37</f>
        <v>5390940.8099999996</v>
      </c>
      <c r="AC38" s="641">
        <f>+AB38/AB7</f>
        <v>0.30204324734634103</v>
      </c>
      <c r="AD38" s="508">
        <f>AD36+AD37</f>
        <v>0</v>
      </c>
      <c r="AE38" s="522" t="str">
        <f t="shared" si="20"/>
        <v/>
      </c>
      <c r="AG38" s="648">
        <f>AG36+AG37</f>
        <v>3599931.9400000027</v>
      </c>
      <c r="AH38" s="522">
        <f t="shared" si="4"/>
        <v>0.49751186962717842</v>
      </c>
      <c r="AM38" s="454" t="s">
        <v>96</v>
      </c>
      <c r="AN38" s="747"/>
      <c r="AO38" s="741">
        <f>AO36-AO37</f>
        <v>-570.21183333332874</v>
      </c>
      <c r="AP38" s="741">
        <f t="shared" ref="AP38:AZ38" si="22">AP36-AP37</f>
        <v>-570.21183333332874</v>
      </c>
      <c r="AQ38" s="741">
        <f t="shared" si="22"/>
        <v>-570.21183333332874</v>
      </c>
      <c r="AR38" s="741">
        <f t="shared" si="22"/>
        <v>21062.788166666673</v>
      </c>
      <c r="AS38" s="741">
        <f t="shared" si="22"/>
        <v>21062.788166666673</v>
      </c>
      <c r="AT38" s="741">
        <f t="shared" si="22"/>
        <v>21062.788166666673</v>
      </c>
      <c r="AU38" s="741">
        <f t="shared" si="22"/>
        <v>8903.1214999999993</v>
      </c>
      <c r="AV38" s="741">
        <f t="shared" si="22"/>
        <v>8903.1214999999993</v>
      </c>
      <c r="AW38" s="741">
        <f t="shared" si="22"/>
        <v>8903.1214999999993</v>
      </c>
      <c r="AX38" s="741">
        <f t="shared" si="22"/>
        <v>16541.121500000001</v>
      </c>
      <c r="AY38" s="741">
        <f t="shared" si="22"/>
        <v>16541.121500000001</v>
      </c>
      <c r="AZ38" s="741">
        <f t="shared" si="22"/>
        <v>16541.121500000001</v>
      </c>
      <c r="BB38" s="748">
        <f t="shared" si="5"/>
        <v>5390940.8099999996</v>
      </c>
      <c r="BC38" s="752"/>
    </row>
    <row r="39" spans="1:55" ht="26.15" customHeight="1" thickBot="1">
      <c r="A39" s="575"/>
      <c r="B39" s="548">
        <v>681</v>
      </c>
      <c r="C39" s="458" t="s">
        <v>100</v>
      </c>
      <c r="D39" s="439"/>
      <c r="E39" s="458" t="s">
        <v>118</v>
      </c>
      <c r="G39" s="475">
        <f>+-116980.71-G40</f>
        <v>-70636.300000000017</v>
      </c>
      <c r="H39" s="578">
        <f>+G39/G7</f>
        <v>-1.1388824927298039E-2</v>
      </c>
      <c r="J39" s="495">
        <f>-SUMIF($AO$7:$AZ$7,$G$6,AO39:AZ39)</f>
        <v>0</v>
      </c>
      <c r="K39" s="532" t="str">
        <f t="shared" si="6"/>
        <v/>
      </c>
      <c r="L39" s="431"/>
      <c r="M39" s="579">
        <f>AG39/3</f>
        <v>-61229.276666666672</v>
      </c>
      <c r="N39" s="517">
        <f t="shared" si="1"/>
        <v>0.1536360356589766</v>
      </c>
      <c r="O39" s="580"/>
      <c r="P39" s="581"/>
      <c r="Q39" s="582"/>
      <c r="R39" s="583"/>
      <c r="S39" s="582"/>
      <c r="T39" s="583"/>
      <c r="U39" s="582"/>
      <c r="V39" s="583"/>
      <c r="W39" s="582"/>
      <c r="X39" s="583"/>
      <c r="Y39" s="582"/>
      <c r="Z39" s="583"/>
      <c r="AA39" s="584"/>
      <c r="AB39" s="475">
        <f>-366120.54-AB40</f>
        <v>-182471.34</v>
      </c>
      <c r="AC39" s="578">
        <f>+AB39/AB7</f>
        <v>-1.0223491227913946E-2</v>
      </c>
      <c r="AD39" s="495">
        <f>-SUMIF($AO$7:$AZ$7,"&lt;="&amp;$AC$6,AO39:AZ39)</f>
        <v>0</v>
      </c>
      <c r="AE39" s="517" t="str">
        <f t="shared" si="20"/>
        <v/>
      </c>
      <c r="AG39" s="579">
        <f>(-337633.8-232212.7)-AG40</f>
        <v>-183687.83000000002</v>
      </c>
      <c r="AH39" s="517">
        <f t="shared" si="4"/>
        <v>-6.6225944309975231E-3</v>
      </c>
      <c r="AJ39" s="620"/>
      <c r="AM39" s="458" t="s">
        <v>118</v>
      </c>
      <c r="AN39" s="747"/>
      <c r="AO39" s="431">
        <f>IF($AO$7=$AL$7,'[4]1 trim 2016 BIOGROUP'!$U$39/3,IF($AO$7=$AL$8,'[4]1 trim 2016 BIOGROUP'!$U$39/3,IF($AO$7=$AL$9,'[4]1 trim 2016 BIOGROUP'!$U$39/3,IF($AO$7=$AL$10,'[4]2 trim 2016 BIOGROUP'!$U$39/3,IF($AO$7=$AL$11,'[4]2 trim 2016 BIOGROUP'!$U$39/3,IF($AO$7=$AL$12,'[4]2 trim 2016 BIOGROUP'!$U$39/3,""))))))</f>
        <v>1798.7275166666668</v>
      </c>
      <c r="AP39" s="431">
        <f>IF($AP$7=$AL$7,'[4]1 trim 2016 BIOGROUP'!$U$39/3,IF($AP$7=$AL$8,'[4]1 trim 2016 BIOGROUP'!$U$39/3,IF($AP$7=$AL$9,'[4]1 trim 2016 BIOGROUP'!$U$39/3,IF($AP$7=$AL$10,'[4]2 trim 2016 BIOGROUP'!$U$39/3,IF($AP$7=$AL$11,'[4]2 trim 2016 BIOGROUP'!$U$39/3,IF($AP$7=$AL$12,'[4]2 trim 2016 BIOGROUP'!$U$39/3,""))))))</f>
        <v>1798.7275166666668</v>
      </c>
      <c r="AQ39" s="431">
        <f>IF($AQ$7=$AL$7,'[4]1 trim 2016 BIOGROUP'!$U$39/3,IF($AQ$7=$AL$8,'[4]1 trim 2016 BIOGROUP'!$U$39/3,IF($AQ$7=$AL$9,'[4]1 trim 2016 BIOGROUP'!$U$39/3,IF($AQ$7=$AL$10,'[4]2 trim 2016 BIOGROUP'!$U$39/3,IF($AQ$7=$AL$11,'[4]2 trim 2016 BIOGROUP'!$U$39/3,IF($AQ$7=$AL$12,'[4]2 trim 2016 BIOGROUP'!$U$39/3,""))))))</f>
        <v>1798.7275166666668</v>
      </c>
      <c r="AR39" s="431">
        <f>IF($AR$7=$AL$7,'[4]1 trim 2016 BIOGROUP'!$U$39/3,IF($AR$7=$AL$8,'[4]1 trim 2016 BIOGROUP'!$U$39/3,IF($AR$7=$AL$9,'[4]1 trim 2016 BIOGROUP'!$U$39/3,IF($AR$7=$AL$10,'[4]2 trim 2016 BIOGROUP'!$U$39/3,IF($AR$7=$AL$11,'[4]2 trim 2016 BIOGROUP'!$U$39/3,IF($AR$7=$AL$12,'[4]2 trim 2016 BIOGROUP'!$U$39/3,""))))))</f>
        <v>1798.7275166666668</v>
      </c>
      <c r="AS39" s="431">
        <f>IF($AS$7=$AL$7,'[4]1 trim 2016 BIOGROUP'!$U$39/3,IF($AS$7=$AL$8,'[4]1 trim 2016 BIOGROUP'!$U$39/3,IF($AS$7=$AL$9,'[4]1 trim 2016 BIOGROUP'!$U$39/3,IF($AS$7=$AL$10,'[4]2 trim 2016 BIOGROUP'!$U$39/3,IF($AS$7=$AL$11,'[4]2 trim 2016 BIOGROUP'!$U$39/3,IF($AS$7=$AL$12,'[4]2 trim 2016 BIOGROUP'!$U$39/3,""))))))</f>
        <v>1798.7275166666668</v>
      </c>
      <c r="AT39" s="431">
        <f>IF($AT$7=$AL$7,'[4]1 trim 2016 BIOGROUP'!$U$39/3,IF($AT$7=$AL$8,'[4]1 trim 2016 BIOGROUP'!$U$39/3,IF($AT$7=$AL$9,'[4]1 trim 2016 BIOGROUP'!$U$39/3,IF($AT$7=$AL$10,'[4]2 trim 2016 BIOGROUP'!$U$39/3,IF($AT$7=$AL$11,'[4]2 trim 2016 BIOGROUP'!$U$39/3,IF($AT$7=$AL$12,'[4]2 trim 2016 BIOGROUP'!$U$39/3,""))))))</f>
        <v>1798.7275166666668</v>
      </c>
      <c r="AU39" s="431">
        <f>IF($AU$7=$AL$13,'[4]3 trim 2016 BIOGROUP'!$U$39/3,IF($AU$7=$AL$14,'[4]3 trim 2016 BIOGROUP'!$U$39/3,IF($AU$7=$AL$15,'[4]3 trim 2016 BIOGROUP'!$U$39/3,IF($AU$7=$AL$16,'[4]4 trim 2016 BIOGROUP'!$U$39/3,IF($AU$7=$AL$18,'[4]4 trim 2016 BIOGROUP'!$U$39/3,IF($AU$7=$AL$19,'[4]4 trim 2016 BIOGROUP'!$U$39/3,""))))))</f>
        <v>1798.7275166666668</v>
      </c>
      <c r="AV39" s="431">
        <f>IF($AV$7=$AL$13,'[4]3 trim 2016 BIOGROUP'!$U$39/3,IF($AV$7=$AL$14,'[4]3 trim 2016 BIOGROUP'!$U$39/3,IF($AV$7=$AL$15,'[4]3 trim 2016 BIOGROUP'!$U$39/3,IF($AV$7=$AL$16,'[4]4 trim 2016 BIOGROUP'!$U$39/3,IF($AV$7=$AL$18,'[4]4 trim 2016 BIOGROUP'!$U$39/3,IF($AV$7=$AL$19,'[4]4 trim 2016 BIOGROUP'!$U$39/3,""))))))</f>
        <v>1798.7275166666668</v>
      </c>
      <c r="AW39" s="431">
        <f>IF($AW$7=$AL$13,'[4]3 trim 2016 BIOGROUP'!$U$39/3,IF($AW$7=$AL$14,'[4]3 trim 2016 BIOGROUP'!$U$39/3,IF($AW$7=$AL$15,'[4]3 trim 2016 BIOGROUP'!$U$39/3,IF($AW$7=$AL$16,'[4]4 trim 2016 BIOGROUP'!$U$39/3,IF($AW$7=$AL$18,'[4]4 trim 2016 BIOGROUP'!$U$39/3,IF($AW$7=$AL$19,'[4]4 trim 2016 BIOGROUP'!$U$39/3,""))))))</f>
        <v>1798.7275166666668</v>
      </c>
      <c r="AX39" s="431">
        <f>IF($AX$7=$AL$13,'[4]3 trim 2016 BIOGROUP'!$U$39/3,IF($AX$7=$AL$14,'[4]3 trim 2016 BIOGROUP'!$U$39/3,IF($AX$7=$AL$15,'[4]3 trim 2016 BIOGROUP'!$U$39/3,IF($AX$7=$AL$16,'[4]4 trim 2016 BIOGROUP'!$U$39/3,IF($AX$7=$AL$18,'[4]4 trim 2016 BIOGROUP'!$U$39/3,IF($AX$7=$AL$19,'[4]4 trim 2016 BIOGROUP'!$U$39/3,""))))))</f>
        <v>1798.7275166666668</v>
      </c>
      <c r="AY39" s="431">
        <f>IF($AY$7=$AL$13,'[4]3 trim 2016 BIOGROUP'!$U$39/3,IF($AY$7=$AL$14,'[4]3 trim 2016 BIOGROUP'!$U$39/3,IF($AY$7=$AL$15,'[4]3 trim 2016 BIOGROUP'!$U$39/3,IF($AY$7=$AL$16,'[4]4 trim 2016 BIOGROUP'!$U$39/3,IF($AY$7=$AL$18,'[4]4 trim 2016 BIOGROUP'!$U$39/3,IF($AY$7=$AL$19,'[4]4 trim 2016 BIOGROUP'!$U$39/3,""))))))</f>
        <v>1798.7275166666668</v>
      </c>
      <c r="AZ39" s="431">
        <f>IF($AZ$7=$AL$13,'[4]3 trim 2016 BIOGROUP'!$U$39/3,IF($AZ$7=$AL$14,'[4]3 trim 2016 BIOGROUP'!$U$39/3,IF($AZ$7=$AL$15,'[4]3 trim 2016 BIOGROUP'!$U$39/3,IF($AZ$7=$AL$16,'[4]4 trim 2016 BIOGROUP'!$U$39/3,IF($AZ$7=$AL$18,'[4]4 trim 2016 BIOGROUP'!$U$39/3,IF($AZ$7=$AL$19,'[4]4 trim 2016 BIOGROUP'!$U$39/3,""))))))</f>
        <v>1798.7275166666668</v>
      </c>
      <c r="BB39" s="511">
        <f t="shared" si="5"/>
        <v>182471.34</v>
      </c>
      <c r="BC39" s="750"/>
    </row>
    <row r="40" spans="1:55" ht="27.75" customHeight="1">
      <c r="A40" s="649"/>
      <c r="B40" s="650">
        <v>681</v>
      </c>
      <c r="C40" s="459" t="s">
        <v>129</v>
      </c>
      <c r="D40" s="651"/>
      <c r="E40" s="459" t="s">
        <v>40</v>
      </c>
      <c r="F40" s="652"/>
      <c r="G40" s="486">
        <f>+-14402.7-22545-9396.71</f>
        <v>-46344.409999999996</v>
      </c>
      <c r="H40" s="653">
        <f>G40/G7</f>
        <v>-7.4721973241650592E-3</v>
      </c>
      <c r="J40" s="509">
        <f>-SUMIF($AO$7:$AZ$7,$G$6,AO40:AZ40)</f>
        <v>0</v>
      </c>
      <c r="K40" s="539" t="str">
        <f t="shared" si="6"/>
        <v/>
      </c>
      <c r="L40" s="431"/>
      <c r="M40" s="654">
        <f>AG40/3</f>
        <v>-128719.55666666666</v>
      </c>
      <c r="N40" s="523">
        <f t="shared" si="1"/>
        <v>-0.63995828450517511</v>
      </c>
      <c r="O40" s="655"/>
      <c r="P40" s="656" t="s">
        <v>40</v>
      </c>
      <c r="Q40" s="657" t="e">
        <f>+#REF!+'31 dec 2016 BIOLAM'!AT40</f>
        <v>#REF!</v>
      </c>
      <c r="R40" s="658" t="e">
        <f>Q40/Q$7</f>
        <v>#REF!</v>
      </c>
      <c r="S40" s="657" t="e">
        <f>+'31 dec 2016 BIOLAM'!AV40+#REF!</f>
        <v>#REF!</v>
      </c>
      <c r="T40" s="658" t="e">
        <f>S40/S$7</f>
        <v>#REF!</v>
      </c>
      <c r="U40" s="657" t="e">
        <f>+'31 dec 2016 BIOLAM'!AX40+#REF!</f>
        <v>#REF!</v>
      </c>
      <c r="V40" s="658" t="e">
        <f>U40/U$7</f>
        <v>#REF!</v>
      </c>
      <c r="W40" s="657" t="e">
        <f>+'31 dec 2016 BIOLAM'!AZ40+#REF!</f>
        <v>#REF!</v>
      </c>
      <c r="X40" s="658" t="e">
        <f>W40/W$7</f>
        <v>#REF!</v>
      </c>
      <c r="Y40" s="657" t="e">
        <f>+W40+U40+S40+Q40</f>
        <v>#REF!</v>
      </c>
      <c r="Z40" s="658" t="e">
        <f>Y40/Y$7</f>
        <v>#REF!</v>
      </c>
      <c r="AA40" s="659" t="e">
        <f>+G40-Y40</f>
        <v>#REF!</v>
      </c>
      <c r="AB40" s="486">
        <f>-49861.49-124391-9396.71</f>
        <v>-183649.19999999998</v>
      </c>
      <c r="AC40" s="653">
        <f>AB40/AB7</f>
        <v>-1.0289484284016402E-2</v>
      </c>
      <c r="AD40" s="509">
        <f>-SUMIF($AO$7:$AZ$7,"&lt;="&amp;$AC$6,AO40:AZ40)</f>
        <v>0</v>
      </c>
      <c r="AE40" s="523" t="str">
        <f t="shared" si="20"/>
        <v/>
      </c>
      <c r="AG40" s="654">
        <f>-20004-199383-31048.67-14071-116013-5639</f>
        <v>-386158.67</v>
      </c>
      <c r="AH40" s="523">
        <f t="shared" si="4"/>
        <v>-0.52442036326673702</v>
      </c>
      <c r="AJ40" s="620"/>
      <c r="AM40" s="459" t="s">
        <v>40</v>
      </c>
      <c r="AN40" s="747"/>
      <c r="AO40" s="431">
        <f>IF($AO$7=$AL$7,'[4]1 trim 2016 BIOGROUP'!$U$40/3,IF($AO$7=$AL$8,'[4]1 trim 2016 BIOGROUP'!$U$40/3,IF($AO$7=$AL$9,'[4]1 trim 2016 BIOGROUP'!$U$40/3,IF($AO$7=$AL$10,'[4]2 trim 2016 BIOGROUP'!$U$40/3,IF($AO$7=$AL$11,'[4]2 trim 2016 BIOGROUP'!$U$40/3,IF($AO$7=$AL$12,'[4]2 trim 2016 BIOGROUP'!$U$40/3,""))))))</f>
        <v>782.22843600000022</v>
      </c>
      <c r="AP40" s="431">
        <f>IF($AP$7=$AL$7,'[4]1 trim 2016 BIOGROUP'!$U$40/3,IF($AP$7=$AL$8,'[4]1 trim 2016 BIOGROUP'!$U$40/3,IF($AP$7=$AL$9,'[4]1 trim 2016 BIOGROUP'!$U$40/3,IF($AP$7=$AL$10,'[4]2 trim 2016 BIOGROUP'!$U$40/3,IF($AP$7=$AL$11,'[4]2 trim 2016 BIOGROUP'!$U$40/3,IF($AP$7=$AL$12,'[4]2 trim 2016 BIOGROUP'!$U$40/3,""))))))</f>
        <v>782.22843600000022</v>
      </c>
      <c r="AQ40" s="431">
        <f>IF($AQ$7=$AL$7,'[4]1 trim 2016 BIOGROUP'!$U$40/3,IF($AQ$7=$AL$8,'[4]1 trim 2016 BIOGROUP'!$U$40/3,IF($AQ$7=$AL$9,'[4]1 trim 2016 BIOGROUP'!$U$40/3,IF($AQ$7=$AL$10,'[4]2 trim 2016 BIOGROUP'!$U$40/3,IF($AQ$7=$AL$11,'[4]2 trim 2016 BIOGROUP'!$U$40/3,IF($AQ$7=$AL$12,'[4]2 trim 2016 BIOGROUP'!$U$40/3,""))))))</f>
        <v>782.22843600000022</v>
      </c>
      <c r="AR40" s="431">
        <f>IF($AR$7=$AL$7,'[4]1 trim 2016 BIOGROUP'!$U$40/3,IF($AR$7=$AL$8,'[4]1 trim 2016 BIOGROUP'!$U$40/3,IF($AR$7=$AL$9,'[4]1 trim 2016 BIOGROUP'!$U$40/3,IF($AR$7=$AL$10,'[4]2 trim 2016 BIOGROUP'!$U$40/3,IF($AR$7=$AL$11,'[4]2 trim 2016 BIOGROUP'!$U$40/3,IF($AR$7=$AL$12,'[4]2 trim 2016 BIOGROUP'!$U$40/3,""))))))</f>
        <v>782.22843600000022</v>
      </c>
      <c r="AS40" s="431">
        <f>IF($AS$7=$AL$7,'[4]1 trim 2016 BIOGROUP'!$U$40/3,IF($AS$7=$AL$8,'[4]1 trim 2016 BIOGROUP'!$U$40/3,IF($AS$7=$AL$9,'[4]1 trim 2016 BIOGROUP'!$U$40/3,IF($AS$7=$AL$10,'[4]2 trim 2016 BIOGROUP'!$U$40/3,IF($AS$7=$AL$11,'[4]2 trim 2016 BIOGROUP'!$U$40/3,IF($AS$7=$AL$12,'[4]2 trim 2016 BIOGROUP'!$U$40/3,""))))))</f>
        <v>782.22843600000022</v>
      </c>
      <c r="AT40" s="431">
        <f>IF($AT$7=$AL$7,'[4]1 trim 2016 BIOGROUP'!$U$40/3,IF($AT$7=$AL$8,'[4]1 trim 2016 BIOGROUP'!$U$40/3,IF($AT$7=$AL$9,'[4]1 trim 2016 BIOGROUP'!$U$40/3,IF($AT$7=$AL$10,'[4]2 trim 2016 BIOGROUP'!$U$40/3,IF($AT$7=$AL$11,'[4]2 trim 2016 BIOGROUP'!$U$40/3,IF($AT$7=$AL$12,'[4]2 trim 2016 BIOGROUP'!$U$40/3,""))))))</f>
        <v>782.22843600000022</v>
      </c>
      <c r="AU40" s="431">
        <f>IF($AU$7=$AL$13,'[4]3 trim 2016 BIOGROUP'!$U$40/3,IF($AU$7=$AL$14,'[4]3 trim 2016 BIOGROUP'!$U$40/3,IF($AU$7=$AL$15,'[4]3 trim 2016 BIOGROUP'!$U$40/3,IF($AU$7=$AL$16,'[4]4 trim 2016 BIOGROUP'!$U$40/3,IF($AU$7=$AL$18,'[4]4 trim 2016 BIOGROUP'!$U$40/3,IF($AU$7=$AL$19,'[4]4 trim 2016 BIOGROUP'!$U$40/3,""))))))</f>
        <v>782.22843600000022</v>
      </c>
      <c r="AV40" s="431">
        <f>IF($AV$7=$AL$13,'[4]3 trim 2016 BIOGROUP'!$U$40/3,IF($AV$7=$AL$14,'[4]3 trim 2016 BIOGROUP'!$U$40/3,IF($AV$7=$AL$15,'[4]3 trim 2016 BIOGROUP'!$U$40/3,IF($AV$7=$AL$16,'[4]4 trim 2016 BIOGROUP'!$U$40/3,IF($AV$7=$AL$18,'[4]4 trim 2016 BIOGROUP'!$U$40/3,IF($AV$7=$AL$19,'[4]4 trim 2016 BIOGROUP'!$U$40/3,""))))))</f>
        <v>782.22843600000022</v>
      </c>
      <c r="AW40" s="431">
        <f>IF($AW$7=$AL$13,'[4]3 trim 2016 BIOGROUP'!$U$40/3,IF($AW$7=$AL$14,'[4]3 trim 2016 BIOGROUP'!$U$40/3,IF($AW$7=$AL$15,'[4]3 trim 2016 BIOGROUP'!$U$40/3,IF($AW$7=$AL$16,'[4]4 trim 2016 BIOGROUP'!$U$40/3,IF($AW$7=$AL$18,'[4]4 trim 2016 BIOGROUP'!$U$40/3,IF($AW$7=$AL$19,'[4]4 trim 2016 BIOGROUP'!$U$40/3,""))))))</f>
        <v>782.22843600000022</v>
      </c>
      <c r="AX40" s="431">
        <f>IF($AX$7=$AL$13,'[4]3 trim 2016 BIOGROUP'!$U$40/3,IF($AX$7=$AL$14,'[4]3 trim 2016 BIOGROUP'!$U$40/3,IF($AX$7=$AL$15,'[4]3 trim 2016 BIOGROUP'!$U$40/3,IF($AX$7=$AL$16,'[4]4 trim 2016 BIOGROUP'!$U$40/3,IF($AX$7=$AL$18,'[4]4 trim 2016 BIOGROUP'!$U$40/3,IF($AX$7=$AL$19,'[4]4 trim 2016 BIOGROUP'!$U$40/3,""))))))</f>
        <v>782.22843600000022</v>
      </c>
      <c r="AY40" s="431">
        <f>IF($AY$7=$AL$13,'[4]3 trim 2016 BIOGROUP'!$U$40/3,IF($AY$7=$AL$14,'[4]3 trim 2016 BIOGROUP'!$U$40/3,IF($AY$7=$AL$15,'[4]3 trim 2016 BIOGROUP'!$U$40/3,IF($AY$7=$AL$16,'[4]4 trim 2016 BIOGROUP'!$U$40/3,IF($AY$7=$AL$18,'[4]4 trim 2016 BIOGROUP'!$U$40/3,IF($AY$7=$AL$19,'[4]4 trim 2016 BIOGROUP'!$U$40/3,""))))))</f>
        <v>782.22843600000022</v>
      </c>
      <c r="AZ40" s="431">
        <f>IF($AZ$7=$AL$13,'[4]3 trim 2016 BIOGROUP'!$U$40/3,IF($AZ$7=$AL$14,'[4]3 trim 2016 BIOGROUP'!$U$40/3,IF($AZ$7=$AL$15,'[4]3 trim 2016 BIOGROUP'!$U$40/3,IF($AZ$7=$AL$16,'[4]4 trim 2016 BIOGROUP'!$U$40/3,IF($AZ$7=$AL$18,'[4]4 trim 2016 BIOGROUP'!$U$40/3,IF($AZ$7=$AL$19,'[4]4 trim 2016 BIOGROUP'!$U$40/3,""))))))</f>
        <v>782.22843600000022</v>
      </c>
      <c r="BB40" s="511">
        <f t="shared" si="5"/>
        <v>183649.19999999998</v>
      </c>
      <c r="BC40" s="750"/>
    </row>
    <row r="41" spans="1:55" ht="26.15" customHeight="1">
      <c r="A41" s="649"/>
      <c r="B41" s="650"/>
      <c r="C41" s="460" t="s">
        <v>96</v>
      </c>
      <c r="D41" s="439"/>
      <c r="E41" s="460" t="str">
        <f>+C41</f>
        <v>EBITDA (% of net revenues)</v>
      </c>
      <c r="G41" s="487">
        <f>+G38+G39+G40</f>
        <v>1827163.74</v>
      </c>
      <c r="H41" s="641">
        <f>+G41/G7</f>
        <v>0.29459708320462863</v>
      </c>
      <c r="J41" s="504">
        <f>J38+J39+J40</f>
        <v>0</v>
      </c>
      <c r="K41" s="505" t="str">
        <f t="shared" si="6"/>
        <v/>
      </c>
      <c r="L41" s="431"/>
      <c r="M41" s="504">
        <f>M38+M39+M40</f>
        <v>1010028.4799999997</v>
      </c>
      <c r="N41" s="522">
        <f t="shared" si="1"/>
        <v>0.80902199906283878</v>
      </c>
      <c r="O41" s="580"/>
      <c r="P41" s="660"/>
      <c r="Q41" s="661"/>
      <c r="R41" s="583"/>
      <c r="S41" s="661"/>
      <c r="T41" s="583"/>
      <c r="U41" s="661"/>
      <c r="V41" s="583"/>
      <c r="W41" s="661"/>
      <c r="X41" s="583"/>
      <c r="Y41" s="661"/>
      <c r="Z41" s="583"/>
      <c r="AA41" s="584"/>
      <c r="AB41" s="487">
        <f>AB36+AB37+AB38</f>
        <v>10781881.619999999</v>
      </c>
      <c r="AC41" s="641">
        <f>+AB41/AB7</f>
        <v>0.60408649469268205</v>
      </c>
      <c r="AD41" s="504">
        <f>AD38+AD39+AD40</f>
        <v>0</v>
      </c>
      <c r="AE41" s="522" t="str">
        <f t="shared" si="20"/>
        <v/>
      </c>
      <c r="AG41" s="504">
        <f>AG38+AG39+AG40</f>
        <v>3030085.4400000027</v>
      </c>
      <c r="AH41" s="522">
        <f t="shared" si="4"/>
        <v>2.5582764359278229</v>
      </c>
      <c r="AM41" s="460" t="s">
        <v>96</v>
      </c>
      <c r="AN41" s="747"/>
      <c r="AO41" s="741">
        <f>AO38-AO39-AO40</f>
        <v>-3151.1677859999959</v>
      </c>
      <c r="AP41" s="741">
        <f t="shared" ref="AP41:AZ41" si="23">AP38-AP39-AP40</f>
        <v>-3151.1677859999959</v>
      </c>
      <c r="AQ41" s="741">
        <f t="shared" si="23"/>
        <v>-3151.1677859999959</v>
      </c>
      <c r="AR41" s="741">
        <f t="shared" si="23"/>
        <v>18481.832214000005</v>
      </c>
      <c r="AS41" s="741">
        <f t="shared" si="23"/>
        <v>18481.832214000005</v>
      </c>
      <c r="AT41" s="741">
        <f t="shared" si="23"/>
        <v>18481.832214000005</v>
      </c>
      <c r="AU41" s="741">
        <f t="shared" si="23"/>
        <v>6322.1655473333321</v>
      </c>
      <c r="AV41" s="741">
        <f>AV38-AV39-AV40</f>
        <v>6322.1655473333321</v>
      </c>
      <c r="AW41" s="741">
        <f t="shared" si="23"/>
        <v>6322.1655473333321</v>
      </c>
      <c r="AX41" s="741">
        <f t="shared" si="23"/>
        <v>13960.165547333336</v>
      </c>
      <c r="AY41" s="741">
        <f t="shared" si="23"/>
        <v>13960.165547333336</v>
      </c>
      <c r="AZ41" s="741">
        <f t="shared" si="23"/>
        <v>13960.165547333336</v>
      </c>
      <c r="BB41" s="748">
        <f t="shared" si="5"/>
        <v>10781881.619999999</v>
      </c>
      <c r="BC41" s="752"/>
    </row>
    <row r="42" spans="1:55" ht="36.75" customHeight="1">
      <c r="A42" s="662"/>
      <c r="B42" s="566"/>
      <c r="C42" s="461" t="s">
        <v>101</v>
      </c>
      <c r="D42" s="439"/>
      <c r="E42" s="461" t="s">
        <v>102</v>
      </c>
      <c r="G42" s="488">
        <f>SUM(G43:G45)</f>
        <v>-160347.28</v>
      </c>
      <c r="H42" s="623">
        <f>G42/G7</f>
        <v>-2.585309677160947E-2</v>
      </c>
      <c r="J42" s="510">
        <f>SUM(J43:J45)</f>
        <v>0</v>
      </c>
      <c r="K42" s="534" t="str">
        <f t="shared" si="6"/>
        <v/>
      </c>
      <c r="L42" s="431"/>
      <c r="M42" s="510">
        <f>SUM(M43:M45)</f>
        <v>-238405.60000000003</v>
      </c>
      <c r="N42" s="520">
        <f t="shared" si="1"/>
        <v>-0.32741814789585488</v>
      </c>
      <c r="O42" s="592"/>
      <c r="P42" s="611" t="str">
        <f>+E42</f>
        <v>RESULTAT FINANCIER</v>
      </c>
      <c r="Q42" s="663" t="e">
        <f>+Q31-Q37-Q40</f>
        <v>#REF!</v>
      </c>
      <c r="R42" s="622" t="e">
        <f>Q42/Q$7</f>
        <v>#REF!</v>
      </c>
      <c r="S42" s="663" t="e">
        <f>+S31-S37-S40</f>
        <v>#REF!</v>
      </c>
      <c r="T42" s="622" t="e">
        <f>S42/S$7</f>
        <v>#REF!</v>
      </c>
      <c r="U42" s="663" t="e">
        <f>+U31-U37-U40</f>
        <v>#REF!</v>
      </c>
      <c r="V42" s="622" t="e">
        <f>U42/U$7</f>
        <v>#REF!</v>
      </c>
      <c r="W42" s="663" t="e">
        <f>+W31-W37-W40</f>
        <v>#REF!</v>
      </c>
      <c r="X42" s="622" t="e">
        <f>W42/W$7</f>
        <v>#REF!</v>
      </c>
      <c r="Y42" s="663" t="e">
        <f>+Y31-Y37-Y40</f>
        <v>#REF!</v>
      </c>
      <c r="Z42" s="622" t="e">
        <f>Y42/Y$7</f>
        <v>#REF!</v>
      </c>
      <c r="AA42" s="609" t="e">
        <f>+G42-Y42</f>
        <v>#REF!</v>
      </c>
      <c r="AB42" s="488">
        <f>SUM(AB43:AB45)</f>
        <v>-647845.48</v>
      </c>
      <c r="AC42" s="664">
        <f>AB42/AB7</f>
        <v>-3.6297440364189242E-2</v>
      </c>
      <c r="AD42" s="510">
        <f>SUM(AD43:AD45)</f>
        <v>0</v>
      </c>
      <c r="AE42" s="520" t="str">
        <f t="shared" si="20"/>
        <v/>
      </c>
      <c r="AG42" s="510">
        <f>SUM(AG43:AG45)</f>
        <v>-715216.8</v>
      </c>
      <c r="AH42" s="520">
        <f t="shared" si="4"/>
        <v>-9.4197060248025585E-2</v>
      </c>
      <c r="AM42" s="461" t="s">
        <v>102</v>
      </c>
      <c r="AN42" s="747"/>
      <c r="AO42" s="741">
        <f>-SUM(AO43:AO45)</f>
        <v>-68.019863999999913</v>
      </c>
      <c r="AP42" s="741">
        <f t="shared" ref="AP42:AZ42" si="24">-SUM(AP43:AP45)</f>
        <v>-68.019863999999913</v>
      </c>
      <c r="AQ42" s="741">
        <f t="shared" si="24"/>
        <v>-68.019863999999913</v>
      </c>
      <c r="AR42" s="741">
        <f t="shared" si="24"/>
        <v>-68.019863999999913</v>
      </c>
      <c r="AS42" s="741">
        <f t="shared" si="24"/>
        <v>-68.019863999999913</v>
      </c>
      <c r="AT42" s="741">
        <f t="shared" si="24"/>
        <v>-68.019863999999913</v>
      </c>
      <c r="AU42" s="741">
        <f t="shared" si="24"/>
        <v>-68.019863999999913</v>
      </c>
      <c r="AV42" s="741">
        <f t="shared" si="24"/>
        <v>-68.019863999999913</v>
      </c>
      <c r="AW42" s="741">
        <f t="shared" si="24"/>
        <v>-68.019863999999913</v>
      </c>
      <c r="AX42" s="741">
        <f t="shared" si="24"/>
        <v>-68.019863999999913</v>
      </c>
      <c r="AY42" s="741">
        <f t="shared" si="24"/>
        <v>-68.019863999999913</v>
      </c>
      <c r="AZ42" s="741">
        <f t="shared" si="24"/>
        <v>-68.019863999999913</v>
      </c>
      <c r="BB42" s="748">
        <f t="shared" si="5"/>
        <v>647845.48</v>
      </c>
      <c r="BC42" s="752"/>
    </row>
    <row r="43" spans="1:55" ht="26.15" customHeight="1">
      <c r="A43" s="575"/>
      <c r="B43" s="548">
        <v>76</v>
      </c>
      <c r="C43" s="450" t="s">
        <v>148</v>
      </c>
      <c r="D43" s="439"/>
      <c r="E43" s="450" t="s">
        <v>16</v>
      </c>
      <c r="F43" s="577"/>
      <c r="G43" s="475">
        <v>34821.81</v>
      </c>
      <c r="H43" s="578">
        <f>G43/G7</f>
        <v>5.6143866219158711E-3</v>
      </c>
      <c r="J43" s="511">
        <f>-SUMIF($AO$7:$AZ$7,$G$6,AO43:AZ43)</f>
        <v>0</v>
      </c>
      <c r="K43" s="532" t="str">
        <f t="shared" si="6"/>
        <v/>
      </c>
      <c r="L43" s="431"/>
      <c r="M43" s="579">
        <f>AG43/3</f>
        <v>16750.846666666668</v>
      </c>
      <c r="N43" s="517">
        <f t="shared" si="1"/>
        <v>1.0788089517465183</v>
      </c>
      <c r="O43" s="592"/>
      <c r="P43" s="616" t="s">
        <v>16</v>
      </c>
      <c r="Q43" s="607" t="e">
        <f>+#REF!+'31 dec 2016 BIOLAM'!AT45</f>
        <v>#REF!</v>
      </c>
      <c r="R43" s="622" t="e">
        <f>Q43/Q$7</f>
        <v>#REF!</v>
      </c>
      <c r="S43" s="607" t="e">
        <f>+'31 dec 2016 BIOLAM'!AV45+#REF!</f>
        <v>#REF!</v>
      </c>
      <c r="T43" s="622" t="e">
        <f>S43/S$7</f>
        <v>#REF!</v>
      </c>
      <c r="U43" s="607" t="e">
        <f>+'31 dec 2016 BIOLAM'!AX45+#REF!</f>
        <v>#REF!</v>
      </c>
      <c r="V43" s="622" t="e">
        <f>U43/U$7</f>
        <v>#REF!</v>
      </c>
      <c r="W43" s="607" t="e">
        <f>+'31 dec 2016 BIOLAM'!AZ45+#REF!</f>
        <v>#REF!</v>
      </c>
      <c r="X43" s="622" t="e">
        <f>W43/W$7</f>
        <v>#REF!</v>
      </c>
      <c r="Y43" s="607" t="e">
        <f>+W43+U43+S43+Q43</f>
        <v>#REF!</v>
      </c>
      <c r="Z43" s="622" t="e">
        <f>Y43/Y$7</f>
        <v>#REF!</v>
      </c>
      <c r="AA43" s="609" t="e">
        <f>+G43-Y43</f>
        <v>#REF!</v>
      </c>
      <c r="AB43" s="475">
        <v>35987.85</v>
      </c>
      <c r="AC43" s="578">
        <f>AB43/AB7</f>
        <v>2.0163246939847259E-3</v>
      </c>
      <c r="AD43" s="511">
        <f>-SUMIF($AO$7:$AZ$7,"&lt;="&amp;$AC$6,AO43:AZ43)</f>
        <v>0</v>
      </c>
      <c r="AE43" s="517" t="str">
        <f t="shared" si="20"/>
        <v/>
      </c>
      <c r="AG43" s="579">
        <f>50252.54</f>
        <v>50252.54</v>
      </c>
      <c r="AH43" s="517">
        <f t="shared" si="4"/>
        <v>-0.28386007951040887</v>
      </c>
      <c r="AM43" s="450" t="s">
        <v>16</v>
      </c>
      <c r="AN43" s="747"/>
      <c r="AO43" s="431">
        <f>IF($AO$7=$AL$7,'[4]1 trim 2016 BIOGROUP'!$U$45/3,IF($AO$7=$AL$8,'[4]1 trim 2016 BIOGROUP'!$U$45/3,IF($AO$7=$AL$9,'[4]1 trim 2016 BIOGROUP'!$U$45/3,IF($AO$7=$AL$10,'[4]2 trim 2016 BIOGROUP'!$U$45/3,IF($AO$7=$AL$11,'[4]2 trim 2016 BIOGROUP'!$U$45/3,IF($AO$7=$AL$12,'[4]2 trim 2016 BIOGROUP'!$U$45/3,""))))))</f>
        <v>0</v>
      </c>
      <c r="AP43" s="431">
        <f>IF($AP$7=$AL$7,'[4]1 trim 2016 BIOGROUP'!$U$45/3,IF($AP$7=$AL$8,'[4]1 trim 2016 BIOGROUP'!$U$45/3,IF($AP$7=$AL$9,'[4]1 trim 2016 BIOGROUP'!$U$45/3,IF($AP$7=$AL$10,'[4]2 trim 2016 BIOGROUP'!$U$45/3,IF($AP$7=$AL$11,'[4]2 trim 2016 BIOGROUP'!$U$45/3,IF($AP$7=$AL$12,'[4]2 trim 2016 BIOGROUP'!$U$45/3,""))))))</f>
        <v>0</v>
      </c>
      <c r="AQ43" s="431">
        <f>IF($AQ$7=$AL$7,'[4]1 trim 2016 BIOGROUP'!$U$45/3,IF($AQ$7=$AL$8,'[4]1 trim 2016 BIOGROUP'!$U$45/3,IF($AQ$7=$AL$9,'[4]1 trim 2016 BIOGROUP'!$U$45/3,IF($AQ$7=$AL$10,'[4]2 trim 2016 BIOGROUP'!$U$45/3,IF($AQ$7=$AL$11,'[4]2 trim 2016 BIOGROUP'!$U$45/3,IF($AQ$7=$AL$12,'[4]2 trim 2016 BIOGROUP'!$U$45/3,""))))))</f>
        <v>0</v>
      </c>
      <c r="AR43" s="431">
        <f>IF($AR$7=$AL$7,'[4]1 trim 2016 BIOGROUP'!$U$45/3,IF($AR$7=$AL$8,'[4]1 trim 2016 BIOGROUP'!$U$45/3,IF($AR$7=$AL$9,'[4]1 trim 2016 BIOGROUP'!$U$45/3,IF($AR$7=$AL$10,'[4]2 trim 2016 BIOGROUP'!$U$45/3,IF($AR$7=$AL$11,'[4]2 trim 2016 BIOGROUP'!$U$45/3,IF($AR$7=$AL$12,'[4]2 trim 2016 BIOGROUP'!$U$45/3,""))))))</f>
        <v>0</v>
      </c>
      <c r="AS43" s="431">
        <f>IF($AS$7=$AL$7,'[4]1 trim 2016 BIOGROUP'!$U$45/3,IF($AS$7=$AL$8,'[4]1 trim 2016 BIOGROUP'!$U$45/3,IF($AS$7=$AL$9,'[4]1 trim 2016 BIOGROUP'!$U$45/3,IF($AS$7=$AL$10,'[4]2 trim 2016 BIOGROUP'!$U$45/3,IF($AS$7=$AL$11,'[4]2 trim 2016 BIOGROUP'!$U$45/3,IF($AS$7=$AL$12,'[4]2 trim 2016 BIOGROUP'!$U$45/3,""))))))</f>
        <v>0</v>
      </c>
      <c r="AT43" s="431">
        <f>IF($AT$7=$AL$7,'[4]1 trim 2016 BIOGROUP'!$U$45/3,IF($AT$7=$AL$8,'[4]1 trim 2016 BIOGROUP'!$U$45/3,IF($AT$7=$AL$9,'[4]1 trim 2016 BIOGROUP'!$U$45/3,IF($AT$7=$AL$10,'[4]2 trim 2016 BIOGROUP'!$U$45/3,IF($AT$7=$AL$11,'[4]2 trim 2016 BIOGROUP'!$U$45/3,IF($AT$7=$AL$12,'[4]2 trim 2016 BIOGROUP'!$U$45/3,""))))))</f>
        <v>0</v>
      </c>
      <c r="AU43" s="431">
        <f>IF($AU$7=$AL$13,'[4]3 trim 2016 BIOGROUP'!$U$45/3,IF($AU$7=$AL$14,'[4]3 trim 2016 BIOGROUP'!$U$45/3,IF($AU$7=$AL$15,'[4]3 trim 2016 BIOGROUP'!$U$45/3,IF($AU$7=$AL$16,'[4]4 trim 2016 BIOGROUP'!$U$45/3,IF($AU$7=$AL$18,'[4]4 trim 2016 BIOGROUP'!$U$45/3,IF($AU$7=$AL$19,'[4]4 trim 2016 BIOGROUP'!$U$45/3,""))))))</f>
        <v>0</v>
      </c>
      <c r="AV43" s="431">
        <f>IF($AV$7=$AL$13,'[4]3 trim 2016 BIOGROUP'!$U$45/3,IF($AV$7=$AL$14,'[4]3 trim 2016 BIOGROUP'!$U$45/3,IF($AV$7=$AL$15,'[4]3 trim 2016 BIOGROUP'!$U$45/3,IF($AV$7=$AL$16,'[4]4 trim 2016 BIOGROUP'!$U$45/3,IF($AV$7=$AL$18,'[4]4 trim 2016 BIOGROUP'!$U$45/3,IF($AV$7=$AL$19,'[4]4 trim 2016 BIOGROUP'!$U$45/3,""))))))</f>
        <v>0</v>
      </c>
      <c r="AW43" s="431">
        <f>IF($AW$7=$AL$13,'[4]3 trim 2016 BIOGROUP'!$U$45/3,IF($AW$7=$AL$14,'[4]3 trim 2016 BIOGROUP'!$U$45/3,IF($AW$7=$AL$15,'[4]3 trim 2016 BIOGROUP'!$U$45/3,IF($AW$7=$AL$16,'[4]4 trim 2016 BIOGROUP'!$U$45/3,IF($AW$7=$AL$18,'[4]4 trim 2016 BIOGROUP'!$U$45/3,IF($AW$7=$AL$19,'[4]4 trim 2016 BIOGROUP'!$U$45/3,""))))))</f>
        <v>0</v>
      </c>
      <c r="AX43" s="431">
        <f>IF($AX$7=$AL$13,'[4]3 trim 2016 BIOGROUP'!$U$45/3,IF($AX$7=$AL$14,'[4]3 trim 2016 BIOGROUP'!$U$45/3,IF($AX$7=$AL$15,'[4]3 trim 2016 BIOGROUP'!$U$45/3,IF($AX$7=$AL$16,'[4]4 trim 2016 BIOGROUP'!$U$45/3,IF($AX$7=$AL$18,'[4]4 trim 2016 BIOGROUP'!$U$45/3,IF($AX$7=$AL$19,'[4]4 trim 2016 BIOGROUP'!$U$45/3,""))))))</f>
        <v>0</v>
      </c>
      <c r="AY43" s="431">
        <f>IF($AY$7=$AL$13,'[4]3 trim 2016 BIOGROUP'!$U$45/3,IF($AY$7=$AL$14,'[4]3 trim 2016 BIOGROUP'!$U$45/3,IF($AY$7=$AL$15,'[4]3 trim 2016 BIOGROUP'!$U$45/3,IF($AY$7=$AL$16,'[4]4 trim 2016 BIOGROUP'!$U$45/3,IF($AY$7=$AL$18,'[4]4 trim 2016 BIOGROUP'!$U$45/3,IF($AY$7=$AL$19,'[4]4 trim 2016 BIOGROUP'!$U$45/3,""))))))</f>
        <v>0</v>
      </c>
      <c r="AZ43" s="431">
        <f>IF($AZ$7=$AL$13,'[4]3 trim 2016 BIOGROUP'!$U$45/3,IF($AZ$7=$AL$14,'[4]3 trim 2016 BIOGROUP'!$U$45/3,IF($AZ$7=$AL$15,'[4]3 trim 2016 BIOGROUP'!$U$45/3,IF($AZ$7=$AL$16,'[4]4 trim 2016 BIOGROUP'!$U$45/3,IF($AZ$7=$AL$18,'[4]4 trim 2016 BIOGROUP'!$U$45/3,IF($AZ$7=$AL$19,'[4]4 trim 2016 BIOGROUP'!$U$45/3,""))))))</f>
        <v>0</v>
      </c>
      <c r="BB43" s="511">
        <f t="shared" si="5"/>
        <v>35987.85</v>
      </c>
      <c r="BC43" s="750"/>
    </row>
    <row r="44" spans="1:55" ht="26.15" customHeight="1">
      <c r="A44" s="575"/>
      <c r="B44" s="548">
        <v>66</v>
      </c>
      <c r="C44" s="450" t="s">
        <v>149</v>
      </c>
      <c r="D44" s="439"/>
      <c r="E44" s="450" t="s">
        <v>17</v>
      </c>
      <c r="F44" s="577"/>
      <c r="G44" s="489">
        <f>+-195169.09-G45</f>
        <v>-195013.19</v>
      </c>
      <c r="H44" s="665">
        <f>G44/G7</f>
        <v>-3.1442347340162331E-2</v>
      </c>
      <c r="J44" s="495">
        <f>-SUMIF($AO$7:$AZ$7,$G$6,AO44:AZ44)</f>
        <v>0</v>
      </c>
      <c r="K44" s="532" t="str">
        <f t="shared" si="6"/>
        <v/>
      </c>
      <c r="L44" s="431"/>
      <c r="M44" s="579">
        <f>AG44/3</f>
        <v>-238103.11333333337</v>
      </c>
      <c r="N44" s="517">
        <f t="shared" si="1"/>
        <v>-0.18097169218030956</v>
      </c>
      <c r="O44" s="580"/>
      <c r="P44" s="586" t="s">
        <v>17</v>
      </c>
      <c r="Q44" s="582" t="e">
        <f>+#REF!+'31 dec 2016 BIOLAM'!AT46</f>
        <v>#REF!</v>
      </c>
      <c r="R44" s="583" t="e">
        <f>Q44/Q$7</f>
        <v>#REF!</v>
      </c>
      <c r="S44" s="582" t="e">
        <f>+'31 dec 2016 BIOLAM'!AV46+#REF!</f>
        <v>#REF!</v>
      </c>
      <c r="T44" s="583" t="e">
        <f>S44/S$7</f>
        <v>#REF!</v>
      </c>
      <c r="U44" s="582" t="e">
        <f>+'31 dec 2016 BIOLAM'!AX46+#REF!</f>
        <v>#REF!</v>
      </c>
      <c r="V44" s="583" t="e">
        <f>U44/U$7</f>
        <v>#REF!</v>
      </c>
      <c r="W44" s="582" t="e">
        <f>+'31 dec 2016 BIOLAM'!AZ46+#REF!</f>
        <v>#REF!</v>
      </c>
      <c r="X44" s="583" t="e">
        <f>W44/W$7</f>
        <v>#REF!</v>
      </c>
      <c r="Y44" s="582" t="e">
        <f>+W44+U44+S44+Q44</f>
        <v>#REF!</v>
      </c>
      <c r="Z44" s="583" t="e">
        <f>Y44/Y$7</f>
        <v>#REF!</v>
      </c>
      <c r="AA44" s="584" t="e">
        <f>+G44-Y44</f>
        <v>#REF!</v>
      </c>
      <c r="AB44" s="475">
        <f>-683833.33-AB45</f>
        <v>-673186.14</v>
      </c>
      <c r="AC44" s="578">
        <f>AB44/AB7</f>
        <v>-3.7717225055963581E-2</v>
      </c>
      <c r="AD44" s="495">
        <f>-SUMIF($AO$7:$AZ$7,"&lt;="&amp;$AC$6,AO44:AZ44)</f>
        <v>0</v>
      </c>
      <c r="AE44" s="517" t="str">
        <f t="shared" si="20"/>
        <v/>
      </c>
      <c r="AG44" s="579">
        <f>-678897.04-86572.3-AG45</f>
        <v>-714309.34000000008</v>
      </c>
      <c r="AH44" s="517">
        <f t="shared" si="4"/>
        <v>-5.7570575795635077E-2</v>
      </c>
      <c r="AM44" s="450" t="s">
        <v>17</v>
      </c>
      <c r="AN44" s="747"/>
      <c r="AO44" s="431">
        <f>IF($AO$7=$AL$7,'[4]1 trim 2016 BIOGROUP'!$U$46/3,IF($AO$7=$AL$8,'[4]1 trim 2016 BIOGROUP'!$U$46/3,IF($AO$7=$AL$9,'[4]1 trim 2016 BIOGROUP'!$U$46/3,IF($AO$7=$AL$10,'[4]2 trim 2016 BIOGROUP'!$U$46/3,IF($AO$7=$AL$11,'[4]2 trim 2016 BIOGROUP'!$U$46/3,IF($AO$7=$AL$12,'[4]2 trim 2016 BIOGROUP'!$U$46/3,""))))))</f>
        <v>0</v>
      </c>
      <c r="AP44" s="431">
        <f>IF($AP$7=$AL$7,'[4]1 trim 2016 BIOGROUP'!$U$46/3,IF($AP$7=$AL$8,'[4]1 trim 2016 BIOGROUP'!$U$46/3,IF($AP$7=$AL$9,'[4]1 trim 2016 BIOGROUP'!$U$46/3,IF($AP$7=$AL$10,'[4]2 trim 2016 BIOGROUP'!$U$46/3,IF($AP$7=$AL$11,'[4]2 trim 2016 BIOGROUP'!$U$46/3,IF($AP$7=$AL$12,'[4]2 trim 2016 BIOGROUP'!$U$46/3,""))))))</f>
        <v>0</v>
      </c>
      <c r="AQ44" s="431">
        <f>IF($AQ$7=$AL$7,'[4]1 trim 2016 BIOGROUP'!$U$46/3,IF($AQ$7=$AL$8,'[4]1 trim 2016 BIOGROUP'!$U$46/3,IF($AQ$7=$AL$9,'[4]1 trim 2016 BIOGROUP'!$U$46/3,IF($AQ$7=$AL$10,'[4]2 trim 2016 BIOGROUP'!$U$46/3,IF($AQ$7=$AL$11,'[4]2 trim 2016 BIOGROUP'!$U$46/3,IF($AQ$7=$AL$12,'[4]2 trim 2016 BIOGROUP'!$U$46/3,""))))))</f>
        <v>0</v>
      </c>
      <c r="AR44" s="431">
        <f>IF($AR$7=$AL$7,'[4]1 trim 2016 BIOGROUP'!$U$46/3,IF($AR$7=$AL$8,'[4]1 trim 2016 BIOGROUP'!$U$46/3,IF($AR$7=$AL$9,'[4]1 trim 2016 BIOGROUP'!$U$46/3,IF($AR$7=$AL$10,'[4]2 trim 2016 BIOGROUP'!$U$46/3,IF($AR$7=$AL$11,'[4]2 trim 2016 BIOGROUP'!$U$46/3,IF($AR$7=$AL$12,'[4]2 trim 2016 BIOGROUP'!$U$46/3,""))))))</f>
        <v>0</v>
      </c>
      <c r="AS44" s="431">
        <f>IF($AS$7=$AL$7,'[4]1 trim 2016 BIOGROUP'!$U$46/3,IF($AS$7=$AL$8,'[4]1 trim 2016 BIOGROUP'!$U$46/3,IF($AS$7=$AL$9,'[4]1 trim 2016 BIOGROUP'!$U$46/3,IF($AS$7=$AL$10,'[4]2 trim 2016 BIOGROUP'!$U$46/3,IF($AS$7=$AL$11,'[4]2 trim 2016 BIOGROUP'!$U$46/3,IF($AS$7=$AL$12,'[4]2 trim 2016 BIOGROUP'!$U$46/3,""))))))</f>
        <v>0</v>
      </c>
      <c r="AT44" s="431">
        <f>IF($AT$7=$AL$7,'[4]1 trim 2016 BIOGROUP'!$U$46/3,IF($AT$7=$AL$8,'[4]1 trim 2016 BIOGROUP'!$U$46/3,IF($AT$7=$AL$9,'[4]1 trim 2016 BIOGROUP'!$U$46/3,IF($AT$7=$AL$10,'[4]2 trim 2016 BIOGROUP'!$U$46/3,IF($AT$7=$AL$11,'[4]2 trim 2016 BIOGROUP'!$U$46/3,IF($AT$7=$AL$12,'[4]2 trim 2016 BIOGROUP'!$U$46/3,""))))))</f>
        <v>0</v>
      </c>
      <c r="AU44" s="431">
        <f>IF($AU$7=$AL$13,'[4]3 trim 2016 BIOGROUP'!$U$46/3,IF($AU$7=$AL$14,'[4]3 trim 2016 BIOGROUP'!$U$46/3,IF($AU$7=$AL$15,'[4]3 trim 2016 BIOGROUP'!$U$46/3,IF($AU$7=$AL$16,'[4]4 trim 2016 BIOGROUP'!$U$46/3,IF($AU$7=$AL$18,'[4]4 trim 2016 BIOGROUP'!$U$46/3,IF($AU$7=$AL$19,'[4]4 trim 2016 BIOGROUP'!$U$46/3,""))))))</f>
        <v>0</v>
      </c>
      <c r="AV44" s="431">
        <f>IF($AV$7=$AL$13,'[4]3 trim 2016 BIOGROUP'!$U$46/3,IF($AV$7=$AL$14,'[4]3 trim 2016 BIOGROUP'!$U$46/3,IF($AV$7=$AL$15,'[4]3 trim 2016 BIOGROUP'!$U$46/3,IF($AV$7=$AL$16,'[4]4 trim 2016 BIOGROUP'!$U$46/3,IF($AV$7=$AL$18,'[4]4 trim 2016 BIOGROUP'!$U$46/3,IF($AV$7=$AL$19,'[4]4 trim 2016 BIOGROUP'!$U$46/3,""))))))</f>
        <v>0</v>
      </c>
      <c r="AW44" s="431">
        <f>IF($AW$7=$AL$13,'[4]3 trim 2016 BIOGROUP'!$U$46/3,IF($AW$7=$AL$14,'[4]3 trim 2016 BIOGROUP'!$U$46/3,IF($AW$7=$AL$15,'[4]3 trim 2016 BIOGROUP'!$U$46/3,IF($AW$7=$AL$16,'[4]4 trim 2016 BIOGROUP'!$U$46/3,IF($AW$7=$AL$18,'[4]4 trim 2016 BIOGROUP'!$U$46/3,IF($AW$7=$AL$19,'[4]4 trim 2016 BIOGROUP'!$U$46/3,""))))))</f>
        <v>0</v>
      </c>
      <c r="AX44" s="431">
        <f>IF($AX$7=$AL$13,'[4]3 trim 2016 BIOGROUP'!$U$46/3,IF($AX$7=$AL$14,'[4]3 trim 2016 BIOGROUP'!$U$46/3,IF($AX$7=$AL$15,'[4]3 trim 2016 BIOGROUP'!$U$46/3,IF($AX$7=$AL$16,'[4]4 trim 2016 BIOGROUP'!$U$46/3,IF($AX$7=$AL$18,'[4]4 trim 2016 BIOGROUP'!$U$46/3,IF($AX$7=$AL$19,'[4]4 trim 2016 BIOGROUP'!$U$46/3,""))))))</f>
        <v>0</v>
      </c>
      <c r="AY44" s="431">
        <f>IF($AY$7=$AL$13,'[4]3 trim 2016 BIOGROUP'!$U$46/3,IF($AY$7=$AL$14,'[4]3 trim 2016 BIOGROUP'!$U$46/3,IF($AY$7=$AL$15,'[4]3 trim 2016 BIOGROUP'!$U$46/3,IF($AY$7=$AL$16,'[4]4 trim 2016 BIOGROUP'!$U$46/3,IF($AY$7=$AL$18,'[4]4 trim 2016 BIOGROUP'!$U$46/3,IF($AY$7=$AL$19,'[4]4 trim 2016 BIOGROUP'!$U$46/3,""))))))</f>
        <v>0</v>
      </c>
      <c r="AZ44" s="431">
        <f>IF($AZ$7=$AL$13,'[4]3 trim 2016 BIOGROUP'!$U$46/3,IF($AZ$7=$AL$14,'[4]3 trim 2016 BIOGROUP'!$U$46/3,IF($AZ$7=$AL$15,'[4]3 trim 2016 BIOGROUP'!$U$46/3,IF($AZ$7=$AL$16,'[4]4 trim 2016 BIOGROUP'!$U$46/3,IF($AZ$7=$AL$18,'[4]4 trim 2016 BIOGROUP'!$U$46/3,IF($AZ$7=$AL$19,'[4]4 trim 2016 BIOGROUP'!$U$46/3,""))))))</f>
        <v>0</v>
      </c>
      <c r="BB44" s="511">
        <f t="shared" si="5"/>
        <v>673186.14</v>
      </c>
      <c r="BC44" s="750"/>
    </row>
    <row r="45" spans="1:55" ht="26.15" customHeight="1">
      <c r="A45" s="649"/>
      <c r="B45" s="650">
        <v>66</v>
      </c>
      <c r="C45" s="462" t="s">
        <v>151</v>
      </c>
      <c r="D45" s="439"/>
      <c r="E45" s="462" t="s">
        <v>41</v>
      </c>
      <c r="F45" s="666"/>
      <c r="G45" s="486">
        <f>+-1791.9+1636</f>
        <v>-155.90000000000009</v>
      </c>
      <c r="H45" s="653">
        <f>G45/G7</f>
        <v>-2.5136053363012571E-5</v>
      </c>
      <c r="J45" s="509">
        <f>-SUMIF($AO$7:$AZ$7,$G$6,AO45:AZ45)</f>
        <v>0</v>
      </c>
      <c r="K45" s="539" t="str">
        <f t="shared" si="6"/>
        <v/>
      </c>
      <c r="L45" s="431"/>
      <c r="M45" s="579">
        <f>AG45/3</f>
        <v>-17053.333333333332</v>
      </c>
      <c r="N45" s="517">
        <f t="shared" si="1"/>
        <v>-0.99085809225957766</v>
      </c>
      <c r="O45" s="580"/>
      <c r="P45" s="667" t="s">
        <v>41</v>
      </c>
      <c r="Q45" s="582" t="e">
        <f>+#REF!+'31 dec 2016 BIOLAM'!AT47</f>
        <v>#REF!</v>
      </c>
      <c r="R45" s="583" t="e">
        <f>Q45/Q$7</f>
        <v>#REF!</v>
      </c>
      <c r="S45" s="582" t="e">
        <f>+'31 dec 2016 BIOLAM'!AV47+#REF!</f>
        <v>#REF!</v>
      </c>
      <c r="T45" s="583" t="e">
        <f>S45/S$7</f>
        <v>#REF!</v>
      </c>
      <c r="U45" s="582" t="e">
        <f>+'31 dec 2016 BIOLAM'!AX47+#REF!</f>
        <v>#REF!</v>
      </c>
      <c r="V45" s="583" t="e">
        <f>U45/U$7</f>
        <v>#REF!</v>
      </c>
      <c r="W45" s="582" t="e">
        <f>+'31 dec 2016 BIOLAM'!AZ47+#REF!</f>
        <v>#REF!</v>
      </c>
      <c r="X45" s="583" t="e">
        <f>W45/W$7</f>
        <v>#REF!</v>
      </c>
      <c r="Y45" s="582" t="e">
        <f>+W45+U45+S45+Q45</f>
        <v>#REF!</v>
      </c>
      <c r="Z45" s="583" t="e">
        <f>Y45/Y$7</f>
        <v>#REF!</v>
      </c>
      <c r="AA45" s="584" t="e">
        <f>+G45-Y45</f>
        <v>#REF!</v>
      </c>
      <c r="AB45" s="486">
        <f>-4807.19-5840</f>
        <v>-10647.189999999999</v>
      </c>
      <c r="AC45" s="653">
        <f>AB45/AB8</f>
        <v>-6.7672253149079272E-4</v>
      </c>
      <c r="AD45" s="509">
        <f>-SUMIF($AO$7:$AZ$7,"&lt;="&amp;$AC$6,AO45:AZ45)</f>
        <v>0</v>
      </c>
      <c r="AE45" s="523" t="str">
        <f t="shared" si="20"/>
        <v/>
      </c>
      <c r="AG45" s="654">
        <f>-27924-5914-16248-1074</f>
        <v>-51160</v>
      </c>
      <c r="AH45" s="523">
        <f t="shared" si="4"/>
        <v>-0.79188448006254886</v>
      </c>
      <c r="AM45" s="462" t="s">
        <v>41</v>
      </c>
      <c r="AN45" s="747"/>
      <c r="AO45" s="431">
        <f>IF($AO$7=$AL$7,'[4]1 trim 2016 BIOGROUP'!$U$47/3,IF($AO$7=$AL$8,'[4]1 trim 2016 BIOGROUP'!$U$47/3,IF($AO$7=$AL$9,'[4]1 trim 2016 BIOGROUP'!$U$47/3,IF($AO$7=$AL$10,'[4]2 trim 2016 BIOGROUP'!$U$47/3,IF($AO$7=$AL$11,'[4]2 trim 2016 BIOGROUP'!$U$47/3,IF($AO$7=$AL$12,'[4]2 trim 2016 BIOGROUP'!$U$47/3,""))))))</f>
        <v>68.019863999999913</v>
      </c>
      <c r="AP45" s="431">
        <f>IF($AP$7=$AL$7,'[4]1 trim 2016 BIOGROUP'!$U$47/3,IF($AP$7=$AL$8,'[4]1 trim 2016 BIOGROUP'!$U$47/3,IF($AP$7=$AL$9,'[4]1 trim 2016 BIOGROUP'!$U$47/3,IF($AP$7=$AL$10,'[4]2 trim 2016 BIOGROUP'!$U$47/3,IF($AP$7=$AL$11,'[4]2 trim 2016 BIOGROUP'!$U$47/3,IF($AP$7=$AL$12,'[4]2 trim 2016 BIOGROUP'!$U$47/3,""))))))</f>
        <v>68.019863999999913</v>
      </c>
      <c r="AQ45" s="431">
        <f>IF($AQ$7=$AL$7,'[4]1 trim 2016 BIOGROUP'!$U$47/3,IF($AQ$7=$AL$8,'[4]1 trim 2016 BIOGROUP'!$U$47/3,IF($AQ$7=$AL$9,'[4]1 trim 2016 BIOGROUP'!$U$47/3,IF($AQ$7=$AL$10,'[4]2 trim 2016 BIOGROUP'!$U$47/3,IF($AQ$7=$AL$11,'[4]2 trim 2016 BIOGROUP'!$U$47/3,IF($AQ$7=$AL$12,'[4]2 trim 2016 BIOGROUP'!$U$47/3,""))))))</f>
        <v>68.019863999999913</v>
      </c>
      <c r="AR45" s="431">
        <f>IF($AR$7=$AL$7,'[4]1 trim 2016 BIOGROUP'!$U$47/3,IF($AR$7=$AL$8,'[4]1 trim 2016 BIOGROUP'!$U$47/3,IF($AR$7=$AL$9,'[4]1 trim 2016 BIOGROUP'!$U$47/3,IF($AR$7=$AL$10,'[4]2 trim 2016 BIOGROUP'!$U$47/3,IF($AR$7=$AL$11,'[4]2 trim 2016 BIOGROUP'!$U$47/3,IF($AR$7=$AL$12,'[4]2 trim 2016 BIOGROUP'!$U$47/3,""))))))</f>
        <v>68.019863999999913</v>
      </c>
      <c r="AS45" s="431">
        <f>IF($AS$7=$AL$7,'[4]1 trim 2016 BIOGROUP'!$U$47/3,IF($AS$7=$AL$8,'[4]1 trim 2016 BIOGROUP'!$U$47/3,IF($AS$7=$AL$9,'[4]1 trim 2016 BIOGROUP'!$U$47/3,IF($AS$7=$AL$10,'[4]2 trim 2016 BIOGROUP'!$U$47/3,IF($AS$7=$AL$11,'[4]2 trim 2016 BIOGROUP'!$U$47/3,IF($AS$7=$AL$12,'[4]2 trim 2016 BIOGROUP'!$U$47/3,""))))))</f>
        <v>68.019863999999913</v>
      </c>
      <c r="AT45" s="431">
        <f>IF($AT$7=$AL$7,'[4]1 trim 2016 BIOGROUP'!$U$47/3,IF($AT$7=$AL$8,'[4]1 trim 2016 BIOGROUP'!$U$47/3,IF($AT$7=$AL$9,'[4]1 trim 2016 BIOGROUP'!$U$47/3,IF($AT$7=$AL$10,'[4]2 trim 2016 BIOGROUP'!$U$47/3,IF($AT$7=$AL$11,'[4]2 trim 2016 BIOGROUP'!$U$47/3,IF($AT$7=$AL$12,'[4]2 trim 2016 BIOGROUP'!$U$47/3,""))))))</f>
        <v>68.019863999999913</v>
      </c>
      <c r="AU45" s="431">
        <f>IF($AU$7=$AL$13,'[4]3 trim 2016 BIOGROUP'!$U$47/3,IF($AU$7=$AL$14,'[4]3 trim 2016 BIOGROUP'!$U$47/3,IF($AU$7=$AL$15,'[4]3 trim 2016 BIOGROUP'!$U$47/3,IF($AU$7=$AL$16,'[4]4 trim 2016 BIOGROUP'!$U$47/3,IF($AU$7=$AL$18,'[4]4 trim 2016 BIOGROUP'!$U$47/3,IF($AU$7=$AL$19,'[4]4 trim 2016 BIOGROUP'!$U$47/3,""))))))</f>
        <v>68.019863999999913</v>
      </c>
      <c r="AV45" s="431">
        <f>IF($AV$7=$AL$13,'[4]3 trim 2016 BIOGROUP'!$U$47/3,IF($AV$7=$AL$14,'[4]3 trim 2016 BIOGROUP'!$U$47/3,IF($AV$7=$AL$15,'[4]3 trim 2016 BIOGROUP'!$U$47/3,IF($AV$7=$AL$16,'[4]4 trim 2016 BIOGROUP'!$U$47/3,IF($AV$7=$AL$18,'[4]4 trim 2016 BIOGROUP'!$U$47/3,IF($AV$7=$AL$19,'[4]4 trim 2016 BIOGROUP'!$U$47/3,""))))))</f>
        <v>68.019863999999913</v>
      </c>
      <c r="AW45" s="431">
        <f>IF($AW$7=$AL$13,'[4]3 trim 2016 BIOGROUP'!$U$47/3,IF($AW$7=$AL$14,'[4]3 trim 2016 BIOGROUP'!$U$47/3,IF($AW$7=$AL$15,'[4]3 trim 2016 BIOGROUP'!$U$47/3,IF($AW$7=$AL$16,'[4]4 trim 2016 BIOGROUP'!$U$47/3,IF($AW$7=$AL$18,'[4]4 trim 2016 BIOGROUP'!$U$47/3,IF($AW$7=$AL$19,'[4]4 trim 2016 BIOGROUP'!$U$47/3,""))))))</f>
        <v>68.019863999999913</v>
      </c>
      <c r="AX45" s="431">
        <f>IF($AX$7=$AL$13,'[4]3 trim 2016 BIOGROUP'!$U$47/3,IF($AX$7=$AL$14,'[4]3 trim 2016 BIOGROUP'!$U$47/3,IF($AX$7=$AL$15,'[4]3 trim 2016 BIOGROUP'!$U$47/3,IF($AX$7=$AL$16,'[4]4 trim 2016 BIOGROUP'!$U$47/3,IF($AX$7=$AL$18,'[4]4 trim 2016 BIOGROUP'!$U$47/3,IF($AX$7=$AL$19,'[4]4 trim 2016 BIOGROUP'!$U$47/3,""))))))</f>
        <v>68.019863999999913</v>
      </c>
      <c r="AY45" s="431">
        <f>IF($AY$7=$AL$13,'[4]3 trim 2016 BIOGROUP'!$U$47/3,IF($AY$7=$AL$14,'[4]3 trim 2016 BIOGROUP'!$U$47/3,IF($AY$7=$AL$15,'[4]3 trim 2016 BIOGROUP'!$U$47/3,IF($AY$7=$AL$16,'[4]4 trim 2016 BIOGROUP'!$U$47/3,IF($AY$7=$AL$18,'[4]4 trim 2016 BIOGROUP'!$U$47/3,IF($AY$7=$AL$19,'[4]4 trim 2016 BIOGROUP'!$U$47/3,""))))))</f>
        <v>68.019863999999913</v>
      </c>
      <c r="AZ45" s="431">
        <f>IF($AZ$7=$AL$13,'[4]3 trim 2016 BIOGROUP'!$U$47/3,IF($AZ$7=$AL$14,'[4]3 trim 2016 BIOGROUP'!$U$47/3,IF($AZ$7=$AL$15,'[4]3 trim 2016 BIOGROUP'!$U$47/3,IF($AZ$7=$AL$16,'[4]4 trim 2016 BIOGROUP'!$U$47/3,IF($AZ$7=$AL$18,'[4]4 trim 2016 BIOGROUP'!$U$47/3,IF($AZ$7=$AL$19,'[4]4 trim 2016 BIOGROUP'!$U$47/3,""))))))</f>
        <v>68.019863999999913</v>
      </c>
      <c r="BB45" s="511">
        <f t="shared" si="5"/>
        <v>10647.189999999999</v>
      </c>
      <c r="BC45" s="750"/>
    </row>
    <row r="46" spans="1:55" ht="26.15" customHeight="1">
      <c r="A46" s="662"/>
      <c r="B46" s="566">
        <v>77</v>
      </c>
      <c r="C46" s="451" t="s">
        <v>103</v>
      </c>
      <c r="D46" s="589"/>
      <c r="E46" s="451" t="s">
        <v>104</v>
      </c>
      <c r="F46" s="577"/>
      <c r="G46" s="476">
        <f>SUM(G47:G48)</f>
        <v>-7793.9199999999983</v>
      </c>
      <c r="H46" s="591">
        <f>G46/G7</f>
        <v>-1.2566285376975675E-3</v>
      </c>
      <c r="J46" s="496">
        <f>SUM(J47:J48)</f>
        <v>0</v>
      </c>
      <c r="K46" s="530" t="str">
        <f t="shared" si="6"/>
        <v/>
      </c>
      <c r="L46" s="431"/>
      <c r="M46" s="496">
        <f>SUM(M47:M48)</f>
        <v>49647.866666666669</v>
      </c>
      <c r="N46" s="518">
        <f t="shared" si="1"/>
        <v>-1.1569839858845898</v>
      </c>
      <c r="O46" s="592"/>
      <c r="P46" s="611" t="str">
        <f>+E46</f>
        <v>NON RECURRENT</v>
      </c>
      <c r="Q46" s="668" t="e">
        <f>Q72-Q73</f>
        <v>#REF!</v>
      </c>
      <c r="R46" s="622" t="e">
        <f>Q46/Q$7</f>
        <v>#REF!</v>
      </c>
      <c r="S46" s="668" t="e">
        <f>S72-S73</f>
        <v>#REF!</v>
      </c>
      <c r="T46" s="622" t="e">
        <f>S46/S$7</f>
        <v>#REF!</v>
      </c>
      <c r="U46" s="668" t="e">
        <f>U72-U73</f>
        <v>#REF!</v>
      </c>
      <c r="V46" s="622" t="e">
        <f>U46/U$7</f>
        <v>#REF!</v>
      </c>
      <c r="W46" s="668" t="e">
        <f>W72-W73</f>
        <v>#REF!</v>
      </c>
      <c r="X46" s="622" t="e">
        <f>W46/W$7</f>
        <v>#REF!</v>
      </c>
      <c r="Y46" s="668" t="e">
        <f>Y72-Y73</f>
        <v>#REF!</v>
      </c>
      <c r="Z46" s="622" t="e">
        <f>Y46/Y$7</f>
        <v>#REF!</v>
      </c>
      <c r="AA46" s="609" t="e">
        <f>+G46-Y46</f>
        <v>#REF!</v>
      </c>
      <c r="AB46" s="476">
        <f>SUM(AB47:AB48)</f>
        <v>-104765.45</v>
      </c>
      <c r="AC46" s="591">
        <f>AB46/AB7</f>
        <v>-5.869791163168183E-3</v>
      </c>
      <c r="AD46" s="496" t="e">
        <f>SUM(AD47:AD48)</f>
        <v>#REF!</v>
      </c>
      <c r="AE46" s="518" t="str">
        <f t="shared" si="20"/>
        <v/>
      </c>
      <c r="AG46" s="496">
        <f>SUM(AG47:AG48)</f>
        <v>148943.60000000003</v>
      </c>
      <c r="AH46" s="518">
        <f t="shared" si="4"/>
        <v>-1.7033900751693929</v>
      </c>
      <c r="AM46" s="451" t="s">
        <v>104</v>
      </c>
      <c r="AN46" s="747"/>
      <c r="AO46" s="741">
        <f>-SUM(AO47:AO48)</f>
        <v>0</v>
      </c>
      <c r="AP46" s="741">
        <f t="shared" ref="AP46:AZ46" si="25">-SUM(AP47:AP48)</f>
        <v>0</v>
      </c>
      <c r="AQ46" s="741">
        <f t="shared" si="25"/>
        <v>0</v>
      </c>
      <c r="AR46" s="741">
        <f t="shared" si="25"/>
        <v>0</v>
      </c>
      <c r="AS46" s="741">
        <f t="shared" si="25"/>
        <v>0</v>
      </c>
      <c r="AT46" s="741">
        <f t="shared" si="25"/>
        <v>0</v>
      </c>
      <c r="AU46" s="741">
        <f t="shared" si="25"/>
        <v>0</v>
      </c>
      <c r="AV46" s="741">
        <f t="shared" si="25"/>
        <v>0</v>
      </c>
      <c r="AW46" s="741">
        <f t="shared" si="25"/>
        <v>0</v>
      </c>
      <c r="AX46" s="741">
        <f t="shared" si="25"/>
        <v>0</v>
      </c>
      <c r="AY46" s="741">
        <f t="shared" si="25"/>
        <v>0</v>
      </c>
      <c r="AZ46" s="741">
        <f t="shared" si="25"/>
        <v>0</v>
      </c>
      <c r="BB46" s="748" t="e">
        <f t="shared" si="5"/>
        <v>#REF!</v>
      </c>
      <c r="BC46" s="752"/>
    </row>
    <row r="47" spans="1:55" ht="27" customHeight="1">
      <c r="A47" s="662"/>
      <c r="B47" s="566">
        <v>77</v>
      </c>
      <c r="C47" s="669" t="s">
        <v>150</v>
      </c>
      <c r="D47" s="670"/>
      <c r="E47" s="463" t="s">
        <v>131</v>
      </c>
      <c r="F47" s="577"/>
      <c r="G47" s="475">
        <v>54874.96</v>
      </c>
      <c r="H47" s="578">
        <f>G47/$G$7</f>
        <v>8.8475941170826147E-3</v>
      </c>
      <c r="J47" s="506">
        <f>-SUMIF($AO$7:$AZ$7,$G$6,AO47:AZ47)</f>
        <v>0</v>
      </c>
      <c r="K47" s="532" t="str">
        <f t="shared" si="6"/>
        <v/>
      </c>
      <c r="L47" s="431"/>
      <c r="M47" s="506">
        <f>AG47/3</f>
        <v>120736.07666666668</v>
      </c>
      <c r="N47" s="517">
        <f t="shared" si="1"/>
        <v>-0.54549657803192375</v>
      </c>
      <c r="O47" s="580"/>
      <c r="P47" s="581"/>
      <c r="Q47" s="671"/>
      <c r="R47" s="672"/>
      <c r="S47" s="671"/>
      <c r="T47" s="672"/>
      <c r="U47" s="671"/>
      <c r="V47" s="672"/>
      <c r="W47" s="671"/>
      <c r="X47" s="672"/>
      <c r="Y47" s="671"/>
      <c r="Z47" s="672"/>
      <c r="AA47" s="584"/>
      <c r="AB47" s="475">
        <v>88332.92</v>
      </c>
      <c r="AC47" s="578">
        <f>+AB47/$AB$7</f>
        <v>4.9491105439134955E-3</v>
      </c>
      <c r="AD47" s="506" t="e">
        <f>IF($AC$6=$AK$7,'31 dec 2016 BIOLAM'!AT49,IF($AC$6=$AK$8,'31 dec 2016 BIOLAM'!AV49,IF($AC$6=$AK$9,'31 dec 2016 BIOLAM'!AX49,IF($AC$6=$AK$10,'31 dec 2016 BIOLAM'!AZ49,""))))</f>
        <v>#REF!</v>
      </c>
      <c r="AE47" s="517" t="str">
        <f t="shared" si="20"/>
        <v/>
      </c>
      <c r="AG47" s="506">
        <f>343354.34+18853.89</f>
        <v>362208.23000000004</v>
      </c>
      <c r="AH47" s="517">
        <f t="shared" si="4"/>
        <v>-0.75612668988774778</v>
      </c>
      <c r="AM47" s="463" t="s">
        <v>131</v>
      </c>
      <c r="AN47" s="747"/>
      <c r="AO47" s="431">
        <f>IF($AO$7=$AL$7,'[4]1 trim 2016 BIOGROUP'!$U$49/3,IF($AO$7=$AL$8,'[4]1 trim 2016 BIOGROUP'!$U$49/3,IF($AO$7=$AL$9,'[4]1 trim 2016 BIOGROUP'!$U$49/3,IF($AO$7=$AL$10,'[4]2 trim 2016 BIOGROUP'!$U$49/3,IF($AO$7=$AL$11,'[4]2 trim 2016 BIOGROUP'!$U$49/3,IF($AO$7=$AL$12,'[4]2 trim 2016 BIOGROUP'!$U$49/3,""))))))</f>
        <v>0</v>
      </c>
      <c r="AP47" s="431">
        <f>IF($AP$7=$AL$7,'[4]1 trim 2016 BIOGROUP'!$U$49/3,IF($AP$7=$AL$8,'[4]1 trim 2016 BIOGROUP'!$U$49/3,IF($AP$7=$AL$9,'[4]1 trim 2016 BIOGROUP'!$U$49/3,IF($AP$7=$AL$10,'[4]2 trim 2016 BIOGROUP'!$U$49/3,IF($AP$7=$AL$11,'[4]2 trim 2016 BIOGROUP'!$U$49/3,IF($AP$7=$AL$12,'[4]2 trim 2016 BIOGROUP'!$U$49/3,""))))))</f>
        <v>0</v>
      </c>
      <c r="AQ47" s="431">
        <f>IF($AQ$7=$AL$7,'[4]1 trim 2016 BIOGROUP'!$U$49/3,IF($AQ$7=$AL$8,'[4]1 trim 2016 BIOGROUP'!$U$49/3,IF($AQ$7=$AL$9,'[4]1 trim 2016 BIOGROUP'!$U$49/3,IF($AQ$7=$AL$10,'[4]2 trim 2016 BIOGROUP'!$U$49/3,IF($AQ$7=$AL$11,'[4]2 trim 2016 BIOGROUP'!$U$49/3,IF($AQ$7=$AL$12,'[4]2 trim 2016 BIOGROUP'!$U$49/3,""))))))</f>
        <v>0</v>
      </c>
      <c r="AR47" s="431">
        <f>IF($AR$7=$AL$7,'[4]1 trim 2016 BIOGROUP'!$U$49/3,IF($AR$7=$AL$8,'[4]1 trim 2016 BIOGROUP'!$U$49/3,IF($AR$7=$AL$9,'[4]1 trim 2016 BIOGROUP'!$U$49/3,IF($AR$7=$AL$10,'[4]2 trim 2016 BIOGROUP'!$U$49/3,IF($AR$7=$AL$11,'[4]2 trim 2016 BIOGROUP'!$U$49/3,IF($AR$7=$AL$12,'[4]2 trim 2016 BIOGROUP'!$U$49/3,""))))))</f>
        <v>0</v>
      </c>
      <c r="AS47" s="431">
        <f>IF($AS$7=$AL$7,'[4]1 trim 2016 BIOGROUP'!$U$49/3,IF($AS$7=$AL$8,'[4]1 trim 2016 BIOGROUP'!$U$49/3,IF($AS$7=$AL$9,'[4]1 trim 2016 BIOGROUP'!$U$49/3,IF($AS$7=$AL$10,'[4]2 trim 2016 BIOGROUP'!$U$49/3,IF($AS$7=$AL$11,'[4]2 trim 2016 BIOGROUP'!$U$49/3,IF($AS$7=$AL$12,'[4]2 trim 2016 BIOGROUP'!$U$49/3,""))))))</f>
        <v>0</v>
      </c>
      <c r="AT47" s="431">
        <f>IF($AT$7=$AL$7,'[4]1 trim 2016 BIOGROUP'!$U$49/3,IF($AT$7=$AL$8,'[4]1 trim 2016 BIOGROUP'!$U$49/3,IF($AT$7=$AL$9,'[4]1 trim 2016 BIOGROUP'!$U$49/3,IF($AT$7=$AL$10,'[4]2 trim 2016 BIOGROUP'!$U$49/3,IF($AT$7=$AL$11,'[4]2 trim 2016 BIOGROUP'!$U$49/3,IF($AT$7=$AL$12,'[4]2 trim 2016 BIOGROUP'!$U$49/3,""))))))</f>
        <v>0</v>
      </c>
      <c r="AU47" s="431">
        <f>IF($AU$7=$AL$13,'[4]3 trim 2016 BIOGROUP'!$U$49/3,IF($AU$7=$AL$14,'[4]3 trim 2016 BIOGROUP'!$U$49/3,IF($AU$7=$AL$15,'[4]3 trim 2016 BIOGROUP'!$U$49/3,IF($AU$7=$AL$16,'[4]4 trim 2016 BIOGROUP'!$U$49/3,IF($AU$7=$AL$18,'[4]4 trim 2016 BIOGROUP'!$U$49/3,IF($AU$7=$AL$19,'[4]4 trim 2016 BIOGROUP'!$U$49/3,""))))))</f>
        <v>0</v>
      </c>
      <c r="AV47" s="431">
        <f>IF($AV$7=$AL$13,'[4]3 trim 2016 BIOGROUP'!$U$49/3,IF($AV$7=$AL$14,'[4]3 trim 2016 BIOGROUP'!$U$49/3,IF($AV$7=$AL$15,'[4]3 trim 2016 BIOGROUP'!$U$49/3,IF($AV$7=$AL$16,'[4]4 trim 2016 BIOGROUP'!$U$49/3,IF($AV$7=$AL$18,'[4]4 trim 2016 BIOGROUP'!$U$49/3,IF($AV$7=$AL$19,'[4]4 trim 2016 BIOGROUP'!$U$49/3,""))))))</f>
        <v>0</v>
      </c>
      <c r="AW47" s="431">
        <f>IF($AW$7=$AL$13,'[4]3 trim 2016 BIOGROUP'!$U$49/3,IF($AW$7=$AL$14,'[4]3 trim 2016 BIOGROUP'!$U$49/3,IF($AW$7=$AL$15,'[4]3 trim 2016 BIOGROUP'!$U$49/3,IF($AW$7=$AL$16,'[4]4 trim 2016 BIOGROUP'!$U$49/3,IF($AW$7=$AL$18,'[4]4 trim 2016 BIOGROUP'!$U$49/3,IF($AW$7=$AL$19,'[4]4 trim 2016 BIOGROUP'!$U$49/3,""))))))</f>
        <v>0</v>
      </c>
      <c r="AX47" s="431">
        <f>IF($AX$7=$AL$13,'[4]3 trim 2016 BIOGROUP'!$U$49/3,IF($AX$7=$AL$14,'[4]3 trim 2016 BIOGROUP'!$U$49/3,IF($AX$7=$AL$15,'[4]3 trim 2016 BIOGROUP'!$U$49/3,IF($AX$7=$AL$16,'[4]4 trim 2016 BIOGROUP'!$U$49/3,IF($AX$7=$AL$18,'[4]4 trim 2016 BIOGROUP'!$U$49/3,IF($AX$7=$AL$19,'[4]4 trim 2016 BIOGROUP'!$U$49/3,""))))))</f>
        <v>0</v>
      </c>
      <c r="AY47" s="431">
        <f>IF($AY$7=$AL$13,'[4]3 trim 2016 BIOGROUP'!$U$49/3,IF($AY$7=$AL$14,'[4]3 trim 2016 BIOGROUP'!$U$49/3,IF($AY$7=$AL$15,'[4]3 trim 2016 BIOGROUP'!$U$49/3,IF($AY$7=$AL$16,'[4]4 trim 2016 BIOGROUP'!$U$49/3,IF($AY$7=$AL$18,'[4]4 trim 2016 BIOGROUP'!$U$49/3,IF($AY$7=$AL$19,'[4]4 trim 2016 BIOGROUP'!$U$49/3,""))))))</f>
        <v>0</v>
      </c>
      <c r="AZ47" s="431">
        <f>IF($AZ$7=$AL$13,'[4]3 trim 2016 BIOGROUP'!$U$49/3,IF($AZ$7=$AL$14,'[4]3 trim 2016 BIOGROUP'!$U$49/3,IF($AZ$7=$AL$15,'[4]3 trim 2016 BIOGROUP'!$U$49/3,IF($AZ$7=$AL$16,'[4]4 trim 2016 BIOGROUP'!$U$49/3,IF($AZ$7=$AL$18,'[4]4 trim 2016 BIOGROUP'!$U$49/3,IF($AZ$7=$AL$19,'[4]4 trim 2016 BIOGROUP'!$U$49/3,""))))))</f>
        <v>0</v>
      </c>
      <c r="BB47" s="511" t="e">
        <f t="shared" si="5"/>
        <v>#REF!</v>
      </c>
      <c r="BC47" s="750"/>
    </row>
    <row r="48" spans="1:55" ht="26.15" customHeight="1">
      <c r="A48" s="662"/>
      <c r="B48" s="566">
        <v>67</v>
      </c>
      <c r="C48" s="463" t="s">
        <v>130</v>
      </c>
      <c r="D48" s="670"/>
      <c r="E48" s="463" t="s">
        <v>132</v>
      </c>
      <c r="F48" s="577"/>
      <c r="G48" s="475">
        <v>-62668.88</v>
      </c>
      <c r="H48" s="578">
        <f>G48/$G$7</f>
        <v>-1.0104222654780181E-2</v>
      </c>
      <c r="J48" s="506">
        <f>-SUMIF($AO$7:$AZ$7,$G$6,AO48:AZ48)</f>
        <v>0</v>
      </c>
      <c r="K48" s="532" t="str">
        <f t="shared" si="6"/>
        <v/>
      </c>
      <c r="L48" s="431"/>
      <c r="M48" s="506">
        <f>AG48/3</f>
        <v>-71088.210000000006</v>
      </c>
      <c r="N48" s="532">
        <f t="shared" si="1"/>
        <v>-0.1184349697368946</v>
      </c>
      <c r="O48" s="580"/>
      <c r="P48" s="581"/>
      <c r="Q48" s="671"/>
      <c r="R48" s="672"/>
      <c r="S48" s="671"/>
      <c r="T48" s="672"/>
      <c r="U48" s="671"/>
      <c r="V48" s="672"/>
      <c r="W48" s="671"/>
      <c r="X48" s="672"/>
      <c r="Y48" s="671"/>
      <c r="Z48" s="672"/>
      <c r="AA48" s="584"/>
      <c r="AB48" s="475">
        <v>-193098.37</v>
      </c>
      <c r="AC48" s="578">
        <f>+AB48/$AB$7</f>
        <v>-1.0818901707081678E-2</v>
      </c>
      <c r="AD48" s="579">
        <f>-SUMIF($AO$7:$AZ$7,"&lt;="&amp;$AC$6,AO48:AZ48)</f>
        <v>0</v>
      </c>
      <c r="AE48" s="517" t="str">
        <f t="shared" si="20"/>
        <v/>
      </c>
      <c r="AG48" s="579">
        <f>-55734.87-157529.76</f>
        <v>-213264.63</v>
      </c>
      <c r="AH48" s="517">
        <f t="shared" si="4"/>
        <v>-9.4559796436943191E-2</v>
      </c>
      <c r="AM48" s="463" t="s">
        <v>132</v>
      </c>
      <c r="AN48" s="747"/>
      <c r="AO48" s="431">
        <f>IF($AO$7=$AL$7,'[4]1 trim 2016 BIOGROUP'!$U$50/3,IF($AO$7=$AL$8,'[4]1 trim 2016 BIOGROUP'!$U$50/3,IF($AO$7=$AL$9,'[4]1 trim 2016 BIOGROUP'!$U$50/3,IF($AO$7=$AL$10,'[4]2 trim 2016 BIOGROUP'!$U$50/3,IF($AO$7=$AL$11,'[4]2 trim 2016 BIOGROUP'!$U$50/3,IF($AO$7=$AL$12,'[4]2 trim 2016 BIOGROUP'!$U$50/3,""))))))</f>
        <v>0</v>
      </c>
      <c r="AP48" s="431">
        <f>IF($AP$7=$AL$7,'[4]1 trim 2016 BIOGROUP'!$U$50/3,IF($AP$7=$AL$8,'[4]1 trim 2016 BIOGROUP'!$U$50/3,IF($AP$7=$AL$9,'[4]1 trim 2016 BIOGROUP'!$U$50/3,IF($AP$7=$AL$10,'[4]2 trim 2016 BIOGROUP'!$U$50/3,IF($AP$7=$AL$11,'[4]2 trim 2016 BIOGROUP'!$U$50/3,IF($AP$7=$AL$12,'[4]2 trim 2016 BIOGROUP'!$U$50/3,""))))))</f>
        <v>0</v>
      </c>
      <c r="AQ48" s="431">
        <f>IF($AQ$7=$AL$7,'[4]1 trim 2016 BIOGROUP'!$U$50/3,IF($AQ$7=$AL$8,'[4]1 trim 2016 BIOGROUP'!$U$50/3,IF($AQ$7=$AL$9,'[4]1 trim 2016 BIOGROUP'!$U$50/3,IF($AQ$7=$AL$10,'[4]2 trim 2016 BIOGROUP'!$U$50/3,IF($AQ$7=$AL$11,'[4]2 trim 2016 BIOGROUP'!$U$50/3,IF($AQ$7=$AL$12,'[4]2 trim 2016 BIOGROUP'!$U$50/3,""))))))</f>
        <v>0</v>
      </c>
      <c r="AR48" s="431">
        <f>IF($AR$7=$AL$7,'[4]1 trim 2016 BIOGROUP'!$U$50/3,IF($AR$7=$AL$8,'[4]1 trim 2016 BIOGROUP'!$U$50/3,IF($AR$7=$AL$9,'[4]1 trim 2016 BIOGROUP'!$U$50/3,IF($AR$7=$AL$10,'[4]2 trim 2016 BIOGROUP'!$U$50/3,IF($AR$7=$AL$11,'[4]2 trim 2016 BIOGROUP'!$U$50/3,IF($AR$7=$AL$12,'[4]2 trim 2016 BIOGROUP'!$U$50/3,""))))))</f>
        <v>0</v>
      </c>
      <c r="AS48" s="431">
        <f>IF($AS$7=$AL$7,'[4]1 trim 2016 BIOGROUP'!$U$50/3,IF($AS$7=$AL$8,'[4]1 trim 2016 BIOGROUP'!$U$50/3,IF($AS$7=$AL$9,'[4]1 trim 2016 BIOGROUP'!$U$50/3,IF($AS$7=$AL$10,'[4]2 trim 2016 BIOGROUP'!$U$50/3,IF($AS$7=$AL$11,'[4]2 trim 2016 BIOGROUP'!$U$50/3,IF($AS$7=$AL$12,'[4]2 trim 2016 BIOGROUP'!$U$50/3,""))))))</f>
        <v>0</v>
      </c>
      <c r="AT48" s="431">
        <f>IF($AT$7=$AL$7,'[4]1 trim 2016 BIOGROUP'!$U$50/3,IF($AT$7=$AL$8,'[4]1 trim 2016 BIOGROUP'!$U$50/3,IF($AT$7=$AL$9,'[4]1 trim 2016 BIOGROUP'!$U$50/3,IF($AT$7=$AL$10,'[4]2 trim 2016 BIOGROUP'!$U$50/3,IF($AT$7=$AL$11,'[4]2 trim 2016 BIOGROUP'!$U$50/3,IF($AT$7=$AL$12,'[4]2 trim 2016 BIOGROUP'!$U$50/3,""))))))</f>
        <v>0</v>
      </c>
      <c r="AU48" s="431">
        <f>IF($AU$7=$AL$13,'[4]3 trim 2016 BIOGROUP'!$U$50/3,IF($AU$7=$AL$14,'[4]3 trim 2016 BIOGROUP'!$U$50/3,IF($AU$7=$AL$15,'[4]3 trim 2016 BIOGROUP'!$U$50/3,IF($AU$7=$AL$16,'[4]4 trim 2016 BIOGROUP'!$U$50/3,IF($AU$7=$AL$18,'[4]4 trim 2016 BIOGROUP'!$U$50/3,IF($AU$7=$AL$19,'[4]4 trim 2016 BIOGROUP'!$U$50/3,""))))))</f>
        <v>0</v>
      </c>
      <c r="AV48" s="431">
        <f>IF($AV$7=$AL$13,'[4]3 trim 2016 BIOGROUP'!$U$50/3,IF($AV$7=$AL$14,'[4]3 trim 2016 BIOGROUP'!$U$50/3,IF($AV$7=$AL$15,'[4]3 trim 2016 BIOGROUP'!$U$50/3,IF($AV$7=$AL$16,'[4]4 trim 2016 BIOGROUP'!$U$50/3,IF($AV$7=$AL$18,'[4]4 trim 2016 BIOGROUP'!$U$50/3,IF($AV$7=$AL$19,'[4]4 trim 2016 BIOGROUP'!$U$50/3,""))))))</f>
        <v>0</v>
      </c>
      <c r="AW48" s="431">
        <f>IF($AW$7=$AL$13,'[4]3 trim 2016 BIOGROUP'!$U$50/3,IF($AW$7=$AL$14,'[4]3 trim 2016 BIOGROUP'!$U$50/3,IF($AW$7=$AL$15,'[4]3 trim 2016 BIOGROUP'!$U$50/3,IF($AW$7=$AL$16,'[4]4 trim 2016 BIOGROUP'!$U$50/3,IF($AW$7=$AL$18,'[4]4 trim 2016 BIOGROUP'!$U$50/3,IF($AW$7=$AL$19,'[4]4 trim 2016 BIOGROUP'!$U$50/3,""))))))</f>
        <v>0</v>
      </c>
      <c r="AX48" s="431">
        <f>IF($AX$7=$AL$13,'[4]3 trim 2016 BIOGROUP'!$U$50/3,IF($AX$7=$AL$14,'[4]3 trim 2016 BIOGROUP'!$U$50/3,IF($AX$7=$AL$15,'[4]3 trim 2016 BIOGROUP'!$U$50/3,IF($AX$7=$AL$16,'[4]4 trim 2016 BIOGROUP'!$U$50/3,IF($AX$7=$AL$18,'[4]4 trim 2016 BIOGROUP'!$U$50/3,IF($AX$7=$AL$19,'[4]4 trim 2016 BIOGROUP'!$U$50/3,""))))))</f>
        <v>0</v>
      </c>
      <c r="AY48" s="431">
        <f>IF($AY$7=$AL$13,'[4]3 trim 2016 BIOGROUP'!$U$50/3,IF($AY$7=$AL$14,'[4]3 trim 2016 BIOGROUP'!$U$50/3,IF($AY$7=$AL$15,'[4]3 trim 2016 BIOGROUP'!$U$50/3,IF($AY$7=$AL$16,'[4]4 trim 2016 BIOGROUP'!$U$50/3,IF($AY$7=$AL$18,'[4]4 trim 2016 BIOGROUP'!$U$50/3,IF($AY$7=$AL$19,'[4]4 trim 2016 BIOGROUP'!$U$50/3,""))))))</f>
        <v>0</v>
      </c>
      <c r="AZ48" s="431">
        <f>IF($AZ$7=$AL$13,'[4]3 trim 2016 BIOGROUP'!$U$50/3,IF($AZ$7=$AL$14,'[4]3 trim 2016 BIOGROUP'!$U$50/3,IF($AZ$7=$AL$15,'[4]3 trim 2016 BIOGROUP'!$U$50/3,IF($AZ$7=$AL$16,'[4]4 trim 2016 BIOGROUP'!$U$50/3,IF($AZ$7=$AL$18,'[4]4 trim 2016 BIOGROUP'!$U$50/3,IF($AZ$7=$AL$19,'[4]4 trim 2016 BIOGROUP'!$U$50/3,""))))))</f>
        <v>0</v>
      </c>
      <c r="BB48" s="511">
        <f t="shared" si="5"/>
        <v>193098.37</v>
      </c>
      <c r="BC48" s="750"/>
    </row>
    <row r="49" spans="1:55" ht="26.15" customHeight="1">
      <c r="A49" s="662"/>
      <c r="B49" s="566"/>
      <c r="C49" s="436" t="s">
        <v>153</v>
      </c>
      <c r="E49" s="436" t="s">
        <v>152</v>
      </c>
      <c r="F49" s="577"/>
      <c r="G49" s="474">
        <f>+G41+G42+G46</f>
        <v>1659022.54</v>
      </c>
      <c r="H49" s="673">
        <f>+G49/G7</f>
        <v>0.26748735789532158</v>
      </c>
      <c r="J49" s="494">
        <f>+J41+J42+J46</f>
        <v>0</v>
      </c>
      <c r="K49" s="531" t="str">
        <f t="shared" si="6"/>
        <v/>
      </c>
      <c r="L49" s="431"/>
      <c r="M49" s="494">
        <f>+M41+M42+M46</f>
        <v>821270.74666666635</v>
      </c>
      <c r="N49" s="516">
        <f t="shared" si="1"/>
        <v>1.0200677386033288</v>
      </c>
      <c r="O49" s="580"/>
      <c r="P49" s="581"/>
      <c r="Q49" s="671"/>
      <c r="R49" s="672"/>
      <c r="S49" s="671"/>
      <c r="T49" s="672"/>
      <c r="U49" s="671"/>
      <c r="V49" s="672"/>
      <c r="W49" s="671"/>
      <c r="X49" s="672"/>
      <c r="Y49" s="671"/>
      <c r="Z49" s="672"/>
      <c r="AA49" s="584"/>
      <c r="AB49" s="473">
        <f>AB41+AB42+AB46</f>
        <v>10029270.689999999</v>
      </c>
      <c r="AC49" s="673">
        <f>+AB49/AB7</f>
        <v>0.5619192631653247</v>
      </c>
      <c r="AD49" s="494" t="e">
        <f>+AD41+AD42+AD46</f>
        <v>#REF!</v>
      </c>
      <c r="AE49" s="516" t="str">
        <f t="shared" si="20"/>
        <v/>
      </c>
      <c r="AG49" s="494">
        <f>AG41+AG42+AG46</f>
        <v>2463812.2400000026</v>
      </c>
      <c r="AH49" s="520">
        <f t="shared" si="4"/>
        <v>3.0706310842907372</v>
      </c>
      <c r="AM49" s="436" t="s">
        <v>152</v>
      </c>
      <c r="AN49" s="747"/>
      <c r="AO49" s="741">
        <f>+AO41+AO42+AO46</f>
        <v>-3219.1876499999958</v>
      </c>
      <c r="AP49" s="741">
        <f t="shared" ref="AP49:AZ49" si="26">+AP41+AP42+AP46</f>
        <v>-3219.1876499999958</v>
      </c>
      <c r="AQ49" s="741">
        <f t="shared" si="26"/>
        <v>-3219.1876499999958</v>
      </c>
      <c r="AR49" s="741">
        <f t="shared" si="26"/>
        <v>18413.812350000004</v>
      </c>
      <c r="AS49" s="741">
        <f t="shared" si="26"/>
        <v>18413.812350000004</v>
      </c>
      <c r="AT49" s="741">
        <f t="shared" si="26"/>
        <v>18413.812350000004</v>
      </c>
      <c r="AU49" s="741">
        <f t="shared" si="26"/>
        <v>6254.1456833333323</v>
      </c>
      <c r="AV49" s="741">
        <f>+AV41+AV42+AV46</f>
        <v>6254.1456833333323</v>
      </c>
      <c r="AW49" s="741">
        <f t="shared" si="26"/>
        <v>6254.1456833333323</v>
      </c>
      <c r="AX49" s="741">
        <f t="shared" si="26"/>
        <v>13892.145683333336</v>
      </c>
      <c r="AY49" s="741">
        <f t="shared" si="26"/>
        <v>13892.145683333336</v>
      </c>
      <c r="AZ49" s="741">
        <f t="shared" si="26"/>
        <v>13892.145683333336</v>
      </c>
      <c r="BB49" s="748" t="e">
        <f t="shared" si="5"/>
        <v>#REF!</v>
      </c>
      <c r="BC49" s="752"/>
    </row>
    <row r="50" spans="1:55" ht="26.15" customHeight="1" thickBot="1">
      <c r="A50" s="674"/>
      <c r="B50" s="675">
        <v>695</v>
      </c>
      <c r="C50" s="464" t="s">
        <v>105</v>
      </c>
      <c r="D50" s="676"/>
      <c r="E50" s="464" t="s">
        <v>21</v>
      </c>
      <c r="F50" s="677"/>
      <c r="G50" s="490">
        <f>-G49*33.3333%</f>
        <v>-553006.96032582002</v>
      </c>
      <c r="H50" s="678">
        <f>G50/G7</f>
        <v>-8.9162363469321229E-2</v>
      </c>
      <c r="J50" s="506">
        <f>SUMIF($AO$7:$AZ$7,$G$6,AO50:AZ50)</f>
        <v>0</v>
      </c>
      <c r="K50" s="540" t="str">
        <f t="shared" si="6"/>
        <v/>
      </c>
      <c r="L50" s="431"/>
      <c r="M50" s="679">
        <f>-M49*33.3333%</f>
        <v>-273756.6417986399</v>
      </c>
      <c r="N50" s="524">
        <f t="shared" si="1"/>
        <v>1.0200677386033288</v>
      </c>
      <c r="O50" s="680"/>
      <c r="P50" s="681" t="s">
        <v>21</v>
      </c>
      <c r="Q50" s="682" t="e">
        <f>+#REF!+'31 dec 2016 BIOLAM'!AT53</f>
        <v>#REF!</v>
      </c>
      <c r="R50" s="683" t="e">
        <f>Q50/Q$7</f>
        <v>#REF!</v>
      </c>
      <c r="S50" s="682" t="e">
        <f>+'31 dec 2016 BIOLAM'!AV53+#REF!</f>
        <v>#REF!</v>
      </c>
      <c r="T50" s="683" t="e">
        <f>S50/S$7</f>
        <v>#REF!</v>
      </c>
      <c r="U50" s="682" t="e">
        <f>+'31 dec 2016 BIOLAM'!AX53+#REF!</f>
        <v>#REF!</v>
      </c>
      <c r="V50" s="683" t="e">
        <f>U50/U$7</f>
        <v>#REF!</v>
      </c>
      <c r="W50" s="682" t="e">
        <f>+'31 dec 2016 BIOLAM'!AZ53+#REF!</f>
        <v>#REF!</v>
      </c>
      <c r="X50" s="683" t="e">
        <f>W50/W$7</f>
        <v>#REF!</v>
      </c>
      <c r="Y50" s="682" t="e">
        <f>+W50+U50+S50+Q50</f>
        <v>#REF!</v>
      </c>
      <c r="Z50" s="683" t="e">
        <f>Y50/Y$7</f>
        <v>#REF!</v>
      </c>
      <c r="AA50" s="684" t="e">
        <f>+G50-Y50</f>
        <v>#REF!</v>
      </c>
      <c r="AB50" s="490">
        <f>-AB49*33.3333%</f>
        <v>-3343086.8869097698</v>
      </c>
      <c r="AC50" s="678">
        <f>AB50/AB7</f>
        <v>-0.18730623374868718</v>
      </c>
      <c r="AD50" s="579">
        <f>SUMIF($AO$7:$AZ$7,"&lt;="&amp;$AC$6,AO50:AZ50)</f>
        <v>0</v>
      </c>
      <c r="AE50" s="524" t="str">
        <f t="shared" si="20"/>
        <v/>
      </c>
      <c r="AG50" s="679">
        <f>-AG49*33.3333%</f>
        <v>-821269.92539592087</v>
      </c>
      <c r="AH50" s="524">
        <f t="shared" si="4"/>
        <v>3.0706310842907367</v>
      </c>
      <c r="AM50" s="464" t="s">
        <v>21</v>
      </c>
      <c r="AN50" s="433" t="s">
        <v>162</v>
      </c>
      <c r="AO50" s="742">
        <f>'[4]1 trim 2016 BIOGROUP'!$U$53/3</f>
        <v>1432.9057071700015</v>
      </c>
      <c r="AP50" s="742">
        <f>'[4]1 trim 2016 BIOGROUP'!$U$53/3</f>
        <v>1432.9057071700015</v>
      </c>
      <c r="AQ50" s="742">
        <f>'[4]1 trim 2016 BIOGROUP'!$U$53/3</f>
        <v>1432.9057071700015</v>
      </c>
      <c r="AR50" s="742">
        <f>'[4]2 trim 2016 BIOGROUP'!$U$53/3</f>
        <v>-5779.5364928299969</v>
      </c>
      <c r="AS50" s="742">
        <f>'[4]2 trim 2016 BIOGROUP'!$U$53/3</f>
        <v>-5779.5364928299969</v>
      </c>
      <c r="AT50" s="742">
        <f>'[4]2 trim 2016 BIOGROUP'!$U$53/3</f>
        <v>-5779.5364928299969</v>
      </c>
      <c r="AU50" s="742">
        <f>'[4]3 trim 2016 BIOGROUP'!$U$53/3</f>
        <v>-1725.5036261633302</v>
      </c>
      <c r="AV50" s="742">
        <f>'[4]3 trim 2016 BIOGROUP'!$U$53/3</f>
        <v>-1725.5036261633302</v>
      </c>
      <c r="AW50" s="742">
        <f>'[4]3 trim 2016 BIOGROUP'!$U$53/3</f>
        <v>-1725.5036261633302</v>
      </c>
      <c r="AX50" s="742">
        <f>'[4]4 trim 2016 BIOGROUP'!$U$53/3</f>
        <v>-4272.0128261633299</v>
      </c>
      <c r="AY50" s="742">
        <f>'[4]4 trim 2016 BIOGROUP'!$U$53/3</f>
        <v>-4272.0128261633299</v>
      </c>
      <c r="AZ50" s="742">
        <f>'[4]4 trim 2016 BIOGROUP'!$U$53/3</f>
        <v>-4272.0128261633299</v>
      </c>
      <c r="BB50" s="511">
        <f t="shared" si="5"/>
        <v>3343086.8869097698</v>
      </c>
      <c r="BC50" s="750"/>
    </row>
    <row r="51" spans="1:55" ht="26.15" customHeight="1" thickBot="1">
      <c r="A51" s="565"/>
      <c r="B51" s="566"/>
      <c r="C51" s="465" t="s">
        <v>106</v>
      </c>
      <c r="D51" s="589"/>
      <c r="E51" s="465" t="s">
        <v>107</v>
      </c>
      <c r="F51" s="577"/>
      <c r="G51" s="491">
        <f>+G49+G50</f>
        <v>1106015.5796741801</v>
      </c>
      <c r="H51" s="673">
        <f>G51/G7</f>
        <v>0.17832499442600039</v>
      </c>
      <c r="J51" s="494">
        <f>+J49+J50</f>
        <v>0</v>
      </c>
      <c r="K51" s="531" t="str">
        <f t="shared" si="6"/>
        <v/>
      </c>
      <c r="L51" s="431"/>
      <c r="M51" s="494">
        <f>SUM(M49:M50)</f>
        <v>547514.10486802645</v>
      </c>
      <c r="N51" s="516">
        <f t="shared" si="1"/>
        <v>1.020067738603329</v>
      </c>
      <c r="O51" s="580"/>
      <c r="P51" s="685" t="s">
        <v>22</v>
      </c>
      <c r="Q51" s="686" t="e">
        <f>+Q75+Q50</f>
        <v>#REF!</v>
      </c>
      <c r="R51" s="687" t="e">
        <f>Q51/Q$7</f>
        <v>#REF!</v>
      </c>
      <c r="S51" s="686" t="e">
        <f>+S75+S50</f>
        <v>#REF!</v>
      </c>
      <c r="T51" s="687" t="e">
        <f>S51/S$7</f>
        <v>#REF!</v>
      </c>
      <c r="U51" s="686" t="e">
        <f>+U75+U50</f>
        <v>#REF!</v>
      </c>
      <c r="V51" s="688" t="e">
        <f>U51/U$7</f>
        <v>#REF!</v>
      </c>
      <c r="W51" s="686" t="e">
        <f>+W75+W50</f>
        <v>#REF!</v>
      </c>
      <c r="X51" s="687" t="e">
        <f>W51/W$7</f>
        <v>#REF!</v>
      </c>
      <c r="Y51" s="686" t="e">
        <f>+Y75+Y50</f>
        <v>#REF!</v>
      </c>
      <c r="Z51" s="687" t="e">
        <f>Y51/Y$7</f>
        <v>#REF!</v>
      </c>
      <c r="AA51" s="584" t="e">
        <f>+G51-Y51</f>
        <v>#REF!</v>
      </c>
      <c r="AB51" s="491">
        <f>+AB49+AB50</f>
        <v>6686183.8030902296</v>
      </c>
      <c r="AC51" s="673">
        <f>AB51/AB7</f>
        <v>0.37461302941663749</v>
      </c>
      <c r="AD51" s="494" t="e">
        <f>SUM(AD49:AD50)</f>
        <v>#REF!</v>
      </c>
      <c r="AE51" s="516" t="str">
        <f t="shared" si="20"/>
        <v/>
      </c>
      <c r="AG51" s="494">
        <f>SUM(AG49:AG50)</f>
        <v>1642542.3146040817</v>
      </c>
      <c r="AH51" s="520">
        <f t="shared" si="4"/>
        <v>3.0706310842907372</v>
      </c>
      <c r="AM51" s="465" t="s">
        <v>107</v>
      </c>
      <c r="BB51" s="748" t="e">
        <f t="shared" si="5"/>
        <v>#REF!</v>
      </c>
      <c r="BC51" s="752"/>
    </row>
    <row r="52" spans="1:55" ht="26.15" customHeight="1">
      <c r="A52" s="689"/>
      <c r="B52" s="690">
        <v>691</v>
      </c>
      <c r="C52" s="466" t="s">
        <v>138</v>
      </c>
      <c r="D52" s="691"/>
      <c r="E52" s="466" t="s">
        <v>62</v>
      </c>
      <c r="F52" s="692"/>
      <c r="G52" s="492">
        <v>0</v>
      </c>
      <c r="H52" s="525">
        <f>G52/$G$7</f>
        <v>0</v>
      </c>
      <c r="J52" s="506">
        <f>SUMIF($AO$7:$AZ$7,$G$6,AO52:AZ52)</f>
        <v>0</v>
      </c>
      <c r="K52" s="525" t="str">
        <f t="shared" si="6"/>
        <v/>
      </c>
      <c r="L52" s="431"/>
      <c r="M52" s="513">
        <f>AG52/3</f>
        <v>0</v>
      </c>
      <c r="N52" s="525" t="str">
        <f t="shared" si="1"/>
        <v/>
      </c>
      <c r="O52" s="693"/>
      <c r="P52" s="694" t="s">
        <v>62</v>
      </c>
      <c r="Q52" s="636" t="e">
        <f>+#REF!</f>
        <v>#REF!</v>
      </c>
      <c r="R52" s="695" t="e">
        <f>Q52/Q$7</f>
        <v>#REF!</v>
      </c>
      <c r="S52" s="636" t="e">
        <f>+#REF!</f>
        <v>#REF!</v>
      </c>
      <c r="T52" s="695" t="e">
        <f>S52/S$7</f>
        <v>#REF!</v>
      </c>
      <c r="U52" s="636" t="e">
        <f>+#REF!</f>
        <v>#REF!</v>
      </c>
      <c r="V52" s="695" t="e">
        <f>U52/U$7</f>
        <v>#REF!</v>
      </c>
      <c r="W52" s="636" t="e">
        <f>+#REF!</f>
        <v>#REF!</v>
      </c>
      <c r="X52" s="695" t="e">
        <f>W52/W$7</f>
        <v>#REF!</v>
      </c>
      <c r="Y52" s="636" t="e">
        <f>+W52+U52+S52+Q52</f>
        <v>#REF!</v>
      </c>
      <c r="Z52" s="695" t="e">
        <f>Y52/Y$7</f>
        <v>#REF!</v>
      </c>
      <c r="AA52" s="639" t="e">
        <f>+G52-Y52</f>
        <v>#REF!</v>
      </c>
      <c r="AB52" s="492">
        <v>0</v>
      </c>
      <c r="AC52" s="525">
        <f>AB52/$AB$7</f>
        <v>0</v>
      </c>
      <c r="AD52" s="579">
        <f>SUMIF($AO$7:$AZ$7,"&lt;="&amp;$AC$6,AO52:AZ52)</f>
        <v>0</v>
      </c>
      <c r="AE52" s="525" t="str">
        <f t="shared" si="20"/>
        <v/>
      </c>
      <c r="AG52" s="513">
        <v>0</v>
      </c>
      <c r="AH52" s="525" t="str">
        <f t="shared" si="4"/>
        <v/>
      </c>
      <c r="AM52" s="466" t="s">
        <v>62</v>
      </c>
      <c r="AO52" s="431">
        <f>-IF($AO$7=$AL$7,'[4]1 trim 2016 BIOGROUP'!$U$31/3,IF($AO$7=$AL$8,'[4]1 trim 2016 BIOGROUP'!$U$31/3,IF($AO$7=$AL$9,'[4]1 trim 2016 BIOGROUP'!$U$31/3,IF($AO$7=$AL$10,'[4]2 trim 2016 BIOGROUP'!$U$31/3,IF($AO$7=$AL$11,'[4]2 trim 2016 BIOGROUP'!$U$31/3,IF($AO$7=$AL$12,'[4]2 trim 2016 BIOGROUP'!$U$31/3,""))))))</f>
        <v>-1078.6699000000001</v>
      </c>
      <c r="AP52" s="431">
        <f>-IF($AP$7=$AL$7,'[4]1 trim 2016 BIOGROUP'!$U$31/3,IF($AP$7=$AL$8,'[4]1 trim 2016 BIOGROUP'!$U$31/3,IF($AP$7=$AL$9,'[4]1 trim 2016 BIOGROUP'!$U$31/3,IF($AP$7=$AL$10,'[4]2 trim 2016 BIOGROUP'!$U$31/3,IF($AP$7=$AL$11,'[4]2 trim 2016 BIOGROUP'!$U$31/3,IF($AP$7=$AL$12,'[4]2 trim 2016 BIOGROUP'!$U$31/3,""))))))</f>
        <v>-1078.6699000000001</v>
      </c>
      <c r="AQ52" s="431">
        <f>-IF($AQ$7=$AL$7,'[4]1 trim 2016 BIOGROUP'!$U$31/3,IF($AQ$7=$AL$8,'[4]1 trim 2016 BIOGROUP'!$U$31/3,IF($AQ$7=$AL$9,'[4]1 trim 2016 BIOGROUP'!$U$31/3,IF($AQ$7=$AL$10,'[4]2 trim 2016 BIOGROUP'!$U$31/3,IF($AQ$7=$AL$11,'[4]2 trim 2016 BIOGROUP'!$U$31/3,IF($AQ$7=$AL$12,'[4]2 trim 2016 BIOGROUP'!$U$31/3,""))))))</f>
        <v>-1078.6699000000001</v>
      </c>
      <c r="AR52" s="431">
        <f>-IF($AR$7=$AL$7,'[4]1 trim 2016 BIOGROUP'!$U$31/3,IF($AR$7=$AL$8,'[4]1 trim 2016 BIOGROUP'!$U$31/3,IF($AR$7=$AL$9,'[4]1 trim 2016 BIOGROUP'!$U$31/3,IF($AR$7=$AL$10,'[4]2 trim 2016 BIOGROUP'!$U$31/3,IF($AR$7=$AL$11,'[4]2 trim 2016 BIOGROUP'!$U$31/3,IF($AR$7=$AL$12,'[4]2 trim 2016 BIOGROUP'!$U$31/3,""))))))</f>
        <v>-1078.6699000000001</v>
      </c>
      <c r="AS52" s="431">
        <f>-IF($AS$7=$AL$7,'[4]1 trim 2016 BIOGROUP'!$U$31/3,IF($AS$7=$AL$8,'[4]1 trim 2016 BIOGROUP'!$U$31/3,IF($AS$7=$AL$9,'[4]1 trim 2016 BIOGROUP'!$U$31/3,IF($AS$7=$AL$10,'[4]2 trim 2016 BIOGROUP'!$U$31/3,IF($AS$7=$AL$11,'[4]2 trim 2016 BIOGROUP'!$U$31/3,IF($AS$7=$AL$12,'[4]2 trim 2016 BIOGROUP'!$U$31/3,""))))))</f>
        <v>-1078.6699000000001</v>
      </c>
      <c r="AT52" s="431">
        <f>-IF($AT$7=$AL$7,'[4]1 trim 2016 BIOGROUP'!$U$31/3,IF($AT$7=$AL$8,'[4]1 trim 2016 BIOGROUP'!$U$31/3,IF($AT$7=$AL$9,'[4]1 trim 2016 BIOGROUP'!$U$31/3,IF($AT$7=$AL$10,'[4]2 trim 2016 BIOGROUP'!$U$31/3,IF($AT$7=$AL$11,'[4]2 trim 2016 BIOGROUP'!$U$31/3,IF($AT$7=$AL$12,'[4]2 trim 2016 BIOGROUP'!$U$31/3,""))))))</f>
        <v>-1078.6699000000001</v>
      </c>
      <c r="AU52" s="431">
        <f>-IF($AU$7=$AL$13,'[4]3 trim 2016 BIOGROUP'!$U$31/3,IF($AU$7=$AL$14,'[4]3 trim 2016 BIOGROUP'!$U$31/3,IF($AU$7=$AL$15,'[4]3 trim 2016 BIOGROUP'!$U$31/3,IF($AU$7=$AL$16,'[4]4 trim 2016 BIOGROUP'!$U$31/3,IF($AU$7=$AL$18,'[4]4 trim 2016 BIOGROUP'!$U$31/3,IF($AU$7=$AL$19,'[4]4 trim 2016 BIOGROUP'!$U$31/3,""))))))</f>
        <v>-1078.6699000000001</v>
      </c>
      <c r="AV52" s="431">
        <f>-IF($AV$7=$AL$13,'[4]3 trim 2016 BIOGROUP'!$U$31/3,IF($AV$7=$AL$14,'[4]3 trim 2016 BIOGROUP'!$U$31/3,IF($AV$7=$AL$15,'[4]3 trim 2016 BIOGROUP'!$U$31/3,IF($AV$7=$AL$16,'[4]4 trim 2016 BIOGROUP'!$U$31/3,IF($AV$7=$AL$18,'[4]4 trim 2016 BIOGROUP'!$U$31/3,IF($AV$7=$AL$19,'[4]4 trim 2016 BIOGROUP'!$U$31/3,""))))))</f>
        <v>-1078.6699000000001</v>
      </c>
      <c r="AW52" s="431">
        <f>-IF($AW$7=$AL$13,'[4]3 trim 2016 BIOGROUP'!$U$31/3,IF($AW$7=$AL$14,'[4]3 trim 2016 BIOGROUP'!$U$31/3,IF($AW$7=$AL$15,'[4]3 trim 2016 BIOGROUP'!$U$31/3,IF($AW$7=$AL$16,'[4]4 trim 2016 BIOGROUP'!$U$31/3,IF($AW$7=$AL$18,'[4]4 trim 2016 BIOGROUP'!$U$31/3,IF($AW$7=$AL$19,'[4]4 trim 2016 BIOGROUP'!$U$31/3,""))))))</f>
        <v>-1078.6699000000001</v>
      </c>
      <c r="AX52" s="431">
        <f>-IF($AX$7=$AL$13,'[4]3 trim 2016 BIOGROUP'!$U$31/3,IF($AX$7=$AL$14,'[4]3 trim 2016 BIOGROUP'!$U$31/3,IF($AX$7=$AL$15,'[4]3 trim 2016 BIOGROUP'!$U$31/3,IF($AX$7=$AL$16,'[4]4 trim 2016 BIOGROUP'!$U$31/3,IF($AX$7=$AL$18,'[4]4 trim 2016 BIOGROUP'!$U$31/3,IF($AX$7=$AL$19,'[4]4 trim 2016 BIOGROUP'!$U$31/3,""))))))</f>
        <v>-1078.6699000000001</v>
      </c>
      <c r="AY52" s="431">
        <f>-IF($AY$7=$AL$13,'[4]3 trim 2016 BIOGROUP'!$U$31/3,IF($AY$7=$AL$14,'[4]3 trim 2016 BIOGROUP'!$U$31/3,IF($AY$7=$AL$15,'[4]3 trim 2016 BIOGROUP'!$U$31/3,IF($AY$7=$AL$16,'[4]4 trim 2016 BIOGROUP'!$U$31/3,IF($AY$7=$AL$18,'[4]4 trim 2016 BIOGROUP'!$U$31/3,IF($AY$7=$AL$19,'[4]4 trim 2016 BIOGROUP'!$U$31/3,""))))))</f>
        <v>-1078.6699000000001</v>
      </c>
      <c r="AZ52" s="431">
        <f>-IF($AZ$7=$AL$13,'[4]3 trim 2016 BIOGROUP'!$U$31/3,IF($AZ$7=$AL$14,'[4]3 trim 2016 BIOGROUP'!$U$31/3,IF($AZ$7=$AL$15,'[4]3 trim 2016 BIOGROUP'!$U$31/3,IF($AZ$7=$AL$16,'[4]4 trim 2016 BIOGROUP'!$U$31/3,IF($AZ$7=$AL$18,'[4]4 trim 2016 BIOGROUP'!$U$31/3,IF($AZ$7=$AL$19,'[4]4 trim 2016 BIOGROUP'!$U$31/3,""))))))</f>
        <v>-1078.6699000000001</v>
      </c>
      <c r="BB52" s="511">
        <f t="shared" si="5"/>
        <v>0</v>
      </c>
      <c r="BC52" s="750"/>
    </row>
    <row r="53" spans="1:55" ht="26.15" customHeight="1">
      <c r="A53" s="689"/>
      <c r="B53" s="690"/>
      <c r="C53" s="436" t="s">
        <v>160</v>
      </c>
      <c r="D53" s="696"/>
      <c r="E53" s="436" t="s">
        <v>161</v>
      </c>
      <c r="F53" s="692"/>
      <c r="G53" s="473">
        <f>SUM(G51:G52)</f>
        <v>1106015.5796741801</v>
      </c>
      <c r="H53" s="673">
        <f>G53/$G$7</f>
        <v>0.17832499442600039</v>
      </c>
      <c r="J53" s="514">
        <f>SUM(J51:J52)</f>
        <v>0</v>
      </c>
      <c r="K53" s="531" t="str">
        <f t="shared" si="6"/>
        <v/>
      </c>
      <c r="L53" s="431"/>
      <c r="M53" s="697">
        <f>SUM(M51:M52)</f>
        <v>547514.10486802645</v>
      </c>
      <c r="N53" s="516">
        <f t="shared" si="1"/>
        <v>1.020067738603329</v>
      </c>
      <c r="O53" s="693"/>
      <c r="P53" s="698"/>
      <c r="Q53" s="699"/>
      <c r="R53" s="700"/>
      <c r="S53" s="699"/>
      <c r="T53" s="700"/>
      <c r="U53" s="699"/>
      <c r="V53" s="700"/>
      <c r="W53" s="699"/>
      <c r="X53" s="700"/>
      <c r="Y53" s="699"/>
      <c r="Z53" s="700"/>
      <c r="AA53" s="639"/>
      <c r="AB53" s="473">
        <f>SUM(AB51:AB52)</f>
        <v>6686183.8030902296</v>
      </c>
      <c r="AC53" s="673">
        <f>AB53/$AB$7</f>
        <v>0.37461302941663749</v>
      </c>
      <c r="AD53" s="514" t="e">
        <f>SUM(AD51:AD52)</f>
        <v>#REF!</v>
      </c>
      <c r="AE53" s="516" t="str">
        <f t="shared" si="20"/>
        <v/>
      </c>
      <c r="AG53" s="697">
        <f>SUM(AG51:AG52)</f>
        <v>1642542.3146040817</v>
      </c>
      <c r="AH53" s="516">
        <f t="shared" si="4"/>
        <v>3.0706310842907372</v>
      </c>
      <c r="AM53" s="436" t="s">
        <v>161</v>
      </c>
      <c r="BB53" s="748" t="e">
        <f t="shared" si="5"/>
        <v>#REF!</v>
      </c>
      <c r="BC53" s="752"/>
    </row>
    <row r="54" spans="1:55" ht="26.15" customHeight="1">
      <c r="A54" s="565"/>
      <c r="B54" s="566"/>
      <c r="C54" s="467" t="s">
        <v>122</v>
      </c>
      <c r="D54" s="701"/>
      <c r="E54" s="467" t="s">
        <v>133</v>
      </c>
      <c r="F54" s="577"/>
      <c r="G54" s="493"/>
      <c r="H54" s="702"/>
      <c r="J54" s="515"/>
      <c r="K54" s="541"/>
      <c r="L54" s="431"/>
      <c r="M54" s="515"/>
      <c r="N54" s="528"/>
      <c r="O54" s="703"/>
      <c r="P54" s="468"/>
      <c r="Q54" s="704"/>
      <c r="R54" s="705"/>
      <c r="S54" s="704"/>
      <c r="T54" s="705"/>
      <c r="U54" s="704"/>
      <c r="V54" s="706"/>
      <c r="W54" s="704"/>
      <c r="X54" s="705"/>
      <c r="Y54" s="704"/>
      <c r="Z54" s="705"/>
      <c r="AA54" s="707"/>
      <c r="AB54" s="493"/>
      <c r="AC54" s="702"/>
      <c r="AD54" s="515"/>
      <c r="AE54" s="526"/>
      <c r="AG54" s="515"/>
      <c r="AH54" s="528"/>
      <c r="AM54" s="467" t="s">
        <v>133</v>
      </c>
      <c r="AN54" s="433" t="s">
        <v>162</v>
      </c>
      <c r="AO54" s="742">
        <f>+AO52+AO50</f>
        <v>354.23580717000141</v>
      </c>
      <c r="AP54" s="742">
        <f t="shared" ref="AP54:AZ54" si="27">+AP52+AP50</f>
        <v>354.23580717000141</v>
      </c>
      <c r="AQ54" s="742">
        <f t="shared" si="27"/>
        <v>354.23580717000141</v>
      </c>
      <c r="AR54" s="742">
        <f t="shared" si="27"/>
        <v>-6858.2063928299967</v>
      </c>
      <c r="AS54" s="742">
        <f t="shared" si="27"/>
        <v>-6858.2063928299967</v>
      </c>
      <c r="AT54" s="742">
        <f t="shared" si="27"/>
        <v>-6858.2063928299967</v>
      </c>
      <c r="AU54" s="742">
        <f t="shared" si="27"/>
        <v>-2804.1735261633303</v>
      </c>
      <c r="AV54" s="742">
        <f t="shared" si="27"/>
        <v>-2804.1735261633303</v>
      </c>
      <c r="AW54" s="742">
        <f t="shared" si="27"/>
        <v>-2804.1735261633303</v>
      </c>
      <c r="AX54" s="742">
        <f t="shared" si="27"/>
        <v>-5350.6827261633298</v>
      </c>
      <c r="AY54" s="742">
        <f t="shared" si="27"/>
        <v>-5350.6827261633298</v>
      </c>
      <c r="AZ54" s="742">
        <f t="shared" si="27"/>
        <v>-5350.6827261633298</v>
      </c>
      <c r="BB54" s="511">
        <f>AB54-AD54</f>
        <v>0</v>
      </c>
      <c r="BC54" s="750"/>
    </row>
    <row r="55" spans="1:55" ht="26.15" customHeight="1">
      <c r="A55" s="565"/>
      <c r="B55" s="566"/>
      <c r="C55" s="468"/>
      <c r="D55" s="701"/>
      <c r="E55" s="468"/>
      <c r="F55" s="577"/>
      <c r="G55" s="708"/>
      <c r="H55" s="709"/>
      <c r="I55" s="709"/>
      <c r="J55" s="704"/>
      <c r="K55" s="710"/>
      <c r="L55" s="710"/>
      <c r="M55" s="704"/>
      <c r="N55" s="705"/>
      <c r="O55" s="703"/>
      <c r="P55" s="468"/>
      <c r="Q55" s="704"/>
      <c r="R55" s="705"/>
      <c r="S55" s="704"/>
      <c r="T55" s="705"/>
      <c r="U55" s="704"/>
      <c r="V55" s="706"/>
      <c r="W55" s="704"/>
      <c r="X55" s="705"/>
      <c r="Y55" s="704"/>
      <c r="Z55" s="705"/>
      <c r="AA55" s="707"/>
      <c r="AB55" s="708"/>
      <c r="AC55" s="709"/>
      <c r="AD55" s="704"/>
      <c r="AE55" s="711"/>
      <c r="AF55" s="711"/>
      <c r="AG55" s="704"/>
      <c r="AH55" s="705"/>
      <c r="AM55" s="468"/>
    </row>
    <row r="56" spans="1:55" ht="26.15" customHeight="1">
      <c r="A56" s="565"/>
      <c r="B56" s="567"/>
      <c r="C56" s="712" t="s">
        <v>162</v>
      </c>
      <c r="D56" s="701"/>
      <c r="E56" s="468"/>
      <c r="F56" s="577"/>
      <c r="G56" s="713">
        <v>-1659022</v>
      </c>
      <c r="H56" s="709"/>
      <c r="I56" s="709"/>
      <c r="J56" s="704"/>
      <c r="K56" s="710"/>
      <c r="L56" s="710"/>
      <c r="M56" s="714">
        <f>AG56/3</f>
        <v>-821270.7466666667</v>
      </c>
      <c r="N56" s="705"/>
      <c r="O56" s="703"/>
      <c r="P56" s="468"/>
      <c r="Q56" s="704"/>
      <c r="R56" s="705"/>
      <c r="S56" s="704"/>
      <c r="T56" s="705"/>
      <c r="U56" s="704"/>
      <c r="V56" s="706"/>
      <c r="W56" s="704"/>
      <c r="X56" s="705"/>
      <c r="Y56" s="704"/>
      <c r="Z56" s="705"/>
      <c r="AA56" s="707"/>
      <c r="AB56" s="713">
        <v>-4272209</v>
      </c>
      <c r="AC56" s="709"/>
      <c r="AD56" s="715">
        <f>-'[4]1 trim 2016 BIOGROUP'!$U$54-'[4]2 trim 2016 BIOGROUP'!$U$54</f>
        <v>-26071.962343019975</v>
      </c>
      <c r="AE56" s="711"/>
      <c r="AF56" s="711"/>
      <c r="AG56" s="714">
        <f>-1259632.96-150817-1053362.28</f>
        <v>-2463812.2400000002</v>
      </c>
      <c r="AH56" s="705"/>
      <c r="AM56" s="468"/>
    </row>
    <row r="57" spans="1:55" ht="15">
      <c r="B57" s="716"/>
      <c r="C57" s="551"/>
      <c r="D57" s="551"/>
      <c r="E57" s="469"/>
      <c r="F57" s="703"/>
      <c r="G57" s="717">
        <f>+G49+G56</f>
        <v>0.5400000000372529</v>
      </c>
      <c r="H57" s="551"/>
      <c r="I57" s="551"/>
      <c r="K57" s="718"/>
      <c r="L57" s="718"/>
      <c r="M57" s="719">
        <f>+M49+M56</f>
        <v>0</v>
      </c>
      <c r="N57" s="551"/>
      <c r="O57" s="551"/>
      <c r="P57" s="551" t="s">
        <v>56</v>
      </c>
      <c r="Q57" s="720" t="e">
        <f>+'31 dec 2016 BIOLAM'!AT54+#REF!</f>
        <v>#REF!</v>
      </c>
      <c r="R57" s="720"/>
      <c r="S57" s="720" t="e">
        <f>+'31 dec 2016 BIOLAM'!AV54+#REF!</f>
        <v>#REF!</v>
      </c>
      <c r="T57" s="551"/>
      <c r="U57" s="720" t="e">
        <f>+'31 dec 2016 BIOLAM'!AX54+#REF!</f>
        <v>#REF!</v>
      </c>
      <c r="V57" s="551"/>
      <c r="W57" s="720" t="e">
        <f>+'31 dec 2016 BIOLAM'!AZ54+#REF!</f>
        <v>#REF!</v>
      </c>
      <c r="X57" s="551"/>
      <c r="Y57" s="721" t="e">
        <f>+W51+U51+S51+Q51</f>
        <v>#REF!</v>
      </c>
      <c r="Z57" s="551"/>
      <c r="AA57" s="551"/>
      <c r="AB57" s="722">
        <f>+AB49+AB56</f>
        <v>5757061.6899999995</v>
      </c>
      <c r="AC57" s="551"/>
      <c r="AD57" s="723" t="e">
        <f>AD53+AD56</f>
        <v>#REF!</v>
      </c>
      <c r="AE57" s="551"/>
      <c r="AF57" s="551"/>
      <c r="AG57" s="717">
        <f>AG49+AG56</f>
        <v>0</v>
      </c>
      <c r="AH57" s="551"/>
      <c r="AM57" s="469"/>
    </row>
    <row r="58" spans="1:55">
      <c r="E58" s="470"/>
      <c r="G58" s="724"/>
      <c r="Q58" s="726" t="e">
        <f>SUM(#REF!)</f>
        <v>#REF!</v>
      </c>
      <c r="AM58" s="470"/>
    </row>
    <row r="59" spans="1:55" ht="25">
      <c r="E59" s="471"/>
      <c r="Q59" s="726" t="e">
        <f>SUM(#REF!)</f>
        <v>#REF!</v>
      </c>
      <c r="AM59" s="471"/>
    </row>
    <row r="60" spans="1:55">
      <c r="G60" s="726"/>
      <c r="Q60" s="726" t="e">
        <f>SUM(#REF!)</f>
        <v>#REF!</v>
      </c>
      <c r="W60" s="727" t="e">
        <f>+W50+U50+S50+Q50</f>
        <v>#REF!</v>
      </c>
    </row>
    <row r="61" spans="1:55">
      <c r="G61" s="726"/>
      <c r="Q61" s="726" t="e">
        <f>SUM(#REF!)</f>
        <v>#REF!</v>
      </c>
    </row>
    <row r="62" spans="1:55">
      <c r="Q62" s="726" t="e">
        <f>SUM(Q58:Q61)</f>
        <v>#REF!</v>
      </c>
    </row>
    <row r="65" spans="1:39">
      <c r="G65" s="615"/>
    </row>
    <row r="66" spans="1:39">
      <c r="G66" s="724"/>
    </row>
    <row r="67" spans="1:39">
      <c r="E67" s="431"/>
      <c r="F67" s="431"/>
      <c r="AM67" s="431"/>
    </row>
    <row r="68" spans="1:39">
      <c r="E68" s="431"/>
      <c r="F68" s="431"/>
      <c r="AM68" s="431"/>
    </row>
    <row r="69" spans="1:39" ht="26.15" customHeight="1">
      <c r="A69" s="662"/>
      <c r="B69" s="566"/>
      <c r="E69" s="431"/>
      <c r="F69" s="431"/>
      <c r="P69" s="728" t="s">
        <v>14</v>
      </c>
      <c r="Q69" s="729" t="e">
        <f>+#REF!+'31 dec 2016 BIOLAM'!AT42</f>
        <v>#REF!</v>
      </c>
      <c r="R69" s="730" t="e">
        <f>Q69/Q$7</f>
        <v>#REF!</v>
      </c>
      <c r="S69" s="729" t="e">
        <f>+'31 dec 2016 BIOLAM'!AV42+#REF!</f>
        <v>#REF!</v>
      </c>
      <c r="T69" s="730" t="e">
        <f>S69/S$7</f>
        <v>#REF!</v>
      </c>
      <c r="U69" s="729" t="e">
        <f>+'31 dec 2016 BIOLAM'!AX42+#REF!</f>
        <v>#REF!</v>
      </c>
      <c r="V69" s="730" t="e">
        <f>U69/U$7</f>
        <v>#REF!</v>
      </c>
      <c r="W69" s="729" t="e">
        <f>+'31 dec 2016 BIOLAM'!AZ42+#REF!</f>
        <v>#REF!</v>
      </c>
      <c r="X69" s="730" t="e">
        <f>W69/W$7</f>
        <v>#REF!</v>
      </c>
      <c r="Y69" s="729" t="e">
        <f>+W69+U69+S69+Q69</f>
        <v>#REF!</v>
      </c>
      <c r="Z69" s="730" t="e">
        <f>Y69/Y$7</f>
        <v>#REF!</v>
      </c>
      <c r="AA69" s="727" t="e">
        <f>+G69-Y69</f>
        <v>#REF!</v>
      </c>
      <c r="AM69" s="431"/>
    </row>
    <row r="70" spans="1:39" ht="26.15" customHeight="1">
      <c r="A70" s="662"/>
      <c r="B70" s="566"/>
      <c r="E70" s="431"/>
      <c r="F70" s="431"/>
      <c r="P70" s="731" t="s">
        <v>59</v>
      </c>
      <c r="Q70" s="729" t="e">
        <f>+#REF!+'31 dec 2016 BIOLAM'!AT43</f>
        <v>#REF!</v>
      </c>
      <c r="R70" s="730" t="e">
        <f>Q70/Q$7</f>
        <v>#REF!</v>
      </c>
      <c r="S70" s="729" t="e">
        <f>+'31 dec 2016 BIOLAM'!AV43+#REF!</f>
        <v>#REF!</v>
      </c>
      <c r="T70" s="730" t="e">
        <f>S70/S$7</f>
        <v>#REF!</v>
      </c>
      <c r="U70" s="729" t="e">
        <f>+'31 dec 2016 BIOLAM'!AX43+#REF!</f>
        <v>#REF!</v>
      </c>
      <c r="V70" s="730" t="e">
        <f>U70/U$7</f>
        <v>#REF!</v>
      </c>
      <c r="W70" s="729" t="e">
        <f>+'31 dec 2016 BIOLAM'!AZ43+#REF!</f>
        <v>#REF!</v>
      </c>
      <c r="X70" s="730" t="e">
        <f>W70/W$7</f>
        <v>#REF!</v>
      </c>
      <c r="Y70" s="729" t="e">
        <f>+W70+U70+S70+Q70</f>
        <v>#REF!</v>
      </c>
      <c r="Z70" s="730" t="e">
        <f>Y70/Y$7</f>
        <v>#REF!</v>
      </c>
      <c r="AA70" s="727" t="e">
        <f>+G70-Y70</f>
        <v>#REF!</v>
      </c>
      <c r="AM70" s="431"/>
    </row>
    <row r="71" spans="1:39">
      <c r="E71" s="431"/>
      <c r="F71" s="431"/>
      <c r="AM71" s="431"/>
    </row>
    <row r="72" spans="1:39" ht="26.15" customHeight="1" thickBot="1">
      <c r="A72" s="575"/>
      <c r="B72" s="548"/>
      <c r="E72" s="431"/>
      <c r="F72" s="431"/>
      <c r="P72" s="732" t="s">
        <v>18</v>
      </c>
      <c r="Q72" s="729" t="e">
        <f>+#REF!+'31 dec 2016 BIOLAM'!AT49</f>
        <v>#REF!</v>
      </c>
      <c r="R72" s="730" t="e">
        <f>Q72/Q$7</f>
        <v>#REF!</v>
      </c>
      <c r="S72" s="729" t="e">
        <f>+'31 dec 2016 BIOLAM'!AV49+#REF!</f>
        <v>#REF!</v>
      </c>
      <c r="T72" s="730" t="e">
        <f>S72/S$7</f>
        <v>#REF!</v>
      </c>
      <c r="U72" s="729" t="e">
        <f>+'31 dec 2016 BIOLAM'!AX49+#REF!</f>
        <v>#REF!</v>
      </c>
      <c r="V72" s="730" t="e">
        <f>U72/U$7</f>
        <v>#REF!</v>
      </c>
      <c r="W72" s="729" t="e">
        <f>+'31 dec 2016 BIOLAM'!AZ49+#REF!</f>
        <v>#REF!</v>
      </c>
      <c r="X72" s="730" t="e">
        <f>W72/W$7</f>
        <v>#REF!</v>
      </c>
      <c r="Y72" s="729" t="e">
        <f>+W72+U72+S72+Q72</f>
        <v>#REF!</v>
      </c>
      <c r="Z72" s="730" t="e">
        <f>Y72/Y$7</f>
        <v>#REF!</v>
      </c>
      <c r="AA72" s="727" t="e">
        <f>+G72-Y72</f>
        <v>#REF!</v>
      </c>
      <c r="AM72" s="431"/>
    </row>
    <row r="73" spans="1:39" ht="26.15" customHeight="1" thickBot="1">
      <c r="A73" s="575"/>
      <c r="B73" s="548"/>
      <c r="E73" s="431"/>
      <c r="F73" s="431"/>
      <c r="P73" s="733" t="s">
        <v>19</v>
      </c>
      <c r="Q73" s="729" t="e">
        <f>+#REF!+'31 dec 2016 BIOLAM'!AT50</f>
        <v>#REF!</v>
      </c>
      <c r="R73" s="730" t="e">
        <f>Q73/Q$7</f>
        <v>#REF!</v>
      </c>
      <c r="S73" s="729" t="e">
        <f>+'31 dec 2016 BIOLAM'!AV50+#REF!</f>
        <v>#REF!</v>
      </c>
      <c r="T73" s="730" t="e">
        <f>S73/S$7</f>
        <v>#REF!</v>
      </c>
      <c r="U73" s="729" t="e">
        <f>+'31 dec 2016 BIOLAM'!AX50+#REF!</f>
        <v>#REF!</v>
      </c>
      <c r="V73" s="730" t="e">
        <f>U73/U$7</f>
        <v>#REF!</v>
      </c>
      <c r="W73" s="729" t="e">
        <f>+'31 dec 2016 BIOLAM'!AZ50+#REF!</f>
        <v>#REF!</v>
      </c>
      <c r="X73" s="730" t="e">
        <f>W73/W$7</f>
        <v>#REF!</v>
      </c>
      <c r="Y73" s="729" t="e">
        <f>+W73+U73+S73+Q73</f>
        <v>#REF!</v>
      </c>
      <c r="Z73" s="730" t="e">
        <f>Y73/Y$7</f>
        <v>#REF!</v>
      </c>
      <c r="AA73" s="727" t="e">
        <f>+G73-Y73</f>
        <v>#REF!</v>
      </c>
      <c r="AM73" s="431"/>
    </row>
    <row r="74" spans="1:39" ht="26.15" customHeight="1">
      <c r="A74" s="575"/>
      <c r="B74" s="548"/>
      <c r="E74" s="431"/>
      <c r="F74" s="431"/>
      <c r="P74" s="734" t="s">
        <v>44</v>
      </c>
      <c r="Q74" s="735"/>
      <c r="R74" s="736"/>
      <c r="S74" s="735"/>
      <c r="T74" s="736"/>
      <c r="U74" s="735"/>
      <c r="V74" s="736"/>
      <c r="W74" s="735"/>
      <c r="X74" s="736"/>
      <c r="Y74" s="735"/>
      <c r="Z74" s="736"/>
      <c r="AA74" s="727">
        <f>+G74-Y74</f>
        <v>0</v>
      </c>
      <c r="AM74" s="431"/>
    </row>
    <row r="75" spans="1:39" ht="26.15" customHeight="1">
      <c r="A75" s="565"/>
      <c r="B75" s="566"/>
      <c r="E75" s="431"/>
      <c r="F75" s="431"/>
      <c r="P75" s="737" t="s">
        <v>20</v>
      </c>
      <c r="Q75" s="738" t="e">
        <f>+Q42+Q69-Q70+#REF!+Q46</f>
        <v>#REF!</v>
      </c>
      <c r="R75" s="739" t="e">
        <f>Q75/Q$7</f>
        <v>#REF!</v>
      </c>
      <c r="S75" s="738" t="e">
        <f>+S42+S69-S70+#REF!+S46</f>
        <v>#REF!</v>
      </c>
      <c r="T75" s="739" t="e">
        <f>S75/S$7</f>
        <v>#REF!</v>
      </c>
      <c r="U75" s="738" t="e">
        <f>+U42+U69-U70+#REF!+U46</f>
        <v>#REF!</v>
      </c>
      <c r="V75" s="739" t="e">
        <f>U75/U$7</f>
        <v>#REF!</v>
      </c>
      <c r="W75" s="738" t="e">
        <f>+W42+W69-W70+#REF!+W46</f>
        <v>#REF!</v>
      </c>
      <c r="X75" s="739" t="e">
        <f>W75/W$7</f>
        <v>#REF!</v>
      </c>
      <c r="Y75" s="738" t="e">
        <f>+Y42+Y69-Y70+#REF!+Y46</f>
        <v>#REF!</v>
      </c>
      <c r="Z75" s="739" t="e">
        <f>Y75/Y$7</f>
        <v>#REF!</v>
      </c>
      <c r="AA75" s="727" t="e">
        <f>+G75-Y75</f>
        <v>#REF!</v>
      </c>
      <c r="AM75" s="431"/>
    </row>
    <row r="76" spans="1:39">
      <c r="E76" s="431"/>
      <c r="F76" s="431"/>
      <c r="AM76" s="431"/>
    </row>
    <row r="77" spans="1:39">
      <c r="E77" s="431"/>
      <c r="F77" s="431"/>
      <c r="AM77" s="431"/>
    </row>
  </sheetData>
  <mergeCells count="18">
    <mergeCell ref="C1:AH1"/>
    <mergeCell ref="C2:AH2"/>
    <mergeCell ref="C4:C6"/>
    <mergeCell ref="E4:E6"/>
    <mergeCell ref="G4:N4"/>
    <mergeCell ref="P4:P6"/>
    <mergeCell ref="Q4:R6"/>
    <mergeCell ref="S4:T6"/>
    <mergeCell ref="U4:V6"/>
    <mergeCell ref="W4:X6"/>
    <mergeCell ref="BC5:BC6"/>
    <mergeCell ref="G6:H6"/>
    <mergeCell ref="Y4:Z6"/>
    <mergeCell ref="AB4:AH4"/>
    <mergeCell ref="AM4:AM6"/>
    <mergeCell ref="G5:N5"/>
    <mergeCell ref="AB5:AH5"/>
    <mergeCell ref="BB5:BB6"/>
  </mergeCells>
  <conditionalFormatting sqref="BB1:BB4 BB54:BB65536">
    <cfRule type="cellIs" dxfId="1" priority="1" stopIfTrue="1" operator="lessThan">
      <formula>-10000</formula>
    </cfRule>
    <cfRule type="cellIs" dxfId="0" priority="2" stopIfTrue="1" operator="greaterThan">
      <formula>10000</formula>
    </cfRule>
  </conditionalFormatting>
  <printOptions horizontalCentered="1"/>
  <pageMargins left="0.11811023622047245" right="0.11811023622047245" top="0.35433070866141736" bottom="0.39370078740157483" header="0.19685039370078741" footer="0.19685039370078741"/>
  <pageSetup paperSize="8" scale="52" fitToWidth="2" orientation="landscape" cellComments="asDisplayed" r:id="rId1"/>
  <headerFooter>
    <oddFooter>&amp;R&amp;D&amp;T&amp;Z&amp;F&amp;A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31 dec 2016 BIOLAM</vt:lpstr>
      <vt:lpstr>BIOLAM LCD</vt:lpstr>
      <vt:lpstr>extraction</vt:lpstr>
      <vt:lpstr>CAB SANS -3FRONTIERES-LABB</vt:lpstr>
      <vt:lpstr>3 FRONTIERES</vt:lpstr>
      <vt:lpstr>LABB</vt:lpstr>
      <vt:lpstr>BIOPOLE 21 SANS BRUANT</vt:lpstr>
      <vt:lpstr>BRUANT</vt:lpstr>
      <vt:lpstr>'31 dec 2016 BIOLAM'!Impression_des_titres</vt:lpstr>
      <vt:lpstr>'3 FRONTIERES'!Zone_d_impression</vt:lpstr>
      <vt:lpstr>'31 dec 2016 BIOLAM'!Zone_d_impression</vt:lpstr>
      <vt:lpstr>'BIOPOLE 21 SANS BRUANT'!Zone_d_impression</vt:lpstr>
      <vt:lpstr>BRUANT!Zone_d_impression</vt:lpstr>
      <vt:lpstr>'CAB SANS -3FRONTIERES-LABB'!Zone_d_impression</vt:lpstr>
      <vt:lpstr>LABB!Zone_d_impression</vt:lpstr>
    </vt:vector>
  </TitlesOfParts>
  <Company>LCD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ngosset</dc:creator>
  <cp:lastModifiedBy>tulipe</cp:lastModifiedBy>
  <cp:lastPrinted>2016-09-29T12:25:20Z</cp:lastPrinted>
  <dcterms:created xsi:type="dcterms:W3CDTF">2011-06-07T14:14:43Z</dcterms:created>
  <dcterms:modified xsi:type="dcterms:W3CDTF">2016-10-28T16:13:18Z</dcterms:modified>
</cp:coreProperties>
</file>