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2.xml" ContentType="application/vnd.ms-office.chartstyle+xml"/>
  <Override PartName="/xl/charts/style3.xml" ContentType="application/vnd.ms-office.chartstyle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harts/colors2.xml" ContentType="application/vnd.ms-office.chartcolorstyle+xml"/>
  <Override PartName="/xl/charts/colors3.xml" ContentType="application/vnd.ms-office.chartcolorstyle+xml"/>
  <Override PartName="/xl/pivotCache/pivotCacheRecords1.xml" ContentType="application/vnd.openxmlformats-officedocument.spreadsheetml.pivotCacheRecords+xml"/>
  <Override PartName="/xl/ctrlProps/ctrlProp2.xml" ContentType="application/vnd.ms-excel.controlproperties+xml"/>
  <Override PartName="/xl/ctrlProps/ctrlProp1.xml" ContentType="application/vnd.ms-excel.controlpropertie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10" yWindow="-110" windowWidth="19420" windowHeight="11020" firstSheet="1" activeTab="4"/>
  </bookViews>
  <sheets>
    <sheet name="Catalogue " sheetId="2" r:id="rId1"/>
    <sheet name="Bon de Commande" sheetId="1" r:id="rId2"/>
    <sheet name="historique des ventes directes " sheetId="15" r:id="rId3"/>
    <sheet name="Clients " sheetId="3" r:id="rId4"/>
    <sheet name="tableau de bord" sheetId="5" r:id="rId5"/>
    <sheet name="historique des commandes " sheetId="4" r:id="rId6"/>
  </sheets>
  <definedNames>
    <definedName name="DESIGNATION">'Catalogue '!$A:$A</definedName>
    <definedName name="EAN">'Catalogue '!$B:$B</definedName>
    <definedName name="Identifiant">'Clients '!$A:$A</definedName>
    <definedName name="PU">'Catalogue '!$D:$D</definedName>
    <definedName name="Quantité">'Catalogue '!#REF!</definedName>
    <definedName name="TVA">'Catalogue '!$C:$C</definedName>
    <definedName name="tva_20">'Catalogue '!$F$2</definedName>
  </definedNames>
  <calcPr calcId="124519"/>
  <pivotCaches>
    <pivotCache cacheId="4" r:id="rId7"/>
  </pivotCaches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0" i="5" a="1"/>
  <c r="B20" s="1"/>
  <c r="B23" l="1"/>
  <c r="C12" i="1" l="1"/>
  <c r="C13"/>
  <c r="C14"/>
  <c r="C15"/>
  <c r="C16"/>
  <c r="C17"/>
  <c r="C18"/>
  <c r="C19"/>
  <c r="C20"/>
  <c r="C21"/>
  <c r="C22"/>
  <c r="C23"/>
  <c r="C24"/>
  <c r="C25"/>
  <c r="C26"/>
  <c r="C27"/>
  <c r="C28"/>
  <c r="C11"/>
  <c r="E2" i="4" l="1"/>
  <c r="E3"/>
  <c r="E4" l="1"/>
  <c r="E5"/>
  <c r="E6"/>
  <c r="E7"/>
  <c r="E8"/>
  <c r="E9"/>
  <c r="E10"/>
  <c r="E11"/>
  <c r="E12"/>
  <c r="E13"/>
  <c r="E15" l="1"/>
  <c r="E16"/>
  <c r="E17"/>
  <c r="E18"/>
  <c r="E19"/>
  <c r="E20"/>
  <c r="E21"/>
  <c r="E14"/>
  <c r="I4" i="5" l="1"/>
  <c r="L4"/>
  <c r="F4"/>
  <c r="N4"/>
  <c r="H4"/>
  <c r="G4"/>
  <c r="J4"/>
  <c r="O4"/>
  <c r="E4"/>
  <c r="M4"/>
  <c r="K4"/>
  <c r="P4"/>
  <c r="A3" i="3"/>
  <c r="A2"/>
  <c r="A36" l="1"/>
  <c r="G36" s="1"/>
  <c r="A26"/>
  <c r="G26" s="1"/>
  <c r="H36" l="1"/>
  <c r="H26"/>
  <c r="I26"/>
  <c r="I36"/>
  <c r="A15"/>
  <c r="H15" s="1"/>
  <c r="G15" l="1"/>
  <c r="I15"/>
  <c r="B21" i="5"/>
  <c r="A20" i="3"/>
  <c r="H20" s="1"/>
  <c r="G20" l="1"/>
  <c r="I20"/>
  <c r="B24" i="1"/>
  <c r="H3" i="3" l="1"/>
  <c r="H2"/>
  <c r="A32"/>
  <c r="G32" s="1"/>
  <c r="A27"/>
  <c r="G27" s="1"/>
  <c r="A31"/>
  <c r="G31" s="1"/>
  <c r="A17"/>
  <c r="G17" s="1"/>
  <c r="A28"/>
  <c r="H28" s="1"/>
  <c r="A5"/>
  <c r="H5" s="1"/>
  <c r="A33"/>
  <c r="G33" s="1"/>
  <c r="A38"/>
  <c r="G38" s="1"/>
  <c r="A21"/>
  <c r="H21" s="1"/>
  <c r="G3" l="1"/>
  <c r="I3"/>
  <c r="G2"/>
  <c r="I2"/>
  <c r="H32"/>
  <c r="I32"/>
  <c r="H27"/>
  <c r="I27"/>
  <c r="H31"/>
  <c r="I31"/>
  <c r="H17"/>
  <c r="I17"/>
  <c r="G28"/>
  <c r="I28"/>
  <c r="G5"/>
  <c r="H33"/>
  <c r="I33"/>
  <c r="H38"/>
  <c r="G21"/>
  <c r="I21"/>
  <c r="A13"/>
  <c r="G13" s="1"/>
  <c r="H13" l="1"/>
  <c r="A18"/>
  <c r="G18" s="1"/>
  <c r="A14"/>
  <c r="G14" s="1"/>
  <c r="A12"/>
  <c r="H12" s="1"/>
  <c r="A16"/>
  <c r="H16" s="1"/>
  <c r="A34"/>
  <c r="I34" s="1"/>
  <c r="A29"/>
  <c r="G29" s="1"/>
  <c r="A6"/>
  <c r="G6" s="1"/>
  <c r="A9"/>
  <c r="G9" s="1"/>
  <c r="A7"/>
  <c r="H7" s="1"/>
  <c r="A8"/>
  <c r="G8" s="1"/>
  <c r="A4"/>
  <c r="A23"/>
  <c r="G23" s="1"/>
  <c r="A30"/>
  <c r="I30" s="1"/>
  <c r="A11"/>
  <c r="H11" s="1"/>
  <c r="A22"/>
  <c r="G22" s="1"/>
  <c r="A19"/>
  <c r="I19" s="1"/>
  <c r="G4" l="1"/>
  <c r="G7"/>
  <c r="H18"/>
  <c r="I18"/>
  <c r="H9"/>
  <c r="H34"/>
  <c r="I5"/>
  <c r="H8"/>
  <c r="H29"/>
  <c r="I16"/>
  <c r="G11"/>
  <c r="G16"/>
  <c r="I14"/>
  <c r="I23"/>
  <c r="I38"/>
  <c r="I6"/>
  <c r="I8"/>
  <c r="I9"/>
  <c r="H6"/>
  <c r="I29"/>
  <c r="G12"/>
  <c r="I13"/>
  <c r="H14"/>
  <c r="I12"/>
  <c r="G34"/>
  <c r="I7"/>
  <c r="I4"/>
  <c r="H23"/>
  <c r="I11"/>
  <c r="H30"/>
  <c r="G30"/>
  <c r="H22"/>
  <c r="I22"/>
  <c r="G19"/>
  <c r="H19"/>
  <c r="A10"/>
  <c r="G10" s="1"/>
  <c r="A35"/>
  <c r="G35" s="1"/>
  <c r="I10" l="1"/>
  <c r="H10"/>
  <c r="H35"/>
  <c r="B22" i="5" l="1"/>
  <c r="S1" i="4"/>
  <c r="I35" i="3" l="1"/>
  <c r="A24"/>
  <c r="A37"/>
  <c r="I37" s="1"/>
  <c r="D30" i="1"/>
  <c r="D29"/>
  <c r="E28"/>
  <c r="D28"/>
  <c r="B28"/>
  <c r="E27"/>
  <c r="D27"/>
  <c r="B27"/>
  <c r="E26"/>
  <c r="D26"/>
  <c r="B26"/>
  <c r="E25"/>
  <c r="D25"/>
  <c r="B25"/>
  <c r="E24"/>
  <c r="D24"/>
  <c r="E23"/>
  <c r="D23"/>
  <c r="B23"/>
  <c r="E22"/>
  <c r="D22"/>
  <c r="B22"/>
  <c r="E21"/>
  <c r="D21"/>
  <c r="B21"/>
  <c r="E20"/>
  <c r="D20"/>
  <c r="B20"/>
  <c r="E19"/>
  <c r="D19"/>
  <c r="B19"/>
  <c r="E18"/>
  <c r="D18"/>
  <c r="B18"/>
  <c r="E17"/>
  <c r="D17"/>
  <c r="B17"/>
  <c r="E16"/>
  <c r="D16"/>
  <c r="B16"/>
  <c r="E15"/>
  <c r="D15"/>
  <c r="B15"/>
  <c r="E14"/>
  <c r="D14"/>
  <c r="B14"/>
  <c r="D13"/>
  <c r="E13" s="1"/>
  <c r="B13"/>
  <c r="D12"/>
  <c r="E12" s="1"/>
  <c r="B12"/>
  <c r="D11"/>
  <c r="E11" s="1"/>
  <c r="B11"/>
  <c r="D1"/>
  <c r="E5" i="2"/>
  <c r="E2"/>
  <c r="B26" i="5" l="1"/>
  <c r="B27"/>
  <c r="B25"/>
  <c r="G24" i="3"/>
  <c r="I24"/>
  <c r="H37"/>
  <c r="B29" i="5" s="1"/>
  <c r="G37" i="3"/>
  <c r="E29" i="1"/>
  <c r="E32" s="1"/>
  <c r="E30" s="1"/>
  <c r="C29"/>
  <c r="H24" i="3"/>
  <c r="B28" i="5" s="1"/>
  <c r="A25" i="3"/>
  <c r="B24" i="5" s="1"/>
  <c r="E23" s="1"/>
  <c r="I23" l="1"/>
  <c r="H23"/>
  <c r="G23"/>
  <c r="F23"/>
  <c r="K23"/>
  <c r="I25" i="3"/>
  <c r="D4" i="1"/>
  <c r="D5"/>
  <c r="D6"/>
  <c r="H25" i="3"/>
  <c r="B30" i="5" s="1"/>
  <c r="G25" i="3"/>
  <c r="J23" i="5" l="1"/>
  <c r="B18"/>
  <c r="B19" s="1"/>
</calcChain>
</file>

<file path=xl/sharedStrings.xml><?xml version="1.0" encoding="utf-8"?>
<sst xmlns="http://schemas.openxmlformats.org/spreadsheetml/2006/main" count="332" uniqueCount="269">
  <si>
    <t xml:space="preserve">EAN </t>
  </si>
  <si>
    <t xml:space="preserve">Désignation du produit </t>
  </si>
  <si>
    <t xml:space="preserve">QTE </t>
  </si>
  <si>
    <t xml:space="preserve">PU HT </t>
  </si>
  <si>
    <t xml:space="preserve">TOTAL HT </t>
  </si>
  <si>
    <t>TVA</t>
  </si>
  <si>
    <t xml:space="preserve">DESIGNATION  DU PRODUIT </t>
  </si>
  <si>
    <t>GUERIN FRERES Blanc 50 CL</t>
  </si>
  <si>
    <t>GUERIN FRERES Rouge 50 CL</t>
  </si>
  <si>
    <t>GUERIN FRERES Blanc 150 CL</t>
  </si>
  <si>
    <t>GUERIN FRERES Rouge 150 CL</t>
  </si>
  <si>
    <t>COFFRET DUO GUERIN FRERES BLANC/ROUGE 2X50cl</t>
  </si>
  <si>
    <t>CARAFE JADE ETAIN Blanc 50 CL</t>
  </si>
  <si>
    <t>CARAFE JADE ETAIN Rouge 50 CL</t>
  </si>
  <si>
    <t>GUERIN Rose 75 cl</t>
  </si>
  <si>
    <t>GUERIN Pearl 75 cl</t>
  </si>
  <si>
    <t>GUERIN Ruby 75 cl</t>
  </si>
  <si>
    <t>GUERIN Rose 50 cl</t>
  </si>
  <si>
    <t>GUERIN Pearl 50 cl</t>
  </si>
  <si>
    <t>GUERIN Ruby 50 cl</t>
  </si>
  <si>
    <t>COFFRET DUO GUERIN PEARL/ROSE 2X50cl</t>
  </si>
  <si>
    <t>COFFRET DUO GUERIN PEARL/RUBY 2X50cl</t>
  </si>
  <si>
    <t>COFFRET GUERIN Rose 75 cl + 2 verres</t>
  </si>
  <si>
    <t>COFFRET GUERIN Pearl 75 cl + 2 verres</t>
  </si>
  <si>
    <t>COFFRET GUERIN Ruby 75 cl + 2 verres</t>
  </si>
  <si>
    <t>Coffret GUERIN Rose 75cl+ verre + Lemon</t>
  </si>
  <si>
    <t>Coffret GUERIN Pearl 75cl + verre + Ginger Beer</t>
  </si>
  <si>
    <t>Coffret GUERIN Ruby 75 cl + verre + Cherry Blossom</t>
  </si>
  <si>
    <t>GUERIN Amber 10 ans 75cl</t>
  </si>
  <si>
    <t>VS 70 CL</t>
  </si>
  <si>
    <t>VSOP 70 CL</t>
  </si>
  <si>
    <t>VSOP carafe Stefany 70 cl</t>
  </si>
  <si>
    <t>XO 70 CL</t>
  </si>
  <si>
    <t>XO Carafe Stéphany avec étui 70 CL</t>
  </si>
  <si>
    <t>XO Carafe Eden avec étui 70 CL</t>
  </si>
  <si>
    <t>Long Drink 70 CL</t>
  </si>
  <si>
    <t xml:space="preserve"> Blanc 75 CL</t>
  </si>
  <si>
    <t xml:space="preserve"> Rosé 75 CL</t>
  </si>
  <si>
    <t xml:space="preserve"> Rouge 75 CL</t>
  </si>
  <si>
    <t>Blanc BIB 3 litres</t>
  </si>
  <si>
    <t>Rosé BIB 3 litres</t>
  </si>
  <si>
    <t>Rouge BIB 3 litres</t>
  </si>
  <si>
    <t>Sauvignon blanc 75 CL</t>
  </si>
  <si>
    <t>Cabernet Sauvignon rosé 75 CL</t>
  </si>
  <si>
    <t>Merlot rouge 75 CL</t>
  </si>
  <si>
    <t>GUERIN FRERES Blanc 100 CL</t>
  </si>
  <si>
    <t>GUERIN FRERES Rouge  100 CL</t>
  </si>
  <si>
    <t>GUERIN FRERES Blanc 75 CL</t>
  </si>
  <si>
    <t>GUERIN FRERES Rouge  75 CL</t>
  </si>
  <si>
    <t>GUERIN FRERES  Vieux Blanc  75 CL</t>
  </si>
  <si>
    <t>GUERIN FRERES  Extra Rouge 75 CL</t>
  </si>
  <si>
    <t>Blanc sweet 75 CL</t>
  </si>
  <si>
    <t>Rouge sweet 75 CL</t>
  </si>
  <si>
    <t>Blanc dry 75 CL</t>
  </si>
  <si>
    <t>Rouge dry 75 CL</t>
  </si>
  <si>
    <t>Blanc sweet 50 CL</t>
  </si>
  <si>
    <t>Rouge sweet 50 CL</t>
  </si>
  <si>
    <t>TOTAL TTC</t>
  </si>
  <si>
    <t>TTC</t>
  </si>
  <si>
    <t>PUY GAUDIN
RTE DE PONS 
17350 GEMOZAC
Tel : 0546585210
@ : laurentlefe@puygaudin.com</t>
  </si>
  <si>
    <t>ENSEIGNE</t>
  </si>
  <si>
    <t>CP</t>
  </si>
  <si>
    <t>VILLE</t>
  </si>
  <si>
    <t xml:space="preserve">TEL </t>
  </si>
  <si>
    <t>ADRESSE</t>
  </si>
  <si>
    <t xml:space="preserve">SAUJON </t>
  </si>
  <si>
    <t>SUPER U</t>
  </si>
  <si>
    <t xml:space="preserve">9 ROUTE DE SAINTES </t>
  </si>
  <si>
    <t>INTERMARCHE</t>
  </si>
  <si>
    <t xml:space="preserve">ZA LES TOUZELLERIES 17 CHEMIN VERT </t>
  </si>
  <si>
    <t xml:space="preserve">Identifiant </t>
  </si>
  <si>
    <t>Bon de Commande</t>
  </si>
  <si>
    <t>client</t>
  </si>
  <si>
    <t>date</t>
  </si>
  <si>
    <t xml:space="preserve">montant </t>
  </si>
  <si>
    <t xml:space="preserve">bon de commande </t>
  </si>
  <si>
    <t>commandes</t>
  </si>
  <si>
    <t>Nouveau Client</t>
  </si>
  <si>
    <t>Enseigne</t>
  </si>
  <si>
    <t>TEL</t>
  </si>
  <si>
    <t>Menu</t>
  </si>
  <si>
    <t xml:space="preserve">Historique des Bons de Commandes </t>
  </si>
  <si>
    <t>Clients</t>
  </si>
  <si>
    <t>Récapitulatifs</t>
  </si>
  <si>
    <t>Montant Max</t>
  </si>
  <si>
    <t>Meilleur Client</t>
  </si>
  <si>
    <t>Montant mini</t>
  </si>
  <si>
    <t>Montant Moyen</t>
  </si>
  <si>
    <t>Montant Total des Bons de Commandes</t>
  </si>
  <si>
    <t xml:space="preserve">Total Mois </t>
  </si>
  <si>
    <t>Janv</t>
  </si>
  <si>
    <t>Févr.</t>
  </si>
  <si>
    <t>Mars</t>
  </si>
  <si>
    <t>Avr.</t>
  </si>
  <si>
    <t>Mai</t>
  </si>
  <si>
    <t>Juin</t>
  </si>
  <si>
    <t>Juil.</t>
  </si>
  <si>
    <t>Août</t>
  </si>
  <si>
    <t>Sept.</t>
  </si>
  <si>
    <t>Oct.</t>
  </si>
  <si>
    <t>Nov.</t>
  </si>
  <si>
    <t>Déc.</t>
  </si>
  <si>
    <t>identifiant</t>
  </si>
  <si>
    <t>mois</t>
  </si>
  <si>
    <t>GEMOZAC</t>
  </si>
  <si>
    <t>ROUTE DE SAINTES</t>
  </si>
  <si>
    <t xml:space="preserve">SUPER U </t>
  </si>
  <si>
    <t xml:space="preserve">HYPER U </t>
  </si>
  <si>
    <t>SAINTES</t>
  </si>
  <si>
    <t>COURS DU MARECHAL LECLERC</t>
  </si>
  <si>
    <t xml:space="preserve">INTERMARCHE </t>
  </si>
  <si>
    <t xml:space="preserve">SAINTES </t>
  </si>
  <si>
    <t>COURS HECTOR BERLIOZ</t>
  </si>
  <si>
    <t>05 46 93 05 35</t>
  </si>
  <si>
    <t>HYPER U</t>
  </si>
  <si>
    <t>PUILBOREAU</t>
  </si>
  <si>
    <t>MARENNES D'OLERON</t>
  </si>
  <si>
    <t>ZAC des Grossines</t>
  </si>
  <si>
    <t>05 46 85 80 50</t>
  </si>
  <si>
    <t>RUE DU 14 JUILLET ROUTE DE NANTES</t>
  </si>
  <si>
    <t>LECLERC</t>
  </si>
  <si>
    <t>ST MARTIN DE RE</t>
  </si>
  <si>
    <t>ROUTE DE LA FLOTTE</t>
  </si>
  <si>
    <t>05 46 09 42 80</t>
  </si>
  <si>
    <t>11 rue de Lamothe</t>
  </si>
  <si>
    <t>AUCHAN</t>
  </si>
  <si>
    <t>COGNAC</t>
  </si>
  <si>
    <t>40 RUE DE L'ANISSERIE</t>
  </si>
  <si>
    <t>LA COURONNE</t>
  </si>
  <si>
    <t>ROUTE DE BORDEAUX</t>
  </si>
  <si>
    <t xml:space="preserve">AUCHAN </t>
  </si>
  <si>
    <t>250 AVENUE DU 8 MAI 1945</t>
  </si>
  <si>
    <t>POITIERS</t>
  </si>
  <si>
    <t>GEANT CASINO</t>
  </si>
  <si>
    <t>NIORT</t>
  </si>
  <si>
    <t>100 RUE D U PUITS DE LA VILLE CHAURAY</t>
  </si>
  <si>
    <t>CHAMPNIERS</t>
  </si>
  <si>
    <t>10 LES GRANDS CHAUMES</t>
  </si>
  <si>
    <t>2 AVENUE DE LAFAYETTE</t>
  </si>
  <si>
    <t xml:space="preserve">POITIERS </t>
  </si>
  <si>
    <t>93 ROUTE DE GENCAY</t>
  </si>
  <si>
    <t>CAVE LECLERC</t>
  </si>
  <si>
    <t>105 RUE BASSE ST MARTIN</t>
  </si>
  <si>
    <t>05 45 36 17 17</t>
  </si>
  <si>
    <t>SAINTES ABBAYE</t>
  </si>
  <si>
    <t>11 COURS CHARLES DE GAULLE</t>
  </si>
  <si>
    <t>FOURAS</t>
  </si>
  <si>
    <t>9 RUE DIEU ME GARDE</t>
  </si>
  <si>
    <t>LA JARRIE</t>
  </si>
  <si>
    <t>4 RUE DE LA PROVIDENCE</t>
  </si>
  <si>
    <t>AIGREFEUILLE D'AUNIS</t>
  </si>
  <si>
    <t>PLACE DE LA RENAISSANCE</t>
  </si>
  <si>
    <t>AVENUE DE L'EUROPE</t>
  </si>
  <si>
    <t>BARBEZIEUX ST HILAIRE</t>
  </si>
  <si>
    <t>MONTGUYON</t>
  </si>
  <si>
    <t>ZONRE COMMERCIALE DE CLAIRVENT</t>
  </si>
  <si>
    <t>ANGOULEME</t>
  </si>
  <si>
    <t>1 Bd Jean Moulin</t>
  </si>
  <si>
    <t>JONZAC</t>
  </si>
  <si>
    <t>AVENUE DU 57 EME REGIMENT D'INFANTERIE</t>
  </si>
  <si>
    <t>TONNAY CHARENTE</t>
  </si>
  <si>
    <t>RUE LOUIS PASTEUR ZAC DE LA VARENNE</t>
  </si>
  <si>
    <t>ECHILLAIS</t>
  </si>
  <si>
    <t>RUE DE LA POULINE</t>
  </si>
  <si>
    <t xml:space="preserve">CAVE LECLERC </t>
  </si>
  <si>
    <t>ROYAN</t>
  </si>
  <si>
    <t>4 RUE EDOUARD BRANLY</t>
  </si>
  <si>
    <t>RUFFEC</t>
  </si>
  <si>
    <t>52 ROUTE D'AIGRE</t>
  </si>
  <si>
    <t>LA TREMBLADE</t>
  </si>
  <si>
    <t>ZAC DES BREGAUDIERES</t>
  </si>
  <si>
    <t xml:space="preserve">CHATEAUNEUF SUR CHARENTE </t>
  </si>
  <si>
    <t>RUE DE BLANZAC</t>
  </si>
  <si>
    <t>LA ROCHEFOUCAULD</t>
  </si>
  <si>
    <t xml:space="preserve">ROUTE DE LIMOGES </t>
  </si>
  <si>
    <t>COZES</t>
  </si>
  <si>
    <t>30 BD DES DANDONNEAUX</t>
  </si>
  <si>
    <t xml:space="preserve">GEANT CASINO CHAMPNIERS </t>
  </si>
  <si>
    <t xml:space="preserve">SALLES SUR MER </t>
  </si>
  <si>
    <t>IMPASSE DU MIRADOR</t>
  </si>
  <si>
    <t>CA € HT AUCHAN</t>
  </si>
  <si>
    <t>CA € HT CAVE/LECLERC</t>
  </si>
  <si>
    <t>CA € HT GEANT CASINO</t>
  </si>
  <si>
    <t xml:space="preserve">CA € HYPER U </t>
  </si>
  <si>
    <t xml:space="preserve">CA €HT INTERMARCHE </t>
  </si>
  <si>
    <t xml:space="preserve">CA €HT SUPER U </t>
  </si>
  <si>
    <t>CA €HT LECLERC</t>
  </si>
  <si>
    <t>DOLUS D'OLERON</t>
  </si>
  <si>
    <t>99 ROUTE DE L'ECUISSIERE</t>
  </si>
  <si>
    <t>fgoujeaud@coop-atlantique.fr</t>
  </si>
  <si>
    <t>dlucas@auchan.fr;stbesson@auchan.fr;mmonteil@auchan.fr</t>
  </si>
  <si>
    <t>mtrichard@groupe-casino.fr</t>
  </si>
  <si>
    <t>vxicluna@auchan.fr</t>
  </si>
  <si>
    <t>jganthy@coop-atlantique.fr</t>
  </si>
  <si>
    <t>superu.mirambeau@systeme-u.fr</t>
  </si>
  <si>
    <t>superu.saujon@syteme-u.fr</t>
  </si>
  <si>
    <t>superu.fouras.eldph@systeme-u.fr</t>
  </si>
  <si>
    <t>superu.chateauneufsurcharente.managerderayon@systeme-u.fr</t>
  </si>
  <si>
    <t>achanudet@auchan.fr</t>
  </si>
  <si>
    <t>pdv09413@mousquetaires.com</t>
  </si>
  <si>
    <t>superu.echillais.eldph@systeme-u.fr</t>
  </si>
  <si>
    <t>superu.gemozac.eldph@systeme-u.fr</t>
  </si>
  <si>
    <t>eldph760@coop-atlantique.fr</t>
  </si>
  <si>
    <t>dintermarche@wanadoo.fr</t>
  </si>
  <si>
    <t>pdv09598@mousquetaires.com</t>
  </si>
  <si>
    <t>pdv09621@mousquetaires.com</t>
  </si>
  <si>
    <t>pdv09582@mousquetaires.com</t>
  </si>
  <si>
    <t>pdv55237@mousquetaires.com</t>
  </si>
  <si>
    <t>pdv07651@mousquetaires.com</t>
  </si>
  <si>
    <t>pdv09115@mousquetaires.com</t>
  </si>
  <si>
    <t>pgc.rudis@scachap.fr</t>
  </si>
  <si>
    <t>liquide.sidore@scachap.fr</t>
  </si>
  <si>
    <t>pgc.sodiroche@scachap.fr</t>
  </si>
  <si>
    <t>liquide.sam@scachap.fr</t>
  </si>
  <si>
    <t>liquide.sodisroy@scachap.fr;cave.sodisroy@scachap.fr</t>
  </si>
  <si>
    <t>liquide.rocadis@scachap.fr;cave.rocadis@scachap.fr</t>
  </si>
  <si>
    <t>pascal.blondeau@scaso.fr</t>
  </si>
  <si>
    <t>AVENUE MONSEIGNEUR CHAUVIN</t>
  </si>
  <si>
    <t>MIRAMBEAU</t>
  </si>
  <si>
    <t>109 AVENUE DE LA REPUBLIQUE</t>
  </si>
  <si>
    <t>fchollet@groupe-casino.fr</t>
  </si>
  <si>
    <t>mmaitre@groupe-casino.fr</t>
  </si>
  <si>
    <t xml:space="preserve">INTERMARCHE  LA JARRIE </t>
  </si>
  <si>
    <t xml:space="preserve">CAVE LECLERC POITIERS  </t>
  </si>
  <si>
    <t xml:space="preserve">INTERMARCHE  SAINTES  </t>
  </si>
  <si>
    <t xml:space="preserve">LECLERC JONZAC </t>
  </si>
  <si>
    <t xml:space="preserve">CAVE LECLERC  ROYAN </t>
  </si>
  <si>
    <t xml:space="preserve">INTERMARCHE  LA TREMBLADE </t>
  </si>
  <si>
    <t xml:space="preserve">INTERMARCHE SAUJON  </t>
  </si>
  <si>
    <t xml:space="preserve">INTERMARCHE  BARBEZIEUX ST HILAIRE </t>
  </si>
  <si>
    <t xml:space="preserve">LECLERC LA ROCHEFOUCAULD </t>
  </si>
  <si>
    <t>Étiquettes de lignes</t>
  </si>
  <si>
    <t>Total général</t>
  </si>
  <si>
    <t>(Tous)</t>
  </si>
  <si>
    <t xml:space="preserve">AUCHAN COGNAC </t>
  </si>
  <si>
    <t xml:space="preserve">AUCHAN LA COURONNE </t>
  </si>
  <si>
    <t xml:space="preserve">AUCHAN  POITIERS </t>
  </si>
  <si>
    <t xml:space="preserve">GEANT CASINO NIORT </t>
  </si>
  <si>
    <t xml:space="preserve">GEANT CASINO POITIERS </t>
  </si>
  <si>
    <t xml:space="preserve">HYPER U PUILBOREAU </t>
  </si>
  <si>
    <t xml:space="preserve">HYPER U  SAINTES </t>
  </si>
  <si>
    <t xml:space="preserve">INTERMARCHE JONZAC </t>
  </si>
  <si>
    <t xml:space="preserve">INTERMARCHE MARENNES D'OLERON </t>
  </si>
  <si>
    <t xml:space="preserve">INTERMARCHE SAINTES  </t>
  </si>
  <si>
    <t xml:space="preserve">INTERMARCHE  AIGREFEUILLE D'AUNIS </t>
  </si>
  <si>
    <t xml:space="preserve">INTERMARCHE  ANGOULEME </t>
  </si>
  <si>
    <t xml:space="preserve">INTERMARCHE  DOLUS D'OLERON </t>
  </si>
  <si>
    <t xml:space="preserve">INTERMARCHE  MONTGUYON </t>
  </si>
  <si>
    <t xml:space="preserve">INTERMARCHE  SALLES SUR MER  </t>
  </si>
  <si>
    <t xml:space="preserve">LECLERC COGNAC </t>
  </si>
  <si>
    <t xml:space="preserve">LECLERC RUFFEC </t>
  </si>
  <si>
    <t xml:space="preserve">LECLERC SAINTES ABBAYE </t>
  </si>
  <si>
    <t xml:space="preserve">LECLERC ST MARTIN DE RE </t>
  </si>
  <si>
    <t xml:space="preserve">SUPER U SAUJON  </t>
  </si>
  <si>
    <t xml:space="preserve">SUPER U TONNAY CHARENTE </t>
  </si>
  <si>
    <t xml:space="preserve">SUPER U  CHATEAUNEUF SUR CHARENTE  </t>
  </si>
  <si>
    <t xml:space="preserve">SUPER U  COZES </t>
  </si>
  <si>
    <t xml:space="preserve">SUPER U  ECHILLAIS </t>
  </si>
  <si>
    <t xml:space="preserve">SUPER U  FOURAS </t>
  </si>
  <si>
    <t xml:space="preserve">SUPER U  GEMOZAC </t>
  </si>
  <si>
    <t xml:space="preserve">SUPER U  MIRAMBEAU </t>
  </si>
  <si>
    <t>CA € TTC</t>
  </si>
  <si>
    <t>Somme de CA € TTC</t>
  </si>
  <si>
    <t xml:space="preserve">historique des ventes directes directes </t>
  </si>
  <si>
    <t>@</t>
  </si>
  <si>
    <t>Total CA € /Année</t>
  </si>
  <si>
    <t>LECLERC CAVE</t>
  </si>
  <si>
    <t>GEANT/CASINO</t>
  </si>
  <si>
    <t>Nombres de Clients directes Actifs</t>
  </si>
</sst>
</file>

<file path=xl/styles.xml><?xml version="1.0" encoding="utf-8"?>
<styleSheet xmlns="http://schemas.openxmlformats.org/spreadsheetml/2006/main">
  <numFmts count="7">
    <numFmt numFmtId="164" formatCode="[$-F800]dddd\,\ mmmm\ dd\,\ yyyy"/>
    <numFmt numFmtId="165" formatCode="_-* #,##0.00\ [$€-40C]_-;\-* #,##0.00\ [$€-40C]_-;_-* &quot;-&quot;??\ [$€-40C]_-;_-@_-"/>
    <numFmt numFmtId="166" formatCode="#,###,###,###,###"/>
    <numFmt numFmtId="167" formatCode="00000"/>
    <numFmt numFmtId="168" formatCode="#,##0.00\ &quot;€&quot;"/>
    <numFmt numFmtId="169" formatCode="0#&quot; &quot;##&quot; &quot;##&quot; &quot;##&quot; &quot;##"/>
    <numFmt numFmtId="170" formatCode="[$-40C]d\-mmm\-yy;@"/>
  </numFmts>
  <fonts count="2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92D05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9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8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0" fillId="0" borderId="3" xfId="0" applyBorder="1" applyAlignment="1">
      <alignment horizontal="center"/>
    </xf>
    <xf numFmtId="166" fontId="2" fillId="0" borderId="1" xfId="0" applyNumberFormat="1" applyFont="1" applyBorder="1" applyAlignment="1">
      <alignment horizontal="center"/>
    </xf>
    <xf numFmtId="166" fontId="2" fillId="0" borderId="3" xfId="0" applyNumberFormat="1" applyFont="1" applyBorder="1" applyAlignment="1">
      <alignment horizontal="center"/>
    </xf>
    <xf numFmtId="166" fontId="2" fillId="0" borderId="1" xfId="0" applyNumberFormat="1" applyFont="1" applyFill="1" applyBorder="1" applyAlignment="1">
      <alignment horizontal="center"/>
    </xf>
    <xf numFmtId="166" fontId="2" fillId="0" borderId="1" xfId="0" applyNumberFormat="1" applyFont="1" applyFill="1" applyBorder="1" applyAlignment="1" applyProtection="1">
      <alignment horizontal="center"/>
      <protection locked="0"/>
    </xf>
    <xf numFmtId="168" fontId="0" fillId="0" borderId="1" xfId="0" applyNumberFormat="1" applyBorder="1"/>
    <xf numFmtId="0" fontId="1" fillId="0" borderId="2" xfId="0" applyFont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 shrinkToFit="1"/>
    </xf>
    <xf numFmtId="167" fontId="0" fillId="0" borderId="1" xfId="0" applyNumberFormat="1" applyBorder="1" applyAlignment="1">
      <alignment horizontal="center" vertical="center" wrapText="1" shrinkToFit="1"/>
    </xf>
    <xf numFmtId="0" fontId="4" fillId="0" borderId="1" xfId="0" applyFont="1" applyBorder="1" applyAlignment="1">
      <alignment horizontal="center" vertical="center" wrapText="1" shrinkToFit="1"/>
    </xf>
    <xf numFmtId="168" fontId="1" fillId="0" borderId="1" xfId="0" applyNumberFormat="1" applyFont="1" applyBorder="1" applyAlignment="1">
      <alignment horizontal="center" vertical="center" wrapText="1" shrinkToFit="1"/>
    </xf>
    <xf numFmtId="168" fontId="1" fillId="0" borderId="2" xfId="0" applyNumberFormat="1" applyFont="1" applyBorder="1" applyAlignment="1">
      <alignment horizontal="center" vertical="center" wrapText="1" shrinkToFit="1"/>
    </xf>
    <xf numFmtId="168" fontId="1" fillId="3" borderId="2" xfId="0" applyNumberFormat="1" applyFont="1" applyFill="1" applyBorder="1" applyAlignment="1">
      <alignment horizontal="center" vertical="center" wrapText="1" shrinkToFit="1"/>
    </xf>
    <xf numFmtId="168" fontId="1" fillId="0" borderId="10" xfId="0" applyNumberFormat="1" applyFont="1" applyBorder="1" applyAlignment="1">
      <alignment horizontal="center" vertical="center" wrapText="1" shrinkToFit="1"/>
    </xf>
    <xf numFmtId="168" fontId="1" fillId="0" borderId="5" xfId="0" applyNumberFormat="1" applyFont="1" applyBorder="1" applyAlignment="1">
      <alignment horizontal="center" vertical="center" wrapText="1" shrinkToFit="1"/>
    </xf>
    <xf numFmtId="0" fontId="0" fillId="0" borderId="0" xfId="0" applyAlignment="1">
      <alignment wrapText="1"/>
    </xf>
    <xf numFmtId="0" fontId="0" fillId="0" borderId="0" xfId="0" applyAlignment="1"/>
    <xf numFmtId="165" fontId="2" fillId="0" borderId="12" xfId="0" applyNumberFormat="1" applyFont="1" applyBorder="1" applyAlignment="1">
      <alignment horizontal="left"/>
    </xf>
    <xf numFmtId="165" fontId="2" fillId="0" borderId="11" xfId="0" applyNumberFormat="1" applyFont="1" applyBorder="1" applyAlignment="1">
      <alignment horizontal="left"/>
    </xf>
    <xf numFmtId="165" fontId="2" fillId="0" borderId="13" xfId="0" applyNumberFormat="1" applyFont="1" applyBorder="1" applyAlignment="1">
      <alignment horizontal="left"/>
    </xf>
    <xf numFmtId="165" fontId="2" fillId="0" borderId="9" xfId="0" applyNumberFormat="1" applyFont="1" applyBorder="1" applyAlignment="1">
      <alignment horizontal="left"/>
    </xf>
    <xf numFmtId="165" fontId="3" fillId="4" borderId="3" xfId="0" applyNumberFormat="1" applyFont="1" applyFill="1" applyBorder="1" applyAlignment="1">
      <alignment vertical="center"/>
    </xf>
    <xf numFmtId="165" fontId="3" fillId="4" borderId="3" xfId="0" applyNumberFormat="1" applyFont="1" applyFill="1" applyBorder="1" applyAlignment="1">
      <alignment horizontal="center" vertical="center"/>
    </xf>
    <xf numFmtId="165" fontId="3" fillId="4" borderId="7" xfId="0" applyNumberFormat="1" applyFont="1" applyFill="1" applyBorder="1" applyAlignment="1">
      <alignment horizontal="center" vertical="center"/>
    </xf>
    <xf numFmtId="0" fontId="0" fillId="0" borderId="14" xfId="0" applyBorder="1"/>
    <xf numFmtId="0" fontId="0" fillId="0" borderId="8" xfId="0" applyBorder="1"/>
    <xf numFmtId="0" fontId="0" fillId="0" borderId="7" xfId="0" applyBorder="1"/>
    <xf numFmtId="166" fontId="2" fillId="0" borderId="4" xfId="0" applyNumberFormat="1" applyFont="1" applyBorder="1" applyAlignment="1">
      <alignment horizontal="center"/>
    </xf>
    <xf numFmtId="0" fontId="0" fillId="0" borderId="4" xfId="0" applyBorder="1"/>
    <xf numFmtId="165" fontId="3" fillId="4" borderId="6" xfId="0" applyNumberFormat="1" applyFont="1" applyFill="1" applyBorder="1" applyAlignment="1">
      <alignment vertical="center"/>
    </xf>
    <xf numFmtId="0" fontId="0" fillId="0" borderId="0" xfId="0" applyBorder="1"/>
    <xf numFmtId="0" fontId="0" fillId="0" borderId="15" xfId="0" applyBorder="1"/>
    <xf numFmtId="165" fontId="0" fillId="0" borderId="16" xfId="0" applyNumberFormat="1" applyBorder="1"/>
    <xf numFmtId="9" fontId="0" fillId="0" borderId="17" xfId="1" applyFont="1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165" fontId="0" fillId="0" borderId="21" xfId="0" applyNumberFormat="1" applyBorder="1"/>
    <xf numFmtId="9" fontId="0" fillId="0" borderId="22" xfId="1" applyFont="1" applyBorder="1"/>
    <xf numFmtId="0" fontId="0" fillId="0" borderId="23" xfId="0" applyBorder="1"/>
    <xf numFmtId="0" fontId="6" fillId="0" borderId="0" xfId="2"/>
    <xf numFmtId="0" fontId="0" fillId="0" borderId="0" xfId="0" applyAlignment="1">
      <alignment vertical="top"/>
    </xf>
    <xf numFmtId="170" fontId="0" fillId="0" borderId="0" xfId="0" applyNumberFormat="1"/>
    <xf numFmtId="0" fontId="0" fillId="0" borderId="2" xfId="0" applyBorder="1" applyAlignment="1">
      <alignment horizontal="center"/>
    </xf>
    <xf numFmtId="168" fontId="0" fillId="0" borderId="0" xfId="0" applyNumberFormat="1"/>
    <xf numFmtId="1" fontId="0" fillId="0" borderId="0" xfId="0" applyNumberFormat="1"/>
    <xf numFmtId="0" fontId="0" fillId="4" borderId="2" xfId="0" applyFill="1" applyBorder="1"/>
    <xf numFmtId="0" fontId="0" fillId="0" borderId="33" xfId="0" applyBorder="1"/>
    <xf numFmtId="0" fontId="0" fillId="0" borderId="32" xfId="0" applyBorder="1"/>
    <xf numFmtId="0" fontId="0" fillId="0" borderId="35" xfId="0" applyFill="1" applyBorder="1"/>
    <xf numFmtId="0" fontId="0" fillId="4" borderId="0" xfId="0" applyFill="1" applyBorder="1"/>
    <xf numFmtId="168" fontId="8" fillId="0" borderId="27" xfId="0" applyNumberFormat="1" applyFont="1" applyBorder="1" applyAlignment="1">
      <alignment horizontal="center" vertical="center"/>
    </xf>
    <xf numFmtId="168" fontId="8" fillId="0" borderId="25" xfId="0" applyNumberFormat="1" applyFont="1" applyBorder="1" applyAlignment="1">
      <alignment horizontal="center" vertical="center"/>
    </xf>
    <xf numFmtId="168" fontId="9" fillId="9" borderId="25" xfId="0" applyNumberFormat="1" applyFont="1" applyFill="1" applyBorder="1" applyAlignment="1">
      <alignment horizontal="center" vertical="center"/>
    </xf>
    <xf numFmtId="168" fontId="10" fillId="0" borderId="25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/>
    </xf>
    <xf numFmtId="169" fontId="11" fillId="9" borderId="1" xfId="0" applyNumberFormat="1" applyFont="1" applyFill="1" applyBorder="1" applyAlignment="1">
      <alignment horizontal="center"/>
    </xf>
    <xf numFmtId="0" fontId="0" fillId="0" borderId="36" xfId="0" applyNumberFormat="1" applyFont="1" applyBorder="1" applyAlignment="1">
      <alignment horizontal="center" vertical="center"/>
    </xf>
    <xf numFmtId="0" fontId="0" fillId="0" borderId="0" xfId="0"/>
    <xf numFmtId="0" fontId="12" fillId="9" borderId="0" xfId="0" applyFont="1" applyFill="1" applyAlignment="1">
      <alignment horizontal="center" vertical="center"/>
    </xf>
    <xf numFmtId="0" fontId="0" fillId="0" borderId="0" xfId="0"/>
    <xf numFmtId="168" fontId="0" fillId="0" borderId="1" xfId="0" applyNumberFormat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49" fontId="7" fillId="0" borderId="0" xfId="0" applyNumberFormat="1" applyFont="1" applyAlignment="1">
      <alignment horizontal="center" vertical="center" wrapText="1" shrinkToFit="1" readingOrder="1"/>
    </xf>
    <xf numFmtId="168" fontId="14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 wrapText="1" shrinkToFit="1"/>
    </xf>
    <xf numFmtId="0" fontId="13" fillId="0" borderId="0" xfId="0" applyFont="1" applyAlignment="1">
      <alignment horizontal="center"/>
    </xf>
    <xf numFmtId="0" fontId="7" fillId="0" borderId="1" xfId="0" applyFont="1" applyBorder="1" applyAlignment="1">
      <alignment horizontal="center" vertical="center"/>
    </xf>
    <xf numFmtId="168" fontId="1" fillId="0" borderId="1" xfId="0" applyNumberFormat="1" applyFont="1" applyBorder="1" applyAlignment="1">
      <alignment horizontal="center"/>
    </xf>
    <xf numFmtId="0" fontId="1" fillId="0" borderId="3" xfId="0" applyFont="1" applyBorder="1"/>
    <xf numFmtId="0" fontId="1" fillId="0" borderId="6" xfId="0" applyFont="1" applyBorder="1"/>
    <xf numFmtId="168" fontId="8" fillId="0" borderId="0" xfId="0" applyNumberFormat="1" applyFont="1"/>
    <xf numFmtId="0" fontId="0" fillId="0" borderId="0" xfId="0"/>
    <xf numFmtId="0" fontId="15" fillId="5" borderId="14" xfId="0" applyFont="1" applyFill="1" applyBorder="1"/>
    <xf numFmtId="0" fontId="15" fillId="5" borderId="8" xfId="0" applyFont="1" applyFill="1" applyBorder="1"/>
    <xf numFmtId="0" fontId="16" fillId="5" borderId="8" xfId="0" applyFont="1" applyFill="1" applyBorder="1" applyAlignment="1">
      <alignment horizontal="center"/>
    </xf>
    <xf numFmtId="0" fontId="15" fillId="5" borderId="8" xfId="0" applyFont="1" applyFill="1" applyBorder="1" applyAlignment="1">
      <alignment horizontal="center" vertical="center" wrapText="1" shrinkToFit="1"/>
    </xf>
    <xf numFmtId="0" fontId="15" fillId="5" borderId="7" xfId="0" applyFont="1" applyFill="1" applyBorder="1"/>
    <xf numFmtId="49" fontId="15" fillId="5" borderId="8" xfId="0" applyNumberFormat="1" applyFont="1" applyFill="1" applyBorder="1" applyAlignment="1">
      <alignment horizontal="center" vertical="center" wrapText="1" shrinkToFit="1" readingOrder="1"/>
    </xf>
    <xf numFmtId="49" fontId="17" fillId="0" borderId="14" xfId="0" applyNumberFormat="1" applyFont="1" applyBorder="1" applyAlignment="1">
      <alignment horizontal="center" wrapText="1" shrinkToFit="1"/>
    </xf>
    <xf numFmtId="0" fontId="15" fillId="9" borderId="8" xfId="0" applyFont="1" applyFill="1" applyBorder="1" applyAlignment="1">
      <alignment horizontal="center"/>
    </xf>
    <xf numFmtId="0" fontId="18" fillId="9" borderId="8" xfId="0" applyFont="1" applyFill="1" applyBorder="1" applyAlignment="1">
      <alignment horizontal="center" vertical="center"/>
    </xf>
    <xf numFmtId="0" fontId="18" fillId="9" borderId="8" xfId="0" applyFont="1" applyFill="1" applyBorder="1" applyAlignment="1">
      <alignment horizontal="center" vertical="center" wrapText="1" shrinkToFit="1"/>
    </xf>
    <xf numFmtId="0" fontId="19" fillId="9" borderId="8" xfId="0" applyFont="1" applyFill="1" applyBorder="1" applyAlignment="1">
      <alignment horizontal="center"/>
    </xf>
    <xf numFmtId="169" fontId="17" fillId="9" borderId="8" xfId="0" applyNumberFormat="1" applyFont="1" applyFill="1" applyBorder="1" applyAlignment="1">
      <alignment horizontal="center" vertical="center" wrapText="1" shrinkToFit="1"/>
    </xf>
    <xf numFmtId="0" fontId="17" fillId="0" borderId="8" xfId="0" applyFont="1" applyBorder="1" applyAlignment="1">
      <alignment horizontal="center" vertical="center" wrapText="1" shrinkToFit="1"/>
    </xf>
    <xf numFmtId="168" fontId="17" fillId="10" borderId="8" xfId="0" applyNumberFormat="1" applyFont="1" applyFill="1" applyBorder="1" applyAlignment="1">
      <alignment horizontal="center" vertical="center"/>
    </xf>
    <xf numFmtId="0" fontId="15" fillId="9" borderId="1" xfId="0" applyFont="1" applyFill="1" applyBorder="1" applyAlignment="1">
      <alignment horizontal="center" vertical="center" wrapText="1" shrinkToFit="1"/>
    </xf>
    <xf numFmtId="49" fontId="20" fillId="0" borderId="11" xfId="2" applyNumberFormat="1" applyFont="1" applyBorder="1" applyAlignment="1">
      <alignment horizontal="center" vertical="center" wrapText="1" shrinkToFit="1" readingOrder="1"/>
    </xf>
    <xf numFmtId="0" fontId="15" fillId="9" borderId="7" xfId="0" applyFont="1" applyFill="1" applyBorder="1" applyAlignment="1">
      <alignment horizontal="center"/>
    </xf>
    <xf numFmtId="0" fontId="18" fillId="9" borderId="14" xfId="0" applyFont="1" applyFill="1" applyBorder="1" applyAlignment="1">
      <alignment horizontal="center" vertical="center" wrapText="1" shrinkToFit="1"/>
    </xf>
    <xf numFmtId="0" fontId="15" fillId="9" borderId="3" xfId="0" applyFont="1" applyFill="1" applyBorder="1" applyAlignment="1">
      <alignment horizontal="center" vertical="center" wrapText="1" shrinkToFit="1"/>
    </xf>
    <xf numFmtId="49" fontId="20" fillId="0" borderId="1" xfId="2" applyNumberFormat="1" applyFont="1" applyBorder="1" applyAlignment="1">
      <alignment horizontal="center" vertical="center" wrapText="1" shrinkToFit="1" readingOrder="1"/>
    </xf>
    <xf numFmtId="0" fontId="18" fillId="9" borderId="14" xfId="0" applyFont="1" applyFill="1" applyBorder="1" applyAlignment="1">
      <alignment horizontal="center" vertical="center"/>
    </xf>
    <xf numFmtId="169" fontId="17" fillId="9" borderId="8" xfId="0" applyNumberFormat="1" applyFont="1" applyFill="1" applyBorder="1" applyAlignment="1">
      <alignment horizontal="center" vertical="center"/>
    </xf>
    <xf numFmtId="49" fontId="17" fillId="9" borderId="14" xfId="0" applyNumberFormat="1" applyFont="1" applyFill="1" applyBorder="1" applyAlignment="1">
      <alignment horizontal="center" vertical="center" wrapText="1" shrinkToFit="1"/>
    </xf>
    <xf numFmtId="169" fontId="17" fillId="9" borderId="8" xfId="0" applyNumberFormat="1" applyFont="1" applyFill="1" applyBorder="1" applyAlignment="1">
      <alignment horizontal="center"/>
    </xf>
    <xf numFmtId="0" fontId="17" fillId="9" borderId="8" xfId="0" applyFont="1" applyFill="1" applyBorder="1" applyAlignment="1">
      <alignment horizontal="center" vertical="center" wrapText="1" shrinkToFit="1"/>
    </xf>
    <xf numFmtId="49" fontId="15" fillId="0" borderId="1" xfId="0" applyNumberFormat="1" applyFont="1" applyBorder="1" applyAlignment="1">
      <alignment horizontal="center" vertical="center" wrapText="1" shrinkToFit="1" readingOrder="1"/>
    </xf>
    <xf numFmtId="0" fontId="15" fillId="9" borderId="8" xfId="0" applyFont="1" applyFill="1" applyBorder="1" applyAlignment="1">
      <alignment horizontal="center" vertical="center"/>
    </xf>
    <xf numFmtId="0" fontId="19" fillId="9" borderId="8" xfId="0" applyFont="1" applyFill="1" applyBorder="1" applyAlignment="1">
      <alignment horizontal="center" vertical="center"/>
    </xf>
    <xf numFmtId="0" fontId="15" fillId="0" borderId="8" xfId="0" applyFont="1" applyFill="1" applyBorder="1" applyAlignment="1">
      <alignment horizontal="center"/>
    </xf>
    <xf numFmtId="0" fontId="18" fillId="0" borderId="8" xfId="0" applyFont="1" applyFill="1" applyBorder="1" applyAlignment="1">
      <alignment horizontal="center" vertical="center"/>
    </xf>
    <xf numFmtId="0" fontId="18" fillId="0" borderId="8" xfId="0" applyFont="1" applyFill="1" applyBorder="1" applyAlignment="1">
      <alignment horizontal="center" vertical="center" wrapText="1" shrinkToFit="1"/>
    </xf>
    <xf numFmtId="0" fontId="19" fillId="0" borderId="8" xfId="0" applyFont="1" applyFill="1" applyBorder="1" applyAlignment="1">
      <alignment horizontal="center"/>
    </xf>
    <xf numFmtId="0" fontId="18" fillId="9" borderId="8" xfId="0" applyFont="1" applyFill="1" applyBorder="1" applyAlignment="1">
      <alignment horizontal="center"/>
    </xf>
    <xf numFmtId="169" fontId="17" fillId="9" borderId="1" xfId="0" applyNumberFormat="1" applyFont="1" applyFill="1" applyBorder="1" applyAlignment="1">
      <alignment horizontal="center"/>
    </xf>
    <xf numFmtId="169" fontId="17" fillId="9" borderId="1" xfId="0" applyNumberFormat="1" applyFont="1" applyFill="1" applyBorder="1" applyAlignment="1">
      <alignment horizontal="center" vertical="center" wrapText="1" shrinkToFit="1"/>
    </xf>
    <xf numFmtId="0" fontId="17" fillId="9" borderId="8" xfId="0" applyFont="1" applyFill="1" applyBorder="1" applyAlignment="1">
      <alignment horizontal="center"/>
    </xf>
    <xf numFmtId="0" fontId="15" fillId="0" borderId="8" xfId="0" applyFont="1" applyFill="1" applyBorder="1" applyAlignment="1">
      <alignment horizontal="center" vertical="center"/>
    </xf>
    <xf numFmtId="169" fontId="17" fillId="9" borderId="1" xfId="0" applyNumberFormat="1" applyFont="1" applyFill="1" applyBorder="1" applyAlignment="1">
      <alignment horizontal="center" vertical="center"/>
    </xf>
    <xf numFmtId="0" fontId="15" fillId="0" borderId="8" xfId="0" applyFont="1" applyBorder="1" applyAlignment="1">
      <alignment horizontal="center"/>
    </xf>
    <xf numFmtId="0" fontId="18" fillId="0" borderId="8" xfId="0" applyFont="1" applyBorder="1" applyAlignment="1">
      <alignment horizontal="center" vertical="center"/>
    </xf>
    <xf numFmtId="0" fontId="18" fillId="0" borderId="8" xfId="0" applyFont="1" applyBorder="1" applyAlignment="1">
      <alignment horizontal="center" vertical="center" wrapText="1" shrinkToFit="1"/>
    </xf>
    <xf numFmtId="0" fontId="19" fillId="0" borderId="8" xfId="0" applyFont="1" applyBorder="1" applyAlignment="1">
      <alignment horizontal="center"/>
    </xf>
    <xf numFmtId="169" fontId="17" fillId="9" borderId="1" xfId="0" applyNumberFormat="1" applyFont="1" applyFill="1" applyBorder="1"/>
    <xf numFmtId="49" fontId="20" fillId="9" borderId="1" xfId="2" applyNumberFormat="1" applyFont="1" applyFill="1" applyBorder="1" applyAlignment="1">
      <alignment horizontal="center" vertical="center" wrapText="1" shrinkToFit="1" readingOrder="1"/>
    </xf>
    <xf numFmtId="0" fontId="18" fillId="9" borderId="8" xfId="0" applyFont="1" applyFill="1" applyBorder="1" applyAlignment="1">
      <alignment horizontal="center" vertical="center" wrapText="1"/>
    </xf>
    <xf numFmtId="169" fontId="17" fillId="9" borderId="8" xfId="0" applyNumberFormat="1" applyFont="1" applyFill="1" applyBorder="1"/>
    <xf numFmtId="49" fontId="17" fillId="0" borderId="38" xfId="0" applyNumberFormat="1" applyFont="1" applyBorder="1" applyAlignment="1">
      <alignment horizontal="center" wrapText="1" shrinkToFit="1"/>
    </xf>
    <xf numFmtId="0" fontId="15" fillId="0" borderId="4" xfId="0" applyFont="1" applyBorder="1" applyAlignment="1">
      <alignment horizontal="center"/>
    </xf>
    <xf numFmtId="0" fontId="18" fillId="0" borderId="4" xfId="0" applyFont="1" applyBorder="1" applyAlignment="1">
      <alignment horizontal="center" vertical="center"/>
    </xf>
    <xf numFmtId="0" fontId="18" fillId="0" borderId="4" xfId="0" applyFont="1" applyBorder="1" applyAlignment="1">
      <alignment horizontal="center" vertical="center" wrapText="1" shrinkToFit="1"/>
    </xf>
    <xf numFmtId="0" fontId="19" fillId="0" borderId="4" xfId="0" applyFont="1" applyBorder="1" applyAlignment="1">
      <alignment horizontal="center"/>
    </xf>
    <xf numFmtId="169" fontId="17" fillId="9" borderId="4" xfId="0" applyNumberFormat="1" applyFont="1" applyFill="1" applyBorder="1" applyAlignment="1">
      <alignment horizontal="center" vertical="center" wrapText="1" shrinkToFit="1"/>
    </xf>
    <xf numFmtId="0" fontId="17" fillId="0" borderId="15" xfId="0" applyFont="1" applyBorder="1" applyAlignment="1">
      <alignment horizontal="center" vertical="center" wrapText="1" shrinkToFit="1"/>
    </xf>
    <xf numFmtId="168" fontId="17" fillId="10" borderId="4" xfId="0" applyNumberFormat="1" applyFont="1" applyFill="1" applyBorder="1" applyAlignment="1">
      <alignment horizontal="center" vertical="center"/>
    </xf>
    <xf numFmtId="0" fontId="15" fillId="9" borderId="6" xfId="0" applyFont="1" applyFill="1" applyBorder="1" applyAlignment="1">
      <alignment horizontal="center" vertical="center" wrapText="1" shrinkToFit="1"/>
    </xf>
    <xf numFmtId="49" fontId="17" fillId="0" borderId="1" xfId="0" applyNumberFormat="1" applyFont="1" applyBorder="1" applyAlignment="1">
      <alignment horizontal="center" wrapText="1" shrinkToFit="1"/>
    </xf>
    <xf numFmtId="0" fontId="15" fillId="9" borderId="1" xfId="0" applyFont="1" applyFill="1" applyBorder="1" applyAlignment="1">
      <alignment horizontal="center"/>
    </xf>
    <xf numFmtId="0" fontId="18" fillId="9" borderId="1" xfId="0" applyFont="1" applyFill="1" applyBorder="1" applyAlignment="1">
      <alignment horizontal="center" vertical="center"/>
    </xf>
    <xf numFmtId="0" fontId="19" fillId="9" borderId="1" xfId="0" applyFont="1" applyFill="1" applyBorder="1" applyAlignment="1">
      <alignment horizontal="center"/>
    </xf>
    <xf numFmtId="0" fontId="17" fillId="0" borderId="1" xfId="0" applyFont="1" applyBorder="1" applyAlignment="1">
      <alignment horizontal="center" vertical="center" wrapText="1" shrinkToFit="1"/>
    </xf>
    <xf numFmtId="168" fontId="17" fillId="10" borderId="1" xfId="0" applyNumberFormat="1" applyFont="1" applyFill="1" applyBorder="1" applyAlignment="1">
      <alignment horizontal="center" vertical="center"/>
    </xf>
    <xf numFmtId="49" fontId="20" fillId="0" borderId="4" xfId="2" applyNumberFormat="1" applyFont="1" applyBorder="1" applyAlignment="1">
      <alignment horizontal="center" vertical="center" wrapText="1" shrinkToFit="1" readingOrder="1"/>
    </xf>
    <xf numFmtId="0" fontId="1" fillId="0" borderId="39" xfId="0" applyFont="1" applyFill="1" applyBorder="1"/>
    <xf numFmtId="168" fontId="0" fillId="0" borderId="25" xfId="0" applyNumberFormat="1" applyFont="1" applyBorder="1" applyAlignment="1">
      <alignment horizontal="center" vertical="center"/>
    </xf>
    <xf numFmtId="168" fontId="0" fillId="0" borderId="40" xfId="0" applyNumberFormat="1" applyFont="1" applyBorder="1" applyAlignment="1">
      <alignment horizontal="center" vertical="center"/>
    </xf>
    <xf numFmtId="168" fontId="0" fillId="0" borderId="36" xfId="0" applyNumberFormat="1" applyFont="1" applyBorder="1" applyAlignment="1">
      <alignment horizontal="center" vertical="center"/>
    </xf>
    <xf numFmtId="168" fontId="0" fillId="0" borderId="26" xfId="0" applyNumberFormat="1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7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169" fontId="0" fillId="0" borderId="0" xfId="0" applyNumberFormat="1" applyAlignment="1">
      <alignment horizontal="center" vertical="top"/>
    </xf>
    <xf numFmtId="0" fontId="0" fillId="0" borderId="0" xfId="0"/>
    <xf numFmtId="0" fontId="0" fillId="0" borderId="33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26" xfId="0" applyBorder="1" applyAlignment="1">
      <alignment horizontal="center"/>
    </xf>
    <xf numFmtId="0" fontId="1" fillId="6" borderId="28" xfId="0" applyFont="1" applyFill="1" applyBorder="1" applyAlignment="1">
      <alignment horizontal="center"/>
    </xf>
    <xf numFmtId="0" fontId="1" fillId="6" borderId="29" xfId="0" applyFont="1" applyFill="1" applyBorder="1" applyAlignment="1">
      <alignment horizontal="center"/>
    </xf>
    <xf numFmtId="0" fontId="1" fillId="8" borderId="24" xfId="0" applyFont="1" applyFill="1" applyBorder="1" applyAlignment="1">
      <alignment horizontal="center"/>
    </xf>
    <xf numFmtId="0" fontId="1" fillId="8" borderId="37" xfId="0" applyFont="1" applyFill="1" applyBorder="1" applyAlignment="1">
      <alignment horizontal="center"/>
    </xf>
    <xf numFmtId="0" fontId="1" fillId="7" borderId="30" xfId="0" applyFont="1" applyFill="1" applyBorder="1" applyAlignment="1">
      <alignment horizontal="center"/>
    </xf>
    <xf numFmtId="0" fontId="1" fillId="7" borderId="31" xfId="0" applyFont="1" applyFill="1" applyBorder="1" applyAlignment="1">
      <alignment horizontal="center"/>
    </xf>
    <xf numFmtId="0" fontId="6" fillId="0" borderId="32" xfId="2" applyBorder="1" applyAlignment="1">
      <alignment horizontal="center"/>
    </xf>
    <xf numFmtId="0" fontId="6" fillId="0" borderId="27" xfId="2" applyBorder="1" applyAlignment="1">
      <alignment horizontal="center"/>
    </xf>
    <xf numFmtId="0" fontId="6" fillId="0" borderId="33" xfId="2" applyBorder="1" applyAlignment="1">
      <alignment horizontal="center"/>
    </xf>
    <xf numFmtId="0" fontId="6" fillId="0" borderId="25" xfId="2" applyBorder="1" applyAlignment="1">
      <alignment horizontal="center"/>
    </xf>
    <xf numFmtId="168" fontId="1" fillId="4" borderId="25" xfId="0" applyNumberFormat="1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31">
    <dxf>
      <numFmt numFmtId="168" formatCode="#,##0.00\ &quot;€&quot;"/>
    </dxf>
    <dxf>
      <numFmt numFmtId="168" formatCode="#,##0.00\ &quot;€&quot;"/>
    </dxf>
    <dxf>
      <numFmt numFmtId="168" formatCode="#,##0.00\ &quot;€&quot;"/>
    </dxf>
    <dxf>
      <font>
        <b/>
      </font>
    </dxf>
    <dxf>
      <font>
        <color rgb="FFFF0000"/>
      </font>
    </dxf>
    <dxf>
      <font>
        <strike val="0"/>
        <outline val="0"/>
        <shadow val="0"/>
        <vertAlign val="baseline"/>
        <sz val="12"/>
        <name val="Calibri"/>
        <scheme val="minor"/>
      </font>
      <numFmt numFmtId="30" formatCode="@"/>
      <alignment horizontal="center" vertical="center" textRotation="0" wrapText="1" indent="0" relativeIndent="255" justifyLastLine="0" shrinkToFit="1" readingOrder="1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2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1" indent="0" relativeIndent="255" justifyLastLine="0" shrinkToFit="1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8" formatCode="#,##0.00\ &quot;€&quot;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relativeIndent="255" justifyLastLine="0" shrinkToFit="1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9" formatCode="0#&quot; &quot;##&quot; &quot;##&quot; &quot;##&quot; &quot;##"/>
      <fill>
        <patternFill patternType="solid">
          <fgColor indexed="64"/>
          <bgColor theme="0"/>
        </patternFill>
      </fill>
      <alignment horizontal="center" vertical="center" textRotation="0" wrapText="1" indent="0" relativeIndent="255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relativeIndent="255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/>
        <strike val="0"/>
        <outline val="0"/>
        <shadow val="0"/>
        <vertAlign val="baseline"/>
        <sz val="1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alignment horizontal="center" vertical="bottom" textRotation="0" wrapText="1" indent="0" relativeIndent="255" justifyLastLine="0" shrinkToFit="1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2"/>
        <name val="Calibri"/>
        <scheme val="minor"/>
      </font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FF0000"/>
      </font>
    </dxf>
    <dxf>
      <font>
        <b/>
      </font>
    </dxf>
    <dxf>
      <numFmt numFmtId="168" formatCode="#,##0.00\ &quot;€&quot;"/>
    </dxf>
    <dxf>
      <numFmt numFmtId="168" formatCode="#,##0.00\ &quot;€&quot;"/>
    </dxf>
    <dxf>
      <numFmt numFmtId="168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_-* #,##0.00\ [$€-40C]_-;\-* #,##0.00\ [$€-40C]_-;_-* &quot;-&quot;??\ [$€-40C]_-;_-@_-"/>
      <fill>
        <patternFill patternType="solid">
          <fgColor indexed="64"/>
          <bgColor rgb="FFFFFF00"/>
        </patternFill>
      </fill>
      <alignment horizontal="general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#,###,###,###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-* #,##0.00\ [$€-40C]_-;\-* #,##0.00\ [$€-40C]_-;_-* &quot;-&quot;??\ [$€-40C]_-;_-@_-"/>
      <alignment horizontal="left" vertical="bottom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[shtours22.xlsm]historique des ventes directes !Tableau croisé dynamique13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small" spc="100" baseline="0">
                <a:solidFill>
                  <a:srgbClr val="FF000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 sz="1800" cap="small" baseline="0">
                <a:solidFill>
                  <a:srgbClr val="FF0000"/>
                </a:solidFill>
              </a:rPr>
              <a:t>Chiffre d'affaires  2020 </a:t>
            </a:r>
          </a:p>
          <a:p>
            <a:pPr>
              <a:defRPr sz="1800" b="1" i="0" u="none" strike="noStrike" kern="1200" cap="small" spc="100" baseline="0">
                <a:solidFill>
                  <a:srgbClr val="FF000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 sz="1800" cap="small" baseline="0">
                <a:solidFill>
                  <a:srgbClr val="FF0000"/>
                </a:solidFill>
              </a:rPr>
              <a:t>magasins directs </a:t>
            </a:r>
          </a:p>
        </c:rich>
      </c:tx>
      <c:layout>
        <c:manualLayout>
          <c:xMode val="edge"/>
          <c:yMode val="edge"/>
          <c:x val="0.35988735573120545"/>
          <c:y val="7.0296982566916633E-2"/>
        </c:manualLayout>
      </c:layout>
      <c:spPr>
        <a:noFill/>
        <a:ln>
          <a:noFill/>
        </a:ln>
        <a:effectLst/>
      </c:spPr>
    </c:title>
    <c:pivotFmts>
      <c:pivotFmt>
        <c:idx val="0"/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8.4421117083137473E-2"/>
          <c:y val="0.23329807654640192"/>
          <c:w val="0.90750142024215441"/>
          <c:h val="0.44299290946840608"/>
        </c:manualLayout>
      </c:layout>
      <c:barChart>
        <c:barDir val="col"/>
        <c:grouping val="clustered"/>
        <c:ser>
          <c:idx val="0"/>
          <c:order val="0"/>
          <c:tx>
            <c:strRef>
              <c:f>'historique des ventes directes '!$B$3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cat>
            <c:strRef>
              <c:f>'historique des ventes directes '!$A$4:$A$41</c:f>
              <c:strCache>
                <c:ptCount val="37"/>
                <c:pt idx="0">
                  <c:v>AUCHAN  POITIERS </c:v>
                </c:pt>
                <c:pt idx="1">
                  <c:v>AUCHAN COGNAC </c:v>
                </c:pt>
                <c:pt idx="2">
                  <c:v>AUCHAN LA COURONNE </c:v>
                </c:pt>
                <c:pt idx="3">
                  <c:v>CAVE LECLERC  ROYAN </c:v>
                </c:pt>
                <c:pt idx="4">
                  <c:v>CAVE LECLERC POITIERS  </c:v>
                </c:pt>
                <c:pt idx="5">
                  <c:v>GEANT CASINO CHAMPNIERS </c:v>
                </c:pt>
                <c:pt idx="6">
                  <c:v>GEANT CASINO NIORT </c:v>
                </c:pt>
                <c:pt idx="7">
                  <c:v>GEANT CASINO POITIERS </c:v>
                </c:pt>
                <c:pt idx="8">
                  <c:v>HYPER U  SAINTES </c:v>
                </c:pt>
                <c:pt idx="9">
                  <c:v>HYPER U PUILBOREAU </c:v>
                </c:pt>
                <c:pt idx="10">
                  <c:v>INTERMARCHE  AIGREFEUILLE D'AUNIS </c:v>
                </c:pt>
                <c:pt idx="11">
                  <c:v>INTERMARCHE  ANGOULEME </c:v>
                </c:pt>
                <c:pt idx="12">
                  <c:v>INTERMARCHE  BARBEZIEUX ST HILAIRE </c:v>
                </c:pt>
                <c:pt idx="13">
                  <c:v>INTERMARCHE  DOLUS D'OLERON </c:v>
                </c:pt>
                <c:pt idx="14">
                  <c:v>INTERMARCHE  LA JARRIE </c:v>
                </c:pt>
                <c:pt idx="15">
                  <c:v>INTERMARCHE  LA TREMBLADE </c:v>
                </c:pt>
                <c:pt idx="16">
                  <c:v>INTERMARCHE  MONTGUYON </c:v>
                </c:pt>
                <c:pt idx="17">
                  <c:v>INTERMARCHE  SAINTES  </c:v>
                </c:pt>
                <c:pt idx="18">
                  <c:v>INTERMARCHE  SALLES SUR MER  </c:v>
                </c:pt>
                <c:pt idx="19">
                  <c:v>INTERMARCHE JONZAC </c:v>
                </c:pt>
                <c:pt idx="20">
                  <c:v>INTERMARCHE MARENNES D'OLERON </c:v>
                </c:pt>
                <c:pt idx="21">
                  <c:v>INTERMARCHE SAINTES  </c:v>
                </c:pt>
                <c:pt idx="22">
                  <c:v>INTERMARCHE SAUJON  </c:v>
                </c:pt>
                <c:pt idx="23">
                  <c:v>LECLERC COGNAC </c:v>
                </c:pt>
                <c:pt idx="24">
                  <c:v>LECLERC JONZAC </c:v>
                </c:pt>
                <c:pt idx="25">
                  <c:v>LECLERC LA ROCHEFOUCAULD </c:v>
                </c:pt>
                <c:pt idx="26">
                  <c:v>LECLERC RUFFEC </c:v>
                </c:pt>
                <c:pt idx="27">
                  <c:v>LECLERC SAINTES ABBAYE </c:v>
                </c:pt>
                <c:pt idx="28">
                  <c:v>LECLERC ST MARTIN DE RE </c:v>
                </c:pt>
                <c:pt idx="29">
                  <c:v>SUPER U  CHATEAUNEUF SUR CHARENTE  </c:v>
                </c:pt>
                <c:pt idx="30">
                  <c:v>SUPER U  COZES </c:v>
                </c:pt>
                <c:pt idx="31">
                  <c:v>SUPER U  ECHILLAIS </c:v>
                </c:pt>
                <c:pt idx="32">
                  <c:v>SUPER U  FOURAS </c:v>
                </c:pt>
                <c:pt idx="33">
                  <c:v>SUPER U  GEMOZAC </c:v>
                </c:pt>
                <c:pt idx="34">
                  <c:v>SUPER U  MIRAMBEAU </c:v>
                </c:pt>
                <c:pt idx="35">
                  <c:v>SUPER U SAUJON  </c:v>
                </c:pt>
                <c:pt idx="36">
                  <c:v>SUPER U TONNAY CHARENTE </c:v>
                </c:pt>
              </c:strCache>
            </c:strRef>
          </c:cat>
          <c:val>
            <c:numRef>
              <c:f>'historique des ventes directes '!$B$4:$B$41</c:f>
              <c:numCache>
                <c:formatCode>#,##0.00\ "€"</c:formatCode>
                <c:ptCount val="37"/>
                <c:pt idx="0">
                  <c:v>0</c:v>
                </c:pt>
                <c:pt idx="1">
                  <c:v>282.52799999999996</c:v>
                </c:pt>
                <c:pt idx="2">
                  <c:v>16.175999999999998</c:v>
                </c:pt>
                <c:pt idx="3">
                  <c:v>598.60799999999995</c:v>
                </c:pt>
                <c:pt idx="4">
                  <c:v>210.38399999999999</c:v>
                </c:pt>
                <c:pt idx="5">
                  <c:v>3407.0400000000004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3640.32</c:v>
                </c:pt>
                <c:pt idx="10">
                  <c:v>0</c:v>
                </c:pt>
                <c:pt idx="11">
                  <c:v>6.9359999999999999</c:v>
                </c:pt>
                <c:pt idx="12">
                  <c:v>13.872</c:v>
                </c:pt>
                <c:pt idx="13">
                  <c:v>0</c:v>
                </c:pt>
                <c:pt idx="14">
                  <c:v>13.872</c:v>
                </c:pt>
                <c:pt idx="15">
                  <c:v>6.9359999999999999</c:v>
                </c:pt>
                <c:pt idx="16">
                  <c:v>0</c:v>
                </c:pt>
                <c:pt idx="17">
                  <c:v>388.22399999999999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6.9359999999999999</c:v>
                </c:pt>
                <c:pt idx="23">
                  <c:v>0</c:v>
                </c:pt>
                <c:pt idx="24">
                  <c:v>5.8440000000000003</c:v>
                </c:pt>
                <c:pt idx="25">
                  <c:v>10.607999999999999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1059.8399999999999</c:v>
                </c:pt>
                <c:pt idx="34">
                  <c:v>0</c:v>
                </c:pt>
                <c:pt idx="35">
                  <c:v>0</c:v>
                </c:pt>
                <c:pt idx="36">
                  <c:v>16823.04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EAF-4A40-9E19-A27AEC05A1F6}"/>
            </c:ext>
          </c:extLst>
        </c:ser>
        <c:dLbls/>
        <c:gapWidth val="100"/>
        <c:overlap val="-24"/>
        <c:axId val="168301312"/>
        <c:axId val="168302848"/>
      </c:barChart>
      <c:catAx>
        <c:axId val="168301312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12700" cap="flat" cmpd="sng" algn="ctr">
            <a:solidFill>
              <a:srgbClr val="FF0000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302848"/>
        <c:crosses val="autoZero"/>
        <c:auto val="1"/>
        <c:lblAlgn val="ctr"/>
        <c:lblOffset val="100"/>
      </c:catAx>
      <c:valAx>
        <c:axId val="16830284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,##0.00\ &quot;€&quot;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rgbClr val="FFFF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3013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Evolution</a:t>
            </a:r>
            <a:r>
              <a:rPr lang="en-US" baseline="0"/>
              <a:t> du CA€ TTC/Mois</a:t>
            </a:r>
            <a:endParaRPr lang="en-US"/>
          </a:p>
        </c:rich>
      </c:tx>
      <c:layout/>
      <c:spPr>
        <a:noFill/>
        <a:ln>
          <a:noFill/>
        </a:ln>
        <a:effectLst/>
      </c:spPr>
    </c:title>
    <c:plotArea>
      <c:layout/>
      <c:lineChart>
        <c:grouping val="standard"/>
        <c:ser>
          <c:idx val="0"/>
          <c:order val="0"/>
          <c:tx>
            <c:strRef>
              <c:f>'tableau de bord'!$D$4</c:f>
              <c:strCache>
                <c:ptCount val="1"/>
                <c:pt idx="0">
                  <c:v>Total Mois 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'tableau de bord'!$E$3:$P$3</c:f>
              <c:strCache>
                <c:ptCount val="12"/>
                <c:pt idx="0">
                  <c:v>Janv</c:v>
                </c:pt>
                <c:pt idx="1">
                  <c:v>Févr.</c:v>
                </c:pt>
                <c:pt idx="2">
                  <c:v>Mars</c:v>
                </c:pt>
                <c:pt idx="3">
                  <c:v>Avr.</c:v>
                </c:pt>
                <c:pt idx="4">
                  <c:v>Mai</c:v>
                </c:pt>
                <c:pt idx="5">
                  <c:v>Juin</c:v>
                </c:pt>
                <c:pt idx="6">
                  <c:v>Juil.</c:v>
                </c:pt>
                <c:pt idx="7">
                  <c:v>Août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'tableau de bord'!$E$4:$P$4</c:f>
              <c:numCache>
                <c:formatCode>#,##0.00\ "€"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13.872</c:v>
                </c:pt>
                <c:pt idx="3">
                  <c:v>24146.676000000007</c:v>
                </c:pt>
                <c:pt idx="4">
                  <c:v>210.38399999999999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6.9359999999999999</c:v>
                </c:pt>
                <c:pt idx="9">
                  <c:v>1820.16</c:v>
                </c:pt>
                <c:pt idx="10">
                  <c:v>282.52799999999996</c:v>
                </c:pt>
                <c:pt idx="11">
                  <c:v>10.607999999999999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F8F-46A9-A49D-1C00B46E1FD4}"/>
            </c:ext>
          </c:extLst>
        </c:ser>
        <c:dLbls/>
        <c:marker val="1"/>
        <c:axId val="168662912"/>
        <c:axId val="168664448"/>
      </c:lineChart>
      <c:catAx>
        <c:axId val="168662912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664448"/>
        <c:crosses val="autoZero"/>
        <c:auto val="1"/>
        <c:lblAlgn val="ctr"/>
        <c:lblOffset val="100"/>
      </c:catAx>
      <c:valAx>
        <c:axId val="16866444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\ &quot;€&quot;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6629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Chiffre</a:t>
            </a:r>
            <a:r>
              <a:rPr lang="en-US" baseline="0"/>
              <a:t> d'Affaires Réalisés 2020 </a:t>
            </a:r>
            <a:endParaRPr lang="en-US"/>
          </a:p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baseline="0"/>
              <a:t>Des Enseignes directes</a:t>
            </a:r>
            <a:endParaRPr lang="en-US"/>
          </a:p>
        </c:rich>
      </c:tx>
      <c:layout/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'tableau de bord'!$D$23</c:f>
              <c:strCache>
                <c:ptCount val="1"/>
                <c:pt idx="0">
                  <c:v>Total CA € /Année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strRef>
              <c:f>'tableau de bord'!$E$22:$K$22</c:f>
              <c:strCache>
                <c:ptCount val="7"/>
                <c:pt idx="0">
                  <c:v>AUCHAN</c:v>
                </c:pt>
                <c:pt idx="1">
                  <c:v>LECLERC CAVE</c:v>
                </c:pt>
                <c:pt idx="2">
                  <c:v>LECLERC</c:v>
                </c:pt>
                <c:pt idx="3">
                  <c:v>GEANT/CASINO</c:v>
                </c:pt>
                <c:pt idx="4">
                  <c:v>HYPER U </c:v>
                </c:pt>
                <c:pt idx="5">
                  <c:v>INTERMARCHE</c:v>
                </c:pt>
                <c:pt idx="6">
                  <c:v>SUPER U</c:v>
                </c:pt>
              </c:strCache>
            </c:strRef>
          </c:cat>
          <c:val>
            <c:numRef>
              <c:f>'tableau de bord'!$E$23:$K$23</c:f>
              <c:numCache>
                <c:formatCode>#,##0.00\ "€"</c:formatCode>
                <c:ptCount val="7"/>
                <c:pt idx="0">
                  <c:v>298.70399999999995</c:v>
                </c:pt>
                <c:pt idx="1">
                  <c:v>808.99199999999996</c:v>
                </c:pt>
                <c:pt idx="2">
                  <c:v>3407.0400000000004</c:v>
                </c:pt>
                <c:pt idx="3">
                  <c:v>3407.0400000000004</c:v>
                </c:pt>
                <c:pt idx="4">
                  <c:v>3640.32</c:v>
                </c:pt>
                <c:pt idx="5">
                  <c:v>436.77599999999995</c:v>
                </c:pt>
                <c:pt idx="6">
                  <c:v>17882.88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0A9-4EFE-8575-E04B9300E663}"/>
            </c:ext>
          </c:extLst>
        </c:ser>
        <c:dLbls/>
        <c:gapWidth val="219"/>
        <c:overlap val="-27"/>
        <c:axId val="170331520"/>
        <c:axId val="170357888"/>
      </c:barChart>
      <c:catAx>
        <c:axId val="17033152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357888"/>
        <c:crosses val="autoZero"/>
        <c:auto val="1"/>
        <c:lblAlgn val="ctr"/>
        <c:lblOffset val="100"/>
      </c:catAx>
      <c:valAx>
        <c:axId val="17035788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\ &quot;€&quot;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331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3028950</xdr:colOff>
      <xdr:row>1</xdr:row>
      <xdr:rowOff>85725</xdr:rowOff>
    </xdr:from>
    <xdr:to>
      <xdr:col>1</xdr:col>
      <xdr:colOff>257175</xdr:colOff>
      <xdr:row>4</xdr:row>
      <xdr:rowOff>45720</xdr:rowOff>
    </xdr:to>
    <xdr:sp macro="" textlink="">
      <xdr:nvSpPr>
        <xdr:cNvPr id="23" name="Text Box 9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SpPr txBox="1">
          <a:spLocks noChangeArrowheads="1"/>
        </xdr:cNvSpPr>
      </xdr:nvSpPr>
      <xdr:spPr bwMode="auto">
        <a:xfrm>
          <a:off x="4591050" y="704850"/>
          <a:ext cx="619125" cy="56959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2543175</xdr:colOff>
      <xdr:row>29</xdr:row>
      <xdr:rowOff>0</xdr:rowOff>
    </xdr:from>
    <xdr:to>
      <xdr:col>1</xdr:col>
      <xdr:colOff>800100</xdr:colOff>
      <xdr:row>30</xdr:row>
      <xdr:rowOff>68580</xdr:rowOff>
    </xdr:to>
    <xdr:sp macro="" textlink="">
      <xdr:nvSpPr>
        <xdr:cNvPr id="24" name="Text Box 10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SpPr txBox="1">
          <a:spLocks noChangeArrowheads="1"/>
        </xdr:cNvSpPr>
      </xdr:nvSpPr>
      <xdr:spPr bwMode="auto">
        <a:xfrm>
          <a:off x="4105275" y="5972175"/>
          <a:ext cx="1647825" cy="2686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2600325</xdr:colOff>
      <xdr:row>29</xdr:row>
      <xdr:rowOff>0</xdr:rowOff>
    </xdr:from>
    <xdr:to>
      <xdr:col>1</xdr:col>
      <xdr:colOff>769620</xdr:colOff>
      <xdr:row>30</xdr:row>
      <xdr:rowOff>68580</xdr:rowOff>
    </xdr:to>
    <xdr:sp macro="" textlink="">
      <xdr:nvSpPr>
        <xdr:cNvPr id="25" name="Text Box 8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SpPr txBox="1">
          <a:spLocks noChangeArrowheads="1"/>
        </xdr:cNvSpPr>
      </xdr:nvSpPr>
      <xdr:spPr bwMode="auto">
        <a:xfrm>
          <a:off x="1562100" y="5972175"/>
          <a:ext cx="1560195" cy="2686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3019425</xdr:colOff>
      <xdr:row>29</xdr:row>
      <xdr:rowOff>0</xdr:rowOff>
    </xdr:from>
    <xdr:to>
      <xdr:col>1</xdr:col>
      <xdr:colOff>331470</xdr:colOff>
      <xdr:row>30</xdr:row>
      <xdr:rowOff>68580</xdr:rowOff>
    </xdr:to>
    <xdr:sp macro="" textlink="">
      <xdr:nvSpPr>
        <xdr:cNvPr id="26" name="Text Box 9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SpPr txBox="1">
          <a:spLocks noChangeArrowheads="1"/>
        </xdr:cNvSpPr>
      </xdr:nvSpPr>
      <xdr:spPr bwMode="auto">
        <a:xfrm>
          <a:off x="1562100" y="5972175"/>
          <a:ext cx="702945" cy="2686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2609850</xdr:colOff>
      <xdr:row>14</xdr:row>
      <xdr:rowOff>0</xdr:rowOff>
    </xdr:from>
    <xdr:to>
      <xdr:col>1</xdr:col>
      <xdr:colOff>704850</xdr:colOff>
      <xdr:row>17</xdr:row>
      <xdr:rowOff>76200</xdr:rowOff>
    </xdr:to>
    <xdr:sp macro="" textlink="">
      <xdr:nvSpPr>
        <xdr:cNvPr id="27" name="Text Box 8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SpPr txBox="1">
          <a:spLocks noChangeArrowheads="1"/>
        </xdr:cNvSpPr>
      </xdr:nvSpPr>
      <xdr:spPr bwMode="auto">
        <a:xfrm>
          <a:off x="4171950" y="3105150"/>
          <a:ext cx="1485900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3019425</xdr:colOff>
      <xdr:row>14</xdr:row>
      <xdr:rowOff>0</xdr:rowOff>
    </xdr:from>
    <xdr:to>
      <xdr:col>1</xdr:col>
      <xdr:colOff>247650</xdr:colOff>
      <xdr:row>17</xdr:row>
      <xdr:rowOff>66675</xdr:rowOff>
    </xdr:to>
    <xdr:sp macro="" textlink="">
      <xdr:nvSpPr>
        <xdr:cNvPr id="28" name="Text Box 9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SpPr txBox="1">
          <a:spLocks noChangeArrowheads="1"/>
        </xdr:cNvSpPr>
      </xdr:nvSpPr>
      <xdr:spPr bwMode="auto">
        <a:xfrm>
          <a:off x="4581525" y="3105150"/>
          <a:ext cx="619125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1714500</xdr:colOff>
      <xdr:row>15</xdr:row>
      <xdr:rowOff>9525</xdr:rowOff>
    </xdr:from>
    <xdr:to>
      <xdr:col>0</xdr:col>
      <xdr:colOff>1773555</xdr:colOff>
      <xdr:row>18</xdr:row>
      <xdr:rowOff>76200</xdr:rowOff>
    </xdr:to>
    <xdr:sp macro="" textlink="">
      <xdr:nvSpPr>
        <xdr:cNvPr id="29" name="Text Box 6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SpPr txBox="1">
          <a:spLocks noChangeArrowheads="1"/>
        </xdr:cNvSpPr>
      </xdr:nvSpPr>
      <xdr:spPr bwMode="auto">
        <a:xfrm>
          <a:off x="3276600" y="3305175"/>
          <a:ext cx="59055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314326</xdr:colOff>
      <xdr:row>9</xdr:row>
      <xdr:rowOff>28575</xdr:rowOff>
    </xdr:from>
    <xdr:to>
      <xdr:col>8</xdr:col>
      <xdr:colOff>304800</xdr:colOff>
      <xdr:row>11</xdr:row>
      <xdr:rowOff>76200</xdr:rowOff>
    </xdr:to>
    <xdr:sp macro="[0]!AUTREPDF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6229351" y="2505075"/>
          <a:ext cx="809624" cy="428625"/>
        </a:xfrm>
        <a:prstGeom prst="roundRect">
          <a:avLst/>
        </a:prstGeom>
        <a:solidFill>
          <a:schemeClr val="tx1"/>
        </a:solidFill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SAVEPDF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9525</xdr:rowOff>
    </xdr:from>
    <xdr:to>
      <xdr:col>19</xdr:col>
      <xdr:colOff>15875</xdr:colOff>
      <xdr:row>41</xdr:row>
      <xdr:rowOff>180975</xdr:rowOff>
    </xdr:to>
    <xdr:graphicFrame macro="[0]!Graphique1_Cliquer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5</xdr:row>
      <xdr:rowOff>180975</xdr:rowOff>
    </xdr:from>
    <xdr:to>
      <xdr:col>16</xdr:col>
      <xdr:colOff>9525</xdr:colOff>
      <xdr:row>18</xdr:row>
      <xdr:rowOff>66675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285749</xdr:colOff>
      <xdr:row>26</xdr:row>
      <xdr:rowOff>9525</xdr:rowOff>
    </xdr:from>
    <xdr:to>
      <xdr:col>15</xdr:col>
      <xdr:colOff>533400</xdr:colOff>
      <xdr:row>45</xdr:row>
      <xdr:rowOff>180975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00000000-0008-0000-04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tulipe" refreshedDate="43930.561219791663" createdVersion="5" refreshedVersion="3" minRefreshableVersion="3" recordCount="37">
  <cacheSource type="worksheet">
    <worksheetSource name="Tableau2"/>
  </cacheSource>
  <cacheFields count="10">
    <cacheField name="Identifiant " numFmtId="49">
      <sharedItems/>
    </cacheField>
    <cacheField name="ENSEIGNE" numFmtId="0">
      <sharedItems/>
    </cacheField>
    <cacheField name="VILLE" numFmtId="0">
      <sharedItems/>
    </cacheField>
    <cacheField name="ADRESSE" numFmtId="0">
      <sharedItems/>
    </cacheField>
    <cacheField name="CP" numFmtId="0">
      <sharedItems containsSemiMixedTypes="0" containsString="0" containsNumber="1" containsInteger="1" minValue="16000" maxValue="86000"/>
    </cacheField>
    <cacheField name="TEL " numFmtId="169">
      <sharedItems containsMixedTypes="1" containsNumber="1" containsInteger="1" minValue="516653108" maxValue="549537200"/>
    </cacheField>
    <cacheField name="commandes" numFmtId="0">
      <sharedItems containsSemiMixedTypes="0" containsString="0" containsNumber="1" containsInteger="1" minValue="0" maxValue="2"/>
    </cacheField>
    <cacheField name="CA € TTC" numFmtId="168">
      <sharedItems containsSemiMixedTypes="0" containsString="0" containsNumber="1" minValue="0" maxValue="16823.04" count="15">
        <n v="0"/>
        <n v="282.52799999999996"/>
        <n v="16.175999999999998"/>
        <n v="598.60799999999995"/>
        <n v="210.38399999999999"/>
        <n v="3407.0400000000004"/>
        <n v="3640.32"/>
        <n v="6.9359999999999999"/>
        <n v="13.872"/>
        <n v="388.22399999999999"/>
        <n v="5.8440000000000003"/>
        <n v="10.607999999999999"/>
        <n v="1059.8399999999999"/>
        <n v="16823.04"/>
        <n v="1820.16" u="1"/>
      </sharedItems>
    </cacheField>
    <cacheField name="identifiant" numFmtId="0">
      <sharedItems count="38">
        <s v="AUCHAN  POITIERS "/>
        <s v="AUCHAN COGNAC "/>
        <s v="AUCHAN LA COURONNE "/>
        <s v="CAVE LECLERC  ROYAN "/>
        <s v="CAVE LECLERC POITIERS  "/>
        <s v="GEANT CASINO CHAMPNIERS "/>
        <s v="GEANT CASINO NIORT "/>
        <s v="GEANT CASINO POITIERS "/>
        <s v="HYPER U  SAINTES "/>
        <s v="HYPER U PUILBOREAU "/>
        <s v="INTERMARCHE  AIGREFEUILLE D'AUNIS "/>
        <s v="INTERMARCHE  ANGOULEME "/>
        <s v="INTERMARCHE  BARBEZIEUX ST HILAIRE "/>
        <s v="INTERMARCHE  DOLUS D'OLERON "/>
        <s v="INTERMARCHE  LA JARRIE "/>
        <s v="INTERMARCHE  LA TREMBLADE "/>
        <s v="INTERMARCHE  MONTGUYON "/>
        <s v="INTERMARCHE  SAINTES  "/>
        <s v="INTERMARCHE  SALLES SUR MER  "/>
        <s v="INTERMARCHE JONZAC "/>
        <s v="INTERMARCHE MARENNES D'OLERON "/>
        <s v="INTERMARCHE SAINTES  "/>
        <s v="INTERMARCHE SAUJON  "/>
        <s v="LECLERC COGNAC "/>
        <s v="LECLERC JONZAC "/>
        <s v="LECLERC LA ROCHEFOUCAULD "/>
        <s v="LECLERC RUFFEC "/>
        <s v="LECLERC SAINTES ABBAYE "/>
        <s v="LECLERC ST MARTIN DE RE "/>
        <s v="SUPER U  CHATEAUNEUF SUR CHARENTE  "/>
        <s v="SUPER U  COZES "/>
        <s v="SUPER U  ECHILLAIS "/>
        <s v="SUPER U  FOURAS "/>
        <s v="SUPER U  GEMOZAC "/>
        <s v="SUPER U  MIRAMBEAU "/>
        <s v="SUPER U SAUJON  "/>
        <s v="SUPER U TONNAY CHARENTE "/>
        <s v="INTERMARCHE  SAUJON " u="1"/>
      </sharedItems>
    </cacheField>
    <cacheField name="@" numFmtId="49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7">
  <r>
    <s v="AUCHAN  POITIERS "/>
    <s v="AUCHAN "/>
    <s v="POITIERS"/>
    <s v="250 AVENUE DU 8 MAI 1945"/>
    <n v="86000"/>
    <n v="549537200"/>
    <n v="0"/>
    <x v="0"/>
    <x v="0"/>
    <s v="achanudet@auchan.fr"/>
  </r>
  <r>
    <s v="AUCHAN COGNAC "/>
    <s v="AUCHAN"/>
    <s v="COGNAC"/>
    <s v="40 RUE DE L'ANISSERIE"/>
    <n v="16100"/>
    <n v="545356666"/>
    <n v="1"/>
    <x v="1"/>
    <x v="1"/>
    <s v="dlucas@auchan.fr;stbesson@auchan.fr;mmonteil@auchan.fr"/>
  </r>
  <r>
    <s v="AUCHAN LA COURONNE "/>
    <s v="AUCHAN"/>
    <s v="LA COURONNE"/>
    <s v="ROUTE DE BORDEAUX"/>
    <n v="16400"/>
    <n v="545244524"/>
    <n v="1"/>
    <x v="2"/>
    <x v="2"/>
    <s v="vxicluna@auchan.fr"/>
  </r>
  <r>
    <s v="CAVE LECLERC  ROYAN "/>
    <s v="CAVE LECLERC "/>
    <s v="ROYAN"/>
    <s v="4 RUE EDOUARD BRANLY"/>
    <n v="17200"/>
    <n v="516653108"/>
    <n v="1"/>
    <x v="3"/>
    <x v="3"/>
    <s v="liquide.sodisroy@scachap.fr;cave.sodisroy@scachap.fr"/>
  </r>
  <r>
    <s v="CAVE LECLERC POITIERS  "/>
    <s v="CAVE LECLERC"/>
    <s v="POITIERS "/>
    <s v="93 ROUTE DE GENCAY"/>
    <n v="86000"/>
    <n v="549422000"/>
    <n v="1"/>
    <x v="4"/>
    <x v="4"/>
    <s v="liquide.rocadis@scachap.fr;cave.rocadis@scachap.fr"/>
  </r>
  <r>
    <s v="GEANT CASINO CHAMPNIERS "/>
    <s v="GEANT CASINO"/>
    <s v="CHAMPNIERS"/>
    <s v="10 LES GRANDS CHAUMES"/>
    <n v="16430"/>
    <n v="545224400"/>
    <n v="1"/>
    <x v="5"/>
    <x v="5"/>
    <s v="mtrichard@groupe-casino.fr"/>
  </r>
  <r>
    <s v="GEANT CASINO NIORT "/>
    <s v="GEANT CASINO"/>
    <s v="NIORT"/>
    <s v="100 RUE D U PUITS DE LA VILLE CHAURAY"/>
    <n v="79180"/>
    <n v="549173400"/>
    <n v="0"/>
    <x v="0"/>
    <x v="6"/>
    <s v="fchollet@groupe-casino.fr"/>
  </r>
  <r>
    <s v="GEANT CASINO POITIERS "/>
    <s v="GEANT CASINO"/>
    <s v="POITIERS"/>
    <s v="2 AVENUE DE LAFAYETTE"/>
    <n v="86000"/>
    <n v="549448400"/>
    <n v="0"/>
    <x v="0"/>
    <x v="7"/>
    <s v="mmaitre@groupe-casino.fr"/>
  </r>
  <r>
    <s v="HYPER U  SAINTES "/>
    <s v="HYPER U "/>
    <s v="SAINTES"/>
    <s v="COURS DU MARECHAL LECLERC"/>
    <n v="17100"/>
    <n v="546933270"/>
    <n v="0"/>
    <x v="0"/>
    <x v="8"/>
    <s v="jganthy@coop-atlantique.fr"/>
  </r>
  <r>
    <s v="HYPER U PUILBOREAU "/>
    <s v="HYPER U"/>
    <s v="PUILBOREAU"/>
    <s v="RUE DU 14 JUILLET ROUTE DE NANTES"/>
    <n v="17138"/>
    <n v="546680322"/>
    <n v="2"/>
    <x v="6"/>
    <x v="9"/>
    <s v="fgoujeaud@coop-atlantique.fr"/>
  </r>
  <r>
    <s v="INTERMARCHE  AIGREFEUILLE D'AUNIS "/>
    <s v="INTERMARCHE "/>
    <s v="AIGREFEUILLE D'AUNIS"/>
    <s v="PLACE DE LA RENAISSANCE"/>
    <n v="17290"/>
    <n v="546355061"/>
    <n v="0"/>
    <x v="0"/>
    <x v="10"/>
    <s v="pdv09582@mousquetaires.com"/>
  </r>
  <r>
    <s v="INTERMARCHE  ANGOULEME "/>
    <s v="INTERMARCHE "/>
    <s v="ANGOULEME"/>
    <s v="1 Bd Jean Moulin"/>
    <n v="16000"/>
    <n v="545611019"/>
    <n v="1"/>
    <x v="7"/>
    <x v="11"/>
    <m/>
  </r>
  <r>
    <s v="INTERMARCHE  BARBEZIEUX ST HILAIRE "/>
    <s v="INTERMARCHE "/>
    <s v="BARBEZIEUX ST HILAIRE"/>
    <s v="AVENUE DE L'EUROPE"/>
    <n v="16300"/>
    <n v="545781933"/>
    <n v="2"/>
    <x v="8"/>
    <x v="12"/>
    <s v="pdv07651@mousquetaires.com"/>
  </r>
  <r>
    <s v="INTERMARCHE  DOLUS D'OLERON "/>
    <s v="INTERMARCHE "/>
    <s v="DOLUS D'OLERON"/>
    <s v="99 ROUTE DE L'ECUISSIERE"/>
    <n v="17550"/>
    <n v="546754440"/>
    <n v="0"/>
    <x v="0"/>
    <x v="13"/>
    <s v="dintermarche@wanadoo.fr"/>
  </r>
  <r>
    <s v="INTERMARCHE  LA JARRIE "/>
    <s v="INTERMARCHE "/>
    <s v="LA JARRIE"/>
    <s v="4 RUE DE LA PROVIDENCE"/>
    <n v="17220"/>
    <n v="546358522"/>
    <n v="2"/>
    <x v="8"/>
    <x v="14"/>
    <s v="pdv09598@mousquetaires.com"/>
  </r>
  <r>
    <s v="INTERMARCHE  LA TREMBLADE "/>
    <s v="INTERMARCHE "/>
    <s v="LA TREMBLADE"/>
    <s v="ZAC DES BREGAUDIERES"/>
    <n v="17600"/>
    <n v="546365222"/>
    <n v="1"/>
    <x v="7"/>
    <x v="15"/>
    <s v="pdv55237@mousquetaires.com"/>
  </r>
  <r>
    <s v="INTERMARCHE  MONTGUYON "/>
    <s v="INTERMARCHE "/>
    <s v="MONTGUYON"/>
    <s v="ZONRE COMMERCIALE DE CLAIRVENT"/>
    <n v="17270"/>
    <n v="546041882"/>
    <n v="0"/>
    <x v="0"/>
    <x v="16"/>
    <s v="pdv09115@mousquetaires.com"/>
  </r>
  <r>
    <s v="INTERMARCHE  SAINTES  "/>
    <s v="INTERMARCHE "/>
    <s v="SAINTES "/>
    <s v="COURS HECTOR BERLIOZ"/>
    <n v="17100"/>
    <s v="05 46 93 05 35"/>
    <n v="1"/>
    <x v="9"/>
    <x v="17"/>
    <m/>
  </r>
  <r>
    <s v="INTERMARCHE  SALLES SUR MER  "/>
    <s v="INTERMARCHE "/>
    <s v="SALLES SUR MER "/>
    <s v="IMPASSE DU MIRADOR"/>
    <n v="17220"/>
    <n v="546564220"/>
    <n v="0"/>
    <x v="0"/>
    <x v="18"/>
    <m/>
  </r>
  <r>
    <s v="INTERMARCHE JONZAC "/>
    <s v="INTERMARCHE"/>
    <s v="JONZAC"/>
    <s v="AVENUE DU 57 EME REGIMENT D'INFANTERIE"/>
    <n v="17500"/>
    <n v="546861900"/>
    <n v="0"/>
    <x v="0"/>
    <x v="19"/>
    <s v="pdv09413@mousquetaires.com"/>
  </r>
  <r>
    <s v="INTERMARCHE MARENNES D'OLERON "/>
    <s v="INTERMARCHE"/>
    <s v="MARENNES D'OLERON"/>
    <s v="ZAC des Grossines"/>
    <n v="17320"/>
    <s v="05 46 85 80 50"/>
    <n v="0"/>
    <x v="0"/>
    <x v="20"/>
    <s v="pdv09621@mousquetaires.com"/>
  </r>
  <r>
    <s v="INTERMARCHE SAINTES  "/>
    <s v="INTERMARCHE"/>
    <s v="SAINTES "/>
    <s v="11 rue de Lamothe"/>
    <n v="17100"/>
    <n v="546746020"/>
    <n v="0"/>
    <x v="0"/>
    <x v="21"/>
    <m/>
  </r>
  <r>
    <s v="INTERMARCHE SAUJON  "/>
    <s v="INTERMARCHE"/>
    <s v="SAUJON "/>
    <s v="ZA LES TOUZELLERIES 17 CHEMIN VERT "/>
    <n v="17600"/>
    <n v="546024802"/>
    <n v="1"/>
    <x v="7"/>
    <x v="22"/>
    <m/>
  </r>
  <r>
    <s v="LECLERC COGNAC "/>
    <s v="LECLERC"/>
    <s v="COGNAC"/>
    <s v="105 RUE BASSE ST MARTIN"/>
    <n v="16100"/>
    <s v="05 45 36 17 17"/>
    <n v="0"/>
    <x v="0"/>
    <x v="23"/>
    <s v="pascal.blondeau@scaso.fr"/>
  </r>
  <r>
    <s v="LECLERC JONZAC "/>
    <s v="LECLERC"/>
    <s v="JONZAC"/>
    <s v="AVENUE MONSEIGNEUR CHAUVIN"/>
    <n v="17500"/>
    <n v="546484511"/>
    <n v="1"/>
    <x v="10"/>
    <x v="24"/>
    <s v="pascal.blondeau@scaso.fr"/>
  </r>
  <r>
    <s v="LECLERC LA ROCHEFOUCAULD "/>
    <s v="LECLERC"/>
    <s v="LA ROCHEFOUCAULD"/>
    <s v="ROUTE DE LIMOGES "/>
    <n v="16110"/>
    <n v="545630682"/>
    <n v="1"/>
    <x v="11"/>
    <x v="25"/>
    <s v="pgc.sodiroche@scachap.fr"/>
  </r>
  <r>
    <s v="LECLERC RUFFEC "/>
    <s v="LECLERC"/>
    <s v="RUFFEC"/>
    <s v="52 ROUTE D'AIGRE"/>
    <n v="16700"/>
    <n v="545310776"/>
    <n v="0"/>
    <x v="0"/>
    <x v="26"/>
    <s v="pgc.rudis@scachap.fr"/>
  </r>
  <r>
    <s v="LECLERC SAINTES ABBAYE "/>
    <s v="LECLERC"/>
    <s v="SAINTES ABBAYE"/>
    <s v="11 COURS CHARLES DE GAULLE"/>
    <n v="17100"/>
    <n v="546921200"/>
    <n v="0"/>
    <x v="0"/>
    <x v="27"/>
    <s v="liquide.sam@scachap.fr"/>
  </r>
  <r>
    <s v="LECLERC ST MARTIN DE RE "/>
    <s v="LECLERC"/>
    <s v="ST MARTIN DE RE"/>
    <s v="ROUTE DE LA FLOTTE"/>
    <n v="17410"/>
    <s v="05 46 09 42 80"/>
    <n v="0"/>
    <x v="0"/>
    <x v="28"/>
    <s v="liquide.sidore@scachap.fr"/>
  </r>
  <r>
    <s v="SUPER U  CHATEAUNEUF SUR CHARENTE  "/>
    <s v="SUPER U "/>
    <s v="CHATEAUNEUF SUR CHARENTE "/>
    <s v="RUE DE BLANZAC"/>
    <n v="16120"/>
    <n v="545662428"/>
    <n v="0"/>
    <x v="0"/>
    <x v="29"/>
    <m/>
  </r>
  <r>
    <s v="SUPER U  COZES "/>
    <s v="SUPER U "/>
    <s v="COZES"/>
    <s v="30 BD DES DANDONNEAUX"/>
    <n v="17120"/>
    <n v="546908570"/>
    <n v="0"/>
    <x v="0"/>
    <x v="30"/>
    <s v="eldph760@coop-atlantique.fr"/>
  </r>
  <r>
    <s v="SUPER U  ECHILLAIS "/>
    <s v="SUPER U "/>
    <s v="ECHILLAIS"/>
    <s v="RUE DE LA POULINE"/>
    <n v="17620"/>
    <n v="546835090"/>
    <n v="0"/>
    <x v="0"/>
    <x v="31"/>
    <s v="superu.echillais.eldph@systeme-u.fr"/>
  </r>
  <r>
    <s v="SUPER U  FOURAS "/>
    <s v="SUPER U "/>
    <s v="FOURAS"/>
    <s v="9 RUE DIEU ME GARDE"/>
    <n v="17450"/>
    <n v="546835000"/>
    <n v="0"/>
    <x v="0"/>
    <x v="32"/>
    <s v="superu.fouras.eldph@systeme-u.fr"/>
  </r>
  <r>
    <s v="SUPER U  GEMOZAC "/>
    <s v="SUPER U "/>
    <s v="GEMOZAC"/>
    <s v="ROUTE DE SAINTES"/>
    <n v="17260"/>
    <n v="546942110"/>
    <n v="1"/>
    <x v="12"/>
    <x v="33"/>
    <s v="superu.gemozac.eldph@systeme-u.fr"/>
  </r>
  <r>
    <s v="SUPER U  MIRAMBEAU "/>
    <s v="SUPER U "/>
    <s v="MIRAMBEAU"/>
    <s v="109 AVENUE DE LA REPUBLIQUE"/>
    <n v="17150"/>
    <n v="546497233"/>
    <n v="0"/>
    <x v="0"/>
    <x v="34"/>
    <s v="superu.mirambeau@systeme-u.fr"/>
  </r>
  <r>
    <s v="SUPER U SAUJON  "/>
    <s v="SUPER U"/>
    <s v="SAUJON "/>
    <s v="9 ROUTE DE SAINTES "/>
    <n v="17600"/>
    <n v="546029244"/>
    <n v="0"/>
    <x v="0"/>
    <x v="35"/>
    <s v="superu.saujon@syteme-u.fr"/>
  </r>
  <r>
    <s v="SUPER U TONNAY CHARENTE "/>
    <s v="SUPER U"/>
    <s v="TONNAY CHARENTE"/>
    <s v="RUE LOUIS PASTEUR ZAC DE LA VARENNE"/>
    <n v="17430"/>
    <n v="546880157"/>
    <n v="2"/>
    <x v="13"/>
    <x v="36"/>
    <s v="superu.chateauneufsurcharente.managerderayon@systeme-u.fr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3" cacheId="4" applyNumberFormats="0" applyBorderFormats="0" applyFontFormats="0" applyPatternFormats="0" applyAlignmentFormats="0" applyWidthHeightFormats="1" dataCaption="Valeurs" updatedVersion="3" minRefreshableVersion="3" useAutoFormatting="1" itemPrintTitles="1" createdVersion="5" indent="0" outline="1" outlineData="1" multipleFieldFilters="0" chartFormat="11">
  <location ref="A3:B41" firstHeaderRow="1" firstDataRow="1" firstDataCol="1" rowPageCount="1" colPageCount="1"/>
  <pivotFields count="10">
    <pivotField showAll="0"/>
    <pivotField showAll="0"/>
    <pivotField showAll="0"/>
    <pivotField showAll="0"/>
    <pivotField showAll="0"/>
    <pivotField showAll="0"/>
    <pivotField showAll="0"/>
    <pivotField axis="axisPage" dataField="1" numFmtId="168" multipleItemSelectionAllowed="1" showAll="0">
      <items count="16">
        <item x="0"/>
        <item x="10"/>
        <item x="7"/>
        <item x="11"/>
        <item x="8"/>
        <item x="4"/>
        <item x="1"/>
        <item x="9"/>
        <item x="3"/>
        <item x="5"/>
        <item x="13"/>
        <item m="1" x="14"/>
        <item x="6"/>
        <item x="12"/>
        <item x="2"/>
        <item t="default"/>
      </items>
    </pivotField>
    <pivotField axis="axisRow" showAll="0">
      <items count="3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m="1" x="37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x="36"/>
        <item t="default" sd="0"/>
      </items>
    </pivotField>
    <pivotField showAll="0" defaultSubtotal="0"/>
  </pivotFields>
  <rowFields count="1">
    <field x="8"/>
  </rowFields>
  <rowItems count="3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 t="grand">
      <x/>
    </i>
  </rowItems>
  <colItems count="1">
    <i/>
  </colItems>
  <pageFields count="1">
    <pageField fld="7" hier="-1"/>
  </pageFields>
  <dataFields count="1">
    <dataField name="Somme de CA € TTC" fld="7" baseField="0" baseItem="0" numFmtId="168"/>
  </dataFields>
  <formats count="5">
    <format dxfId="23">
      <pivotArea outline="0" collapsedLevelsAreSubtotals="1" fieldPosition="0"/>
    </format>
    <format dxfId="22">
      <pivotArea dataOnly="0" labelOnly="1" outline="0" fieldPosition="0">
        <references count="1">
          <reference field="7" count="0"/>
        </references>
      </pivotArea>
    </format>
    <format dxfId="21">
      <pivotArea dataOnly="0" labelOnly="1" outline="0" axis="axisValues" fieldPosition="0"/>
    </format>
    <format dxfId="20">
      <pivotArea collapsedLevelsAreSubtotals="1" fieldPosition="0">
        <references count="1">
          <reference field="8" count="1">
            <x v="9"/>
          </reference>
        </references>
      </pivotArea>
    </format>
    <format dxfId="19">
      <pivotArea collapsedLevelsAreSubtotals="1" fieldPosition="0">
        <references count="1">
          <reference field="8" count="1">
            <x v="9"/>
          </reference>
        </references>
      </pivotArea>
    </format>
  </formats>
  <chartFormats count="1"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Catalogue" displayName="Catalogue" ref="A1:E51" totalsRowShown="0" headerRowDxfId="30" headerRowBorderDxfId="29" tableBorderDxfId="28">
  <autoFilter ref="A1:E51"/>
  <tableColumns count="5">
    <tableColumn id="1" name="DESIGNATION  DU PRODUIT " dataDxfId="27"/>
    <tableColumn id="2" name="EAN " dataDxfId="26"/>
    <tableColumn id="3" name="TVA" dataDxfId="25"/>
    <tableColumn id="4" name="PU HT " dataDxfId="24"/>
    <tableColumn id="5" name="TTC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J38" totalsRowShown="0" headerRowDxfId="18" dataDxfId="16" headerRowBorderDxfId="17" tableBorderDxfId="15">
  <autoFilter ref="A1:J38"/>
  <sortState ref="A2:J39">
    <sortCondition ref="A1:A39"/>
  </sortState>
  <tableColumns count="10">
    <tableColumn id="1" name="Identifiant " dataDxfId="14">
      <calculatedColumnFormula>CONCATENATE(B2," ",C2," " )</calculatedColumnFormula>
    </tableColumn>
    <tableColumn id="2" name="ENSEIGNE" dataDxfId="13"/>
    <tableColumn id="3" name="VILLE" dataDxfId="12"/>
    <tableColumn id="4" name="ADRESSE" dataDxfId="11"/>
    <tableColumn id="5" name="CP" dataDxfId="10"/>
    <tableColumn id="6" name="TEL " dataDxfId="9"/>
    <tableColumn id="7" name="commandes" dataDxfId="8">
      <calculatedColumnFormula>COUNTIF('historique des commandes '!B:B,Identifiant)</calculatedColumnFormula>
    </tableColumn>
    <tableColumn id="8" name="CA € TTC" dataDxfId="7">
      <calculatedColumnFormula>SUMIF('historique des commandes '!B:B,A2,'historique des commandes '!D:D)</calculatedColumnFormula>
    </tableColumn>
    <tableColumn id="9" name="identifiant" dataDxfId="6">
      <calculatedColumnFormula>A2</calculatedColumnFormula>
    </tableColumn>
    <tableColumn id="10" name="@" dataDxfId="5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mailto:superu.chateauneufsurcharente.managerderayon@systeme-u.fr" TargetMode="External"/><Relationship Id="rId13" Type="http://schemas.openxmlformats.org/officeDocument/2006/relationships/hyperlink" Target="mailto:eldph760@coop-atlantique.fr" TargetMode="External"/><Relationship Id="rId18" Type="http://schemas.openxmlformats.org/officeDocument/2006/relationships/hyperlink" Target="mailto:pdv55237@mousquetaires.com" TargetMode="External"/><Relationship Id="rId26" Type="http://schemas.openxmlformats.org/officeDocument/2006/relationships/hyperlink" Target="mailto:liquide.rocadis@scachap.fr;cave.rocadis@scachap.fr" TargetMode="External"/><Relationship Id="rId3" Type="http://schemas.openxmlformats.org/officeDocument/2006/relationships/hyperlink" Target="mailto:mtrichard@groupe-casino.fr" TargetMode="External"/><Relationship Id="rId21" Type="http://schemas.openxmlformats.org/officeDocument/2006/relationships/hyperlink" Target="mailto:pgc.rudis@scachap.fr" TargetMode="External"/><Relationship Id="rId7" Type="http://schemas.openxmlformats.org/officeDocument/2006/relationships/hyperlink" Target="mailto:superu.fouras.eldph@systeme-u.fr" TargetMode="External"/><Relationship Id="rId12" Type="http://schemas.openxmlformats.org/officeDocument/2006/relationships/hyperlink" Target="mailto:superu.gemozac.eldph@systeme-u.fr" TargetMode="External"/><Relationship Id="rId17" Type="http://schemas.openxmlformats.org/officeDocument/2006/relationships/hyperlink" Target="mailto:pdv09598@mousquetaires.com" TargetMode="External"/><Relationship Id="rId25" Type="http://schemas.openxmlformats.org/officeDocument/2006/relationships/hyperlink" Target="mailto:liquide.sam@scachap.fr" TargetMode="External"/><Relationship Id="rId2" Type="http://schemas.openxmlformats.org/officeDocument/2006/relationships/hyperlink" Target="mailto:dlucas@auchan.fr;stbesson@auchan.fr;mmonteil@auchan.fr" TargetMode="External"/><Relationship Id="rId16" Type="http://schemas.openxmlformats.org/officeDocument/2006/relationships/hyperlink" Target="mailto:pdv07651@mousquetaires.com" TargetMode="External"/><Relationship Id="rId20" Type="http://schemas.openxmlformats.org/officeDocument/2006/relationships/hyperlink" Target="mailto:pdv09621@mousquetaires.com" TargetMode="External"/><Relationship Id="rId29" Type="http://schemas.openxmlformats.org/officeDocument/2006/relationships/hyperlink" Target="mailto:pascal.blondeau@scaso.fr" TargetMode="External"/><Relationship Id="rId1" Type="http://schemas.openxmlformats.org/officeDocument/2006/relationships/hyperlink" Target="mailto:fgoujeaud@coop-atlantique.fr" TargetMode="External"/><Relationship Id="rId6" Type="http://schemas.openxmlformats.org/officeDocument/2006/relationships/hyperlink" Target="mailto:superu.saujon@syteme-u.fr" TargetMode="External"/><Relationship Id="rId11" Type="http://schemas.openxmlformats.org/officeDocument/2006/relationships/hyperlink" Target="mailto:superu.echillais.eldph@systeme-u.fr" TargetMode="External"/><Relationship Id="rId24" Type="http://schemas.openxmlformats.org/officeDocument/2006/relationships/hyperlink" Target="mailto:pgc.sodiroche@scachap.fr" TargetMode="External"/><Relationship Id="rId5" Type="http://schemas.openxmlformats.org/officeDocument/2006/relationships/hyperlink" Target="mailto:jganthy@coop-atlantique.fr" TargetMode="External"/><Relationship Id="rId15" Type="http://schemas.openxmlformats.org/officeDocument/2006/relationships/hyperlink" Target="mailto:pdv09582@mousquetaires.com" TargetMode="External"/><Relationship Id="rId23" Type="http://schemas.openxmlformats.org/officeDocument/2006/relationships/hyperlink" Target="mailto:liquide.sidore@scachap.fr" TargetMode="External"/><Relationship Id="rId28" Type="http://schemas.openxmlformats.org/officeDocument/2006/relationships/hyperlink" Target="mailto:superu.mirambeau@systeme-u.fr" TargetMode="External"/><Relationship Id="rId10" Type="http://schemas.openxmlformats.org/officeDocument/2006/relationships/hyperlink" Target="mailto:pdv09413@mousquetaires.com" TargetMode="External"/><Relationship Id="rId19" Type="http://schemas.openxmlformats.org/officeDocument/2006/relationships/hyperlink" Target="mailto:pdv09115@mousquetaires.com" TargetMode="External"/><Relationship Id="rId31" Type="http://schemas.openxmlformats.org/officeDocument/2006/relationships/table" Target="../tables/table2.xml"/><Relationship Id="rId4" Type="http://schemas.openxmlformats.org/officeDocument/2006/relationships/hyperlink" Target="mailto:vxicluna@auchan.fr" TargetMode="External"/><Relationship Id="rId9" Type="http://schemas.openxmlformats.org/officeDocument/2006/relationships/hyperlink" Target="mailto:achanudet@auchan.fr" TargetMode="External"/><Relationship Id="rId14" Type="http://schemas.openxmlformats.org/officeDocument/2006/relationships/hyperlink" Target="mailto:dintermarche@wanadoo.fr" TargetMode="External"/><Relationship Id="rId22" Type="http://schemas.openxmlformats.org/officeDocument/2006/relationships/hyperlink" Target="mailto:liquide.sodisroy@scachap.fr;cave.sodisroy@scachap.fr" TargetMode="External"/><Relationship Id="rId27" Type="http://schemas.openxmlformats.org/officeDocument/2006/relationships/hyperlink" Target="mailto:pascal.blondeau@scaso.fr" TargetMode="External"/><Relationship Id="rId30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G51"/>
  <sheetViews>
    <sheetView workbookViewId="0">
      <selection activeCell="G7" sqref="G7"/>
    </sheetView>
  </sheetViews>
  <sheetFormatPr baseColWidth="10" defaultRowHeight="14.5"/>
  <cols>
    <col min="1" max="1" width="50.90625" bestFit="1" customWidth="1"/>
    <col min="2" max="2" width="16.453125" bestFit="1" customWidth="1"/>
    <col min="4" max="4" width="13.453125" bestFit="1" customWidth="1"/>
  </cols>
  <sheetData>
    <row r="1" spans="1:7" ht="15" thickBot="1">
      <c r="A1" s="28" t="s">
        <v>6</v>
      </c>
      <c r="B1" s="29" t="s">
        <v>0</v>
      </c>
      <c r="C1" s="29" t="s">
        <v>5</v>
      </c>
      <c r="D1" s="30" t="s">
        <v>3</v>
      </c>
      <c r="E1" s="35" t="s">
        <v>58</v>
      </c>
    </row>
    <row r="2" spans="1:7" ht="16" thickTop="1">
      <c r="A2" s="21" t="s">
        <v>45</v>
      </c>
      <c r="B2" s="4">
        <v>3242890001652</v>
      </c>
      <c r="C2" s="1"/>
      <c r="D2" s="25">
        <v>7.36</v>
      </c>
      <c r="E2" s="36">
        <f>Catalogue[[#This Row],[PU HT ]]+Catalogue[[#This Row],[PU HT ]]*tva_20</f>
        <v>8.8320000000000007</v>
      </c>
      <c r="F2" s="37">
        <v>0.2</v>
      </c>
      <c r="G2" s="38"/>
    </row>
    <row r="3" spans="1:7" ht="15.5">
      <c r="A3" s="22" t="s">
        <v>46</v>
      </c>
      <c r="B3" s="5">
        <v>3242890001669</v>
      </c>
      <c r="C3" s="1"/>
      <c r="D3" s="25">
        <v>7.36</v>
      </c>
      <c r="E3" s="39"/>
      <c r="F3" s="34"/>
      <c r="G3" s="40"/>
    </row>
    <row r="4" spans="1:7" ht="15.5">
      <c r="A4" s="23" t="s">
        <v>47</v>
      </c>
      <c r="B4" s="4">
        <v>3242890001546</v>
      </c>
      <c r="C4" s="1"/>
      <c r="D4" s="25">
        <v>5.78</v>
      </c>
      <c r="E4" s="39"/>
      <c r="F4" s="34"/>
      <c r="G4" s="40"/>
    </row>
    <row r="5" spans="1:7" ht="16" thickBot="1">
      <c r="A5" s="24" t="s">
        <v>48</v>
      </c>
      <c r="B5" s="4">
        <v>3242890001553</v>
      </c>
      <c r="C5" s="1"/>
      <c r="D5" s="25">
        <v>5.78</v>
      </c>
      <c r="E5" s="41">
        <f>Catalogue[[#This Row],[PU HT ]]+Catalogue[[#This Row],[PU HT ]]*F5</f>
        <v>6.9359999999999999</v>
      </c>
      <c r="F5" s="42">
        <v>0.2</v>
      </c>
      <c r="G5" s="43"/>
    </row>
    <row r="6" spans="1:7" ht="16" thickTop="1">
      <c r="A6" s="24" t="s">
        <v>7</v>
      </c>
      <c r="B6" s="4">
        <v>3242890001812</v>
      </c>
      <c r="C6" s="1"/>
      <c r="D6" s="25">
        <v>4.87</v>
      </c>
    </row>
    <row r="7" spans="1:7" ht="15.5">
      <c r="A7" s="24" t="s">
        <v>8</v>
      </c>
      <c r="B7" s="4">
        <v>3242890001829</v>
      </c>
      <c r="C7" s="1"/>
      <c r="D7" s="25">
        <v>4.87</v>
      </c>
    </row>
    <row r="8" spans="1:7" ht="15.5">
      <c r="A8" s="24" t="s">
        <v>9</v>
      </c>
      <c r="B8" s="4">
        <v>3242890001898</v>
      </c>
      <c r="C8" s="1"/>
      <c r="D8" s="25">
        <v>13.48</v>
      </c>
    </row>
    <row r="9" spans="1:7" ht="15.5">
      <c r="A9" s="24" t="s">
        <v>10</v>
      </c>
      <c r="B9" s="4">
        <v>3242890001805</v>
      </c>
      <c r="C9" s="1"/>
      <c r="D9" s="25">
        <v>13.48</v>
      </c>
    </row>
    <row r="10" spans="1:7" ht="15.5">
      <c r="A10" s="24" t="s">
        <v>49</v>
      </c>
      <c r="B10" s="4">
        <v>3242890005261</v>
      </c>
      <c r="C10" s="1"/>
      <c r="D10" s="25">
        <v>8.17</v>
      </c>
    </row>
    <row r="11" spans="1:7" ht="15.5">
      <c r="A11" s="24" t="s">
        <v>50</v>
      </c>
      <c r="B11" s="4">
        <v>3242890005278</v>
      </c>
      <c r="C11" s="1"/>
      <c r="D11" s="25">
        <v>8.17</v>
      </c>
    </row>
    <row r="12" spans="1:7" ht="15.5">
      <c r="A12" s="24" t="s">
        <v>11</v>
      </c>
      <c r="B12" s="4">
        <v>3242890001683</v>
      </c>
      <c r="C12" s="1"/>
      <c r="D12" s="26">
        <v>10.87</v>
      </c>
    </row>
    <row r="13" spans="1:7" ht="15.5">
      <c r="A13" s="22" t="s">
        <v>12</v>
      </c>
      <c r="B13" s="4">
        <v>3349524605030</v>
      </c>
      <c r="C13" s="1"/>
      <c r="D13" s="25">
        <v>8.84</v>
      </c>
    </row>
    <row r="14" spans="1:7" ht="15.5">
      <c r="A14" s="22" t="s">
        <v>13</v>
      </c>
      <c r="B14" s="4">
        <v>3349524605344</v>
      </c>
      <c r="C14" s="1"/>
      <c r="D14" s="25">
        <v>8.84</v>
      </c>
    </row>
    <row r="15" spans="1:7" ht="15.5">
      <c r="A15" s="24" t="s">
        <v>14</v>
      </c>
      <c r="B15" s="6">
        <v>3242890009016</v>
      </c>
      <c r="C15" s="1"/>
      <c r="D15" s="25">
        <v>8.4700000000000006</v>
      </c>
    </row>
    <row r="16" spans="1:7" ht="15.5">
      <c r="A16" s="24" t="s">
        <v>15</v>
      </c>
      <c r="B16" s="6">
        <v>3242890009023</v>
      </c>
      <c r="C16" s="1"/>
      <c r="D16" s="25">
        <v>8.4700000000000006</v>
      </c>
    </row>
    <row r="17" spans="1:4" ht="15.5">
      <c r="A17" s="24" t="s">
        <v>16</v>
      </c>
      <c r="B17" s="6">
        <v>3242890009030</v>
      </c>
      <c r="C17" s="1"/>
      <c r="D17" s="25">
        <v>8.4700000000000006</v>
      </c>
    </row>
    <row r="18" spans="1:4" ht="15.5">
      <c r="A18" s="24" t="s">
        <v>17</v>
      </c>
      <c r="B18" s="6">
        <v>3242890009412</v>
      </c>
      <c r="C18" s="1"/>
      <c r="D18" s="25">
        <v>6.15</v>
      </c>
    </row>
    <row r="19" spans="1:4" ht="15.5">
      <c r="A19" s="24" t="s">
        <v>18</v>
      </c>
      <c r="B19" s="6">
        <v>3242890009429</v>
      </c>
      <c r="C19" s="1"/>
      <c r="D19" s="25">
        <v>6.15</v>
      </c>
    </row>
    <row r="20" spans="1:4" ht="15.5">
      <c r="A20" s="24" t="s">
        <v>19</v>
      </c>
      <c r="B20" s="6">
        <v>3242890009436</v>
      </c>
      <c r="C20" s="1"/>
      <c r="D20" s="25">
        <v>6.15</v>
      </c>
    </row>
    <row r="21" spans="1:4" ht="15.5">
      <c r="A21" s="24" t="s">
        <v>20</v>
      </c>
      <c r="B21" s="4">
        <v>3242890009146</v>
      </c>
      <c r="C21" s="1"/>
      <c r="D21" s="25">
        <v>12.99</v>
      </c>
    </row>
    <row r="22" spans="1:4" ht="15.5">
      <c r="A22" s="24" t="s">
        <v>21</v>
      </c>
      <c r="B22" s="4">
        <v>3242890009450</v>
      </c>
      <c r="C22" s="1"/>
      <c r="D22" s="25">
        <v>12.99</v>
      </c>
    </row>
    <row r="23" spans="1:4" ht="15.5">
      <c r="A23" s="24" t="s">
        <v>22</v>
      </c>
      <c r="B23" s="4">
        <v>3242890009115</v>
      </c>
      <c r="C23" s="1"/>
      <c r="D23" s="25">
        <v>9.81</v>
      </c>
    </row>
    <row r="24" spans="1:4" ht="15.5">
      <c r="A24" s="24" t="s">
        <v>23</v>
      </c>
      <c r="B24" s="4">
        <v>3242890009122</v>
      </c>
      <c r="C24" s="1"/>
      <c r="D24" s="25">
        <v>9.81</v>
      </c>
    </row>
    <row r="25" spans="1:4" ht="15.5">
      <c r="A25" s="24" t="s">
        <v>24</v>
      </c>
      <c r="B25" s="4">
        <v>3242890009139</v>
      </c>
      <c r="C25" s="1"/>
      <c r="D25" s="25">
        <v>9.81</v>
      </c>
    </row>
    <row r="26" spans="1:4" ht="15.5">
      <c r="A26" s="24" t="s">
        <v>25</v>
      </c>
      <c r="B26" s="6">
        <v>3242890009153</v>
      </c>
      <c r="C26" s="1"/>
      <c r="D26" s="25">
        <v>9.81</v>
      </c>
    </row>
    <row r="27" spans="1:4" ht="15.5">
      <c r="A27" s="24" t="s">
        <v>26</v>
      </c>
      <c r="B27" s="6">
        <v>3242890009160</v>
      </c>
      <c r="C27" s="1"/>
      <c r="D27" s="25">
        <v>9.81</v>
      </c>
    </row>
    <row r="28" spans="1:4" ht="15.5">
      <c r="A28" s="24" t="s">
        <v>27</v>
      </c>
      <c r="B28" s="6">
        <v>3242890009177</v>
      </c>
      <c r="C28" s="1"/>
      <c r="D28" s="25">
        <v>9.81</v>
      </c>
    </row>
    <row r="29" spans="1:4" ht="15.5">
      <c r="A29" s="24" t="s">
        <v>28</v>
      </c>
      <c r="B29" s="6">
        <v>3242890009047</v>
      </c>
      <c r="C29" s="1"/>
      <c r="D29" s="27">
        <v>16.12</v>
      </c>
    </row>
    <row r="30" spans="1:4" ht="15.5">
      <c r="A30" s="24" t="s">
        <v>29</v>
      </c>
      <c r="B30" s="7">
        <v>3242890001607</v>
      </c>
      <c r="C30" s="1"/>
      <c r="D30" s="26">
        <v>12.64</v>
      </c>
    </row>
    <row r="31" spans="1:4" ht="15.5">
      <c r="A31" s="24" t="s">
        <v>30</v>
      </c>
      <c r="B31" s="7">
        <v>3242890001560</v>
      </c>
      <c r="C31" s="1"/>
      <c r="D31" s="26">
        <v>14.62</v>
      </c>
    </row>
    <row r="32" spans="1:4" ht="15.5">
      <c r="A32" s="24" t="s">
        <v>31</v>
      </c>
      <c r="B32" s="7">
        <v>3242890001713</v>
      </c>
      <c r="C32" s="1"/>
      <c r="D32" s="26">
        <v>16.36</v>
      </c>
    </row>
    <row r="33" spans="1:4" ht="15.5">
      <c r="A33" s="24" t="s">
        <v>32</v>
      </c>
      <c r="B33" s="7">
        <v>3242890001737</v>
      </c>
      <c r="C33" s="1"/>
      <c r="D33" s="26">
        <v>25.53</v>
      </c>
    </row>
    <row r="34" spans="1:4" ht="15.5">
      <c r="A34" s="24" t="s">
        <v>33</v>
      </c>
      <c r="B34" s="7">
        <v>3242890001690</v>
      </c>
      <c r="C34" s="1"/>
      <c r="D34" s="26">
        <v>28.06</v>
      </c>
    </row>
    <row r="35" spans="1:4" ht="15.5">
      <c r="A35" s="21" t="s">
        <v>34</v>
      </c>
      <c r="B35" s="7">
        <v>3242890001645</v>
      </c>
      <c r="C35" s="1"/>
      <c r="D35" s="26">
        <v>33.03</v>
      </c>
    </row>
    <row r="36" spans="1:4" ht="15.5">
      <c r="A36" s="22" t="s">
        <v>35</v>
      </c>
      <c r="B36" s="7">
        <v>3242890001751</v>
      </c>
      <c r="C36" s="1"/>
      <c r="D36" s="26">
        <v>12.64</v>
      </c>
    </row>
    <row r="37" spans="1:4" ht="15.5">
      <c r="A37" s="22" t="s">
        <v>36</v>
      </c>
      <c r="B37" s="7">
        <v>3242890002017</v>
      </c>
      <c r="C37" s="1"/>
      <c r="D37" s="25">
        <v>1.81</v>
      </c>
    </row>
    <row r="38" spans="1:4" ht="15.5">
      <c r="A38" s="22" t="s">
        <v>37</v>
      </c>
      <c r="B38" s="7">
        <v>3242890002031</v>
      </c>
      <c r="C38" s="1"/>
      <c r="D38" s="25">
        <v>1.81</v>
      </c>
    </row>
    <row r="39" spans="1:4" ht="15.5">
      <c r="A39" s="22" t="s">
        <v>38</v>
      </c>
      <c r="B39" s="7">
        <v>3242890002024</v>
      </c>
      <c r="C39" s="1"/>
      <c r="D39" s="25">
        <v>1.81</v>
      </c>
    </row>
    <row r="40" spans="1:4" ht="15.5">
      <c r="A40" s="24" t="s">
        <v>39</v>
      </c>
      <c r="B40" s="4">
        <v>3242890002048</v>
      </c>
      <c r="C40" s="1"/>
      <c r="D40" s="25">
        <v>5.77</v>
      </c>
    </row>
    <row r="41" spans="1:4" ht="15.5">
      <c r="A41" s="24" t="s">
        <v>40</v>
      </c>
      <c r="B41" s="4">
        <v>3242890002062</v>
      </c>
      <c r="C41" s="1"/>
      <c r="D41" s="25">
        <v>5.77</v>
      </c>
    </row>
    <row r="42" spans="1:4" ht="15.5">
      <c r="A42" s="24" t="s">
        <v>41</v>
      </c>
      <c r="B42" s="4">
        <v>3242890002055</v>
      </c>
      <c r="C42" s="1"/>
      <c r="D42" s="25">
        <v>5.77</v>
      </c>
    </row>
    <row r="43" spans="1:4" ht="15.5">
      <c r="A43" s="24" t="s">
        <v>42</v>
      </c>
      <c r="B43" s="4">
        <v>3242890002512</v>
      </c>
      <c r="C43" s="1"/>
      <c r="D43" s="25">
        <v>2.0099999999999998</v>
      </c>
    </row>
    <row r="44" spans="1:4" ht="15.5">
      <c r="A44" s="24" t="s">
        <v>43</v>
      </c>
      <c r="B44" s="4">
        <v>3242890002536</v>
      </c>
      <c r="C44" s="1"/>
      <c r="D44" s="25">
        <v>2.0099999999999998</v>
      </c>
    </row>
    <row r="45" spans="1:4" ht="15.5">
      <c r="A45" s="24" t="s">
        <v>44</v>
      </c>
      <c r="B45" s="4">
        <v>3242890002529</v>
      </c>
      <c r="C45" s="1"/>
      <c r="D45" s="25">
        <v>2.0099999999999998</v>
      </c>
    </row>
    <row r="46" spans="1:4" ht="15.5">
      <c r="A46" s="22" t="s">
        <v>51</v>
      </c>
      <c r="B46" s="7">
        <v>3242890008019</v>
      </c>
      <c r="C46" s="1"/>
      <c r="D46" s="25">
        <v>7.65</v>
      </c>
    </row>
    <row r="47" spans="1:4" ht="15.5">
      <c r="A47" s="22" t="s">
        <v>52</v>
      </c>
      <c r="B47" s="7">
        <v>3242890008026</v>
      </c>
      <c r="C47" s="1"/>
      <c r="D47" s="25">
        <v>7.65</v>
      </c>
    </row>
    <row r="48" spans="1:4" ht="15.5">
      <c r="A48" s="22" t="s">
        <v>53</v>
      </c>
      <c r="B48" s="7">
        <v>3242890008149</v>
      </c>
      <c r="C48" s="1"/>
      <c r="D48" s="25">
        <v>7.65</v>
      </c>
    </row>
    <row r="49" spans="1:4" ht="15.5">
      <c r="A49" s="24" t="s">
        <v>54</v>
      </c>
      <c r="B49" s="4">
        <v>3242890008156</v>
      </c>
      <c r="C49" s="1"/>
      <c r="D49" s="25">
        <v>7.65</v>
      </c>
    </row>
    <row r="50" spans="1:4" ht="15.5">
      <c r="A50" s="24" t="s">
        <v>55</v>
      </c>
      <c r="B50" s="4">
        <v>3242890008064</v>
      </c>
      <c r="C50" s="1"/>
      <c r="D50" s="25">
        <v>5.92</v>
      </c>
    </row>
    <row r="51" spans="1:4" ht="15.5">
      <c r="A51" s="21" t="s">
        <v>56</v>
      </c>
      <c r="B51" s="31">
        <v>3242890008071</v>
      </c>
      <c r="C51" s="32"/>
      <c r="D51" s="33">
        <v>5.92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F32"/>
  <sheetViews>
    <sheetView showWhiteSpace="0" view="pageLayout" topLeftCell="A10" workbookViewId="0"/>
  </sheetViews>
  <sheetFormatPr baseColWidth="10" defaultRowHeight="14.5"/>
  <cols>
    <col min="1" max="1" width="20.453125" customWidth="1"/>
    <col min="2" max="2" width="14" customWidth="1"/>
    <col min="3" max="3" width="4.90625" customWidth="1"/>
    <col min="4" max="4" width="10.54296875" customWidth="1"/>
    <col min="5" max="5" width="9.6328125" bestFit="1" customWidth="1"/>
    <col min="6" max="6" width="11.54296875" customWidth="1"/>
  </cols>
  <sheetData>
    <row r="1" spans="1:6" ht="73.5" customHeight="1">
      <c r="A1" s="19" t="s">
        <v>59</v>
      </c>
      <c r="B1" s="20"/>
      <c r="C1" s="20"/>
      <c r="D1" s="147">
        <f ca="1">TODAY()</f>
        <v>43930</v>
      </c>
      <c r="E1" s="147"/>
      <c r="F1" s="147"/>
    </row>
    <row r="2" spans="1:6">
      <c r="A2" s="44"/>
    </row>
    <row r="3" spans="1:6" ht="15" customHeight="1">
      <c r="D3" s="148"/>
      <c r="E3" s="148"/>
      <c r="F3" s="148"/>
    </row>
    <row r="4" spans="1:6">
      <c r="D4" s="149" t="str">
        <f>IF(D3="","",VLOOKUP(D3,'Clients '!A:F,4,0))</f>
        <v/>
      </c>
      <c r="E4" s="149"/>
      <c r="F4" s="149"/>
    </row>
    <row r="5" spans="1:6">
      <c r="D5" s="150" t="str">
        <f>IF(D3="","",CONCATENATE(VLOOKUP(D3,'Clients '!A:F,5,0)," ",VLOOKUP(D3,'Clients '!A:F,3,0)))</f>
        <v/>
      </c>
      <c r="E5" s="150"/>
      <c r="F5" s="150"/>
    </row>
    <row r="6" spans="1:6">
      <c r="D6" s="151" t="str">
        <f>IF(D3="","",VLOOKUP(D3,'Clients '!A:F,6,FALSE))</f>
        <v/>
      </c>
      <c r="E6" s="151"/>
      <c r="F6" s="151"/>
    </row>
    <row r="7" spans="1:6" ht="15" thickBot="1">
      <c r="D7" s="45"/>
      <c r="E7" s="45"/>
      <c r="F7" s="45"/>
    </row>
    <row r="8" spans="1:6" ht="15" thickBot="1">
      <c r="A8" s="20" t="s">
        <v>71</v>
      </c>
      <c r="B8" s="47"/>
    </row>
    <row r="10" spans="1:6">
      <c r="A10" s="2" t="s">
        <v>1</v>
      </c>
      <c r="B10" s="2" t="s">
        <v>0</v>
      </c>
      <c r="C10" s="2" t="s">
        <v>2</v>
      </c>
      <c r="D10" s="2" t="s">
        <v>3</v>
      </c>
      <c r="E10" s="2" t="s">
        <v>4</v>
      </c>
    </row>
    <row r="11" spans="1:6">
      <c r="A11" s="13"/>
      <c r="B11" s="12" t="str">
        <f>IF(A11="","",VLOOKUP(A11,'Catalogue '!$A$2:$B$53,2,FALSE))</f>
        <v/>
      </c>
      <c r="C11" s="11" t="str">
        <f>IF(A11="","",1)</f>
        <v/>
      </c>
      <c r="D11" s="14" t="str">
        <f>IF(A11="","",VLOOKUP(A11,Catalogue[],4,FALSE))</f>
        <v/>
      </c>
      <c r="E11" s="67" t="str">
        <f>IF(A11="","",D11*C11)</f>
        <v/>
      </c>
    </row>
    <row r="12" spans="1:6">
      <c r="A12" s="13"/>
      <c r="B12" s="12" t="str">
        <f>IF(A12="","",VLOOKUP(A12,'Catalogue '!$A$2:$B$53,2,FALSE))</f>
        <v/>
      </c>
      <c r="C12" s="11" t="str">
        <f t="shared" ref="C12:C28" si="0">IF(A12="","",1)</f>
        <v/>
      </c>
      <c r="D12" s="14" t="str">
        <f>IF(A12="","",VLOOKUP(A12,Catalogue[],4,FALSE))</f>
        <v/>
      </c>
      <c r="E12" s="8" t="str">
        <f t="shared" ref="E12:E28" si="1">IF(A12="","",D12*C12)</f>
        <v/>
      </c>
    </row>
    <row r="13" spans="1:6">
      <c r="A13" s="13"/>
      <c r="B13" s="12" t="str">
        <f>IF(A13="","",VLOOKUP(A13,'Catalogue '!$A$2:$B$53,2,FALSE))</f>
        <v/>
      </c>
      <c r="C13" s="11" t="str">
        <f t="shared" si="0"/>
        <v/>
      </c>
      <c r="D13" s="14" t="str">
        <f>IF(A13="","",VLOOKUP(A13,Catalogue[],4,FALSE))</f>
        <v/>
      </c>
      <c r="E13" s="8" t="str">
        <f t="shared" si="1"/>
        <v/>
      </c>
    </row>
    <row r="14" spans="1:6">
      <c r="A14" s="13"/>
      <c r="B14" s="12" t="str">
        <f>IF(A14="","",VLOOKUP(A14,'Catalogue '!$A$2:$B$53,2,FALSE))</f>
        <v/>
      </c>
      <c r="C14" s="11" t="str">
        <f t="shared" si="0"/>
        <v/>
      </c>
      <c r="D14" s="14" t="str">
        <f>IF(A14="","",VLOOKUP(A14,Catalogue[],4,FALSE))</f>
        <v/>
      </c>
      <c r="E14" s="8" t="str">
        <f t="shared" si="1"/>
        <v/>
      </c>
    </row>
    <row r="15" spans="1:6">
      <c r="A15" s="13"/>
      <c r="B15" s="12" t="str">
        <f>IF(A15="","",VLOOKUP(A15,'Catalogue '!$A$2:$B$53,2,FALSE))</f>
        <v/>
      </c>
      <c r="C15" s="11" t="str">
        <f t="shared" si="0"/>
        <v/>
      </c>
      <c r="D15" s="14" t="str">
        <f>IF(A15="","",VLOOKUP(A15,Catalogue[],4,FALSE))</f>
        <v/>
      </c>
      <c r="E15" s="8" t="str">
        <f t="shared" si="1"/>
        <v/>
      </c>
    </row>
    <row r="16" spans="1:6">
      <c r="A16" s="13"/>
      <c r="B16" s="12" t="str">
        <f>IF(A16="","",VLOOKUP(A16,'Catalogue '!$A$2:$B$53,2,FALSE))</f>
        <v/>
      </c>
      <c r="C16" s="11" t="str">
        <f t="shared" si="0"/>
        <v/>
      </c>
      <c r="D16" s="14" t="str">
        <f>IF(A16="","",VLOOKUP(A16,Catalogue[],4,FALSE))</f>
        <v/>
      </c>
      <c r="E16" s="8" t="str">
        <f t="shared" si="1"/>
        <v/>
      </c>
    </row>
    <row r="17" spans="1:5">
      <c r="A17" s="13"/>
      <c r="B17" s="12" t="str">
        <f>IF(A17="","",VLOOKUP(A17,'Catalogue '!$A$2:$B$53,2,FALSE))</f>
        <v/>
      </c>
      <c r="C17" s="11" t="str">
        <f t="shared" si="0"/>
        <v/>
      </c>
      <c r="D17" s="14" t="str">
        <f>IF(A17="","",VLOOKUP(A17,Catalogue[],4,FALSE))</f>
        <v/>
      </c>
      <c r="E17" s="8" t="str">
        <f t="shared" si="1"/>
        <v/>
      </c>
    </row>
    <row r="18" spans="1:5">
      <c r="A18" s="13"/>
      <c r="B18" s="12" t="str">
        <f>IF(A18="","",VLOOKUP(A18,'Catalogue '!$A$2:$B$53,2,FALSE))</f>
        <v/>
      </c>
      <c r="C18" s="11" t="str">
        <f t="shared" si="0"/>
        <v/>
      </c>
      <c r="D18" s="14" t="str">
        <f>IF(A18="","",VLOOKUP(A18,Catalogue[],4,FALSE))</f>
        <v/>
      </c>
      <c r="E18" s="8" t="str">
        <f t="shared" si="1"/>
        <v/>
      </c>
    </row>
    <row r="19" spans="1:5">
      <c r="A19" s="13"/>
      <c r="B19" s="12" t="str">
        <f>IF(A19="","",VLOOKUP(A19,'Catalogue '!$A$2:$B$53,2,FALSE))</f>
        <v/>
      </c>
      <c r="C19" s="11" t="str">
        <f t="shared" si="0"/>
        <v/>
      </c>
      <c r="D19" s="14" t="str">
        <f>IF(A19="","",VLOOKUP(A19,Catalogue[],4,FALSE))</f>
        <v/>
      </c>
      <c r="E19" s="8" t="str">
        <f t="shared" si="1"/>
        <v/>
      </c>
    </row>
    <row r="20" spans="1:5">
      <c r="A20" s="13"/>
      <c r="B20" s="12" t="str">
        <f>IF(A20="","",VLOOKUP(A20,'Catalogue '!$A$2:$B$53,2,FALSE))</f>
        <v/>
      </c>
      <c r="C20" s="11" t="str">
        <f t="shared" si="0"/>
        <v/>
      </c>
      <c r="D20" s="14" t="str">
        <f>IF(A20="","",VLOOKUP(A20,Catalogue[],4,FALSE))</f>
        <v/>
      </c>
      <c r="E20" s="8" t="str">
        <f t="shared" si="1"/>
        <v/>
      </c>
    </row>
    <row r="21" spans="1:5">
      <c r="A21" s="13"/>
      <c r="B21" s="12" t="str">
        <f>IF(A21="","",VLOOKUP(A21,'Catalogue '!$A$2:$B$53,2,FALSE))</f>
        <v/>
      </c>
      <c r="C21" s="11" t="str">
        <f t="shared" si="0"/>
        <v/>
      </c>
      <c r="D21" s="14" t="str">
        <f>IF(A21="","",VLOOKUP(A21,Catalogue[],4,FALSE))</f>
        <v/>
      </c>
      <c r="E21" s="8" t="str">
        <f t="shared" si="1"/>
        <v/>
      </c>
    </row>
    <row r="22" spans="1:5">
      <c r="A22" s="13"/>
      <c r="B22" s="12" t="str">
        <f>IF(A22="","",VLOOKUP(A22,'Catalogue '!$A$2:$B$53,2,FALSE))</f>
        <v/>
      </c>
      <c r="C22" s="11" t="str">
        <f t="shared" si="0"/>
        <v/>
      </c>
      <c r="D22" s="14" t="str">
        <f>IF(A22="","",VLOOKUP(A22,Catalogue[],4,FALSE))</f>
        <v/>
      </c>
      <c r="E22" s="8" t="str">
        <f t="shared" si="1"/>
        <v/>
      </c>
    </row>
    <row r="23" spans="1:5">
      <c r="A23" s="13"/>
      <c r="B23" s="12" t="str">
        <f>IF(A23="","",VLOOKUP(A23,'Catalogue '!$A$2:$B$53,2,FALSE))</f>
        <v/>
      </c>
      <c r="C23" s="11" t="str">
        <f t="shared" si="0"/>
        <v/>
      </c>
      <c r="D23" s="14" t="str">
        <f>IF(A23="","",VLOOKUP(A23,Catalogue[],4,FALSE))</f>
        <v/>
      </c>
      <c r="E23" s="8" t="str">
        <f t="shared" si="1"/>
        <v/>
      </c>
    </row>
    <row r="24" spans="1:5">
      <c r="A24" s="13"/>
      <c r="B24" s="12" t="str">
        <f>IF(A24="","",VLOOKUP(A24,'Catalogue '!$A$2:$B$53,2,FALSE))</f>
        <v/>
      </c>
      <c r="C24" s="11" t="str">
        <f t="shared" si="0"/>
        <v/>
      </c>
      <c r="D24" s="14" t="str">
        <f>IF(A24="","",VLOOKUP(A24,Catalogue[],4,FALSE))</f>
        <v/>
      </c>
      <c r="E24" s="8" t="str">
        <f t="shared" si="1"/>
        <v/>
      </c>
    </row>
    <row r="25" spans="1:5">
      <c r="A25" s="13"/>
      <c r="B25" s="12" t="str">
        <f>IF(A25="","",VLOOKUP(A25,'Catalogue '!$A$2:$B$53,2,FALSE))</f>
        <v/>
      </c>
      <c r="C25" s="11" t="str">
        <f t="shared" si="0"/>
        <v/>
      </c>
      <c r="D25" s="14" t="str">
        <f>IF(A25="","",VLOOKUP(A25,Catalogue[],4,FALSE))</f>
        <v/>
      </c>
      <c r="E25" s="8" t="str">
        <f t="shared" si="1"/>
        <v/>
      </c>
    </row>
    <row r="26" spans="1:5">
      <c r="A26" s="13"/>
      <c r="B26" s="12" t="str">
        <f>IF(A26="","",VLOOKUP(A26,'Catalogue '!$A$2:$B$53,2,FALSE))</f>
        <v/>
      </c>
      <c r="C26" s="11" t="str">
        <f t="shared" si="0"/>
        <v/>
      </c>
      <c r="D26" s="14" t="str">
        <f>IF(A26="","",VLOOKUP(A26,Catalogue[],4,FALSE))</f>
        <v/>
      </c>
      <c r="E26" s="8" t="str">
        <f t="shared" si="1"/>
        <v/>
      </c>
    </row>
    <row r="27" spans="1:5">
      <c r="A27" s="13"/>
      <c r="B27" s="12" t="str">
        <f>IF(A27="","",VLOOKUP(A27,'Catalogue '!$A$2:$B$53,2,FALSE))</f>
        <v/>
      </c>
      <c r="C27" s="11" t="str">
        <f t="shared" si="0"/>
        <v/>
      </c>
      <c r="D27" s="14" t="str">
        <f>IF(A27="","",VLOOKUP(A27,Catalogue[],4,FALSE))</f>
        <v/>
      </c>
      <c r="E27" s="8" t="str">
        <f t="shared" si="1"/>
        <v/>
      </c>
    </row>
    <row r="28" spans="1:5" ht="15" thickBot="1">
      <c r="A28" s="13"/>
      <c r="B28" s="12" t="str">
        <f>IF(A28="","",VLOOKUP(A28,'Catalogue '!$A$2:$B$53,2,FALSE))</f>
        <v/>
      </c>
      <c r="C28" s="11" t="str">
        <f t="shared" si="0"/>
        <v/>
      </c>
      <c r="D28" s="14" t="str">
        <f>IF(A28="","",VLOOKUP(A28,Catalogue[],4,FALSE))</f>
        <v/>
      </c>
      <c r="E28" s="8" t="str">
        <f t="shared" si="1"/>
        <v/>
      </c>
    </row>
    <row r="29" spans="1:5" ht="15" thickBot="1">
      <c r="C29" s="9">
        <f>SUM(C11:C28)</f>
        <v>0</v>
      </c>
      <c r="D29" s="14" t="str">
        <f>IF(A29="","",VLOOKUP(A29,Catalogue[],4,FALSE))</f>
        <v/>
      </c>
      <c r="E29" s="15">
        <f>SUM(E11:E28)</f>
        <v>0</v>
      </c>
    </row>
    <row r="30" spans="1:5">
      <c r="D30" s="14" t="str">
        <f>IF(A30="","",VLOOKUP(A30,Catalogue[],4,FALSE))</f>
        <v/>
      </c>
      <c r="E30" s="17">
        <f>E32-E29</f>
        <v>0</v>
      </c>
    </row>
    <row r="31" spans="1:5" ht="15" thickBot="1">
      <c r="D31" s="3"/>
      <c r="E31" s="18"/>
    </row>
    <row r="32" spans="1:5" ht="15" thickBot="1">
      <c r="D32" s="10" t="s">
        <v>57</v>
      </c>
      <c r="E32" s="16">
        <f>E29*1.2</f>
        <v>0</v>
      </c>
    </row>
  </sheetData>
  <mergeCells count="5">
    <mergeCell ref="D1:F1"/>
    <mergeCell ref="D3:F3"/>
    <mergeCell ref="D4:F4"/>
    <mergeCell ref="D5:F5"/>
    <mergeCell ref="D6:F6"/>
  </mergeCells>
  <dataValidations count="1">
    <dataValidation type="list" allowBlank="1" showInputMessage="1" showErrorMessage="1" sqref="D3:F3">
      <formula1>Identifiant</formula1>
    </dataValidation>
  </dataValidations>
  <pageMargins left="0.7" right="0.7" top="0.75" bottom="0.75" header="0.3" footer="0.3"/>
  <pageSetup paperSize="9" orientation="portrait" r:id="rId1"/>
  <drawing r:id="rId2"/>
  <legacyDrawing r:id="rId3"/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1000000}">
          <x14:formula1>
            <xm:f>'Catalogue '!$A$2:$A$51</xm:f>
          </x14:formula1>
          <xm:sqref>A11:A28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/>
  <dimension ref="A1:B42"/>
  <sheetViews>
    <sheetView topLeftCell="A20" workbookViewId="0">
      <selection activeCell="B4" sqref="B4"/>
    </sheetView>
  </sheetViews>
  <sheetFormatPr baseColWidth="10" defaultRowHeight="14.5"/>
  <cols>
    <col min="1" max="1" width="35.54296875" customWidth="1"/>
    <col min="2" max="2" width="17.453125" style="48" customWidth="1"/>
    <col min="3" max="4" width="6" customWidth="1"/>
    <col min="5" max="6" width="7" customWidth="1"/>
    <col min="7" max="10" width="8" customWidth="1"/>
    <col min="11" max="11" width="9.453125" customWidth="1"/>
    <col min="12" max="12" width="10.453125" customWidth="1"/>
    <col min="13" max="13" width="12.54296875" customWidth="1"/>
    <col min="14" max="14" width="12.54296875" bestFit="1" customWidth="1"/>
    <col min="19" max="19" width="22.08984375" customWidth="1"/>
    <col min="20" max="20" width="0.36328125" customWidth="1"/>
  </cols>
  <sheetData>
    <row r="1" spans="1:2">
      <c r="A1" s="68" t="s">
        <v>261</v>
      </c>
      <c r="B1" s="48" t="s">
        <v>233</v>
      </c>
    </row>
    <row r="3" spans="1:2">
      <c r="A3" s="68" t="s">
        <v>231</v>
      </c>
      <c r="B3" s="48" t="s">
        <v>262</v>
      </c>
    </row>
    <row r="4" spans="1:2">
      <c r="A4" s="69" t="s">
        <v>236</v>
      </c>
      <c r="B4" s="48">
        <v>0</v>
      </c>
    </row>
    <row r="5" spans="1:2">
      <c r="A5" s="69" t="s">
        <v>234</v>
      </c>
      <c r="B5" s="48">
        <v>282.52799999999996</v>
      </c>
    </row>
    <row r="6" spans="1:2">
      <c r="A6" s="69" t="s">
        <v>235</v>
      </c>
      <c r="B6" s="48">
        <v>16.175999999999998</v>
      </c>
    </row>
    <row r="7" spans="1:2">
      <c r="A7" s="69" t="s">
        <v>226</v>
      </c>
      <c r="B7" s="48">
        <v>598.60799999999995</v>
      </c>
    </row>
    <row r="8" spans="1:2">
      <c r="A8" s="69" t="s">
        <v>223</v>
      </c>
      <c r="B8" s="48">
        <v>210.38399999999999</v>
      </c>
    </row>
    <row r="9" spans="1:2">
      <c r="A9" s="69" t="s">
        <v>177</v>
      </c>
      <c r="B9" s="48">
        <v>3407.0400000000004</v>
      </c>
    </row>
    <row r="10" spans="1:2">
      <c r="A10" s="69" t="s">
        <v>237</v>
      </c>
      <c r="B10" s="48">
        <v>0</v>
      </c>
    </row>
    <row r="11" spans="1:2">
      <c r="A11" s="69" t="s">
        <v>238</v>
      </c>
      <c r="B11" s="48">
        <v>0</v>
      </c>
    </row>
    <row r="12" spans="1:2">
      <c r="A12" s="69" t="s">
        <v>240</v>
      </c>
      <c r="B12" s="48">
        <v>0</v>
      </c>
    </row>
    <row r="13" spans="1:2">
      <c r="A13" s="69" t="s">
        <v>239</v>
      </c>
      <c r="B13" s="78">
        <v>3640.32</v>
      </c>
    </row>
    <row r="14" spans="1:2">
      <c r="A14" s="69" t="s">
        <v>244</v>
      </c>
      <c r="B14" s="48">
        <v>0</v>
      </c>
    </row>
    <row r="15" spans="1:2">
      <c r="A15" s="69" t="s">
        <v>245</v>
      </c>
      <c r="B15" s="48">
        <v>6.9359999999999999</v>
      </c>
    </row>
    <row r="16" spans="1:2">
      <c r="A16" s="69" t="s">
        <v>229</v>
      </c>
      <c r="B16" s="48">
        <v>13.872</v>
      </c>
    </row>
    <row r="17" spans="1:2">
      <c r="A17" s="69" t="s">
        <v>246</v>
      </c>
      <c r="B17" s="48">
        <v>0</v>
      </c>
    </row>
    <row r="18" spans="1:2">
      <c r="A18" s="69" t="s">
        <v>222</v>
      </c>
      <c r="B18" s="48">
        <v>13.872</v>
      </c>
    </row>
    <row r="19" spans="1:2">
      <c r="A19" s="69" t="s">
        <v>227</v>
      </c>
      <c r="B19" s="48">
        <v>6.9359999999999999</v>
      </c>
    </row>
    <row r="20" spans="1:2">
      <c r="A20" s="69" t="s">
        <v>247</v>
      </c>
      <c r="B20" s="48">
        <v>0</v>
      </c>
    </row>
    <row r="21" spans="1:2">
      <c r="A21" s="69" t="s">
        <v>224</v>
      </c>
      <c r="B21" s="48">
        <v>388.22399999999999</v>
      </c>
    </row>
    <row r="22" spans="1:2">
      <c r="A22" s="69" t="s">
        <v>248</v>
      </c>
      <c r="B22" s="48">
        <v>0</v>
      </c>
    </row>
    <row r="23" spans="1:2">
      <c r="A23" s="69" t="s">
        <v>241</v>
      </c>
      <c r="B23" s="48">
        <v>0</v>
      </c>
    </row>
    <row r="24" spans="1:2">
      <c r="A24" s="69" t="s">
        <v>242</v>
      </c>
      <c r="B24" s="48">
        <v>0</v>
      </c>
    </row>
    <row r="25" spans="1:2">
      <c r="A25" s="69" t="s">
        <v>243</v>
      </c>
      <c r="B25" s="48">
        <v>0</v>
      </c>
    </row>
    <row r="26" spans="1:2">
      <c r="A26" s="69" t="s">
        <v>228</v>
      </c>
      <c r="B26" s="48">
        <v>6.9359999999999999</v>
      </c>
    </row>
    <row r="27" spans="1:2">
      <c r="A27" s="69" t="s">
        <v>249</v>
      </c>
      <c r="B27" s="48">
        <v>0</v>
      </c>
    </row>
    <row r="28" spans="1:2">
      <c r="A28" s="69" t="s">
        <v>225</v>
      </c>
      <c r="B28" s="48">
        <v>5.8440000000000003</v>
      </c>
    </row>
    <row r="29" spans="1:2">
      <c r="A29" s="69" t="s">
        <v>230</v>
      </c>
      <c r="B29" s="48">
        <v>10.607999999999999</v>
      </c>
    </row>
    <row r="30" spans="1:2">
      <c r="A30" s="69" t="s">
        <v>250</v>
      </c>
      <c r="B30" s="48">
        <v>0</v>
      </c>
    </row>
    <row r="31" spans="1:2">
      <c r="A31" s="69" t="s">
        <v>251</v>
      </c>
      <c r="B31" s="48">
        <v>0</v>
      </c>
    </row>
    <row r="32" spans="1:2">
      <c r="A32" s="69" t="s">
        <v>252</v>
      </c>
      <c r="B32" s="48">
        <v>0</v>
      </c>
    </row>
    <row r="33" spans="1:2">
      <c r="A33" s="69" t="s">
        <v>255</v>
      </c>
      <c r="B33" s="48">
        <v>0</v>
      </c>
    </row>
    <row r="34" spans="1:2">
      <c r="A34" s="69" t="s">
        <v>256</v>
      </c>
      <c r="B34" s="48">
        <v>0</v>
      </c>
    </row>
    <row r="35" spans="1:2">
      <c r="A35" s="69" t="s">
        <v>257</v>
      </c>
      <c r="B35" s="48">
        <v>0</v>
      </c>
    </row>
    <row r="36" spans="1:2">
      <c r="A36" s="69" t="s">
        <v>258</v>
      </c>
      <c r="B36" s="48">
        <v>0</v>
      </c>
    </row>
    <row r="37" spans="1:2">
      <c r="A37" s="69" t="s">
        <v>259</v>
      </c>
      <c r="B37" s="48">
        <v>1059.8399999999999</v>
      </c>
    </row>
    <row r="38" spans="1:2">
      <c r="A38" s="69" t="s">
        <v>260</v>
      </c>
      <c r="B38" s="48">
        <v>0</v>
      </c>
    </row>
    <row r="39" spans="1:2">
      <c r="A39" s="69" t="s">
        <v>253</v>
      </c>
      <c r="B39" s="48">
        <v>0</v>
      </c>
    </row>
    <row r="40" spans="1:2">
      <c r="A40" s="69" t="s">
        <v>254</v>
      </c>
      <c r="B40" s="48">
        <v>16823.04</v>
      </c>
    </row>
    <row r="41" spans="1:2">
      <c r="A41" s="69" t="s">
        <v>232</v>
      </c>
      <c r="B41" s="48">
        <v>26491.164000000001</v>
      </c>
    </row>
    <row r="42" spans="1:2">
      <c r="B42"/>
    </row>
  </sheetData>
  <pageMargins left="0.7" right="0.7" top="0.75" bottom="0.75" header="0.3" footer="0.3"/>
  <pageSetup paperSize="9" scale="79" orientation="landscape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J38"/>
  <sheetViews>
    <sheetView view="pageBreakPreview" topLeftCell="A2" zoomScale="60" workbookViewId="0">
      <selection activeCell="H4" sqref="H4"/>
    </sheetView>
  </sheetViews>
  <sheetFormatPr baseColWidth="10" defaultRowHeight="14.5"/>
  <cols>
    <col min="1" max="1" width="29.54296875" bestFit="1" customWidth="1"/>
    <col min="2" max="2" width="22.36328125" bestFit="1" customWidth="1"/>
    <col min="3" max="3" width="37.6328125" bestFit="1" customWidth="1"/>
    <col min="4" max="4" width="65.54296875" bestFit="1" customWidth="1"/>
    <col min="5" max="5" width="10.453125" style="73" bestFit="1" customWidth="1"/>
    <col min="6" max="6" width="21.90625" bestFit="1" customWidth="1"/>
    <col min="7" max="7" width="25.453125" style="72" bestFit="1" customWidth="1"/>
    <col min="8" max="8" width="20.54296875" bestFit="1" customWidth="1"/>
    <col min="9" max="9" width="22.90625" customWidth="1"/>
    <col min="10" max="10" width="50.36328125" style="70" bestFit="1" customWidth="1"/>
    <col min="11" max="12" width="11.54296875" customWidth="1"/>
    <col min="13" max="15" width="12.54296875" customWidth="1"/>
  </cols>
  <sheetData>
    <row r="1" spans="1:10" ht="15.5">
      <c r="A1" s="80" t="s">
        <v>70</v>
      </c>
      <c r="B1" s="81" t="s">
        <v>60</v>
      </c>
      <c r="C1" s="81" t="s">
        <v>62</v>
      </c>
      <c r="D1" s="81" t="s">
        <v>64</v>
      </c>
      <c r="E1" s="82" t="s">
        <v>61</v>
      </c>
      <c r="F1" s="81" t="s">
        <v>63</v>
      </c>
      <c r="G1" s="83" t="s">
        <v>76</v>
      </c>
      <c r="H1" s="83" t="s">
        <v>261</v>
      </c>
      <c r="I1" s="84" t="s">
        <v>102</v>
      </c>
      <c r="J1" s="85" t="s">
        <v>264</v>
      </c>
    </row>
    <row r="2" spans="1:10" ht="15.5">
      <c r="A2" s="86" t="str">
        <f t="shared" ref="A2:A38" si="0">CONCATENATE(B2," ",C2," " )</f>
        <v xml:space="preserve">AUCHAN  POITIERS </v>
      </c>
      <c r="B2" s="87" t="s">
        <v>130</v>
      </c>
      <c r="C2" s="88" t="s">
        <v>132</v>
      </c>
      <c r="D2" s="89" t="s">
        <v>131</v>
      </c>
      <c r="E2" s="90">
        <v>86000</v>
      </c>
      <c r="F2" s="91">
        <v>549537200</v>
      </c>
      <c r="G2" s="92">
        <f>COUNTIF('historique des commandes '!B:B,Identifiant)</f>
        <v>0</v>
      </c>
      <c r="H2" s="93">
        <f>SUMIF('historique des commandes '!B:B,A2,'historique des commandes '!D:D)</f>
        <v>0</v>
      </c>
      <c r="I2" s="94" t="str">
        <f t="shared" ref="I2:I38" si="1">A2</f>
        <v xml:space="preserve">AUCHAN  POITIERS </v>
      </c>
      <c r="J2" s="95" t="s">
        <v>198</v>
      </c>
    </row>
    <row r="3" spans="1:10" ht="31">
      <c r="A3" s="86" t="str">
        <f t="shared" si="0"/>
        <v xml:space="preserve">AUCHAN COGNAC </v>
      </c>
      <c r="B3" s="96" t="s">
        <v>125</v>
      </c>
      <c r="C3" s="88" t="s">
        <v>126</v>
      </c>
      <c r="D3" s="97" t="s">
        <v>127</v>
      </c>
      <c r="E3" s="90">
        <v>16100</v>
      </c>
      <c r="F3" s="91">
        <v>545356666</v>
      </c>
      <c r="G3" s="92">
        <f>COUNTIF('historique des commandes '!B:B,Identifiant)</f>
        <v>1</v>
      </c>
      <c r="H3" s="93">
        <f>SUMIF('historique des commandes '!B:B,A3,'historique des commandes '!D:D)</f>
        <v>282.52799999999996</v>
      </c>
      <c r="I3" s="98" t="str">
        <f t="shared" si="1"/>
        <v xml:space="preserve">AUCHAN COGNAC </v>
      </c>
      <c r="J3" s="99" t="s">
        <v>190</v>
      </c>
    </row>
    <row r="4" spans="1:10" ht="15.5">
      <c r="A4" s="86" t="str">
        <f t="shared" si="0"/>
        <v xml:space="preserve">AUCHAN LA COURONNE </v>
      </c>
      <c r="B4" s="96" t="s">
        <v>125</v>
      </c>
      <c r="C4" s="88" t="s">
        <v>128</v>
      </c>
      <c r="D4" s="100" t="s">
        <v>129</v>
      </c>
      <c r="E4" s="90">
        <v>16400</v>
      </c>
      <c r="F4" s="101">
        <v>545244524</v>
      </c>
      <c r="G4" s="92">
        <f>COUNTIF('historique des commandes '!B:B,Identifiant)</f>
        <v>1</v>
      </c>
      <c r="H4" s="93">
        <v>16.175999999999998</v>
      </c>
      <c r="I4" s="98" t="str">
        <f t="shared" si="1"/>
        <v xml:space="preserve">AUCHAN LA COURONNE </v>
      </c>
      <c r="J4" s="99" t="s">
        <v>192</v>
      </c>
    </row>
    <row r="5" spans="1:10" ht="15.5">
      <c r="A5" s="86" t="str">
        <f t="shared" si="0"/>
        <v xml:space="preserve">CAVE LECLERC  ROYAN </v>
      </c>
      <c r="B5" s="87" t="s">
        <v>164</v>
      </c>
      <c r="C5" s="88" t="s">
        <v>165</v>
      </c>
      <c r="D5" s="88" t="s">
        <v>166</v>
      </c>
      <c r="E5" s="90">
        <v>17200</v>
      </c>
      <c r="F5" s="101">
        <v>516653108</v>
      </c>
      <c r="G5" s="92">
        <f>COUNTIF('historique des commandes '!B:B,Identifiant)</f>
        <v>1</v>
      </c>
      <c r="H5" s="93">
        <f>SUMIF('historique des commandes '!B:B,A5,'historique des commandes '!D:D)</f>
        <v>598.60799999999995</v>
      </c>
      <c r="I5" s="98" t="str">
        <f t="shared" si="1"/>
        <v xml:space="preserve">CAVE LECLERC  ROYAN </v>
      </c>
      <c r="J5" s="99" t="s">
        <v>214</v>
      </c>
    </row>
    <row r="6" spans="1:10" ht="15.5">
      <c r="A6" s="102" t="str">
        <f t="shared" si="0"/>
        <v xml:space="preserve">CAVE LECLERC POITIERS  </v>
      </c>
      <c r="B6" s="87" t="s">
        <v>141</v>
      </c>
      <c r="C6" s="88" t="s">
        <v>139</v>
      </c>
      <c r="D6" s="88" t="s">
        <v>140</v>
      </c>
      <c r="E6" s="90">
        <v>86000</v>
      </c>
      <c r="F6" s="103">
        <v>549422000</v>
      </c>
      <c r="G6" s="104">
        <f>COUNTIF('historique des commandes '!B:B,Identifiant)</f>
        <v>1</v>
      </c>
      <c r="H6" s="93">
        <f>SUMIF('historique des commandes '!B:B,A6,'historique des commandes '!D:D)</f>
        <v>210.38399999999999</v>
      </c>
      <c r="I6" s="98" t="str">
        <f t="shared" si="1"/>
        <v xml:space="preserve">CAVE LECLERC POITIERS  </v>
      </c>
      <c r="J6" s="99" t="s">
        <v>215</v>
      </c>
    </row>
    <row r="7" spans="1:10" ht="31">
      <c r="A7" s="86" t="str">
        <f t="shared" si="0"/>
        <v xml:space="preserve">GEANT CASINO CHAMPNIERS </v>
      </c>
      <c r="B7" s="87" t="s">
        <v>133</v>
      </c>
      <c r="C7" s="88" t="s">
        <v>136</v>
      </c>
      <c r="D7" s="88" t="s">
        <v>137</v>
      </c>
      <c r="E7" s="90">
        <v>16430</v>
      </c>
      <c r="F7" s="103">
        <v>545224400</v>
      </c>
      <c r="G7" s="92">
        <f>COUNTIF('historique des commandes '!B:B,Identifiant)</f>
        <v>1</v>
      </c>
      <c r="H7" s="93">
        <f>SUMIF('historique des commandes '!B:B,A7,'historique des commandes '!D:D)</f>
        <v>3407.0400000000004</v>
      </c>
      <c r="I7" s="98" t="str">
        <f t="shared" si="1"/>
        <v xml:space="preserve">GEANT CASINO CHAMPNIERS </v>
      </c>
      <c r="J7" s="99" t="s">
        <v>191</v>
      </c>
    </row>
    <row r="8" spans="1:10" ht="15.5">
      <c r="A8" s="86" t="str">
        <f t="shared" si="0"/>
        <v xml:space="preserve">GEANT CASINO NIORT </v>
      </c>
      <c r="B8" s="87" t="s">
        <v>133</v>
      </c>
      <c r="C8" s="88" t="s">
        <v>134</v>
      </c>
      <c r="D8" s="88" t="s">
        <v>135</v>
      </c>
      <c r="E8" s="90">
        <v>79180</v>
      </c>
      <c r="F8" s="103">
        <v>549173400</v>
      </c>
      <c r="G8" s="92">
        <f>COUNTIF('historique des commandes '!B:B,Identifiant)</f>
        <v>0</v>
      </c>
      <c r="H8" s="93">
        <f>SUMIF('historique des commandes '!B:B,A8,'historique des commandes '!D:D)</f>
        <v>0</v>
      </c>
      <c r="I8" s="98" t="str">
        <f t="shared" si="1"/>
        <v xml:space="preserve">GEANT CASINO NIORT </v>
      </c>
      <c r="J8" s="105" t="s">
        <v>220</v>
      </c>
    </row>
    <row r="9" spans="1:10" ht="31">
      <c r="A9" s="102" t="str">
        <f t="shared" si="0"/>
        <v xml:space="preserve">GEANT CASINO POITIERS </v>
      </c>
      <c r="B9" s="106" t="s">
        <v>133</v>
      </c>
      <c r="C9" s="88" t="s">
        <v>132</v>
      </c>
      <c r="D9" s="88" t="s">
        <v>138</v>
      </c>
      <c r="E9" s="107">
        <v>86000</v>
      </c>
      <c r="F9" s="101">
        <v>549448400</v>
      </c>
      <c r="G9" s="104">
        <f>COUNTIF('historique des commandes '!B:B,Identifiant)</f>
        <v>0</v>
      </c>
      <c r="H9" s="93">
        <f>SUMIF('historique des commandes '!B:B,A9,'historique des commandes '!D:D)</f>
        <v>0</v>
      </c>
      <c r="I9" s="98" t="str">
        <f t="shared" si="1"/>
        <v xml:space="preserve">GEANT CASINO POITIERS </v>
      </c>
      <c r="J9" s="105" t="s">
        <v>221</v>
      </c>
    </row>
    <row r="10" spans="1:10" ht="15.5">
      <c r="A10" s="86" t="str">
        <f t="shared" si="0"/>
        <v xml:space="preserve">HYPER U  SAINTES </v>
      </c>
      <c r="B10" s="87" t="s">
        <v>107</v>
      </c>
      <c r="C10" s="88" t="s">
        <v>108</v>
      </c>
      <c r="D10" s="89" t="s">
        <v>109</v>
      </c>
      <c r="E10" s="107">
        <v>17100</v>
      </c>
      <c r="F10" s="91">
        <v>546933270</v>
      </c>
      <c r="G10" s="92">
        <f>COUNTIF('historique des commandes '!B:B,Identifiant)</f>
        <v>0</v>
      </c>
      <c r="H10" s="93">
        <f>SUMIF('historique des commandes '!B:B,A10,'historique des commandes '!D:D)</f>
        <v>0</v>
      </c>
      <c r="I10" s="98" t="str">
        <f t="shared" si="1"/>
        <v xml:space="preserve">HYPER U  SAINTES </v>
      </c>
      <c r="J10" s="99" t="s">
        <v>193</v>
      </c>
    </row>
    <row r="11" spans="1:10" ht="15.5">
      <c r="A11" s="86" t="str">
        <f t="shared" si="0"/>
        <v xml:space="preserve">HYPER U PUILBOREAU </v>
      </c>
      <c r="B11" s="108" t="s">
        <v>114</v>
      </c>
      <c r="C11" s="109" t="s">
        <v>115</v>
      </c>
      <c r="D11" s="110" t="s">
        <v>119</v>
      </c>
      <c r="E11" s="111">
        <v>17138</v>
      </c>
      <c r="F11" s="91">
        <v>546680322</v>
      </c>
      <c r="G11" s="92">
        <f>COUNTIF('historique des commandes '!B:B,Identifiant)</f>
        <v>2</v>
      </c>
      <c r="H11" s="93">
        <f>SUMIF('historique des commandes '!B:B,A11,'historique des commandes '!D:D)</f>
        <v>3640.32</v>
      </c>
      <c r="I11" s="98" t="str">
        <f t="shared" si="1"/>
        <v xml:space="preserve">HYPER U PUILBOREAU </v>
      </c>
      <c r="J11" s="99" t="s">
        <v>189</v>
      </c>
    </row>
    <row r="12" spans="1:10" ht="31">
      <c r="A12" s="102" t="str">
        <f t="shared" si="0"/>
        <v xml:space="preserve">INTERMARCHE  AIGREFEUILLE D'AUNIS </v>
      </c>
      <c r="B12" s="87" t="s">
        <v>110</v>
      </c>
      <c r="C12" s="88" t="s">
        <v>150</v>
      </c>
      <c r="D12" s="112" t="s">
        <v>151</v>
      </c>
      <c r="E12" s="90">
        <v>17290</v>
      </c>
      <c r="F12" s="103">
        <v>546355061</v>
      </c>
      <c r="G12" s="104">
        <f>COUNTIF('historique des commandes '!B:B,Identifiant)</f>
        <v>0</v>
      </c>
      <c r="H12" s="93">
        <f>SUMIF('historique des commandes '!B:B,A12,'historique des commandes '!D:D)</f>
        <v>0</v>
      </c>
      <c r="I12" s="98" t="str">
        <f t="shared" si="1"/>
        <v xml:space="preserve">INTERMARCHE  AIGREFEUILLE D'AUNIS </v>
      </c>
      <c r="J12" s="99" t="s">
        <v>206</v>
      </c>
    </row>
    <row r="13" spans="1:10" ht="31">
      <c r="A13" s="102" t="str">
        <f t="shared" si="0"/>
        <v xml:space="preserve">INTERMARCHE  ANGOULEME </v>
      </c>
      <c r="B13" s="87" t="s">
        <v>110</v>
      </c>
      <c r="C13" s="88" t="s">
        <v>156</v>
      </c>
      <c r="D13" s="112" t="s">
        <v>157</v>
      </c>
      <c r="E13" s="90">
        <v>16000</v>
      </c>
      <c r="F13" s="103">
        <v>545611019</v>
      </c>
      <c r="G13" s="104">
        <f>COUNTIF('historique des commandes '!B:B,Identifiant)</f>
        <v>1</v>
      </c>
      <c r="H13" s="93">
        <f>SUMIF('historique des commandes '!B:B,A13,'historique des commandes '!D:D)</f>
        <v>6.9359999999999999</v>
      </c>
      <c r="I13" s="98" t="str">
        <f t="shared" si="1"/>
        <v xml:space="preserve">INTERMARCHE  ANGOULEME </v>
      </c>
      <c r="J13" s="105"/>
    </row>
    <row r="14" spans="1:10" ht="31">
      <c r="A14" s="102" t="str">
        <f t="shared" si="0"/>
        <v xml:space="preserve">INTERMARCHE  BARBEZIEUX ST HILAIRE </v>
      </c>
      <c r="B14" s="87" t="s">
        <v>110</v>
      </c>
      <c r="C14" s="88" t="s">
        <v>153</v>
      </c>
      <c r="D14" s="112" t="s">
        <v>152</v>
      </c>
      <c r="E14" s="90">
        <v>16300</v>
      </c>
      <c r="F14" s="113">
        <v>545781933</v>
      </c>
      <c r="G14" s="104">
        <f>COUNTIF('historique des commandes '!B:B,Identifiant)</f>
        <v>2</v>
      </c>
      <c r="H14" s="93">
        <f>SUMIF('historique des commandes '!B:B,A14,'historique des commandes '!D:D)</f>
        <v>13.872</v>
      </c>
      <c r="I14" s="98" t="str">
        <f t="shared" si="1"/>
        <v xml:space="preserve">INTERMARCHE  BARBEZIEUX ST HILAIRE </v>
      </c>
      <c r="J14" s="99" t="s">
        <v>208</v>
      </c>
    </row>
    <row r="15" spans="1:10" ht="31">
      <c r="A15" s="86" t="str">
        <f t="shared" si="0"/>
        <v xml:space="preserve">INTERMARCHE  DOLUS D'OLERON </v>
      </c>
      <c r="B15" s="87" t="s">
        <v>110</v>
      </c>
      <c r="C15" s="88" t="s">
        <v>187</v>
      </c>
      <c r="D15" s="89" t="s">
        <v>188</v>
      </c>
      <c r="E15" s="90">
        <v>17550</v>
      </c>
      <c r="F15" s="114">
        <v>546754440</v>
      </c>
      <c r="G15" s="92">
        <f>COUNTIF('historique des commandes '!B:B,Identifiant)</f>
        <v>0</v>
      </c>
      <c r="H15" s="93">
        <f>SUMIF('historique des commandes '!B:B,A15,'historique des commandes '!D:D)</f>
        <v>0</v>
      </c>
      <c r="I15" s="98" t="str">
        <f t="shared" si="1"/>
        <v xml:space="preserve">INTERMARCHE  DOLUS D'OLERON </v>
      </c>
      <c r="J15" s="99" t="s">
        <v>203</v>
      </c>
    </row>
    <row r="16" spans="1:10" ht="31">
      <c r="A16" s="102" t="str">
        <f t="shared" si="0"/>
        <v xml:space="preserve">INTERMARCHE  LA JARRIE </v>
      </c>
      <c r="B16" s="87" t="s">
        <v>110</v>
      </c>
      <c r="C16" s="88" t="s">
        <v>148</v>
      </c>
      <c r="D16" s="112" t="s">
        <v>149</v>
      </c>
      <c r="E16" s="90">
        <v>17220</v>
      </c>
      <c r="F16" s="113">
        <v>546358522</v>
      </c>
      <c r="G16" s="104">
        <f>COUNTIF('historique des commandes '!B:B,Identifiant)</f>
        <v>2</v>
      </c>
      <c r="H16" s="93">
        <f>SUMIF('historique des commandes '!B:B,A16,'historique des commandes '!D:D)</f>
        <v>13.872</v>
      </c>
      <c r="I16" s="98" t="str">
        <f t="shared" si="1"/>
        <v xml:space="preserve">INTERMARCHE  LA JARRIE </v>
      </c>
      <c r="J16" s="99" t="s">
        <v>204</v>
      </c>
    </row>
    <row r="17" spans="1:10" ht="31">
      <c r="A17" s="86" t="str">
        <f t="shared" si="0"/>
        <v xml:space="preserve">INTERMARCHE  LA TREMBLADE </v>
      </c>
      <c r="B17" s="87" t="s">
        <v>110</v>
      </c>
      <c r="C17" s="88" t="s">
        <v>169</v>
      </c>
      <c r="D17" s="89" t="s">
        <v>170</v>
      </c>
      <c r="E17" s="90">
        <v>17600</v>
      </c>
      <c r="F17" s="114">
        <v>546365222</v>
      </c>
      <c r="G17" s="92">
        <f>COUNTIF('historique des commandes '!B:B,Identifiant)</f>
        <v>1</v>
      </c>
      <c r="H17" s="93">
        <f>SUMIF('historique des commandes '!B:B,A17,'historique des commandes '!D:D)</f>
        <v>6.9359999999999999</v>
      </c>
      <c r="I17" s="98" t="str">
        <f t="shared" si="1"/>
        <v xml:space="preserve">INTERMARCHE  LA TREMBLADE </v>
      </c>
      <c r="J17" s="99" t="s">
        <v>207</v>
      </c>
    </row>
    <row r="18" spans="1:10" ht="31">
      <c r="A18" s="102" t="str">
        <f t="shared" si="0"/>
        <v xml:space="preserve">INTERMARCHE  MONTGUYON </v>
      </c>
      <c r="B18" s="115" t="s">
        <v>110</v>
      </c>
      <c r="C18" s="88" t="s">
        <v>154</v>
      </c>
      <c r="D18" s="112" t="s">
        <v>155</v>
      </c>
      <c r="E18" s="90">
        <v>17270</v>
      </c>
      <c r="F18" s="113">
        <v>546041882</v>
      </c>
      <c r="G18" s="104">
        <f>COUNTIF('historique des commandes '!B:B,Identifiant)</f>
        <v>0</v>
      </c>
      <c r="H18" s="93">
        <f>SUMIF('historique des commandes '!B:B,A18,'historique des commandes '!D:D)</f>
        <v>0</v>
      </c>
      <c r="I18" s="98" t="str">
        <f t="shared" si="1"/>
        <v xml:space="preserve">INTERMARCHE  MONTGUYON </v>
      </c>
      <c r="J18" s="99" t="s">
        <v>209</v>
      </c>
    </row>
    <row r="19" spans="1:10" ht="15.5">
      <c r="A19" s="86" t="str">
        <f t="shared" si="0"/>
        <v xml:space="preserve">INTERMARCHE  SAINTES  </v>
      </c>
      <c r="B19" s="87" t="s">
        <v>110</v>
      </c>
      <c r="C19" s="88" t="s">
        <v>111</v>
      </c>
      <c r="D19" s="89" t="s">
        <v>112</v>
      </c>
      <c r="E19" s="107">
        <v>17100</v>
      </c>
      <c r="F19" s="114" t="s">
        <v>113</v>
      </c>
      <c r="G19" s="92">
        <f>COUNTIF('historique des commandes '!B:B,Identifiant)</f>
        <v>1</v>
      </c>
      <c r="H19" s="93">
        <f>SUMIF('historique des commandes '!B:B,A19,'historique des commandes '!D:D)</f>
        <v>388.22399999999999</v>
      </c>
      <c r="I19" s="98" t="str">
        <f t="shared" si="1"/>
        <v xml:space="preserve">INTERMARCHE  SAINTES  </v>
      </c>
      <c r="J19" s="105"/>
    </row>
    <row r="20" spans="1:10" ht="31">
      <c r="A20" s="86" t="str">
        <f t="shared" si="0"/>
        <v xml:space="preserve">INTERMARCHE  SALLES SUR MER  </v>
      </c>
      <c r="B20" s="87" t="s">
        <v>110</v>
      </c>
      <c r="C20" s="88" t="s">
        <v>178</v>
      </c>
      <c r="D20" s="89" t="s">
        <v>179</v>
      </c>
      <c r="E20" s="90">
        <v>17220</v>
      </c>
      <c r="F20" s="114">
        <v>546564220</v>
      </c>
      <c r="G20" s="92">
        <f>COUNTIF('historique des commandes '!B:B,Identifiant)</f>
        <v>0</v>
      </c>
      <c r="H20" s="93">
        <f>SUMIF('historique des commandes '!B:B,A20,'historique des commandes '!D:D)</f>
        <v>0</v>
      </c>
      <c r="I20" s="98" t="str">
        <f t="shared" si="1"/>
        <v xml:space="preserve">INTERMARCHE  SALLES SUR MER  </v>
      </c>
      <c r="J20" s="105"/>
    </row>
    <row r="21" spans="1:10" ht="15.5">
      <c r="A21" s="86" t="str">
        <f t="shared" si="0"/>
        <v xml:space="preserve">INTERMARCHE JONZAC </v>
      </c>
      <c r="B21" s="87" t="s">
        <v>68</v>
      </c>
      <c r="C21" s="88" t="s">
        <v>158</v>
      </c>
      <c r="D21" s="89" t="s">
        <v>159</v>
      </c>
      <c r="E21" s="90">
        <v>17500</v>
      </c>
      <c r="F21" s="114">
        <v>546861900</v>
      </c>
      <c r="G21" s="92">
        <f>COUNTIF('historique des commandes '!B:B,Identifiant)</f>
        <v>0</v>
      </c>
      <c r="H21" s="93">
        <f>SUMIF('historique des commandes '!B:B,A21,'historique des commandes '!D:D)</f>
        <v>0</v>
      </c>
      <c r="I21" s="98" t="str">
        <f t="shared" si="1"/>
        <v xml:space="preserve">INTERMARCHE JONZAC </v>
      </c>
      <c r="J21" s="99" t="s">
        <v>199</v>
      </c>
    </row>
    <row r="22" spans="1:10" ht="31">
      <c r="A22" s="86" t="str">
        <f t="shared" si="0"/>
        <v xml:space="preserve">INTERMARCHE MARENNES D'OLERON </v>
      </c>
      <c r="B22" s="116" t="s">
        <v>68</v>
      </c>
      <c r="C22" s="109" t="s">
        <v>116</v>
      </c>
      <c r="D22" s="110" t="s">
        <v>117</v>
      </c>
      <c r="E22" s="111">
        <v>17320</v>
      </c>
      <c r="F22" s="114" t="s">
        <v>118</v>
      </c>
      <c r="G22" s="92">
        <f>COUNTIF('historique des commandes '!B:B,Identifiant)</f>
        <v>0</v>
      </c>
      <c r="H22" s="93">
        <f>SUMIF('historique des commandes '!B:B,A22,'historique des commandes '!D:D)</f>
        <v>0</v>
      </c>
      <c r="I22" s="98" t="str">
        <f t="shared" si="1"/>
        <v xml:space="preserve">INTERMARCHE MARENNES D'OLERON </v>
      </c>
      <c r="J22" s="99" t="s">
        <v>205</v>
      </c>
    </row>
    <row r="23" spans="1:10" ht="15.5">
      <c r="A23" s="86" t="str">
        <f t="shared" si="0"/>
        <v xml:space="preserve">INTERMARCHE SAINTES  </v>
      </c>
      <c r="B23" s="87" t="s">
        <v>68</v>
      </c>
      <c r="C23" s="88" t="s">
        <v>111</v>
      </c>
      <c r="D23" s="88" t="s">
        <v>124</v>
      </c>
      <c r="E23" s="107">
        <v>17100</v>
      </c>
      <c r="F23" s="117">
        <v>546746020</v>
      </c>
      <c r="G23" s="92">
        <f>COUNTIF('historique des commandes '!B:B,Identifiant)</f>
        <v>0</v>
      </c>
      <c r="H23" s="93">
        <f>SUMIF('historique des commandes '!B:B,A23,'historique des commandes '!D:D)</f>
        <v>0</v>
      </c>
      <c r="I23" s="98" t="str">
        <f t="shared" si="1"/>
        <v xml:space="preserve">INTERMARCHE SAINTES  </v>
      </c>
      <c r="J23" s="105"/>
    </row>
    <row r="24" spans="1:10" ht="15.5">
      <c r="A24" s="86" t="str">
        <f t="shared" si="0"/>
        <v xml:space="preserve">INTERMARCHE SAUJON  </v>
      </c>
      <c r="B24" s="118" t="s">
        <v>68</v>
      </c>
      <c r="C24" s="119" t="s">
        <v>65</v>
      </c>
      <c r="D24" s="120" t="s">
        <v>69</v>
      </c>
      <c r="E24" s="121">
        <v>17600</v>
      </c>
      <c r="F24" s="114">
        <v>546024802</v>
      </c>
      <c r="G24" s="92">
        <f>COUNTIF('historique des commandes '!B:B,Identifiant)</f>
        <v>1</v>
      </c>
      <c r="H24" s="93">
        <f>SUMIF('historique des commandes '!B:B,A24,'historique des commandes '!D:D)</f>
        <v>6.9359999999999999</v>
      </c>
      <c r="I24" s="98" t="str">
        <f t="shared" si="1"/>
        <v xml:space="preserve">INTERMARCHE SAUJON  </v>
      </c>
      <c r="J24" s="105"/>
    </row>
    <row r="25" spans="1:10" ht="15.5">
      <c r="A25" s="102" t="str">
        <f t="shared" si="0"/>
        <v xml:space="preserve">LECLERC COGNAC </v>
      </c>
      <c r="B25" s="87" t="s">
        <v>120</v>
      </c>
      <c r="C25" s="88" t="s">
        <v>126</v>
      </c>
      <c r="D25" s="88" t="s">
        <v>142</v>
      </c>
      <c r="E25" s="90">
        <v>16100</v>
      </c>
      <c r="F25" s="122" t="s">
        <v>143</v>
      </c>
      <c r="G25" s="104">
        <f>COUNTIF('historique des commandes '!B:B,Identifiant)</f>
        <v>0</v>
      </c>
      <c r="H25" s="93">
        <f>SUMIF('historique des commandes '!B:B,A25,'historique des commandes '!D:D)</f>
        <v>0</v>
      </c>
      <c r="I25" s="98" t="str">
        <f t="shared" si="1"/>
        <v xml:space="preserve">LECLERC COGNAC </v>
      </c>
      <c r="J25" s="99" t="s">
        <v>216</v>
      </c>
    </row>
    <row r="26" spans="1:10" ht="15.5">
      <c r="A26" s="86" t="str">
        <f t="shared" si="0"/>
        <v xml:space="preserve">LECLERC JONZAC </v>
      </c>
      <c r="B26" s="87" t="s">
        <v>120</v>
      </c>
      <c r="C26" s="88" t="s">
        <v>158</v>
      </c>
      <c r="D26" s="89" t="s">
        <v>217</v>
      </c>
      <c r="E26" s="90">
        <v>17500</v>
      </c>
      <c r="F26" s="114">
        <v>546484511</v>
      </c>
      <c r="G26" s="92">
        <f>COUNTIF('historique des commandes '!B:B,Identifiant)</f>
        <v>1</v>
      </c>
      <c r="H26" s="93">
        <f>SUMIF('historique des commandes '!B:B,A26,'historique des commandes '!D:D)</f>
        <v>5.8440000000000003</v>
      </c>
      <c r="I26" s="98" t="str">
        <f t="shared" si="1"/>
        <v xml:space="preserve">LECLERC JONZAC </v>
      </c>
      <c r="J26" s="123" t="s">
        <v>216</v>
      </c>
    </row>
    <row r="27" spans="1:10" ht="31">
      <c r="A27" s="86" t="str">
        <f t="shared" si="0"/>
        <v xml:space="preserve">LECLERC LA ROCHEFOUCAULD </v>
      </c>
      <c r="B27" s="87" t="s">
        <v>120</v>
      </c>
      <c r="C27" s="88" t="s">
        <v>173</v>
      </c>
      <c r="D27" s="89" t="s">
        <v>174</v>
      </c>
      <c r="E27" s="90">
        <v>16110</v>
      </c>
      <c r="F27" s="114">
        <v>545630682</v>
      </c>
      <c r="G27" s="92">
        <f>COUNTIF('historique des commandes '!B:B,Identifiant)</f>
        <v>1</v>
      </c>
      <c r="H27" s="93">
        <f>SUMIF('historique des commandes '!B:B,A27,'historique des commandes '!D:D)</f>
        <v>10.607999999999999</v>
      </c>
      <c r="I27" s="98" t="str">
        <f t="shared" si="1"/>
        <v xml:space="preserve">LECLERC LA ROCHEFOUCAULD </v>
      </c>
      <c r="J27" s="99" t="s">
        <v>212</v>
      </c>
    </row>
    <row r="28" spans="1:10" ht="15.5">
      <c r="A28" s="86" t="str">
        <f t="shared" si="0"/>
        <v xml:space="preserve">LECLERC RUFFEC </v>
      </c>
      <c r="B28" s="87" t="s">
        <v>120</v>
      </c>
      <c r="C28" s="88" t="s">
        <v>167</v>
      </c>
      <c r="D28" s="89" t="s">
        <v>168</v>
      </c>
      <c r="E28" s="90">
        <v>16700</v>
      </c>
      <c r="F28" s="114">
        <v>545310776</v>
      </c>
      <c r="G28" s="92">
        <f>COUNTIF('historique des commandes '!B:B,Identifiant)</f>
        <v>0</v>
      </c>
      <c r="H28" s="93">
        <f>SUMIF('historique des commandes '!B:B,A28,'historique des commandes '!D:D)</f>
        <v>0</v>
      </c>
      <c r="I28" s="98" t="str">
        <f t="shared" si="1"/>
        <v xml:space="preserve">LECLERC RUFFEC </v>
      </c>
      <c r="J28" s="99" t="s">
        <v>210</v>
      </c>
    </row>
    <row r="29" spans="1:10" ht="31">
      <c r="A29" s="102" t="str">
        <f t="shared" si="0"/>
        <v xml:space="preserve">LECLERC SAINTES ABBAYE </v>
      </c>
      <c r="B29" s="87" t="s">
        <v>120</v>
      </c>
      <c r="C29" s="88" t="s">
        <v>144</v>
      </c>
      <c r="D29" s="112" t="s">
        <v>145</v>
      </c>
      <c r="E29" s="107">
        <v>17100</v>
      </c>
      <c r="F29" s="117">
        <v>546921200</v>
      </c>
      <c r="G29" s="104">
        <f>COUNTIF('historique des commandes '!B:B,Identifiant)</f>
        <v>0</v>
      </c>
      <c r="H29" s="93">
        <f>SUMIF('historique des commandes '!B:B,A29,'historique des commandes '!D:D)</f>
        <v>0</v>
      </c>
      <c r="I29" s="98" t="str">
        <f t="shared" si="1"/>
        <v xml:space="preserve">LECLERC SAINTES ABBAYE </v>
      </c>
      <c r="J29" s="99" t="s">
        <v>213</v>
      </c>
    </row>
    <row r="30" spans="1:10" ht="31">
      <c r="A30" s="86" t="str">
        <f t="shared" si="0"/>
        <v xml:space="preserve">LECLERC ST MARTIN DE RE </v>
      </c>
      <c r="B30" s="87" t="s">
        <v>120</v>
      </c>
      <c r="C30" s="88" t="s">
        <v>121</v>
      </c>
      <c r="D30" s="88" t="s">
        <v>122</v>
      </c>
      <c r="E30" s="90">
        <v>17410</v>
      </c>
      <c r="F30" s="114" t="s">
        <v>123</v>
      </c>
      <c r="G30" s="92">
        <f>COUNTIF('historique des commandes '!B:B,Identifiant)</f>
        <v>0</v>
      </c>
      <c r="H30" s="93">
        <f>SUMIF('historique des commandes '!B:B,A30,'historique des commandes '!D:D)</f>
        <v>0</v>
      </c>
      <c r="I30" s="98" t="str">
        <f t="shared" si="1"/>
        <v xml:space="preserve">LECLERC ST MARTIN DE RE </v>
      </c>
      <c r="J30" s="99" t="s">
        <v>211</v>
      </c>
    </row>
    <row r="31" spans="1:10" ht="46.5">
      <c r="A31" s="86" t="str">
        <f t="shared" si="0"/>
        <v xml:space="preserve">SUPER U  CHATEAUNEUF SUR CHARENTE  </v>
      </c>
      <c r="B31" s="87" t="s">
        <v>106</v>
      </c>
      <c r="C31" s="124" t="s">
        <v>171</v>
      </c>
      <c r="D31" s="89" t="s">
        <v>172</v>
      </c>
      <c r="E31" s="90">
        <v>16120</v>
      </c>
      <c r="F31" s="114">
        <v>545662428</v>
      </c>
      <c r="G31" s="92">
        <f>COUNTIF('historique des commandes '!B:B,Identifiant)</f>
        <v>0</v>
      </c>
      <c r="H31" s="93">
        <f>SUMIF('historique des commandes '!B:B,A31,'historique des commandes '!D:D)</f>
        <v>0</v>
      </c>
      <c r="I31" s="98" t="str">
        <f t="shared" si="1"/>
        <v xml:space="preserve">SUPER U  CHATEAUNEUF SUR CHARENTE  </v>
      </c>
      <c r="J31" s="105"/>
    </row>
    <row r="32" spans="1:10" ht="15.5">
      <c r="A32" s="86" t="str">
        <f t="shared" si="0"/>
        <v xml:space="preserve">SUPER U  COZES </v>
      </c>
      <c r="B32" s="87" t="s">
        <v>106</v>
      </c>
      <c r="C32" s="88" t="s">
        <v>175</v>
      </c>
      <c r="D32" s="89" t="s">
        <v>176</v>
      </c>
      <c r="E32" s="90">
        <v>17120</v>
      </c>
      <c r="F32" s="91">
        <v>546908570</v>
      </c>
      <c r="G32" s="92">
        <f>COUNTIF('historique des commandes '!B:B,Identifiant)</f>
        <v>0</v>
      </c>
      <c r="H32" s="93">
        <f>SUMIF('historique des commandes '!B:B,A32,'historique des commandes '!D:D)</f>
        <v>0</v>
      </c>
      <c r="I32" s="98" t="str">
        <f t="shared" si="1"/>
        <v xml:space="preserve">SUPER U  COZES </v>
      </c>
      <c r="J32" s="99" t="s">
        <v>202</v>
      </c>
    </row>
    <row r="33" spans="1:10" ht="15.5">
      <c r="A33" s="86" t="str">
        <f t="shared" si="0"/>
        <v xml:space="preserve">SUPER U  ECHILLAIS </v>
      </c>
      <c r="B33" s="87" t="s">
        <v>106</v>
      </c>
      <c r="C33" s="88" t="s">
        <v>162</v>
      </c>
      <c r="D33" s="89" t="s">
        <v>163</v>
      </c>
      <c r="E33" s="90">
        <v>17620</v>
      </c>
      <c r="F33" s="91">
        <v>546835090</v>
      </c>
      <c r="G33" s="92">
        <f>COUNTIF('historique des commandes '!B:B,Identifiant)</f>
        <v>0</v>
      </c>
      <c r="H33" s="93">
        <f>SUMIF('historique des commandes '!B:B,A33,'historique des commandes '!D:D)</f>
        <v>0</v>
      </c>
      <c r="I33" s="98" t="str">
        <f t="shared" si="1"/>
        <v xml:space="preserve">SUPER U  ECHILLAIS </v>
      </c>
      <c r="J33" s="99" t="s">
        <v>200</v>
      </c>
    </row>
    <row r="34" spans="1:10" ht="15.5">
      <c r="A34" s="102" t="str">
        <f t="shared" si="0"/>
        <v xml:space="preserve">SUPER U  FOURAS </v>
      </c>
      <c r="B34" s="87" t="s">
        <v>106</v>
      </c>
      <c r="C34" s="88" t="s">
        <v>146</v>
      </c>
      <c r="D34" s="112" t="s">
        <v>147</v>
      </c>
      <c r="E34" s="90">
        <v>17450</v>
      </c>
      <c r="F34" s="125">
        <v>546835000</v>
      </c>
      <c r="G34" s="104">
        <f>COUNTIF('historique des commandes '!B:B,Identifiant)</f>
        <v>0</v>
      </c>
      <c r="H34" s="93">
        <f>SUMIF('historique des commandes '!B:B,A34,'historique des commandes '!D:D)</f>
        <v>0</v>
      </c>
      <c r="I34" s="98" t="str">
        <f t="shared" si="1"/>
        <v xml:space="preserve">SUPER U  FOURAS </v>
      </c>
      <c r="J34" s="99" t="s">
        <v>196</v>
      </c>
    </row>
    <row r="35" spans="1:10" ht="15.5">
      <c r="A35" s="86" t="str">
        <f t="shared" si="0"/>
        <v xml:space="preserve">SUPER U  GEMOZAC </v>
      </c>
      <c r="B35" s="87" t="s">
        <v>106</v>
      </c>
      <c r="C35" s="88" t="s">
        <v>104</v>
      </c>
      <c r="D35" s="89" t="s">
        <v>105</v>
      </c>
      <c r="E35" s="90">
        <v>17260</v>
      </c>
      <c r="F35" s="91">
        <v>546942110</v>
      </c>
      <c r="G35" s="92">
        <f>COUNTIF('historique des commandes '!B:B,Identifiant)</f>
        <v>1</v>
      </c>
      <c r="H35" s="93">
        <f>SUMIF('historique des commandes '!B:B,A35,'historique des commandes '!D:D)</f>
        <v>1059.8399999999999</v>
      </c>
      <c r="I35" s="98" t="str">
        <f t="shared" si="1"/>
        <v xml:space="preserve">SUPER U  GEMOZAC </v>
      </c>
      <c r="J35" s="99" t="s">
        <v>201</v>
      </c>
    </row>
    <row r="36" spans="1:10" ht="15.5">
      <c r="A36" s="86" t="str">
        <f t="shared" si="0"/>
        <v xml:space="preserve">SUPER U  MIRAMBEAU </v>
      </c>
      <c r="B36" s="87" t="s">
        <v>106</v>
      </c>
      <c r="C36" s="88" t="s">
        <v>218</v>
      </c>
      <c r="D36" s="89" t="s">
        <v>219</v>
      </c>
      <c r="E36" s="90">
        <v>17150</v>
      </c>
      <c r="F36" s="91">
        <v>546497233</v>
      </c>
      <c r="G36" s="92">
        <f>COUNTIF('historique des commandes '!B:B,Identifiant)</f>
        <v>0</v>
      </c>
      <c r="H36" s="93">
        <f>SUMIF('historique des commandes '!B:B,A36,'historique des commandes '!D:D)</f>
        <v>0</v>
      </c>
      <c r="I36" s="98" t="str">
        <f t="shared" si="1"/>
        <v xml:space="preserve">SUPER U  MIRAMBEAU </v>
      </c>
      <c r="J36" s="99" t="s">
        <v>194</v>
      </c>
    </row>
    <row r="37" spans="1:10" ht="15.5">
      <c r="A37" s="126" t="str">
        <f t="shared" si="0"/>
        <v xml:space="preserve">SUPER U SAUJON  </v>
      </c>
      <c r="B37" s="127" t="s">
        <v>66</v>
      </c>
      <c r="C37" s="128" t="s">
        <v>65</v>
      </c>
      <c r="D37" s="129" t="s">
        <v>67</v>
      </c>
      <c r="E37" s="130">
        <v>17600</v>
      </c>
      <c r="F37" s="131">
        <v>546029244</v>
      </c>
      <c r="G37" s="132">
        <f>COUNTIF('historique des commandes '!B:B,Identifiant)</f>
        <v>0</v>
      </c>
      <c r="H37" s="133">
        <f>SUMIF('historique des commandes '!B:B,A37,'historique des commandes '!D:D)</f>
        <v>0</v>
      </c>
      <c r="I37" s="134" t="str">
        <f t="shared" si="1"/>
        <v xml:space="preserve">SUPER U SAUJON  </v>
      </c>
      <c r="J37" s="99" t="s">
        <v>195</v>
      </c>
    </row>
    <row r="38" spans="1:10" ht="31">
      <c r="A38" s="135" t="str">
        <f t="shared" si="0"/>
        <v xml:space="preserve">SUPER U TONNAY CHARENTE </v>
      </c>
      <c r="B38" s="136" t="s">
        <v>66</v>
      </c>
      <c r="C38" s="137" t="s">
        <v>160</v>
      </c>
      <c r="D38" s="137" t="s">
        <v>161</v>
      </c>
      <c r="E38" s="138">
        <v>17430</v>
      </c>
      <c r="F38" s="117">
        <v>546880157</v>
      </c>
      <c r="G38" s="139">
        <f>COUNTIF('historique des commandes '!B:B,Identifiant)</f>
        <v>2</v>
      </c>
      <c r="H38" s="140">
        <f>SUMIF('historique des commandes '!B:B,A38,'historique des commandes '!D:D)</f>
        <v>16823.04</v>
      </c>
      <c r="I38" s="94" t="str">
        <f t="shared" si="1"/>
        <v xml:space="preserve">SUPER U TONNAY CHARENTE </v>
      </c>
      <c r="J38" s="141" t="s">
        <v>197</v>
      </c>
    </row>
  </sheetData>
  <hyperlinks>
    <hyperlink ref="J11" r:id="rId1"/>
    <hyperlink ref="J3" r:id="rId2"/>
    <hyperlink ref="J7" r:id="rId3"/>
    <hyperlink ref="J4" r:id="rId4"/>
    <hyperlink ref="J10" r:id="rId5"/>
    <hyperlink ref="J37" r:id="rId6"/>
    <hyperlink ref="J34" r:id="rId7"/>
    <hyperlink ref="J38" r:id="rId8"/>
    <hyperlink ref="J2" r:id="rId9"/>
    <hyperlink ref="J21" r:id="rId10"/>
    <hyperlink ref="J33" r:id="rId11"/>
    <hyperlink ref="J35" r:id="rId12"/>
    <hyperlink ref="J32" r:id="rId13"/>
    <hyperlink ref="J15" r:id="rId14"/>
    <hyperlink ref="J12" r:id="rId15"/>
    <hyperlink ref="J14" r:id="rId16"/>
    <hyperlink ref="J16" r:id="rId17"/>
    <hyperlink ref="J17" r:id="rId18"/>
    <hyperlink ref="J18" r:id="rId19"/>
    <hyperlink ref="J22" r:id="rId20"/>
    <hyperlink ref="J28" r:id="rId21"/>
    <hyperlink ref="J5" r:id="rId22"/>
    <hyperlink ref="J30" r:id="rId23"/>
    <hyperlink ref="J27" r:id="rId24"/>
    <hyperlink ref="J29" r:id="rId25"/>
    <hyperlink ref="J6" r:id="rId26"/>
    <hyperlink ref="J26" r:id="rId27"/>
    <hyperlink ref="J36" r:id="rId28"/>
    <hyperlink ref="J25" r:id="rId29"/>
  </hyperlinks>
  <pageMargins left="0.7" right="0.7" top="0.75" bottom="0.75" header="0.3" footer="0.3"/>
  <pageSetup paperSize="9" scale="42" orientation="landscape" r:id="rId30"/>
  <tableParts count="1">
    <tablePart r:id="rId31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P30"/>
  <sheetViews>
    <sheetView tabSelected="1" zoomScale="70" zoomScaleNormal="70" workbookViewId="0">
      <selection activeCell="B20" sqref="B20"/>
    </sheetView>
  </sheetViews>
  <sheetFormatPr baseColWidth="10" defaultRowHeight="14.5"/>
  <cols>
    <col min="1" max="1" width="36.453125" bestFit="1" customWidth="1"/>
    <col min="2" max="2" width="41.54296875" bestFit="1" customWidth="1"/>
    <col min="3" max="3" width="4.36328125" customWidth="1"/>
    <col min="4" max="4" width="19" customWidth="1"/>
    <col min="5" max="5" width="8.08984375" customWidth="1"/>
    <col min="6" max="6" width="13.36328125" bestFit="1" customWidth="1"/>
    <col min="7" max="7" width="9.453125" bestFit="1" customWidth="1"/>
    <col min="8" max="8" width="10.453125" bestFit="1" customWidth="1"/>
    <col min="9" max="9" width="9.36328125" bestFit="1" customWidth="1"/>
    <col min="10" max="11" width="10.36328125" bestFit="1" customWidth="1"/>
    <col min="12" max="13" width="8.08984375" customWidth="1"/>
    <col min="14" max="14" width="9.453125" bestFit="1" customWidth="1"/>
    <col min="15" max="16" width="8.08984375" customWidth="1"/>
  </cols>
  <sheetData>
    <row r="1" spans="1:16">
      <c r="A1" s="159" t="s">
        <v>77</v>
      </c>
      <c r="B1" s="160"/>
    </row>
    <row r="2" spans="1:16" ht="30" customHeight="1">
      <c r="A2" s="1" t="s">
        <v>78</v>
      </c>
      <c r="B2" s="59"/>
      <c r="E2" s="65">
        <v>1</v>
      </c>
      <c r="F2" s="65">
        <v>2</v>
      </c>
      <c r="G2" s="65">
        <v>3</v>
      </c>
      <c r="H2" s="65">
        <v>4</v>
      </c>
      <c r="I2" s="65">
        <v>5</v>
      </c>
      <c r="J2" s="65">
        <v>6</v>
      </c>
      <c r="K2" s="65">
        <v>7</v>
      </c>
      <c r="L2" s="65">
        <v>8</v>
      </c>
      <c r="M2" s="65">
        <v>9</v>
      </c>
      <c r="N2" s="65">
        <v>10</v>
      </c>
      <c r="O2" s="65">
        <v>11</v>
      </c>
      <c r="P2" s="65">
        <v>12</v>
      </c>
    </row>
    <row r="3" spans="1:16" ht="30" customHeight="1">
      <c r="A3" s="1" t="s">
        <v>62</v>
      </c>
      <c r="B3" s="60"/>
      <c r="D3" s="1"/>
      <c r="E3" s="1" t="s">
        <v>90</v>
      </c>
      <c r="F3" s="1" t="s">
        <v>91</v>
      </c>
      <c r="G3" s="1" t="s">
        <v>92</v>
      </c>
      <c r="H3" s="1" t="s">
        <v>93</v>
      </c>
      <c r="I3" s="1" t="s">
        <v>94</v>
      </c>
      <c r="J3" s="1" t="s">
        <v>95</v>
      </c>
      <c r="K3" s="1" t="s">
        <v>96</v>
      </c>
      <c r="L3" s="1" t="s">
        <v>97</v>
      </c>
      <c r="M3" s="1" t="s">
        <v>98</v>
      </c>
      <c r="N3" s="1" t="s">
        <v>99</v>
      </c>
      <c r="O3" s="1" t="s">
        <v>100</v>
      </c>
      <c r="P3" s="1" t="s">
        <v>101</v>
      </c>
    </row>
    <row r="4" spans="1:16" ht="15.75" customHeight="1">
      <c r="A4" s="1" t="s">
        <v>64</v>
      </c>
      <c r="B4" s="61"/>
      <c r="D4" s="1" t="s">
        <v>89</v>
      </c>
      <c r="E4" s="75">
        <f>SUMIF('historique des commandes '!$E:$E,E2,'historique des commandes '!$D:$D)</f>
        <v>0</v>
      </c>
      <c r="F4" s="75">
        <f>SUMIF('historique des commandes '!$E:$E,F2,'historique des commandes '!$D:$D)</f>
        <v>0</v>
      </c>
      <c r="G4" s="75">
        <f>SUMIF('historique des commandes '!$E:$E,G2,'historique des commandes '!$D:$D)</f>
        <v>13.872</v>
      </c>
      <c r="H4" s="75">
        <f>SUMIF('historique des commandes '!$E:$E,H2,'historique des commandes '!$D:$D)</f>
        <v>24146.676000000007</v>
      </c>
      <c r="I4" s="75">
        <f>SUMIF('historique des commandes '!$E:$E,I2,'historique des commandes '!$D:$D)</f>
        <v>210.38399999999999</v>
      </c>
      <c r="J4" s="75">
        <f>SUMIF('historique des commandes '!$E:$E,J2,'historique des commandes '!$D:$D)</f>
        <v>0</v>
      </c>
      <c r="K4" s="75">
        <f>SUMIF('historique des commandes '!$E:$E,K2,'historique des commandes '!$D:$D)</f>
        <v>0</v>
      </c>
      <c r="L4" s="75">
        <f>SUMIF('historique des commandes '!$E:$E,L2,'historique des commandes '!$D:$D)</f>
        <v>0</v>
      </c>
      <c r="M4" s="75">
        <f>SUMIF('historique des commandes '!$E:$E,M2,'historique des commandes '!$D:$D)</f>
        <v>6.9359999999999999</v>
      </c>
      <c r="N4" s="75">
        <f>SUMIF('historique des commandes '!$E:$E,N2,'historique des commandes '!$D:$D)</f>
        <v>1820.16</v>
      </c>
      <c r="O4" s="75">
        <f>SUMIF('historique des commandes '!$E:$E,O2,'historique des commandes '!$D:$D)</f>
        <v>282.52799999999996</v>
      </c>
      <c r="P4" s="75">
        <f>SUMIF('historique des commandes '!$E:$E,P2,'historique des commandes '!$D:$D)</f>
        <v>10.607999999999999</v>
      </c>
    </row>
    <row r="5" spans="1:16">
      <c r="A5" s="1" t="s">
        <v>61</v>
      </c>
      <c r="B5" s="59"/>
    </row>
    <row r="6" spans="1:16">
      <c r="A6" s="1" t="s">
        <v>79</v>
      </c>
      <c r="B6" s="62"/>
    </row>
    <row r="7" spans="1:16" ht="50.25" customHeight="1" thickBot="1">
      <c r="H7" s="49"/>
    </row>
    <row r="8" spans="1:16" ht="15" thickBot="1">
      <c r="A8" s="161" t="s">
        <v>80</v>
      </c>
      <c r="B8" s="162"/>
    </row>
    <row r="9" spans="1:16">
      <c r="A9" s="163" t="s">
        <v>71</v>
      </c>
      <c r="B9" s="164"/>
    </row>
    <row r="10" spans="1:16">
      <c r="A10" s="165" t="s">
        <v>81</v>
      </c>
      <c r="B10" s="166"/>
    </row>
    <row r="11" spans="1:16">
      <c r="A11" s="165" t="s">
        <v>82</v>
      </c>
      <c r="B11" s="166"/>
    </row>
    <row r="12" spans="1:16">
      <c r="A12" s="165" t="s">
        <v>263</v>
      </c>
      <c r="B12" s="166"/>
    </row>
    <row r="13" spans="1:16">
      <c r="A13" s="152"/>
      <c r="B13" s="152"/>
    </row>
    <row r="14" spans="1:16">
      <c r="A14" s="153"/>
      <c r="B14" s="154"/>
    </row>
    <row r="15" spans="1:16" ht="15" thickBot="1">
      <c r="A15" s="155"/>
      <c r="B15" s="156"/>
    </row>
    <row r="16" spans="1:16" ht="7.5" customHeight="1" thickBot="1"/>
    <row r="17" spans="1:11" ht="15" thickBot="1">
      <c r="A17" s="157" t="s">
        <v>83</v>
      </c>
      <c r="B17" s="158"/>
    </row>
    <row r="18" spans="1:11">
      <c r="A18" s="52" t="s">
        <v>84</v>
      </c>
      <c r="B18" s="55">
        <f>MAX('Clients '!H:H)</f>
        <v>16823.04</v>
      </c>
    </row>
    <row r="19" spans="1:11">
      <c r="A19" s="51" t="s">
        <v>85</v>
      </c>
      <c r="B19" s="56" t="str">
        <f>VLOOKUP(B18,'Clients '!H:I,2,0)</f>
        <v xml:space="preserve">SUPER U TONNAY CHARENTE </v>
      </c>
    </row>
    <row r="20" spans="1:11">
      <c r="A20" s="51" t="s">
        <v>86</v>
      </c>
      <c r="B20" s="167">
        <f t="array" ref="B20">SMALL(IF('historique des ventes directes '!B4:B40&gt;0,'historique des ventes directes '!B4:B40,""),1)</f>
        <v>5.8440000000000003</v>
      </c>
    </row>
    <row r="21" spans="1:11">
      <c r="A21" s="51" t="s">
        <v>87</v>
      </c>
      <c r="B21" s="57">
        <f>AVERAGE('historique des commandes '!D:D)</f>
        <v>1324.5582000000004</v>
      </c>
    </row>
    <row r="22" spans="1:11" ht="18.5">
      <c r="A22" s="51" t="s">
        <v>88</v>
      </c>
      <c r="B22" s="58">
        <f>SUM('historique des commandes '!D:D)</f>
        <v>26491.164000000008</v>
      </c>
      <c r="D22" s="1"/>
      <c r="E22" s="74" t="s">
        <v>125</v>
      </c>
      <c r="F22" s="74" t="s">
        <v>266</v>
      </c>
      <c r="G22" s="74" t="s">
        <v>120</v>
      </c>
      <c r="H22" s="74" t="s">
        <v>267</v>
      </c>
      <c r="I22" s="74" t="s">
        <v>107</v>
      </c>
      <c r="J22" s="74" t="s">
        <v>68</v>
      </c>
      <c r="K22" s="74" t="s">
        <v>66</v>
      </c>
    </row>
    <row r="23" spans="1:11">
      <c r="A23" s="53" t="s">
        <v>268</v>
      </c>
      <c r="B23" s="63">
        <f>COUNTA('Clients '!B2:B38)</f>
        <v>37</v>
      </c>
      <c r="D23" s="11" t="s">
        <v>265</v>
      </c>
      <c r="E23" s="71">
        <f>B24</f>
        <v>298.70399999999995</v>
      </c>
      <c r="F23" s="71">
        <f>B25</f>
        <v>808.99199999999996</v>
      </c>
      <c r="G23" s="71">
        <f>B26</f>
        <v>3407.0400000000004</v>
      </c>
      <c r="H23" s="71">
        <f>B26</f>
        <v>3407.0400000000004</v>
      </c>
      <c r="I23" s="71">
        <f>B27</f>
        <v>3640.32</v>
      </c>
      <c r="J23" s="71">
        <f>B28</f>
        <v>436.77599999999995</v>
      </c>
      <c r="K23" s="71">
        <f>B29</f>
        <v>17882.88</v>
      </c>
    </row>
    <row r="24" spans="1:11">
      <c r="A24" s="76" t="s">
        <v>180</v>
      </c>
      <c r="B24" s="143">
        <f>SUMIF(Tableau2[[Identifiant ]],"*AUCHAN*",Tableau2[CA € TTC])</f>
        <v>298.70399999999995</v>
      </c>
    </row>
    <row r="25" spans="1:11">
      <c r="A25" s="76" t="s">
        <v>181</v>
      </c>
      <c r="B25" s="144">
        <f>SUMIF(Tableau2[[Identifiant ]],"*CAVE?LECLERC*",Tableau2[CA € TTC])</f>
        <v>808.99199999999996</v>
      </c>
    </row>
    <row r="26" spans="1:11">
      <c r="A26" s="76" t="s">
        <v>182</v>
      </c>
      <c r="B26" s="145">
        <f>SUMIF(Tableau2[[Identifiant ]],"*GEANT*",Tableau2[CA € TTC])</f>
        <v>3407.0400000000004</v>
      </c>
    </row>
    <row r="27" spans="1:11">
      <c r="A27" s="76" t="s">
        <v>183</v>
      </c>
      <c r="B27" s="145">
        <f>SUMIF(Tableau2[[Identifiant ]],"*HYPER U*",Tableau2[CA € TTC])</f>
        <v>3640.32</v>
      </c>
    </row>
    <row r="28" spans="1:11">
      <c r="A28" s="76" t="s">
        <v>184</v>
      </c>
      <c r="B28" s="145">
        <f>SUMIF(Tableau2[[Identifiant ]],"*INTERMARCHE*",Tableau2[CA € TTC])</f>
        <v>436.77599999999995</v>
      </c>
    </row>
    <row r="29" spans="1:11">
      <c r="A29" s="77" t="s">
        <v>185</v>
      </c>
      <c r="B29" s="143">
        <f>SUMIF(Tableau2[[Identifiant ]],"*SUPER U*",Tableau2[CA € TTC])</f>
        <v>17882.88</v>
      </c>
    </row>
    <row r="30" spans="1:11" ht="15" thickBot="1">
      <c r="A30" s="142" t="s">
        <v>186</v>
      </c>
      <c r="B30" s="146">
        <f>SUMIF(Tableau2[[Identifiant ]],"*LECLERC*",Tableau2[CA € TTC])-$B$25</f>
        <v>16.451999999999998</v>
      </c>
    </row>
  </sheetData>
  <mergeCells count="10">
    <mergeCell ref="A13:B13"/>
    <mergeCell ref="A14:B14"/>
    <mergeCell ref="A15:B15"/>
    <mergeCell ref="A17:B17"/>
    <mergeCell ref="A1:B1"/>
    <mergeCell ref="A8:B8"/>
    <mergeCell ref="A9:B9"/>
    <mergeCell ref="A10:B10"/>
    <mergeCell ref="A11:B11"/>
    <mergeCell ref="A12:B12"/>
  </mergeCells>
  <hyperlinks>
    <hyperlink ref="A9:B9" location="'Bon de Commande'!A1" display="Bon de Commande"/>
    <hyperlink ref="A10:B10" location="'historique des commandes '!A1" display="Historique des Bons de Commandes "/>
    <hyperlink ref="A11:B11" location="'Clients '!A1" display="Clients"/>
    <hyperlink ref="A12:B12" location="'historique des ventes directes '!A1" display="historique des ventes directes directes "/>
  </hyperlinks>
  <pageMargins left="0.7" right="0.7" top="0.75" bottom="0.75" header="0.3" footer="0.3"/>
  <drawing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S27"/>
  <sheetViews>
    <sheetView workbookViewId="0">
      <selection activeCell="A21" sqref="A21"/>
    </sheetView>
  </sheetViews>
  <sheetFormatPr baseColWidth="10" defaultRowHeight="14.5"/>
  <cols>
    <col min="1" max="1" width="18" style="49" bestFit="1" customWidth="1"/>
    <col min="2" max="2" width="27.36328125" bestFit="1" customWidth="1"/>
    <col min="3" max="3" width="10.6328125" style="46" bestFit="1" customWidth="1"/>
    <col min="4" max="4" width="11.453125" style="48"/>
  </cols>
  <sheetData>
    <row r="1" spans="1:19" ht="15" thickBot="1">
      <c r="A1" s="49" t="s">
        <v>75</v>
      </c>
      <c r="B1" t="s">
        <v>72</v>
      </c>
      <c r="C1" s="46" t="s">
        <v>73</v>
      </c>
      <c r="D1" s="48" t="s">
        <v>74</v>
      </c>
      <c r="E1" t="s">
        <v>103</v>
      </c>
      <c r="S1" s="50">
        <f>COUNTA(A:A)</f>
        <v>9</v>
      </c>
    </row>
    <row r="2" spans="1:19" s="79" customFormat="1">
      <c r="A2" s="49"/>
      <c r="B2" s="79" t="s">
        <v>245</v>
      </c>
      <c r="C2" s="46">
        <v>43929</v>
      </c>
      <c r="D2" s="48">
        <v>6.9359999999999999</v>
      </c>
      <c r="E2" s="79">
        <f t="shared" ref="E2:E3" si="0">MONTH(C:C)</f>
        <v>4</v>
      </c>
      <c r="S2" s="54"/>
    </row>
    <row r="3" spans="1:19" s="79" customFormat="1">
      <c r="A3" s="49"/>
      <c r="B3" s="79" t="s">
        <v>235</v>
      </c>
      <c r="C3" s="46">
        <v>43929</v>
      </c>
      <c r="D3" s="48">
        <v>16.175999999999998</v>
      </c>
      <c r="E3" s="79">
        <f t="shared" si="0"/>
        <v>4</v>
      </c>
      <c r="S3" s="54"/>
    </row>
    <row r="4" spans="1:19" s="66" customFormat="1">
      <c r="A4" s="49"/>
      <c r="B4" s="66" t="s">
        <v>259</v>
      </c>
      <c r="C4" s="46">
        <v>43929</v>
      </c>
      <c r="D4" s="48">
        <v>1059.8399999999999</v>
      </c>
      <c r="E4" s="66">
        <f t="shared" ref="E4:E21" si="1">MONTH(C:C)</f>
        <v>4</v>
      </c>
      <c r="S4" s="54"/>
    </row>
    <row r="5" spans="1:19" s="66" customFormat="1">
      <c r="A5" s="49"/>
      <c r="B5" s="66" t="s">
        <v>239</v>
      </c>
      <c r="C5" s="46">
        <v>43929</v>
      </c>
      <c r="D5" s="48">
        <v>1820.16</v>
      </c>
      <c r="E5" s="66">
        <f t="shared" si="1"/>
        <v>4</v>
      </c>
      <c r="S5" s="54"/>
    </row>
    <row r="6" spans="1:19" s="66" customFormat="1">
      <c r="A6" s="49"/>
      <c r="B6" s="66" t="s">
        <v>239</v>
      </c>
      <c r="C6" s="46">
        <v>44112</v>
      </c>
      <c r="D6" s="48">
        <v>1820.16</v>
      </c>
      <c r="E6" s="66">
        <f t="shared" si="1"/>
        <v>10</v>
      </c>
      <c r="S6" s="54"/>
    </row>
    <row r="7" spans="1:19" s="66" customFormat="1">
      <c r="A7" s="49"/>
      <c r="B7" s="66" t="s">
        <v>234</v>
      </c>
      <c r="C7" s="46">
        <v>44143</v>
      </c>
      <c r="D7" s="48">
        <v>282.52799999999996</v>
      </c>
      <c r="E7" s="66">
        <f t="shared" si="1"/>
        <v>11</v>
      </c>
      <c r="S7" s="54"/>
    </row>
    <row r="8" spans="1:19" s="66" customFormat="1">
      <c r="A8" s="49"/>
      <c r="B8" s="66" t="s">
        <v>254</v>
      </c>
      <c r="C8" s="46">
        <v>43929</v>
      </c>
      <c r="D8" s="48">
        <v>8411.52</v>
      </c>
      <c r="E8" s="66">
        <f t="shared" si="1"/>
        <v>4</v>
      </c>
      <c r="S8" s="54"/>
    </row>
    <row r="9" spans="1:19" s="66" customFormat="1">
      <c r="A9" s="49"/>
      <c r="B9" s="66" t="s">
        <v>254</v>
      </c>
      <c r="C9" s="46">
        <v>43929</v>
      </c>
      <c r="D9" s="48">
        <v>8411.52</v>
      </c>
      <c r="E9" s="66">
        <f t="shared" si="1"/>
        <v>4</v>
      </c>
      <c r="S9" s="54"/>
    </row>
    <row r="10" spans="1:19" s="66" customFormat="1">
      <c r="A10" s="49"/>
      <c r="B10" s="66" t="s">
        <v>230</v>
      </c>
      <c r="C10" s="46">
        <v>44173</v>
      </c>
      <c r="D10" s="48">
        <v>10.607999999999999</v>
      </c>
      <c r="E10" s="66">
        <f t="shared" si="1"/>
        <v>12</v>
      </c>
      <c r="S10" s="54"/>
    </row>
    <row r="11" spans="1:19" s="66" customFormat="1">
      <c r="A11" s="49"/>
      <c r="B11" s="66" t="s">
        <v>229</v>
      </c>
      <c r="C11" s="46">
        <v>44082</v>
      </c>
      <c r="D11" s="48">
        <v>6.9359999999999999</v>
      </c>
      <c r="E11" s="66">
        <f t="shared" si="1"/>
        <v>9</v>
      </c>
      <c r="S11" s="54"/>
    </row>
    <row r="12" spans="1:19" s="66" customFormat="1">
      <c r="A12" s="49"/>
      <c r="B12" s="66" t="s">
        <v>229</v>
      </c>
      <c r="C12" s="46">
        <v>43929</v>
      </c>
      <c r="D12" s="48">
        <v>6.9359999999999999</v>
      </c>
      <c r="E12" s="66">
        <f t="shared" si="1"/>
        <v>4</v>
      </c>
      <c r="S12" s="54"/>
    </row>
    <row r="13" spans="1:19" s="66" customFormat="1">
      <c r="A13" s="49"/>
      <c r="B13" s="66" t="s">
        <v>228</v>
      </c>
      <c r="C13" s="46">
        <v>43929</v>
      </c>
      <c r="D13" s="48">
        <v>6.9359999999999999</v>
      </c>
      <c r="E13" s="66">
        <f t="shared" si="1"/>
        <v>4</v>
      </c>
      <c r="S13" s="54"/>
    </row>
    <row r="14" spans="1:19">
      <c r="A14" s="49">
        <v>8</v>
      </c>
      <c r="B14" t="s">
        <v>227</v>
      </c>
      <c r="C14" s="46">
        <v>43928</v>
      </c>
      <c r="D14" s="48">
        <v>6.9359999999999999</v>
      </c>
      <c r="E14">
        <f t="shared" si="1"/>
        <v>4</v>
      </c>
      <c r="S14" s="54"/>
    </row>
    <row r="15" spans="1:19">
      <c r="A15" s="49">
        <v>7</v>
      </c>
      <c r="B15" t="s">
        <v>226</v>
      </c>
      <c r="C15" s="46">
        <v>43928</v>
      </c>
      <c r="D15" s="48">
        <v>598.60799999999995</v>
      </c>
      <c r="E15" s="64">
        <f t="shared" si="1"/>
        <v>4</v>
      </c>
      <c r="S15" s="54"/>
    </row>
    <row r="16" spans="1:19">
      <c r="A16" s="49">
        <v>6</v>
      </c>
      <c r="B16" t="s">
        <v>225</v>
      </c>
      <c r="C16" s="46">
        <v>43928</v>
      </c>
      <c r="D16" s="48">
        <v>5.8440000000000003</v>
      </c>
      <c r="E16" s="64">
        <f t="shared" si="1"/>
        <v>4</v>
      </c>
      <c r="S16" s="54"/>
    </row>
    <row r="17" spans="1:19">
      <c r="A17" s="49">
        <v>5</v>
      </c>
      <c r="B17" t="s">
        <v>224</v>
      </c>
      <c r="C17" s="46">
        <v>43928</v>
      </c>
      <c r="D17" s="48">
        <v>388.22399999999999</v>
      </c>
      <c r="E17" s="64">
        <f t="shared" si="1"/>
        <v>4</v>
      </c>
      <c r="S17" s="54"/>
    </row>
    <row r="18" spans="1:19">
      <c r="A18" s="49">
        <v>4</v>
      </c>
      <c r="B18" t="s">
        <v>223</v>
      </c>
      <c r="C18" s="46">
        <v>43958</v>
      </c>
      <c r="D18" s="48">
        <v>210.38399999999999</v>
      </c>
      <c r="E18" s="64">
        <f t="shared" si="1"/>
        <v>5</v>
      </c>
      <c r="S18" s="54"/>
    </row>
    <row r="19" spans="1:19">
      <c r="A19" s="49">
        <v>3</v>
      </c>
      <c r="B19" t="s">
        <v>222</v>
      </c>
      <c r="C19" s="46">
        <v>43896</v>
      </c>
      <c r="D19" s="48">
        <v>6.9359999999999999</v>
      </c>
      <c r="E19" s="64">
        <f t="shared" si="1"/>
        <v>3</v>
      </c>
      <c r="S19" s="54"/>
    </row>
    <row r="20" spans="1:19">
      <c r="A20" s="49">
        <v>2</v>
      </c>
      <c r="B20" t="s">
        <v>222</v>
      </c>
      <c r="C20" s="46">
        <v>43896</v>
      </c>
      <c r="D20" s="48">
        <v>6.9359999999999999</v>
      </c>
      <c r="E20" s="64">
        <f t="shared" si="1"/>
        <v>3</v>
      </c>
      <c r="S20" s="54"/>
    </row>
    <row r="21" spans="1:19">
      <c r="A21" s="49">
        <v>3</v>
      </c>
      <c r="B21" t="s">
        <v>177</v>
      </c>
      <c r="C21" s="46">
        <v>43923</v>
      </c>
      <c r="D21" s="48">
        <v>3407.0400000000004</v>
      </c>
      <c r="E21" s="64">
        <f t="shared" si="1"/>
        <v>4</v>
      </c>
      <c r="S21" s="54"/>
    </row>
    <row r="27" spans="1:19">
      <c r="S2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Catalogue </vt:lpstr>
      <vt:lpstr>Bon de Commande</vt:lpstr>
      <vt:lpstr>historique des ventes directes </vt:lpstr>
      <vt:lpstr>Clients </vt:lpstr>
      <vt:lpstr>tableau de bord</vt:lpstr>
      <vt:lpstr>historique des commandes </vt:lpstr>
      <vt:lpstr>DESIGNATION</vt:lpstr>
      <vt:lpstr>EAN</vt:lpstr>
      <vt:lpstr>Identifiant</vt:lpstr>
      <vt:lpstr>PU</vt:lpstr>
      <vt:lpstr>TVA</vt:lpstr>
      <vt:lpstr>tva_20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LEFEBVRE</dc:creator>
  <cp:lastModifiedBy>tulipe</cp:lastModifiedBy>
  <cp:lastPrinted>2020-04-08T18:02:33Z</cp:lastPrinted>
  <dcterms:created xsi:type="dcterms:W3CDTF">2020-03-19T16:53:04Z</dcterms:created>
  <dcterms:modified xsi:type="dcterms:W3CDTF">2020-04-09T11:35:43Z</dcterms:modified>
</cp:coreProperties>
</file>