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tables/table1.xml" ContentType="application/vnd.openxmlformats-officedocument.spreadsheetml.table+xml"/>
  <Override PartName="/xl/comments2.xml" ContentType="application/vnd.openxmlformats-officedocument.spreadsheetml.comments+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126" codeName="{22E68647-3C60-695B-3CA0-4895CD717B8A}"/>
  <workbookPr codeName="ThisWorkbook"/>
  <mc:AlternateContent xmlns:mc="http://schemas.openxmlformats.org/markup-compatibility/2006">
    <mc:Choice Requires="x15">
      <x15ac:absPath xmlns:x15ac="http://schemas.microsoft.com/office/spreadsheetml/2010/11/ac" url="C:\Users\LIEGEOIS\Desktop\"/>
    </mc:Choice>
  </mc:AlternateContent>
  <xr:revisionPtr revIDLastSave="0" documentId="13_ncr:1_{31411B28-9E5D-4AD1-B9DF-A2237DF70287}" xr6:coauthVersionLast="40" xr6:coauthVersionMax="40" xr10:uidLastSave="{00000000-0000-0000-0000-000000000000}"/>
  <bookViews>
    <workbookView xWindow="0" yWindow="0" windowWidth="20325" windowHeight="8115" tabRatio="929" activeTab="2" xr2:uid="{00000000-000D-0000-FFFF-FFFF00000000}"/>
  </bookViews>
  <sheets>
    <sheet name="Dépôt" sheetId="18" r:id="rId1"/>
    <sheet name="Chiffre d’affaires " sheetId="2" r:id="rId2"/>
    <sheet name="Janvier" sheetId="5" r:id="rId3"/>
    <sheet name="Fevrier" sheetId="7" r:id="rId4"/>
    <sheet name="Mars" sheetId="8" r:id="rId5"/>
    <sheet name="Avril" sheetId="9" r:id="rId6"/>
    <sheet name="Mai" sheetId="10" r:id="rId7"/>
    <sheet name="Juin" sheetId="11" r:id="rId8"/>
    <sheet name="Juillet" sheetId="12" r:id="rId9"/>
    <sheet name="Août" sheetId="13" r:id="rId10"/>
    <sheet name="Septembre" sheetId="14" r:id="rId11"/>
    <sheet name="Otobre" sheetId="15" r:id="rId12"/>
    <sheet name="Novembre" sheetId="16" r:id="rId13"/>
    <sheet name="Décembre" sheetId="17" r:id="rId14"/>
    <sheet name="Frais" sheetId="3" r:id="rId15"/>
    <sheet name="Charge" sheetId="4" r:id="rId16"/>
  </sheets>
  <definedNames>
    <definedName name="AnnéeCalendrier">Janvier!$K$2</definedName>
    <definedName name="DébutSemaine">Janvier!$K$3</definedName>
    <definedName name="FYMonthNo">IF(FYMonthStart="JANV",1,IF(FYMonthStart="FÉVR",2,IF(FYMonthStart="MARS",3,IF(FYMonthStart="AVR",4,IF(FYMonthStart="MAI",5,IF(FYMonthStart="JUIN",6,IF(FYMonthStart="JUIL",7,IF(FYMonthStart="AOÛT",8,IF(FYMonthStart="SEPT",9,IF(FYMonthStart="OCT",10,IF(FYMonthStart="NOV",11,12)))))))))))</definedName>
    <definedName name="FYMonthStart">'Chiffre d’affaires '!$AC$2</definedName>
    <definedName name="FYStartYear">'Chiffre d’affaires '!$AD$2</definedName>
    <definedName name="_xlnm.Print_Titles" localSheetId="15">Charge!$3:$4</definedName>
    <definedName name="_xlnm.Print_Titles" localSheetId="1">'Chiffre d’affaires '!$3:$4</definedName>
    <definedName name="_xlnm.Print_Titles" localSheetId="14">Frais!$3:$4</definedName>
    <definedName name="JoursEtSemaines">{0,1,2,3,4,5,6} + {0;1;2;3;4;5}*7</definedName>
    <definedName name="Nom_Entreprise">'Chiffre d’affaires '!$AD$1</definedName>
    <definedName name="Titre_Feuille_Calcul">'Chiffre d’affaires '!$B$2</definedName>
    <definedName name="Titre_Période_Prévisions">'Chiffre d’affaires '!$B$1</definedName>
    <definedName name="Titre1">Chiffre_daffaires[[#Headers],[CHIFFRE D’AFFAIRES (VENTES)]]</definedName>
    <definedName name="Titre2">CoûtdesVentes[[#Headers],[COÛT DES VENTES]]</definedName>
    <definedName name="Titre3">tblDépenses[[#Headers],[DÉPENSES]]</definedName>
  </definedNames>
  <calcPr calcId="181029"/>
</workbook>
</file>

<file path=xl/calcChain.xml><?xml version="1.0" encoding="utf-8"?>
<calcChain xmlns="http://schemas.openxmlformats.org/spreadsheetml/2006/main">
  <c r="Q5" i="18" l="1"/>
  <c r="R5" i="18"/>
  <c r="S5" i="18"/>
  <c r="T5" i="18"/>
  <c r="Q6" i="18"/>
  <c r="R6" i="18"/>
  <c r="S6" i="18"/>
  <c r="T6" i="18"/>
  <c r="U6" i="18"/>
  <c r="Q7" i="18"/>
  <c r="R7" i="18"/>
  <c r="S7" i="18"/>
  <c r="T7" i="18"/>
  <c r="Q8" i="18"/>
  <c r="R8" i="18"/>
  <c r="S8" i="18"/>
  <c r="T8" i="18"/>
  <c r="U8" i="18"/>
  <c r="Q9" i="18"/>
  <c r="R9" i="18"/>
  <c r="S9" i="18"/>
  <c r="T9" i="18"/>
  <c r="Q10" i="18"/>
  <c r="R10" i="18"/>
  <c r="S10" i="18"/>
  <c r="T10" i="18"/>
  <c r="U10" i="18"/>
  <c r="Q11" i="18"/>
  <c r="R11" i="18"/>
  <c r="S11" i="18"/>
  <c r="T11" i="18"/>
  <c r="Q12" i="18"/>
  <c r="R12" i="18"/>
  <c r="S12" i="18"/>
  <c r="T12" i="18"/>
  <c r="U12" i="18"/>
  <c r="Q13" i="18"/>
  <c r="R13" i="18"/>
  <c r="S13" i="18"/>
  <c r="T13" i="18"/>
  <c r="Q14" i="18"/>
  <c r="R14" i="18"/>
  <c r="S14" i="18"/>
  <c r="T14" i="18"/>
  <c r="U14" i="18"/>
  <c r="Q15" i="18"/>
  <c r="R15" i="18"/>
  <c r="S15" i="18"/>
  <c r="T15" i="18"/>
  <c r="Q16" i="18"/>
  <c r="R16" i="18"/>
  <c r="S16" i="18"/>
  <c r="T16" i="18"/>
  <c r="U16" i="18"/>
  <c r="D8" i="5" s="1"/>
  <c r="Q17" i="18"/>
  <c r="R17" i="18"/>
  <c r="S17" i="18"/>
  <c r="T17" i="18"/>
  <c r="Q18" i="18"/>
  <c r="R18" i="18"/>
  <c r="S18" i="18"/>
  <c r="T18" i="18"/>
  <c r="U18" i="18"/>
  <c r="Q19" i="18"/>
  <c r="R19" i="18"/>
  <c r="S19" i="18"/>
  <c r="T19" i="18"/>
  <c r="Q20" i="18"/>
  <c r="R20" i="18"/>
  <c r="S20" i="18"/>
  <c r="T20" i="18"/>
  <c r="U20" i="18"/>
  <c r="H8" i="5" s="1"/>
  <c r="Q21" i="18"/>
  <c r="R21" i="18"/>
  <c r="S21" i="18"/>
  <c r="T21" i="18"/>
  <c r="Q22" i="18"/>
  <c r="R22" i="18"/>
  <c r="S22" i="18"/>
  <c r="T22" i="18"/>
  <c r="U22" i="18"/>
  <c r="Q23" i="18"/>
  <c r="R23" i="18"/>
  <c r="S23" i="18"/>
  <c r="T23" i="18"/>
  <c r="Q24" i="18"/>
  <c r="R24" i="18"/>
  <c r="S24" i="18"/>
  <c r="T24" i="18"/>
  <c r="U24" i="18"/>
  <c r="E10" i="5" s="1"/>
  <c r="Q25" i="18"/>
  <c r="R25" i="18"/>
  <c r="S25" i="18"/>
  <c r="T25" i="18"/>
  <c r="Q26" i="18"/>
  <c r="R26" i="18"/>
  <c r="S26" i="18"/>
  <c r="T26" i="18"/>
  <c r="U26" i="18"/>
  <c r="Q27" i="18"/>
  <c r="R27" i="18"/>
  <c r="S27" i="18"/>
  <c r="T27" i="18"/>
  <c r="Q28" i="18"/>
  <c r="R28" i="18"/>
  <c r="S28" i="18"/>
  <c r="T28" i="18"/>
  <c r="U28" i="18"/>
  <c r="B12" i="5" s="1"/>
  <c r="Q29" i="18"/>
  <c r="R29" i="18"/>
  <c r="S29" i="18"/>
  <c r="T29" i="18"/>
  <c r="Q30" i="18"/>
  <c r="R30" i="18"/>
  <c r="S30" i="18"/>
  <c r="T30" i="18"/>
  <c r="U30" i="18"/>
  <c r="Q31" i="18"/>
  <c r="R31" i="18"/>
  <c r="S31" i="18"/>
  <c r="T31" i="18"/>
  <c r="Q32" i="18"/>
  <c r="R32" i="18"/>
  <c r="S32" i="18"/>
  <c r="T32" i="18"/>
  <c r="U32" i="18"/>
  <c r="F12" i="5" s="1"/>
  <c r="Q33" i="18"/>
  <c r="R33" i="18"/>
  <c r="S33" i="18"/>
  <c r="T33" i="18"/>
  <c r="Q34" i="18"/>
  <c r="R34" i="18"/>
  <c r="S34" i="18"/>
  <c r="T34" i="18"/>
  <c r="U34" i="18"/>
  <c r="Q35" i="18"/>
  <c r="R35" i="18"/>
  <c r="S35" i="18"/>
  <c r="T35" i="18"/>
  <c r="Q36" i="18"/>
  <c r="R36" i="18"/>
  <c r="S36" i="18"/>
  <c r="T36" i="18"/>
  <c r="U36" i="18"/>
  <c r="Q37" i="18"/>
  <c r="R37" i="18"/>
  <c r="S37" i="18"/>
  <c r="T37" i="18"/>
  <c r="Q38" i="18"/>
  <c r="R38" i="18"/>
  <c r="S38" i="18"/>
  <c r="T38" i="18"/>
  <c r="U38" i="18"/>
  <c r="Q39" i="18"/>
  <c r="R39" i="18"/>
  <c r="S39" i="18"/>
  <c r="T39" i="18"/>
  <c r="Q40" i="18"/>
  <c r="R40" i="18"/>
  <c r="S40" i="18"/>
  <c r="T40" i="18"/>
  <c r="U40" i="18"/>
  <c r="Q41" i="18"/>
  <c r="R41" i="18"/>
  <c r="S41" i="18"/>
  <c r="T41" i="18"/>
  <c r="Q42" i="18"/>
  <c r="R42" i="18"/>
  <c r="S42" i="18"/>
  <c r="T42" i="18"/>
  <c r="U42" i="18"/>
  <c r="Q43" i="18"/>
  <c r="R43" i="18"/>
  <c r="S43" i="18"/>
  <c r="T43" i="18"/>
  <c r="Q44" i="18"/>
  <c r="R44" i="18"/>
  <c r="S44" i="18"/>
  <c r="T44" i="18"/>
  <c r="U44" i="18"/>
  <c r="Q45" i="18"/>
  <c r="R45" i="18"/>
  <c r="S45" i="18"/>
  <c r="T45" i="18"/>
  <c r="Q46" i="18"/>
  <c r="R46" i="18"/>
  <c r="S46" i="18"/>
  <c r="T46" i="18"/>
  <c r="U46" i="18"/>
  <c r="Q47" i="18"/>
  <c r="R47" i="18"/>
  <c r="S47" i="18"/>
  <c r="T47" i="18"/>
  <c r="Q48" i="18"/>
  <c r="R48" i="18"/>
  <c r="S48" i="18"/>
  <c r="T48" i="18"/>
  <c r="U48" i="18"/>
  <c r="Q49" i="18"/>
  <c r="R49" i="18"/>
  <c r="S49" i="18"/>
  <c r="T49" i="18"/>
  <c r="Q50" i="18"/>
  <c r="R50" i="18"/>
  <c r="S50" i="18"/>
  <c r="T50" i="18"/>
  <c r="U50" i="18"/>
  <c r="Q51" i="18"/>
  <c r="R51" i="18"/>
  <c r="S51" i="18"/>
  <c r="T51" i="18"/>
  <c r="Q52" i="18"/>
  <c r="R52" i="18"/>
  <c r="S52" i="18"/>
  <c r="T52" i="18"/>
  <c r="U52" i="18"/>
  <c r="Q53" i="18"/>
  <c r="R53" i="18"/>
  <c r="S53" i="18"/>
  <c r="T53" i="18"/>
  <c r="Q54" i="18"/>
  <c r="R54" i="18"/>
  <c r="S54" i="18"/>
  <c r="T54" i="18"/>
  <c r="U54" i="18"/>
  <c r="Q55" i="18"/>
  <c r="R55" i="18"/>
  <c r="S55" i="18"/>
  <c r="T55" i="18"/>
  <c r="Q56" i="18"/>
  <c r="R56" i="18"/>
  <c r="S56" i="18"/>
  <c r="T56" i="18"/>
  <c r="U56" i="18"/>
  <c r="Q57" i="18"/>
  <c r="R57" i="18"/>
  <c r="S57" i="18"/>
  <c r="T57" i="18"/>
  <c r="Q58" i="18"/>
  <c r="R58" i="18"/>
  <c r="S58" i="18"/>
  <c r="T58" i="18"/>
  <c r="U58" i="18"/>
  <c r="Q59" i="18"/>
  <c r="R59" i="18"/>
  <c r="S59" i="18"/>
  <c r="T59" i="18"/>
  <c r="Q60" i="18"/>
  <c r="R60" i="18"/>
  <c r="S60" i="18"/>
  <c r="T60" i="18"/>
  <c r="U60" i="18"/>
  <c r="Q61" i="18"/>
  <c r="R61" i="18"/>
  <c r="S61" i="18"/>
  <c r="T61" i="18"/>
  <c r="Q62" i="18"/>
  <c r="R62" i="18"/>
  <c r="S62" i="18"/>
  <c r="T62" i="18"/>
  <c r="U62" i="18"/>
  <c r="Q63" i="18"/>
  <c r="R63" i="18"/>
  <c r="S63" i="18"/>
  <c r="T63" i="18"/>
  <c r="Q64" i="18"/>
  <c r="R64" i="18"/>
  <c r="S64" i="18"/>
  <c r="T64" i="18"/>
  <c r="U64" i="18"/>
  <c r="Q65" i="18"/>
  <c r="R65" i="18"/>
  <c r="S65" i="18"/>
  <c r="T65" i="18"/>
  <c r="Q66" i="18"/>
  <c r="R66" i="18"/>
  <c r="S66" i="18"/>
  <c r="T66" i="18"/>
  <c r="U66" i="18"/>
  <c r="Q67" i="18"/>
  <c r="R67" i="18"/>
  <c r="S67" i="18"/>
  <c r="T67" i="18"/>
  <c r="Q68" i="18"/>
  <c r="R68" i="18"/>
  <c r="S68" i="18"/>
  <c r="T68" i="18"/>
  <c r="U68" i="18"/>
  <c r="Q69" i="18"/>
  <c r="R69" i="18"/>
  <c r="S69" i="18"/>
  <c r="T69" i="18"/>
  <c r="Q70" i="18"/>
  <c r="R70" i="18"/>
  <c r="S70" i="18"/>
  <c r="T70" i="18"/>
  <c r="U70" i="18"/>
  <c r="Q71" i="18"/>
  <c r="R71" i="18"/>
  <c r="S71" i="18"/>
  <c r="T71" i="18"/>
  <c r="Q72" i="18"/>
  <c r="R72" i="18"/>
  <c r="S72" i="18"/>
  <c r="T72" i="18"/>
  <c r="U72" i="18"/>
  <c r="Q73" i="18"/>
  <c r="R73" i="18"/>
  <c r="S73" i="18"/>
  <c r="T73" i="18"/>
  <c r="Q74" i="18"/>
  <c r="R74" i="18"/>
  <c r="S74" i="18"/>
  <c r="T74" i="18"/>
  <c r="U74" i="18"/>
  <c r="Q75" i="18"/>
  <c r="R75" i="18"/>
  <c r="S75" i="18"/>
  <c r="T75" i="18"/>
  <c r="Q76" i="18"/>
  <c r="R76" i="18"/>
  <c r="S76" i="18"/>
  <c r="T76" i="18"/>
  <c r="U76" i="18"/>
  <c r="Q77" i="18"/>
  <c r="R77" i="18"/>
  <c r="S77" i="18"/>
  <c r="T77" i="18"/>
  <c r="Q78" i="18"/>
  <c r="R78" i="18"/>
  <c r="S78" i="18"/>
  <c r="T78" i="18"/>
  <c r="U78" i="18"/>
  <c r="Q79" i="18"/>
  <c r="R79" i="18"/>
  <c r="S79" i="18"/>
  <c r="T79" i="18"/>
  <c r="Q80" i="18"/>
  <c r="R80" i="18"/>
  <c r="S80" i="18"/>
  <c r="T80" i="18"/>
  <c r="U80" i="18"/>
  <c r="Q81" i="18"/>
  <c r="R81" i="18"/>
  <c r="S81" i="18"/>
  <c r="T81" i="18"/>
  <c r="Q82" i="18"/>
  <c r="R82" i="18"/>
  <c r="S82" i="18"/>
  <c r="T82" i="18"/>
  <c r="U82" i="18"/>
  <c r="Q83" i="18"/>
  <c r="R83" i="18"/>
  <c r="S83" i="18"/>
  <c r="T83" i="18"/>
  <c r="Q84" i="18"/>
  <c r="R84" i="18"/>
  <c r="S84" i="18"/>
  <c r="T84" i="18"/>
  <c r="U84" i="18"/>
  <c r="Q85" i="18"/>
  <c r="R85" i="18"/>
  <c r="S85" i="18"/>
  <c r="T85" i="18"/>
  <c r="Q86" i="18"/>
  <c r="R86" i="18"/>
  <c r="S86" i="18"/>
  <c r="T86" i="18"/>
  <c r="U86" i="18"/>
  <c r="Q87" i="18"/>
  <c r="R87" i="18"/>
  <c r="S87" i="18"/>
  <c r="T87" i="18"/>
  <c r="Q88" i="18"/>
  <c r="R88" i="18"/>
  <c r="S88" i="18"/>
  <c r="T88" i="18"/>
  <c r="U88" i="18"/>
  <c r="Q89" i="18"/>
  <c r="R89" i="18"/>
  <c r="S89" i="18"/>
  <c r="T89" i="18"/>
  <c r="Q90" i="18"/>
  <c r="R90" i="18"/>
  <c r="S90" i="18"/>
  <c r="T90" i="18"/>
  <c r="U90" i="18"/>
  <c r="Q91" i="18"/>
  <c r="R91" i="18"/>
  <c r="S91" i="18"/>
  <c r="T91" i="18"/>
  <c r="Q92" i="18"/>
  <c r="R92" i="18"/>
  <c r="S92" i="18"/>
  <c r="T92" i="18"/>
  <c r="U92" i="18"/>
  <c r="Q93" i="18"/>
  <c r="R93" i="18"/>
  <c r="S93" i="18"/>
  <c r="T93" i="18"/>
  <c r="Q94" i="18"/>
  <c r="R94" i="18"/>
  <c r="S94" i="18"/>
  <c r="T94" i="18"/>
  <c r="U94" i="18"/>
  <c r="Q95" i="18"/>
  <c r="R95" i="18"/>
  <c r="S95" i="18"/>
  <c r="T95" i="18"/>
  <c r="Q96" i="18"/>
  <c r="R96" i="18"/>
  <c r="S96" i="18"/>
  <c r="T96" i="18"/>
  <c r="U96" i="18"/>
  <c r="Q97" i="18"/>
  <c r="R97" i="18"/>
  <c r="S97" i="18"/>
  <c r="T97" i="18"/>
  <c r="Q98" i="18"/>
  <c r="R98" i="18"/>
  <c r="S98" i="18"/>
  <c r="T98" i="18"/>
  <c r="U98" i="18"/>
  <c r="Q99" i="18"/>
  <c r="R99" i="18"/>
  <c r="S99" i="18"/>
  <c r="T99" i="18"/>
  <c r="Q100" i="18"/>
  <c r="R100" i="18"/>
  <c r="S100" i="18"/>
  <c r="T100" i="18"/>
  <c r="U100" i="18"/>
  <c r="Q101" i="18"/>
  <c r="R101" i="18"/>
  <c r="S101" i="18"/>
  <c r="T101" i="18"/>
  <c r="Q102" i="18"/>
  <c r="R102" i="18"/>
  <c r="S102" i="18"/>
  <c r="T102" i="18"/>
  <c r="U102" i="18"/>
  <c r="Q103" i="18"/>
  <c r="R103" i="18"/>
  <c r="S103" i="18"/>
  <c r="T103" i="18"/>
  <c r="Q104" i="18"/>
  <c r="R104" i="18"/>
  <c r="S104" i="18"/>
  <c r="T104" i="18"/>
  <c r="U104" i="18"/>
  <c r="Q105" i="18"/>
  <c r="R105" i="18"/>
  <c r="S105" i="18"/>
  <c r="T105" i="18"/>
  <c r="Q106" i="18"/>
  <c r="R106" i="18"/>
  <c r="S106" i="18"/>
  <c r="T106" i="18"/>
  <c r="U106" i="18"/>
  <c r="Q107" i="18"/>
  <c r="R107" i="18"/>
  <c r="S107" i="18"/>
  <c r="T107" i="18"/>
  <c r="Q108" i="18"/>
  <c r="R108" i="18"/>
  <c r="S108" i="18"/>
  <c r="T108" i="18"/>
  <c r="U108" i="18"/>
  <c r="Q109" i="18"/>
  <c r="R109" i="18"/>
  <c r="S109" i="18"/>
  <c r="T109" i="18"/>
  <c r="Q110" i="18"/>
  <c r="R110" i="18"/>
  <c r="S110" i="18"/>
  <c r="T110" i="18"/>
  <c r="U110" i="18"/>
  <c r="Q111" i="18"/>
  <c r="R111" i="18"/>
  <c r="S111" i="18"/>
  <c r="T111" i="18"/>
  <c r="Q112" i="18"/>
  <c r="R112" i="18"/>
  <c r="S112" i="18"/>
  <c r="T112" i="18"/>
  <c r="U112" i="18"/>
  <c r="Q113" i="18"/>
  <c r="R113" i="18"/>
  <c r="S113" i="18"/>
  <c r="T113" i="18"/>
  <c r="Q114" i="18"/>
  <c r="R114" i="18"/>
  <c r="S114" i="18"/>
  <c r="T114" i="18"/>
  <c r="U114" i="18"/>
  <c r="Q115" i="18"/>
  <c r="R115" i="18"/>
  <c r="S115" i="18"/>
  <c r="T115" i="18"/>
  <c r="Q116" i="18"/>
  <c r="R116" i="18"/>
  <c r="S116" i="18"/>
  <c r="T116" i="18"/>
  <c r="U116" i="18"/>
  <c r="Q117" i="18"/>
  <c r="R117" i="18"/>
  <c r="S117" i="18"/>
  <c r="T117" i="18"/>
  <c r="Q118" i="18"/>
  <c r="R118" i="18"/>
  <c r="S118" i="18"/>
  <c r="T118" i="18"/>
  <c r="U118" i="18"/>
  <c r="Q119" i="18"/>
  <c r="R119" i="18"/>
  <c r="S119" i="18"/>
  <c r="T119" i="18"/>
  <c r="Q120" i="18"/>
  <c r="R120" i="18"/>
  <c r="S120" i="18"/>
  <c r="T120" i="18"/>
  <c r="U120" i="18"/>
  <c r="Q121" i="18"/>
  <c r="R121" i="18"/>
  <c r="S121" i="18"/>
  <c r="T121" i="18"/>
  <c r="Q122" i="18"/>
  <c r="R122" i="18"/>
  <c r="S122" i="18"/>
  <c r="T122" i="18"/>
  <c r="U122" i="18"/>
  <c r="Q123" i="18"/>
  <c r="R123" i="18"/>
  <c r="S123" i="18"/>
  <c r="T123" i="18"/>
  <c r="Q124" i="18"/>
  <c r="R124" i="18"/>
  <c r="S124" i="18"/>
  <c r="T124" i="18"/>
  <c r="U124" i="18"/>
  <c r="Q125" i="18"/>
  <c r="R125" i="18"/>
  <c r="S125" i="18"/>
  <c r="T125" i="18"/>
  <c r="Q126" i="18"/>
  <c r="R126" i="18"/>
  <c r="S126" i="18"/>
  <c r="T126" i="18"/>
  <c r="U126" i="18"/>
  <c r="Q127" i="18"/>
  <c r="R127" i="18"/>
  <c r="S127" i="18"/>
  <c r="T127" i="18"/>
  <c r="Q128" i="18"/>
  <c r="R128" i="18"/>
  <c r="S128" i="18"/>
  <c r="T128" i="18"/>
  <c r="U128" i="18"/>
  <c r="Q129" i="18"/>
  <c r="R129" i="18"/>
  <c r="S129" i="18"/>
  <c r="T129" i="18"/>
  <c r="Q130" i="18"/>
  <c r="R130" i="18"/>
  <c r="S130" i="18"/>
  <c r="T130" i="18"/>
  <c r="U130" i="18"/>
  <c r="Q131" i="18"/>
  <c r="R131" i="18"/>
  <c r="S131" i="18"/>
  <c r="T131" i="18"/>
  <c r="Q132" i="18"/>
  <c r="R132" i="18"/>
  <c r="S132" i="18"/>
  <c r="T132" i="18"/>
  <c r="U132" i="18"/>
  <c r="Q133" i="18"/>
  <c r="R133" i="18"/>
  <c r="S133" i="18"/>
  <c r="T133" i="18"/>
  <c r="Q134" i="18"/>
  <c r="R134" i="18"/>
  <c r="S134" i="18"/>
  <c r="T134" i="18"/>
  <c r="U134" i="18"/>
  <c r="Q135" i="18"/>
  <c r="R135" i="18"/>
  <c r="S135" i="18"/>
  <c r="T135" i="18"/>
  <c r="Q136" i="18"/>
  <c r="R136" i="18"/>
  <c r="S136" i="18"/>
  <c r="T136" i="18"/>
  <c r="U136" i="18"/>
  <c r="Q137" i="18"/>
  <c r="R137" i="18"/>
  <c r="S137" i="18"/>
  <c r="T137" i="18"/>
  <c r="Q138" i="18"/>
  <c r="R138" i="18"/>
  <c r="S138" i="18"/>
  <c r="T138" i="18"/>
  <c r="U138" i="18"/>
  <c r="Q139" i="18"/>
  <c r="R139" i="18"/>
  <c r="S139" i="18"/>
  <c r="T139" i="18"/>
  <c r="Q140" i="18"/>
  <c r="R140" i="18"/>
  <c r="S140" i="18"/>
  <c r="T140" i="18"/>
  <c r="U140" i="18"/>
  <c r="Q141" i="18"/>
  <c r="R141" i="18"/>
  <c r="S141" i="18"/>
  <c r="T141" i="18"/>
  <c r="Q142" i="18"/>
  <c r="R142" i="18"/>
  <c r="S142" i="18"/>
  <c r="T142" i="18"/>
  <c r="U142" i="18"/>
  <c r="Q143" i="18"/>
  <c r="R143" i="18"/>
  <c r="S143" i="18"/>
  <c r="T143" i="18"/>
  <c r="Q144" i="18"/>
  <c r="R144" i="18"/>
  <c r="S144" i="18"/>
  <c r="T144" i="18"/>
  <c r="U144" i="18"/>
  <c r="Q145" i="18"/>
  <c r="R145" i="18"/>
  <c r="S145" i="18"/>
  <c r="T145" i="18"/>
  <c r="Q146" i="18"/>
  <c r="R146" i="18"/>
  <c r="S146" i="18"/>
  <c r="T146" i="18"/>
  <c r="U146" i="18"/>
  <c r="Q147" i="18"/>
  <c r="R147" i="18"/>
  <c r="S147" i="18"/>
  <c r="T147" i="18"/>
  <c r="Q148" i="18"/>
  <c r="R148" i="18"/>
  <c r="S148" i="18"/>
  <c r="T148" i="18"/>
  <c r="U148" i="18"/>
  <c r="Q149" i="18"/>
  <c r="R149" i="18"/>
  <c r="S149" i="18"/>
  <c r="T149" i="18"/>
  <c r="Q150" i="18"/>
  <c r="R150" i="18"/>
  <c r="S150" i="18"/>
  <c r="T150" i="18"/>
  <c r="U150" i="18"/>
  <c r="Q151" i="18"/>
  <c r="R151" i="18"/>
  <c r="S151" i="18"/>
  <c r="T151" i="18"/>
  <c r="Q152" i="18"/>
  <c r="R152" i="18"/>
  <c r="S152" i="18"/>
  <c r="T152" i="18"/>
  <c r="U152" i="18"/>
  <c r="Q153" i="18"/>
  <c r="R153" i="18"/>
  <c r="S153" i="18"/>
  <c r="T153" i="18"/>
  <c r="Q154" i="18"/>
  <c r="R154" i="18"/>
  <c r="S154" i="18"/>
  <c r="T154" i="18"/>
  <c r="U154" i="18"/>
  <c r="Q155" i="18"/>
  <c r="R155" i="18"/>
  <c r="S155" i="18"/>
  <c r="T155" i="18"/>
  <c r="Q156" i="18"/>
  <c r="R156" i="18"/>
  <c r="S156" i="18"/>
  <c r="T156" i="18"/>
  <c r="U156" i="18"/>
  <c r="Q157" i="18"/>
  <c r="R157" i="18"/>
  <c r="S157" i="18"/>
  <c r="T157" i="18"/>
  <c r="Q158" i="18"/>
  <c r="R158" i="18"/>
  <c r="S158" i="18"/>
  <c r="T158" i="18"/>
  <c r="U158" i="18"/>
  <c r="Q159" i="18"/>
  <c r="R159" i="18"/>
  <c r="S159" i="18"/>
  <c r="T159" i="18"/>
  <c r="Q160" i="18"/>
  <c r="R160" i="18"/>
  <c r="S160" i="18"/>
  <c r="T160" i="18"/>
  <c r="U160" i="18"/>
  <c r="Q161" i="18"/>
  <c r="R161" i="18"/>
  <c r="S161" i="18"/>
  <c r="T161" i="18"/>
  <c r="Q162" i="18"/>
  <c r="R162" i="18"/>
  <c r="S162" i="18"/>
  <c r="T162" i="18"/>
  <c r="U162" i="18"/>
  <c r="Q163" i="18"/>
  <c r="R163" i="18"/>
  <c r="S163" i="18"/>
  <c r="T163" i="18"/>
  <c r="Q164" i="18"/>
  <c r="R164" i="18"/>
  <c r="S164" i="18"/>
  <c r="T164" i="18"/>
  <c r="U164" i="18"/>
  <c r="Q165" i="18"/>
  <c r="R165" i="18"/>
  <c r="S165" i="18"/>
  <c r="T165" i="18"/>
  <c r="Q166" i="18"/>
  <c r="R166" i="18"/>
  <c r="S166" i="18"/>
  <c r="T166" i="18"/>
  <c r="U166" i="18"/>
  <c r="Q167" i="18"/>
  <c r="R167" i="18"/>
  <c r="S167" i="18"/>
  <c r="T167" i="18"/>
  <c r="Q168" i="18"/>
  <c r="R168" i="18"/>
  <c r="S168" i="18"/>
  <c r="T168" i="18"/>
  <c r="U168" i="18"/>
  <c r="Q169" i="18"/>
  <c r="R169" i="18"/>
  <c r="S169" i="18"/>
  <c r="T169" i="18"/>
  <c r="Q170" i="18"/>
  <c r="R170" i="18"/>
  <c r="S170" i="18"/>
  <c r="T170" i="18"/>
  <c r="U170" i="18"/>
  <c r="Q171" i="18"/>
  <c r="R171" i="18"/>
  <c r="S171" i="18"/>
  <c r="T171" i="18"/>
  <c r="Q172" i="18"/>
  <c r="R172" i="18"/>
  <c r="S172" i="18"/>
  <c r="T172" i="18"/>
  <c r="U172" i="18"/>
  <c r="Q173" i="18"/>
  <c r="R173" i="18"/>
  <c r="S173" i="18"/>
  <c r="T173" i="18"/>
  <c r="Q174" i="18"/>
  <c r="R174" i="18"/>
  <c r="S174" i="18"/>
  <c r="T174" i="18"/>
  <c r="Q175" i="18"/>
  <c r="R175" i="18"/>
  <c r="S175" i="18"/>
  <c r="T175" i="18"/>
  <c r="U175" i="18"/>
  <c r="Q176" i="18"/>
  <c r="R176" i="18"/>
  <c r="S176" i="18"/>
  <c r="T176" i="18"/>
  <c r="Q177" i="18"/>
  <c r="R177" i="18"/>
  <c r="S177" i="18"/>
  <c r="T177" i="18"/>
  <c r="U177" i="18"/>
  <c r="Q178" i="18"/>
  <c r="R178" i="18"/>
  <c r="S178" i="18"/>
  <c r="T178" i="18"/>
  <c r="Q179" i="18"/>
  <c r="R179" i="18"/>
  <c r="S179" i="18"/>
  <c r="T179" i="18"/>
  <c r="U179" i="18"/>
  <c r="Q180" i="18"/>
  <c r="R180" i="18"/>
  <c r="S180" i="18"/>
  <c r="T180" i="18"/>
  <c r="Q181" i="18"/>
  <c r="R181" i="18"/>
  <c r="S181" i="18"/>
  <c r="T181" i="18"/>
  <c r="U181" i="18"/>
  <c r="Q182" i="18"/>
  <c r="R182" i="18"/>
  <c r="S182" i="18"/>
  <c r="T182" i="18"/>
  <c r="Q183" i="18"/>
  <c r="R183" i="18"/>
  <c r="S183" i="18"/>
  <c r="T183" i="18"/>
  <c r="U183" i="18"/>
  <c r="Q184" i="18"/>
  <c r="R184" i="18"/>
  <c r="S184" i="18"/>
  <c r="T184" i="18"/>
  <c r="Q185" i="18"/>
  <c r="R185" i="18"/>
  <c r="S185" i="18"/>
  <c r="T185" i="18"/>
  <c r="U185" i="18"/>
  <c r="Q186" i="18"/>
  <c r="R186" i="18"/>
  <c r="S186" i="18"/>
  <c r="T186" i="18"/>
  <c r="Q187" i="18"/>
  <c r="R187" i="18"/>
  <c r="S187" i="18"/>
  <c r="T187" i="18"/>
  <c r="U187" i="18"/>
  <c r="Q188" i="18"/>
  <c r="R188" i="18"/>
  <c r="S188" i="18"/>
  <c r="T188" i="18"/>
  <c r="Q189" i="18"/>
  <c r="R189" i="18"/>
  <c r="S189" i="18"/>
  <c r="T189" i="18"/>
  <c r="U189" i="18"/>
  <c r="Q190" i="18"/>
  <c r="R190" i="18"/>
  <c r="S190" i="18"/>
  <c r="T190" i="18"/>
  <c r="Q191" i="18"/>
  <c r="R191" i="18"/>
  <c r="S191" i="18"/>
  <c r="T191" i="18"/>
  <c r="U191" i="18"/>
  <c r="Q192" i="18"/>
  <c r="R192" i="18"/>
  <c r="S192" i="18"/>
  <c r="T192" i="18"/>
  <c r="Q193" i="18"/>
  <c r="R193" i="18"/>
  <c r="S193" i="18"/>
  <c r="T193" i="18"/>
  <c r="U193" i="18"/>
  <c r="Q194" i="18"/>
  <c r="R194" i="18"/>
  <c r="S194" i="18"/>
  <c r="T194" i="18"/>
  <c r="Q195" i="18"/>
  <c r="R195" i="18"/>
  <c r="S195" i="18"/>
  <c r="T195" i="18"/>
  <c r="U195" i="18"/>
  <c r="Q196" i="18"/>
  <c r="R196" i="18"/>
  <c r="S196" i="18"/>
  <c r="T196" i="18"/>
  <c r="Q197" i="18"/>
  <c r="R197" i="18"/>
  <c r="S197" i="18"/>
  <c r="T197" i="18"/>
  <c r="U197" i="18"/>
  <c r="Q198" i="18"/>
  <c r="R198" i="18"/>
  <c r="S198" i="18"/>
  <c r="T198" i="18"/>
  <c r="Q199" i="18"/>
  <c r="R199" i="18"/>
  <c r="S199" i="18"/>
  <c r="T199" i="18"/>
  <c r="U199" i="18"/>
  <c r="Q200" i="18"/>
  <c r="R200" i="18"/>
  <c r="S200" i="18"/>
  <c r="T200" i="18"/>
  <c r="Q201" i="18"/>
  <c r="R201" i="18"/>
  <c r="S201" i="18"/>
  <c r="T201" i="18"/>
  <c r="U201" i="18"/>
  <c r="Q202" i="18"/>
  <c r="R202" i="18"/>
  <c r="S202" i="18"/>
  <c r="T202" i="18"/>
  <c r="Q203" i="18"/>
  <c r="R203" i="18"/>
  <c r="S203" i="18"/>
  <c r="T203" i="18"/>
  <c r="U203" i="18"/>
  <c r="Q204" i="18"/>
  <c r="R204" i="18"/>
  <c r="S204" i="18"/>
  <c r="T204" i="18"/>
  <c r="Q205" i="18"/>
  <c r="R205" i="18"/>
  <c r="S205" i="18"/>
  <c r="T205" i="18"/>
  <c r="U205" i="18"/>
  <c r="Q206" i="18"/>
  <c r="R206" i="18"/>
  <c r="S206" i="18"/>
  <c r="T206" i="18"/>
  <c r="Q207" i="18"/>
  <c r="R207" i="18"/>
  <c r="S207" i="18"/>
  <c r="T207" i="18"/>
  <c r="U207" i="18"/>
  <c r="Q208" i="18"/>
  <c r="R208" i="18"/>
  <c r="S208" i="18"/>
  <c r="T208" i="18"/>
  <c r="Q209" i="18"/>
  <c r="R209" i="18"/>
  <c r="S209" i="18"/>
  <c r="T209" i="18"/>
  <c r="U209" i="18"/>
  <c r="Q210" i="18"/>
  <c r="R210" i="18"/>
  <c r="S210" i="18"/>
  <c r="T210" i="18"/>
  <c r="Q211" i="18"/>
  <c r="R211" i="18"/>
  <c r="S211" i="18"/>
  <c r="T211" i="18"/>
  <c r="U211" i="18"/>
  <c r="Q212" i="18"/>
  <c r="R212" i="18"/>
  <c r="S212" i="18"/>
  <c r="T212" i="18"/>
  <c r="Q213" i="18"/>
  <c r="R213" i="18"/>
  <c r="S213" i="18"/>
  <c r="T213" i="18"/>
  <c r="U213" i="18"/>
  <c r="Q214" i="18"/>
  <c r="R214" i="18"/>
  <c r="S214" i="18"/>
  <c r="T214" i="18"/>
  <c r="Q215" i="18"/>
  <c r="R215" i="18"/>
  <c r="S215" i="18"/>
  <c r="T215" i="18"/>
  <c r="U215" i="18"/>
  <c r="Q216" i="18"/>
  <c r="R216" i="18"/>
  <c r="S216" i="18"/>
  <c r="T216" i="18"/>
  <c r="Q217" i="18"/>
  <c r="R217" i="18"/>
  <c r="S217" i="18"/>
  <c r="T217" i="18"/>
  <c r="U217" i="18"/>
  <c r="Q218" i="18"/>
  <c r="R218" i="18"/>
  <c r="S218" i="18"/>
  <c r="T218" i="18"/>
  <c r="Q219" i="18"/>
  <c r="R219" i="18"/>
  <c r="S219" i="18"/>
  <c r="T219" i="18"/>
  <c r="U219" i="18"/>
  <c r="Q220" i="18"/>
  <c r="R220" i="18"/>
  <c r="S220" i="18"/>
  <c r="T220" i="18"/>
  <c r="Q221" i="18"/>
  <c r="R221" i="18"/>
  <c r="S221" i="18"/>
  <c r="T221" i="18"/>
  <c r="U221" i="18"/>
  <c r="Q222" i="18"/>
  <c r="R222" i="18"/>
  <c r="S222" i="18"/>
  <c r="T222" i="18"/>
  <c r="Q223" i="18"/>
  <c r="R223" i="18"/>
  <c r="S223" i="18"/>
  <c r="T223" i="18"/>
  <c r="U223" i="18"/>
  <c r="Q224" i="18"/>
  <c r="R224" i="18"/>
  <c r="S224" i="18"/>
  <c r="T224" i="18"/>
  <c r="Q225" i="18"/>
  <c r="R225" i="18"/>
  <c r="S225" i="18"/>
  <c r="T225" i="18"/>
  <c r="U225" i="18"/>
  <c r="Q226" i="18"/>
  <c r="R226" i="18"/>
  <c r="S226" i="18"/>
  <c r="T226" i="18"/>
  <c r="Q227" i="18"/>
  <c r="R227" i="18"/>
  <c r="S227" i="18"/>
  <c r="T227" i="18"/>
  <c r="U227" i="18"/>
  <c r="Q228" i="18"/>
  <c r="R228" i="18"/>
  <c r="S228" i="18"/>
  <c r="T228" i="18"/>
  <c r="Q229" i="18"/>
  <c r="R229" i="18"/>
  <c r="S229" i="18"/>
  <c r="T229" i="18"/>
  <c r="U229" i="18"/>
  <c r="Q230" i="18"/>
  <c r="R230" i="18"/>
  <c r="S230" i="18"/>
  <c r="T230" i="18"/>
  <c r="Q231" i="18"/>
  <c r="R231" i="18"/>
  <c r="S231" i="18"/>
  <c r="T231" i="18"/>
  <c r="U231" i="18"/>
  <c r="Q232" i="18"/>
  <c r="R232" i="18"/>
  <c r="S232" i="18"/>
  <c r="T232" i="18"/>
  <c r="Q233" i="18"/>
  <c r="R233" i="18"/>
  <c r="S233" i="18"/>
  <c r="T233" i="18"/>
  <c r="U233" i="18"/>
  <c r="Q234" i="18"/>
  <c r="R234" i="18"/>
  <c r="S234" i="18"/>
  <c r="T234" i="18"/>
  <c r="Q235" i="18"/>
  <c r="R235" i="18"/>
  <c r="S235" i="18"/>
  <c r="T235" i="18"/>
  <c r="U235" i="18"/>
  <c r="Q236" i="18"/>
  <c r="R236" i="18"/>
  <c r="S236" i="18"/>
  <c r="T236" i="18"/>
  <c r="Q237" i="18"/>
  <c r="R237" i="18"/>
  <c r="S237" i="18"/>
  <c r="T237" i="18"/>
  <c r="U237" i="18"/>
  <c r="Q238" i="18"/>
  <c r="R238" i="18"/>
  <c r="S238" i="18"/>
  <c r="T238" i="18"/>
  <c r="Q239" i="18"/>
  <c r="R239" i="18"/>
  <c r="S239" i="18"/>
  <c r="T239" i="18"/>
  <c r="U239" i="18"/>
  <c r="Q240" i="18"/>
  <c r="R240" i="18"/>
  <c r="S240" i="18"/>
  <c r="T240" i="18"/>
  <c r="Q241" i="18"/>
  <c r="R241" i="18"/>
  <c r="S241" i="18"/>
  <c r="T241" i="18"/>
  <c r="U241" i="18"/>
  <c r="Q242" i="18"/>
  <c r="R242" i="18"/>
  <c r="S242" i="18"/>
  <c r="T242" i="18"/>
  <c r="Q243" i="18"/>
  <c r="R243" i="18"/>
  <c r="S243" i="18"/>
  <c r="T243" i="18"/>
  <c r="U243" i="18"/>
  <c r="Q244" i="18"/>
  <c r="R244" i="18"/>
  <c r="S244" i="18"/>
  <c r="T244" i="18"/>
  <c r="Q245" i="18"/>
  <c r="R245" i="18"/>
  <c r="S245" i="18"/>
  <c r="T245" i="18"/>
  <c r="U245" i="18"/>
  <c r="Q246" i="18"/>
  <c r="R246" i="18"/>
  <c r="S246" i="18"/>
  <c r="T246" i="18"/>
  <c r="Q247" i="18"/>
  <c r="R247" i="18"/>
  <c r="S247" i="18"/>
  <c r="T247" i="18"/>
  <c r="U247" i="18"/>
  <c r="Q248" i="18"/>
  <c r="R248" i="18"/>
  <c r="S248" i="18"/>
  <c r="T248" i="18"/>
  <c r="Q249" i="18"/>
  <c r="R249" i="18"/>
  <c r="S249" i="18"/>
  <c r="T249" i="18"/>
  <c r="U249" i="18"/>
  <c r="Q250" i="18"/>
  <c r="R250" i="18"/>
  <c r="S250" i="18"/>
  <c r="T250" i="18"/>
  <c r="Q251" i="18"/>
  <c r="R251" i="18"/>
  <c r="S251" i="18"/>
  <c r="T251" i="18"/>
  <c r="U251" i="18"/>
  <c r="Q252" i="18"/>
  <c r="R252" i="18"/>
  <c r="S252" i="18"/>
  <c r="T252" i="18"/>
  <c r="Q253" i="18"/>
  <c r="R253" i="18"/>
  <c r="S253" i="18"/>
  <c r="T253" i="18"/>
  <c r="U253" i="18"/>
  <c r="Q254" i="18"/>
  <c r="R254" i="18"/>
  <c r="S254" i="18"/>
  <c r="T254" i="18"/>
  <c r="Q255" i="18"/>
  <c r="R255" i="18"/>
  <c r="S255" i="18"/>
  <c r="T255" i="18"/>
  <c r="U255" i="18"/>
  <c r="Q256" i="18"/>
  <c r="R256" i="18"/>
  <c r="S256" i="18"/>
  <c r="T256" i="18"/>
  <c r="Q257" i="18"/>
  <c r="R257" i="18"/>
  <c r="S257" i="18"/>
  <c r="T257" i="18"/>
  <c r="U257" i="18"/>
  <c r="Q258" i="18"/>
  <c r="R258" i="18"/>
  <c r="S258" i="18"/>
  <c r="T258" i="18"/>
  <c r="Q259" i="18"/>
  <c r="R259" i="18"/>
  <c r="S259" i="18"/>
  <c r="T259" i="18"/>
  <c r="U259" i="18"/>
  <c r="Q260" i="18"/>
  <c r="R260" i="18"/>
  <c r="S260" i="18"/>
  <c r="T260" i="18"/>
  <c r="Q261" i="18"/>
  <c r="R261" i="18"/>
  <c r="S261" i="18"/>
  <c r="T261" i="18"/>
  <c r="U261" i="18"/>
  <c r="Q262" i="18"/>
  <c r="R262" i="18"/>
  <c r="S262" i="18"/>
  <c r="T262" i="18"/>
  <c r="Q263" i="18"/>
  <c r="R263" i="18"/>
  <c r="S263" i="18"/>
  <c r="T263" i="18"/>
  <c r="U263" i="18"/>
  <c r="Q264" i="18"/>
  <c r="R264" i="18"/>
  <c r="S264" i="18"/>
  <c r="T264" i="18"/>
  <c r="Q265" i="18"/>
  <c r="R265" i="18"/>
  <c r="S265" i="18"/>
  <c r="T265" i="18"/>
  <c r="U265" i="18"/>
  <c r="Q266" i="18"/>
  <c r="R266" i="18"/>
  <c r="S266" i="18"/>
  <c r="T266" i="18"/>
  <c r="Q267" i="18"/>
  <c r="R267" i="18"/>
  <c r="S267" i="18"/>
  <c r="T267" i="18"/>
  <c r="U267" i="18"/>
  <c r="Q268" i="18"/>
  <c r="R268" i="18"/>
  <c r="S268" i="18"/>
  <c r="T268" i="18"/>
  <c r="Q269" i="18"/>
  <c r="R269" i="18"/>
  <c r="S269" i="18"/>
  <c r="T269" i="18"/>
  <c r="U269" i="18"/>
  <c r="Q270" i="18"/>
  <c r="R270" i="18"/>
  <c r="S270" i="18"/>
  <c r="T270" i="18"/>
  <c r="Q271" i="18"/>
  <c r="R271" i="18"/>
  <c r="S271" i="18"/>
  <c r="T271" i="18"/>
  <c r="U271" i="18"/>
  <c r="Q272" i="18"/>
  <c r="R272" i="18"/>
  <c r="S272" i="18"/>
  <c r="T272" i="18"/>
  <c r="Q273" i="18"/>
  <c r="R273" i="18"/>
  <c r="S273" i="18"/>
  <c r="T273" i="18"/>
  <c r="U273" i="18"/>
  <c r="Q274" i="18"/>
  <c r="R274" i="18"/>
  <c r="S274" i="18"/>
  <c r="T274" i="18"/>
  <c r="Q275" i="18"/>
  <c r="R275" i="18"/>
  <c r="S275" i="18"/>
  <c r="T275" i="18"/>
  <c r="U275" i="18"/>
  <c r="Q276" i="18"/>
  <c r="R276" i="18"/>
  <c r="S276" i="18"/>
  <c r="T276" i="18"/>
  <c r="Q277" i="18"/>
  <c r="R277" i="18"/>
  <c r="S277" i="18"/>
  <c r="T277" i="18"/>
  <c r="U277" i="18"/>
  <c r="Q278" i="18"/>
  <c r="R278" i="18"/>
  <c r="S278" i="18"/>
  <c r="T278" i="18"/>
  <c r="Q279" i="18"/>
  <c r="R279" i="18"/>
  <c r="S279" i="18"/>
  <c r="T279" i="18"/>
  <c r="U279" i="18"/>
  <c r="Q280" i="18"/>
  <c r="R280" i="18"/>
  <c r="S280" i="18"/>
  <c r="T280" i="18"/>
  <c r="Q281" i="18"/>
  <c r="R281" i="18"/>
  <c r="S281" i="18"/>
  <c r="T281" i="18"/>
  <c r="U281" i="18"/>
  <c r="Q282" i="18"/>
  <c r="R282" i="18"/>
  <c r="S282" i="18"/>
  <c r="T282" i="18"/>
  <c r="Q283" i="18"/>
  <c r="R283" i="18"/>
  <c r="S283" i="18"/>
  <c r="T283" i="18"/>
  <c r="U283" i="18"/>
  <c r="Q284" i="18"/>
  <c r="R284" i="18"/>
  <c r="S284" i="18"/>
  <c r="T284" i="18"/>
  <c r="Q285" i="18"/>
  <c r="R285" i="18"/>
  <c r="S285" i="18"/>
  <c r="T285" i="18"/>
  <c r="U285" i="18"/>
  <c r="Q286" i="18"/>
  <c r="R286" i="18"/>
  <c r="S286" i="18"/>
  <c r="T286" i="18"/>
  <c r="Q287" i="18"/>
  <c r="R287" i="18"/>
  <c r="S287" i="18"/>
  <c r="T287" i="18"/>
  <c r="U287" i="18"/>
  <c r="Q288" i="18"/>
  <c r="R288" i="18"/>
  <c r="S288" i="18"/>
  <c r="T288" i="18"/>
  <c r="Q289" i="18"/>
  <c r="R289" i="18"/>
  <c r="S289" i="18"/>
  <c r="T289" i="18"/>
  <c r="U289" i="18"/>
  <c r="Q290" i="18"/>
  <c r="R290" i="18"/>
  <c r="S290" i="18"/>
  <c r="T290" i="18"/>
  <c r="Q291" i="18"/>
  <c r="R291" i="18"/>
  <c r="S291" i="18"/>
  <c r="T291" i="18"/>
  <c r="U291" i="18"/>
  <c r="Q292" i="18"/>
  <c r="R292" i="18"/>
  <c r="S292" i="18"/>
  <c r="T292" i="18"/>
  <c r="Q293" i="18"/>
  <c r="R293" i="18"/>
  <c r="S293" i="18"/>
  <c r="T293" i="18"/>
  <c r="U293" i="18"/>
  <c r="Q294" i="18"/>
  <c r="R294" i="18"/>
  <c r="S294" i="18"/>
  <c r="T294" i="18"/>
  <c r="Q295" i="18"/>
  <c r="R295" i="18"/>
  <c r="S295" i="18"/>
  <c r="T295" i="18"/>
  <c r="U295" i="18"/>
  <c r="Q296" i="18"/>
  <c r="R296" i="18"/>
  <c r="S296" i="18"/>
  <c r="T296" i="18"/>
  <c r="Q297" i="18"/>
  <c r="R297" i="18"/>
  <c r="S297" i="18"/>
  <c r="T297" i="18"/>
  <c r="U297" i="18"/>
  <c r="Q298" i="18"/>
  <c r="R298" i="18"/>
  <c r="S298" i="18"/>
  <c r="T298" i="18"/>
  <c r="Q299" i="18"/>
  <c r="R299" i="18"/>
  <c r="S299" i="18"/>
  <c r="T299" i="18"/>
  <c r="U299" i="18"/>
  <c r="Q300" i="18"/>
  <c r="R300" i="18"/>
  <c r="S300" i="18"/>
  <c r="T300" i="18"/>
  <c r="Q301" i="18"/>
  <c r="R301" i="18"/>
  <c r="S301" i="18"/>
  <c r="T301" i="18"/>
  <c r="U301" i="18"/>
  <c r="Q302" i="18"/>
  <c r="R302" i="18"/>
  <c r="S302" i="18"/>
  <c r="T302" i="18"/>
  <c r="Q303" i="18"/>
  <c r="R303" i="18"/>
  <c r="S303" i="18"/>
  <c r="T303" i="18"/>
  <c r="U303" i="18"/>
  <c r="Q304" i="18"/>
  <c r="R304" i="18"/>
  <c r="S304" i="18"/>
  <c r="T304" i="18"/>
  <c r="Q305" i="18"/>
  <c r="R305" i="18"/>
  <c r="S305" i="18"/>
  <c r="T305" i="18"/>
  <c r="U305" i="18"/>
  <c r="Q306" i="18"/>
  <c r="R306" i="18"/>
  <c r="S306" i="18"/>
  <c r="T306" i="18"/>
  <c r="Q307" i="18"/>
  <c r="R307" i="18"/>
  <c r="S307" i="18"/>
  <c r="T307" i="18"/>
  <c r="U307" i="18"/>
  <c r="Q308" i="18"/>
  <c r="R308" i="18"/>
  <c r="S308" i="18"/>
  <c r="T308" i="18"/>
  <c r="Q309" i="18"/>
  <c r="R309" i="18"/>
  <c r="S309" i="18"/>
  <c r="T309" i="18"/>
  <c r="U309" i="18"/>
  <c r="Q310" i="18"/>
  <c r="R310" i="18"/>
  <c r="S310" i="18"/>
  <c r="T310" i="18"/>
  <c r="Q311" i="18"/>
  <c r="R311" i="18"/>
  <c r="S311" i="18"/>
  <c r="T311" i="18"/>
  <c r="U311" i="18"/>
  <c r="Q312" i="18"/>
  <c r="R312" i="18"/>
  <c r="S312" i="18"/>
  <c r="T312" i="18"/>
  <c r="Q313" i="18"/>
  <c r="R313" i="18"/>
  <c r="S313" i="18"/>
  <c r="T313" i="18"/>
  <c r="U313" i="18"/>
  <c r="Q314" i="18"/>
  <c r="R314" i="18"/>
  <c r="S314" i="18"/>
  <c r="T314" i="18"/>
  <c r="Q315" i="18"/>
  <c r="R315" i="18"/>
  <c r="S315" i="18"/>
  <c r="T315" i="18"/>
  <c r="U315" i="18"/>
  <c r="Q316" i="18"/>
  <c r="R316" i="18"/>
  <c r="S316" i="18"/>
  <c r="T316" i="18"/>
  <c r="Q317" i="18"/>
  <c r="R317" i="18"/>
  <c r="S317" i="18"/>
  <c r="T317" i="18"/>
  <c r="U317" i="18"/>
  <c r="Q318" i="18"/>
  <c r="R318" i="18"/>
  <c r="S318" i="18"/>
  <c r="T318" i="18"/>
  <c r="Q319" i="18"/>
  <c r="R319" i="18"/>
  <c r="S319" i="18"/>
  <c r="T319" i="18"/>
  <c r="U319" i="18"/>
  <c r="Q320" i="18"/>
  <c r="R320" i="18"/>
  <c r="S320" i="18"/>
  <c r="T320" i="18"/>
  <c r="Q321" i="18"/>
  <c r="R321" i="18"/>
  <c r="S321" i="18"/>
  <c r="T321" i="18"/>
  <c r="U321" i="18"/>
  <c r="Q322" i="18"/>
  <c r="R322" i="18"/>
  <c r="S322" i="18"/>
  <c r="T322" i="18"/>
  <c r="Q323" i="18"/>
  <c r="R323" i="18"/>
  <c r="S323" i="18"/>
  <c r="T323" i="18"/>
  <c r="U323" i="18"/>
  <c r="Q324" i="18"/>
  <c r="R324" i="18"/>
  <c r="S324" i="18"/>
  <c r="T324" i="18"/>
  <c r="Q325" i="18"/>
  <c r="R325" i="18"/>
  <c r="S325" i="18"/>
  <c r="T325" i="18"/>
  <c r="U325" i="18"/>
  <c r="Q326" i="18"/>
  <c r="R326" i="18"/>
  <c r="S326" i="18"/>
  <c r="T326" i="18"/>
  <c r="Q327" i="18"/>
  <c r="R327" i="18"/>
  <c r="S327" i="18"/>
  <c r="T327" i="18"/>
  <c r="U327" i="18"/>
  <c r="Q328" i="18"/>
  <c r="R328" i="18"/>
  <c r="S328" i="18"/>
  <c r="T328" i="18"/>
  <c r="Q329" i="18"/>
  <c r="R329" i="18"/>
  <c r="S329" i="18"/>
  <c r="T329" i="18"/>
  <c r="U329" i="18"/>
  <c r="Q330" i="18"/>
  <c r="R330" i="18"/>
  <c r="S330" i="18"/>
  <c r="T330" i="18"/>
  <c r="Q331" i="18"/>
  <c r="R331" i="18"/>
  <c r="S331" i="18"/>
  <c r="T331" i="18"/>
  <c r="U331" i="18"/>
  <c r="Q332" i="18"/>
  <c r="R332" i="18"/>
  <c r="S332" i="18"/>
  <c r="T332" i="18"/>
  <c r="Q333" i="18"/>
  <c r="R333" i="18"/>
  <c r="S333" i="18"/>
  <c r="T333" i="18"/>
  <c r="U333" i="18"/>
  <c r="Q334" i="18"/>
  <c r="R334" i="18"/>
  <c r="S334" i="18"/>
  <c r="T334" i="18"/>
  <c r="Q335" i="18"/>
  <c r="R335" i="18"/>
  <c r="S335" i="18"/>
  <c r="T335" i="18"/>
  <c r="U335" i="18"/>
  <c r="Q336" i="18"/>
  <c r="R336" i="18"/>
  <c r="S336" i="18"/>
  <c r="T336" i="18"/>
  <c r="Q337" i="18"/>
  <c r="R337" i="18"/>
  <c r="S337" i="18"/>
  <c r="T337" i="18"/>
  <c r="U337" i="18"/>
  <c r="Q338" i="18"/>
  <c r="R338" i="18"/>
  <c r="S338" i="18"/>
  <c r="T338" i="18"/>
  <c r="Q339" i="18"/>
  <c r="R339" i="18"/>
  <c r="S339" i="18"/>
  <c r="T339" i="18"/>
  <c r="U339" i="18"/>
  <c r="Q340" i="18"/>
  <c r="R340" i="18"/>
  <c r="S340" i="18"/>
  <c r="T340" i="18"/>
  <c r="Q341" i="18"/>
  <c r="R341" i="18"/>
  <c r="S341" i="18"/>
  <c r="T341" i="18"/>
  <c r="U341" i="18"/>
  <c r="Q342" i="18"/>
  <c r="R342" i="18"/>
  <c r="S342" i="18"/>
  <c r="T342" i="18"/>
  <c r="Q343" i="18"/>
  <c r="R343" i="18"/>
  <c r="S343" i="18"/>
  <c r="T343" i="18"/>
  <c r="U343" i="18"/>
  <c r="Q344" i="18"/>
  <c r="R344" i="18"/>
  <c r="S344" i="18"/>
  <c r="T344" i="18"/>
  <c r="Q345" i="18"/>
  <c r="R345" i="18"/>
  <c r="S345" i="18"/>
  <c r="T345" i="18"/>
  <c r="U345" i="18"/>
  <c r="Q346" i="18"/>
  <c r="R346" i="18"/>
  <c r="S346" i="18"/>
  <c r="T346" i="18"/>
  <c r="Q347" i="18"/>
  <c r="R347" i="18"/>
  <c r="S347" i="18"/>
  <c r="T347" i="18"/>
  <c r="U347" i="18"/>
  <c r="Q348" i="18"/>
  <c r="R348" i="18"/>
  <c r="S348" i="18"/>
  <c r="T348" i="18"/>
  <c r="Q349" i="18"/>
  <c r="R349" i="18"/>
  <c r="S349" i="18"/>
  <c r="T349" i="18"/>
  <c r="U349" i="18"/>
  <c r="Q350" i="18"/>
  <c r="R350" i="18"/>
  <c r="S350" i="18"/>
  <c r="T350" i="18"/>
  <c r="Q351" i="18"/>
  <c r="R351" i="18"/>
  <c r="S351" i="18"/>
  <c r="T351" i="18"/>
  <c r="U351" i="18"/>
  <c r="Q352" i="18"/>
  <c r="R352" i="18"/>
  <c r="S352" i="18"/>
  <c r="T352" i="18"/>
  <c r="Q353" i="18"/>
  <c r="R353" i="18"/>
  <c r="S353" i="18"/>
  <c r="T353" i="18"/>
  <c r="U353" i="18"/>
  <c r="Q354" i="18"/>
  <c r="R354" i="18"/>
  <c r="S354" i="18"/>
  <c r="T354" i="18"/>
  <c r="Q355" i="18"/>
  <c r="R355" i="18"/>
  <c r="S355" i="18"/>
  <c r="T355" i="18"/>
  <c r="U355" i="18"/>
  <c r="Q356" i="18"/>
  <c r="R356" i="18"/>
  <c r="S356" i="18"/>
  <c r="T356" i="18"/>
  <c r="Q357" i="18"/>
  <c r="R357" i="18"/>
  <c r="S357" i="18"/>
  <c r="T357" i="18"/>
  <c r="U357" i="18"/>
  <c r="Q358" i="18"/>
  <c r="R358" i="18"/>
  <c r="S358" i="18"/>
  <c r="T358" i="18"/>
  <c r="Q359" i="18"/>
  <c r="R359" i="18"/>
  <c r="S359" i="18"/>
  <c r="T359" i="18"/>
  <c r="U359" i="18"/>
  <c r="Q360" i="18"/>
  <c r="R360" i="18"/>
  <c r="S360" i="18"/>
  <c r="T360" i="18"/>
  <c r="Q361" i="18"/>
  <c r="R361" i="18"/>
  <c r="S361" i="18"/>
  <c r="T361" i="18"/>
  <c r="U361" i="18"/>
  <c r="Q362" i="18"/>
  <c r="R362" i="18"/>
  <c r="S362" i="18"/>
  <c r="T362" i="18"/>
  <c r="Q363" i="18"/>
  <c r="R363" i="18"/>
  <c r="S363" i="18"/>
  <c r="T363" i="18"/>
  <c r="U363" i="18"/>
  <c r="Q364" i="18"/>
  <c r="R364" i="18"/>
  <c r="S364" i="18"/>
  <c r="T364" i="18"/>
  <c r="Q365" i="18"/>
  <c r="R365" i="18"/>
  <c r="S365" i="18"/>
  <c r="T365" i="18"/>
  <c r="U365" i="18"/>
  <c r="Q366" i="18"/>
  <c r="R366" i="18"/>
  <c r="S366" i="18"/>
  <c r="T366" i="18"/>
  <c r="H12" i="8"/>
  <c r="G12" i="8"/>
  <c r="F12" i="8"/>
  <c r="E12" i="8"/>
  <c r="D12" i="8"/>
  <c r="C12" i="8"/>
  <c r="B12" i="8"/>
  <c r="H12" i="9"/>
  <c r="G12" i="9"/>
  <c r="F12" i="9"/>
  <c r="E12" i="9"/>
  <c r="D12" i="9"/>
  <c r="C12" i="9"/>
  <c r="B12" i="9"/>
  <c r="H12" i="10"/>
  <c r="G12" i="10"/>
  <c r="F12" i="10"/>
  <c r="E12" i="10"/>
  <c r="D12" i="10"/>
  <c r="C12" i="10"/>
  <c r="B12" i="10"/>
  <c r="H12" i="11"/>
  <c r="G12" i="11"/>
  <c r="F12" i="11"/>
  <c r="E12" i="11"/>
  <c r="D12" i="11"/>
  <c r="C12" i="11"/>
  <c r="B12" i="11"/>
  <c r="H12" i="12"/>
  <c r="G12" i="12"/>
  <c r="F12" i="12"/>
  <c r="E12" i="12"/>
  <c r="D12" i="12"/>
  <c r="C12" i="12"/>
  <c r="B12" i="12"/>
  <c r="H12" i="13"/>
  <c r="G12" i="13"/>
  <c r="F12" i="13"/>
  <c r="E12" i="13"/>
  <c r="D12" i="13"/>
  <c r="C12" i="13"/>
  <c r="B12" i="13"/>
  <c r="H12" i="14"/>
  <c r="G12" i="14"/>
  <c r="F12" i="14"/>
  <c r="E12" i="14"/>
  <c r="D12" i="14"/>
  <c r="C12" i="14"/>
  <c r="B12" i="14"/>
  <c r="H12" i="15"/>
  <c r="G12" i="15"/>
  <c r="F12" i="15"/>
  <c r="E12" i="15"/>
  <c r="D12" i="15"/>
  <c r="C12" i="15"/>
  <c r="B12" i="15"/>
  <c r="H12" i="16"/>
  <c r="G12" i="16"/>
  <c r="F12" i="16"/>
  <c r="E12" i="16"/>
  <c r="D12" i="16"/>
  <c r="C12" i="16"/>
  <c r="B12" i="16"/>
  <c r="H12" i="17"/>
  <c r="G12" i="17"/>
  <c r="F12" i="17"/>
  <c r="E12" i="17"/>
  <c r="D12" i="17"/>
  <c r="C12" i="17"/>
  <c r="B12" i="17"/>
  <c r="H12" i="7"/>
  <c r="G12" i="7"/>
  <c r="F12" i="7"/>
  <c r="E12" i="7"/>
  <c r="D12" i="7"/>
  <c r="C12" i="7"/>
  <c r="B12" i="7"/>
  <c r="H10" i="8"/>
  <c r="G10" i="8"/>
  <c r="F10" i="8"/>
  <c r="E10" i="8"/>
  <c r="D10" i="8"/>
  <c r="C10" i="8"/>
  <c r="B10" i="8"/>
  <c r="H10" i="9"/>
  <c r="G10" i="9"/>
  <c r="F10" i="9"/>
  <c r="E10" i="9"/>
  <c r="D10" i="9"/>
  <c r="C10" i="9"/>
  <c r="B10" i="9"/>
  <c r="H10" i="10"/>
  <c r="G10" i="10"/>
  <c r="F10" i="10"/>
  <c r="E10" i="10"/>
  <c r="D10" i="10"/>
  <c r="C10" i="10"/>
  <c r="B10" i="10"/>
  <c r="H10" i="11"/>
  <c r="G10" i="11"/>
  <c r="F10" i="11"/>
  <c r="E10" i="11"/>
  <c r="D10" i="11"/>
  <c r="C10" i="11"/>
  <c r="B10" i="11"/>
  <c r="H10" i="12"/>
  <c r="G10" i="12"/>
  <c r="F10" i="12"/>
  <c r="E10" i="12"/>
  <c r="D10" i="12"/>
  <c r="C10" i="12"/>
  <c r="B10" i="12"/>
  <c r="H10" i="13"/>
  <c r="G10" i="13"/>
  <c r="F10" i="13"/>
  <c r="E10" i="13"/>
  <c r="D10" i="13"/>
  <c r="C10" i="13"/>
  <c r="B10" i="13"/>
  <c r="H10" i="14"/>
  <c r="G10" i="14"/>
  <c r="F10" i="14"/>
  <c r="E10" i="14"/>
  <c r="D10" i="14"/>
  <c r="C10" i="14"/>
  <c r="B10" i="14"/>
  <c r="H10" i="15"/>
  <c r="G10" i="15"/>
  <c r="F10" i="15"/>
  <c r="E10" i="15"/>
  <c r="D10" i="15"/>
  <c r="C10" i="15"/>
  <c r="B10" i="15"/>
  <c r="H10" i="16"/>
  <c r="G10" i="16"/>
  <c r="F10" i="16"/>
  <c r="E10" i="16"/>
  <c r="D10" i="16"/>
  <c r="C10" i="16"/>
  <c r="B10" i="16"/>
  <c r="H10" i="17"/>
  <c r="G10" i="17"/>
  <c r="F10" i="17"/>
  <c r="E10" i="17"/>
  <c r="D10" i="17"/>
  <c r="C10" i="17"/>
  <c r="B10" i="17"/>
  <c r="H10" i="7"/>
  <c r="G10" i="7"/>
  <c r="F10" i="7"/>
  <c r="E10" i="7"/>
  <c r="D10" i="7"/>
  <c r="C10" i="7"/>
  <c r="B10" i="7"/>
  <c r="H8" i="8"/>
  <c r="G8" i="8"/>
  <c r="F8" i="8"/>
  <c r="E8" i="8"/>
  <c r="D8" i="8"/>
  <c r="C8" i="8"/>
  <c r="B8" i="8"/>
  <c r="H8" i="9"/>
  <c r="G8" i="9"/>
  <c r="F8" i="9"/>
  <c r="E8" i="9"/>
  <c r="D8" i="9"/>
  <c r="C8" i="9"/>
  <c r="B8" i="9"/>
  <c r="H8" i="10"/>
  <c r="G8" i="10"/>
  <c r="F8" i="10"/>
  <c r="E8" i="10"/>
  <c r="D8" i="10"/>
  <c r="C8" i="10"/>
  <c r="B8" i="10"/>
  <c r="H8" i="11"/>
  <c r="G8" i="11"/>
  <c r="F8" i="11"/>
  <c r="E8" i="11"/>
  <c r="D8" i="11"/>
  <c r="C8" i="11"/>
  <c r="B8" i="11"/>
  <c r="H8" i="12"/>
  <c r="G8" i="12"/>
  <c r="F8" i="12"/>
  <c r="E8" i="12"/>
  <c r="D8" i="12"/>
  <c r="C8" i="12"/>
  <c r="B8" i="12"/>
  <c r="H8" i="13"/>
  <c r="G8" i="13"/>
  <c r="F8" i="13"/>
  <c r="E8" i="13"/>
  <c r="D8" i="13"/>
  <c r="C8" i="13"/>
  <c r="B8" i="13"/>
  <c r="H8" i="14"/>
  <c r="G8" i="14"/>
  <c r="F8" i="14"/>
  <c r="E8" i="14"/>
  <c r="D8" i="14"/>
  <c r="C8" i="14"/>
  <c r="B8" i="14"/>
  <c r="H8" i="15"/>
  <c r="G8" i="15"/>
  <c r="F8" i="15"/>
  <c r="E8" i="15"/>
  <c r="D8" i="15"/>
  <c r="C8" i="15"/>
  <c r="B8" i="15"/>
  <c r="H8" i="16"/>
  <c r="G8" i="16"/>
  <c r="F8" i="16"/>
  <c r="E8" i="16"/>
  <c r="D8" i="16"/>
  <c r="C8" i="16"/>
  <c r="B8" i="16"/>
  <c r="H8" i="17"/>
  <c r="G8" i="17"/>
  <c r="F8" i="17"/>
  <c r="E8" i="17"/>
  <c r="D8" i="17"/>
  <c r="C8" i="17"/>
  <c r="B8" i="17"/>
  <c r="H8" i="7"/>
  <c r="G8" i="7"/>
  <c r="F8" i="7"/>
  <c r="E8" i="7"/>
  <c r="D8" i="7"/>
  <c r="C8" i="7"/>
  <c r="B8" i="7"/>
  <c r="H6" i="8"/>
  <c r="G6" i="8"/>
  <c r="F6" i="8"/>
  <c r="E6" i="8"/>
  <c r="D6" i="8"/>
  <c r="C6" i="8"/>
  <c r="B6" i="8"/>
  <c r="H6" i="9"/>
  <c r="G6" i="9"/>
  <c r="F6" i="9"/>
  <c r="E6" i="9"/>
  <c r="D6" i="9"/>
  <c r="C6" i="9"/>
  <c r="B6" i="9"/>
  <c r="H6" i="10"/>
  <c r="G6" i="10"/>
  <c r="F6" i="10"/>
  <c r="E6" i="10"/>
  <c r="D6" i="10"/>
  <c r="C6" i="10"/>
  <c r="B6" i="10"/>
  <c r="H6" i="11"/>
  <c r="G6" i="11"/>
  <c r="F6" i="11"/>
  <c r="E6" i="11"/>
  <c r="D6" i="11"/>
  <c r="C6" i="11"/>
  <c r="B6" i="11"/>
  <c r="H6" i="12"/>
  <c r="G6" i="12"/>
  <c r="F6" i="12"/>
  <c r="E6" i="12"/>
  <c r="D6" i="12"/>
  <c r="C6" i="12"/>
  <c r="B6" i="12"/>
  <c r="H6" i="13"/>
  <c r="G6" i="13"/>
  <c r="F6" i="13"/>
  <c r="E6" i="13"/>
  <c r="D6" i="13"/>
  <c r="C6" i="13"/>
  <c r="B6" i="13"/>
  <c r="H6" i="14"/>
  <c r="G6" i="14"/>
  <c r="F6" i="14"/>
  <c r="E6" i="14"/>
  <c r="D6" i="14"/>
  <c r="C6" i="14"/>
  <c r="B6" i="14"/>
  <c r="H6" i="15"/>
  <c r="G6" i="15"/>
  <c r="F6" i="15"/>
  <c r="E6" i="15"/>
  <c r="D6" i="15"/>
  <c r="C6" i="15"/>
  <c r="B6" i="15"/>
  <c r="H6" i="16"/>
  <c r="G6" i="16"/>
  <c r="F6" i="16"/>
  <c r="E6" i="16"/>
  <c r="D6" i="16"/>
  <c r="C6" i="16"/>
  <c r="B6" i="16"/>
  <c r="H6" i="17"/>
  <c r="G6" i="17"/>
  <c r="F6" i="17"/>
  <c r="E6" i="17"/>
  <c r="D6" i="17"/>
  <c r="C6" i="17"/>
  <c r="B6" i="17"/>
  <c r="H6" i="7"/>
  <c r="G6" i="7"/>
  <c r="F6" i="7"/>
  <c r="E6" i="7"/>
  <c r="D6" i="7"/>
  <c r="C6" i="7"/>
  <c r="B6" i="7"/>
  <c r="H4" i="8"/>
  <c r="G4" i="8"/>
  <c r="F4" i="8"/>
  <c r="E4" i="8"/>
  <c r="D4" i="8"/>
  <c r="C4" i="8"/>
  <c r="B4" i="8"/>
  <c r="H4" i="9"/>
  <c r="G4" i="9"/>
  <c r="F4" i="9"/>
  <c r="E4" i="9"/>
  <c r="D4" i="9"/>
  <c r="C4" i="9"/>
  <c r="B4" i="9"/>
  <c r="H4" i="10"/>
  <c r="G4" i="10"/>
  <c r="F4" i="10"/>
  <c r="E4" i="10"/>
  <c r="D4" i="10"/>
  <c r="C4" i="10"/>
  <c r="B4" i="10"/>
  <c r="H4" i="11"/>
  <c r="G4" i="11"/>
  <c r="F4" i="11"/>
  <c r="E4" i="11"/>
  <c r="D4" i="11"/>
  <c r="C4" i="11"/>
  <c r="B4" i="11"/>
  <c r="H4" i="12"/>
  <c r="G4" i="12"/>
  <c r="F4" i="12"/>
  <c r="E4" i="12"/>
  <c r="D4" i="12"/>
  <c r="C4" i="12"/>
  <c r="B4" i="12"/>
  <c r="H4" i="13"/>
  <c r="G4" i="13"/>
  <c r="F4" i="13"/>
  <c r="E4" i="13"/>
  <c r="D4" i="13"/>
  <c r="C4" i="13"/>
  <c r="B4" i="13"/>
  <c r="H4" i="14"/>
  <c r="G4" i="14"/>
  <c r="F4" i="14"/>
  <c r="E4" i="14"/>
  <c r="D4" i="14"/>
  <c r="C4" i="14"/>
  <c r="B4" i="14"/>
  <c r="H4" i="15"/>
  <c r="G4" i="15"/>
  <c r="F4" i="15"/>
  <c r="E4" i="15"/>
  <c r="D4" i="15"/>
  <c r="C4" i="15"/>
  <c r="B4" i="15"/>
  <c r="H4" i="16"/>
  <c r="G4" i="16"/>
  <c r="F4" i="16"/>
  <c r="E4" i="16"/>
  <c r="D4" i="16"/>
  <c r="C4" i="16"/>
  <c r="B4" i="16"/>
  <c r="H4" i="17"/>
  <c r="G4" i="17"/>
  <c r="F4" i="17"/>
  <c r="E4" i="17"/>
  <c r="D4" i="17"/>
  <c r="C4" i="17"/>
  <c r="B4" i="17"/>
  <c r="H4" i="7"/>
  <c r="G4" i="7"/>
  <c r="F4" i="7"/>
  <c r="E4" i="7"/>
  <c r="D4" i="7"/>
  <c r="C4" i="7"/>
  <c r="B4" i="7"/>
  <c r="B4" i="5"/>
  <c r="C4" i="5"/>
  <c r="C10" i="5"/>
  <c r="B8" i="5"/>
  <c r="H12" i="5"/>
  <c r="D12" i="5"/>
  <c r="G10" i="5"/>
  <c r="F8" i="5"/>
  <c r="U366" i="18" l="1"/>
  <c r="U362" i="18"/>
  <c r="U358" i="18"/>
  <c r="U354" i="18"/>
  <c r="U350" i="18"/>
  <c r="U346" i="18"/>
  <c r="U342" i="18"/>
  <c r="U338" i="18"/>
  <c r="U334" i="18"/>
  <c r="U330" i="18"/>
  <c r="U326" i="18"/>
  <c r="U322" i="18"/>
  <c r="U318" i="18"/>
  <c r="U314" i="18"/>
  <c r="U310" i="18"/>
  <c r="U306" i="18"/>
  <c r="U302" i="18"/>
  <c r="U298" i="18"/>
  <c r="U294" i="18"/>
  <c r="U290" i="18"/>
  <c r="U286" i="18"/>
  <c r="U282" i="18"/>
  <c r="U278" i="18"/>
  <c r="U274" i="18"/>
  <c r="U270" i="18"/>
  <c r="U266" i="18"/>
  <c r="U262" i="18"/>
  <c r="U258" i="18"/>
  <c r="U254" i="18"/>
  <c r="U250" i="18"/>
  <c r="U246" i="18"/>
  <c r="U242" i="18"/>
  <c r="U238" i="18"/>
  <c r="U234" i="18"/>
  <c r="U230" i="18"/>
  <c r="U226" i="18"/>
  <c r="U222" i="18"/>
  <c r="U218" i="18"/>
  <c r="U214" i="18"/>
  <c r="U210" i="18"/>
  <c r="U206" i="18"/>
  <c r="U202" i="18"/>
  <c r="U198" i="18"/>
  <c r="U194" i="18"/>
  <c r="U190" i="18"/>
  <c r="U186" i="18"/>
  <c r="U182" i="18"/>
  <c r="U178" i="18"/>
  <c r="U174" i="18"/>
  <c r="U173" i="18"/>
  <c r="U169" i="18"/>
  <c r="U165" i="18"/>
  <c r="U161" i="18"/>
  <c r="U157" i="18"/>
  <c r="U153" i="18"/>
  <c r="U149" i="18"/>
  <c r="U145" i="18"/>
  <c r="U141" i="18"/>
  <c r="U137" i="18"/>
  <c r="U133" i="18"/>
  <c r="U129" i="18"/>
  <c r="U125" i="18"/>
  <c r="U121" i="18"/>
  <c r="U117" i="18"/>
  <c r="U113" i="18"/>
  <c r="U109" i="18"/>
  <c r="U105" i="18"/>
  <c r="U364" i="18"/>
  <c r="U360" i="18"/>
  <c r="U356" i="18"/>
  <c r="U352" i="18"/>
  <c r="U348" i="18"/>
  <c r="U344" i="18"/>
  <c r="U340" i="18"/>
  <c r="U336" i="18"/>
  <c r="U332" i="18"/>
  <c r="U328" i="18"/>
  <c r="U324" i="18"/>
  <c r="U320" i="18"/>
  <c r="U316" i="18"/>
  <c r="U312" i="18"/>
  <c r="U308" i="18"/>
  <c r="U304" i="18"/>
  <c r="U300" i="18"/>
  <c r="U296" i="18"/>
  <c r="U292" i="18"/>
  <c r="U288" i="18"/>
  <c r="U284" i="18"/>
  <c r="U280" i="18"/>
  <c r="U276" i="18"/>
  <c r="U272" i="18"/>
  <c r="U268" i="18"/>
  <c r="U264" i="18"/>
  <c r="U260" i="18"/>
  <c r="U256" i="18"/>
  <c r="U252" i="18"/>
  <c r="U248" i="18"/>
  <c r="U244" i="18"/>
  <c r="U240" i="18"/>
  <c r="U236" i="18"/>
  <c r="U232" i="18"/>
  <c r="U228" i="18"/>
  <c r="U224" i="18"/>
  <c r="U220" i="18"/>
  <c r="U216" i="18"/>
  <c r="U212" i="18"/>
  <c r="U208" i="18"/>
  <c r="U204" i="18"/>
  <c r="U200" i="18"/>
  <c r="U196" i="18"/>
  <c r="U192" i="18"/>
  <c r="U188" i="18"/>
  <c r="U184" i="18"/>
  <c r="U180" i="18"/>
  <c r="U176" i="18"/>
  <c r="U101" i="18"/>
  <c r="U97" i="18"/>
  <c r="U93" i="18"/>
  <c r="U89" i="18"/>
  <c r="U85" i="18"/>
  <c r="U81" i="18"/>
  <c r="U77" i="18"/>
  <c r="U73" i="18"/>
  <c r="U69" i="18"/>
  <c r="U65" i="18"/>
  <c r="U61" i="18"/>
  <c r="U57" i="18"/>
  <c r="U53" i="18"/>
  <c r="U49" i="18"/>
  <c r="U45" i="18"/>
  <c r="U41" i="18"/>
  <c r="U37" i="18"/>
  <c r="U33" i="18"/>
  <c r="G12" i="5" s="1"/>
  <c r="U29" i="18"/>
  <c r="C12" i="5" s="1"/>
  <c r="U25" i="18"/>
  <c r="F10" i="5" s="1"/>
  <c r="U21" i="18"/>
  <c r="B10" i="5" s="1"/>
  <c r="U17" i="18"/>
  <c r="E8" i="5" s="1"/>
  <c r="U13" i="18"/>
  <c r="H6" i="5" s="1"/>
  <c r="U9" i="18"/>
  <c r="U5" i="18"/>
  <c r="U171" i="18"/>
  <c r="U167" i="18"/>
  <c r="U163" i="18"/>
  <c r="U159" i="18"/>
  <c r="U155" i="18"/>
  <c r="U151" i="18"/>
  <c r="U147" i="18"/>
  <c r="U143" i="18"/>
  <c r="U139" i="18"/>
  <c r="U135" i="18"/>
  <c r="U131" i="18"/>
  <c r="U127" i="18"/>
  <c r="U123" i="18"/>
  <c r="U119" i="18"/>
  <c r="U115" i="18"/>
  <c r="U111" i="18"/>
  <c r="U107" i="18"/>
  <c r="U103" i="18"/>
  <c r="U99" i="18"/>
  <c r="U95" i="18"/>
  <c r="U91" i="18"/>
  <c r="U87" i="18"/>
  <c r="U83" i="18"/>
  <c r="U79" i="18"/>
  <c r="U75" i="18"/>
  <c r="U71" i="18"/>
  <c r="U67" i="18"/>
  <c r="U63" i="18"/>
  <c r="U59" i="18"/>
  <c r="U55" i="18"/>
  <c r="U51" i="18"/>
  <c r="U47" i="18"/>
  <c r="U43" i="18"/>
  <c r="U39" i="18"/>
  <c r="U35" i="18"/>
  <c r="U31" i="18"/>
  <c r="E12" i="5" s="1"/>
  <c r="U27" i="18"/>
  <c r="H10" i="5" s="1"/>
  <c r="U23" i="18"/>
  <c r="D10" i="5" s="1"/>
  <c r="U19" i="18"/>
  <c r="G8" i="5" s="1"/>
  <c r="U15" i="18"/>
  <c r="C8" i="5" s="1"/>
  <c r="U11" i="18"/>
  <c r="U7" i="18"/>
  <c r="G6" i="5"/>
  <c r="F6" i="5"/>
  <c r="E6" i="5" l="1"/>
  <c r="D6" i="5" l="1"/>
  <c r="C6" i="5"/>
  <c r="B6" i="5"/>
  <c r="G4" i="5" l="1"/>
  <c r="H4" i="5"/>
  <c r="T4" i="18"/>
  <c r="S4" i="18"/>
  <c r="R4" i="18"/>
  <c r="Q4" i="18"/>
  <c r="T3" i="18"/>
  <c r="S3" i="18"/>
  <c r="R3" i="18"/>
  <c r="Q3" i="18"/>
  <c r="T2" i="18"/>
  <c r="S2" i="18"/>
  <c r="R2" i="18"/>
  <c r="Q2" i="18"/>
  <c r="AN1" i="18"/>
  <c r="AM1" i="18"/>
  <c r="AL1" i="18"/>
  <c r="AL4" i="2"/>
  <c r="U2" i="18" l="1"/>
  <c r="D4" i="5" s="1"/>
  <c r="U3" i="18"/>
  <c r="E4" i="5" s="1"/>
  <c r="U4" i="18"/>
  <c r="F4" i="5" s="1"/>
  <c r="I14" i="11" l="1"/>
  <c r="K2" i="17"/>
  <c r="K2" i="16"/>
  <c r="K2" i="15"/>
  <c r="K2" i="14"/>
  <c r="K2" i="13"/>
  <c r="K2" i="12"/>
  <c r="K2" i="11"/>
  <c r="K2" i="10"/>
  <c r="K2" i="9"/>
  <c r="K2" i="8"/>
  <c r="K2" i="7"/>
  <c r="I10" i="7"/>
  <c r="E8" i="2" s="1"/>
  <c r="I12" i="7"/>
  <c r="E9" i="2" s="1"/>
  <c r="I10" i="8"/>
  <c r="I12" i="8"/>
  <c r="I10" i="9"/>
  <c r="I12" i="9"/>
  <c r="I10" i="10"/>
  <c r="I12" i="10"/>
  <c r="I10" i="11"/>
  <c r="I12" i="11"/>
  <c r="I10" i="12"/>
  <c r="I12" i="12"/>
  <c r="I10" i="13"/>
  <c r="I12" i="13"/>
  <c r="I10" i="14"/>
  <c r="I12" i="14"/>
  <c r="I10" i="15"/>
  <c r="I12" i="15"/>
  <c r="I10" i="16"/>
  <c r="I12" i="16"/>
  <c r="I10" i="17"/>
  <c r="I12" i="17"/>
  <c r="I10" i="5"/>
  <c r="I12" i="5"/>
  <c r="D9" i="2" s="1"/>
  <c r="I8" i="7"/>
  <c r="E7" i="2" s="1"/>
  <c r="I8" i="8"/>
  <c r="F7" i="2" s="1"/>
  <c r="I8" i="9"/>
  <c r="G7" i="2" s="1"/>
  <c r="I8" i="10"/>
  <c r="H7" i="2" s="1"/>
  <c r="I8" i="11"/>
  <c r="I8" i="12"/>
  <c r="I8" i="13"/>
  <c r="I8" i="14"/>
  <c r="I8" i="15"/>
  <c r="I8" i="16"/>
  <c r="I8" i="17"/>
  <c r="I8" i="5"/>
  <c r="D7" i="2" s="1"/>
  <c r="I6" i="7"/>
  <c r="E6" i="2" s="1"/>
  <c r="I6" i="8"/>
  <c r="F5" i="2" s="1"/>
  <c r="I6" i="9"/>
  <c r="I6" i="10"/>
  <c r="I6" i="11"/>
  <c r="I6" i="12"/>
  <c r="I6" i="13"/>
  <c r="I6" i="14"/>
  <c r="I6" i="15"/>
  <c r="I6" i="16"/>
  <c r="I6" i="17"/>
  <c r="I6" i="5"/>
  <c r="D6" i="2" s="1"/>
  <c r="I4" i="7"/>
  <c r="E5" i="2" s="1"/>
  <c r="I4" i="8"/>
  <c r="I4" i="9"/>
  <c r="I4" i="10"/>
  <c r="I4" i="11"/>
  <c r="I4" i="12"/>
  <c r="I4" i="13"/>
  <c r="I4" i="14"/>
  <c r="I4" i="15"/>
  <c r="I4" i="16"/>
  <c r="I4" i="17"/>
  <c r="D8" i="2"/>
  <c r="O7" i="2" l="1"/>
  <c r="O8" i="2"/>
  <c r="O9" i="2"/>
  <c r="O6" i="2"/>
  <c r="O5" i="2"/>
  <c r="N7" i="2"/>
  <c r="N8" i="2"/>
  <c r="N9" i="2"/>
  <c r="N6" i="2"/>
  <c r="N5" i="2"/>
  <c r="M7" i="2"/>
  <c r="M8" i="2"/>
  <c r="M9" i="2"/>
  <c r="M6" i="2"/>
  <c r="M5" i="2"/>
  <c r="L7" i="2"/>
  <c r="L8" i="2"/>
  <c r="L9" i="2"/>
  <c r="L6" i="2"/>
  <c r="L5" i="2"/>
  <c r="K7" i="2"/>
  <c r="K8" i="2"/>
  <c r="K9" i="2"/>
  <c r="K6" i="2"/>
  <c r="K5" i="2"/>
  <c r="J7" i="2"/>
  <c r="J8" i="2"/>
  <c r="J9" i="2"/>
  <c r="J6" i="2"/>
  <c r="J5" i="2"/>
  <c r="I7" i="2"/>
  <c r="I8" i="2"/>
  <c r="I9" i="2"/>
  <c r="I6" i="2"/>
  <c r="I5" i="2"/>
  <c r="H8" i="2"/>
  <c r="H9" i="2"/>
  <c r="H6" i="2"/>
  <c r="H5" i="2"/>
  <c r="G8" i="2"/>
  <c r="G9" i="2"/>
  <c r="G6" i="2"/>
  <c r="G5" i="2"/>
  <c r="F8" i="2"/>
  <c r="F9" i="2"/>
  <c r="F6" i="2"/>
  <c r="B2" i="8"/>
  <c r="B2" i="9"/>
  <c r="B2" i="10"/>
  <c r="B2" i="11"/>
  <c r="B2" i="12"/>
  <c r="B2" i="13"/>
  <c r="B2" i="14"/>
  <c r="B2" i="15"/>
  <c r="B2" i="16"/>
  <c r="B2" i="17"/>
  <c r="B2" i="7"/>
  <c r="AD2" i="2"/>
  <c r="Q10" i="2"/>
  <c r="B1" i="7"/>
  <c r="B2" i="5"/>
  <c r="B1" i="9" l="1"/>
  <c r="B1" i="17"/>
  <c r="B1" i="16"/>
  <c r="B1" i="15"/>
  <c r="B1" i="13"/>
  <c r="B1" i="14"/>
  <c r="B1" i="12"/>
  <c r="B1" i="11"/>
  <c r="B1" i="10"/>
  <c r="B1" i="8"/>
  <c r="B13" i="10" a="1"/>
  <c r="C13" i="10" s="1"/>
  <c r="B11" i="5" a="1"/>
  <c r="D11" i="5" s="1"/>
  <c r="B13" i="13" a="1"/>
  <c r="B13" i="12" a="1"/>
  <c r="B13" i="14" a="1"/>
  <c r="B13" i="16" a="1"/>
  <c r="B13" i="7" a="1"/>
  <c r="B13" i="17" a="1"/>
  <c r="B13" i="15" a="1"/>
  <c r="B13" i="5" a="1"/>
  <c r="C13" i="5" s="1"/>
  <c r="B1" i="5"/>
  <c r="B3" i="5" a="1"/>
  <c r="B5" i="5" a="1"/>
  <c r="B7" i="5" a="1"/>
  <c r="B9" i="5" a="1"/>
  <c r="P6" i="4"/>
  <c r="P7" i="4"/>
  <c r="P8" i="4"/>
  <c r="P9" i="4"/>
  <c r="P10" i="4"/>
  <c r="P11" i="4"/>
  <c r="P12" i="4"/>
  <c r="P13" i="4"/>
  <c r="P14" i="4"/>
  <c r="P15" i="4"/>
  <c r="P16" i="4"/>
  <c r="P17" i="4"/>
  <c r="P18" i="4"/>
  <c r="P19" i="4"/>
  <c r="P20" i="4"/>
  <c r="P21" i="4"/>
  <c r="P22" i="4"/>
  <c r="P23" i="4"/>
  <c r="P5" i="4"/>
  <c r="AD1" i="4"/>
  <c r="B2" i="4"/>
  <c r="B1" i="4"/>
  <c r="P6" i="3"/>
  <c r="P7" i="3"/>
  <c r="P8" i="3"/>
  <c r="P9" i="3"/>
  <c r="P5" i="3"/>
  <c r="AC2" i="3"/>
  <c r="AD1" i="3"/>
  <c r="B2" i="3"/>
  <c r="B1" i="3"/>
  <c r="P6" i="2"/>
  <c r="P7" i="2"/>
  <c r="P8" i="2"/>
  <c r="P9" i="2"/>
  <c r="H11" i="5" l="1"/>
  <c r="B13" i="10"/>
  <c r="F11" i="5"/>
  <c r="E11" i="5"/>
  <c r="B11" i="5"/>
  <c r="B13" i="17"/>
  <c r="C13" i="17"/>
  <c r="C13" i="7"/>
  <c r="B13" i="7"/>
  <c r="C13" i="14"/>
  <c r="B13" i="14"/>
  <c r="B13" i="12"/>
  <c r="C13" i="12"/>
  <c r="G11" i="5"/>
  <c r="C11" i="5"/>
  <c r="B13" i="15"/>
  <c r="C13" i="15"/>
  <c r="C13" i="16"/>
  <c r="B13" i="16"/>
  <c r="C13" i="13"/>
  <c r="B13" i="13"/>
  <c r="B13" i="5"/>
  <c r="G9" i="5"/>
  <c r="E9" i="5"/>
  <c r="C9" i="5"/>
  <c r="H9" i="5"/>
  <c r="F9" i="5"/>
  <c r="D9" i="5"/>
  <c r="B9" i="5"/>
  <c r="G5" i="5"/>
  <c r="E5" i="5"/>
  <c r="C5" i="5"/>
  <c r="H5" i="5"/>
  <c r="F5" i="5"/>
  <c r="D5" i="5"/>
  <c r="B5" i="5"/>
  <c r="G7" i="5"/>
  <c r="E7" i="5"/>
  <c r="C7" i="5"/>
  <c r="H7" i="5"/>
  <c r="F7" i="5"/>
  <c r="D7" i="5"/>
  <c r="B7" i="5"/>
  <c r="G3" i="5"/>
  <c r="G2" i="5" s="1"/>
  <c r="E3" i="5"/>
  <c r="E2" i="5" s="1"/>
  <c r="C3" i="5"/>
  <c r="C2" i="5" s="1"/>
  <c r="H3" i="5"/>
  <c r="H2" i="5" s="1"/>
  <c r="F3" i="5"/>
  <c r="F2" i="5" s="1"/>
  <c r="D3" i="5"/>
  <c r="B3" i="5"/>
  <c r="D2" i="5" l="1"/>
  <c r="I4" i="5"/>
  <c r="D5" i="2" s="1"/>
  <c r="O3" i="4"/>
  <c r="AC3" i="4" s="1"/>
  <c r="M3" i="4"/>
  <c r="AA3" i="4" s="1"/>
  <c r="K3" i="4"/>
  <c r="Y3" i="4" s="1"/>
  <c r="I3" i="4"/>
  <c r="W3" i="4" s="1"/>
  <c r="G3" i="4"/>
  <c r="U3" i="4" s="1"/>
  <c r="E3" i="4"/>
  <c r="S3" i="4" s="1"/>
  <c r="N3" i="4"/>
  <c r="AB3" i="4" s="1"/>
  <c r="L3" i="4"/>
  <c r="Z3" i="4" s="1"/>
  <c r="J3" i="4"/>
  <c r="X3" i="4" s="1"/>
  <c r="H3" i="4"/>
  <c r="V3" i="4" s="1"/>
  <c r="F3" i="4"/>
  <c r="T3" i="4" s="1"/>
  <c r="D3" i="4"/>
  <c r="R3" i="4" s="1"/>
  <c r="I3" i="3"/>
  <c r="W3" i="3" s="1"/>
  <c r="N3" i="3"/>
  <c r="AB3" i="3" s="1"/>
  <c r="L3" i="3"/>
  <c r="Z3" i="3" s="1"/>
  <c r="J3" i="3"/>
  <c r="X3" i="3" s="1"/>
  <c r="H3" i="3"/>
  <c r="V3" i="3" s="1"/>
  <c r="F3" i="3"/>
  <c r="T3" i="3" s="1"/>
  <c r="D3" i="3"/>
  <c r="R3" i="3" s="1"/>
  <c r="O3" i="3"/>
  <c r="AC3" i="3" s="1"/>
  <c r="M3" i="3"/>
  <c r="AA3" i="3" s="1"/>
  <c r="K3" i="3"/>
  <c r="Y3" i="3" s="1"/>
  <c r="G3" i="3"/>
  <c r="U3" i="3" s="1"/>
  <c r="E3" i="3"/>
  <c r="S3" i="3" s="1"/>
  <c r="D3" i="2"/>
  <c r="R3" i="2" s="1"/>
  <c r="O3" i="2"/>
  <c r="AC3" i="2" s="1"/>
  <c r="M3" i="2"/>
  <c r="AA3" i="2" s="1"/>
  <c r="K3" i="2"/>
  <c r="Y3" i="2" s="1"/>
  <c r="I3" i="2"/>
  <c r="W3" i="2" s="1"/>
  <c r="G3" i="2"/>
  <c r="U3" i="2" s="1"/>
  <c r="E3" i="2"/>
  <c r="S3" i="2" s="1"/>
  <c r="N3" i="2"/>
  <c r="AB3" i="2" s="1"/>
  <c r="L3" i="2"/>
  <c r="Z3" i="2" s="1"/>
  <c r="J3" i="2"/>
  <c r="X3" i="2" s="1"/>
  <c r="H3" i="2"/>
  <c r="V3" i="2" s="1"/>
  <c r="F3" i="2"/>
  <c r="T3" i="2" s="1"/>
  <c r="AD2" i="4"/>
  <c r="AC2" i="4"/>
  <c r="AD2" i="3"/>
  <c r="P5" i="2" l="1"/>
  <c r="Q24" i="4"/>
  <c r="O24" i="4"/>
  <c r="N24" i="4"/>
  <c r="M24" i="4"/>
  <c r="L24" i="4"/>
  <c r="K24" i="4"/>
  <c r="J24" i="4"/>
  <c r="I24" i="4"/>
  <c r="H24" i="4"/>
  <c r="G24" i="4"/>
  <c r="F24" i="4"/>
  <c r="E24" i="4"/>
  <c r="D24" i="4"/>
  <c r="D10" i="2"/>
  <c r="E10" i="2"/>
  <c r="F10" i="2"/>
  <c r="G10" i="2"/>
  <c r="H10" i="2"/>
  <c r="I10" i="2"/>
  <c r="J10" i="2"/>
  <c r="K10" i="2"/>
  <c r="L10" i="2"/>
  <c r="M10" i="2"/>
  <c r="N10" i="2"/>
  <c r="O10" i="2"/>
  <c r="Q10" i="3"/>
  <c r="O10" i="3"/>
  <c r="N10" i="3"/>
  <c r="M10" i="3"/>
  <c r="L10" i="3"/>
  <c r="K10" i="3"/>
  <c r="J10" i="3"/>
  <c r="I10" i="3"/>
  <c r="H10" i="3"/>
  <c r="G10" i="3"/>
  <c r="F10" i="3"/>
  <c r="E10" i="3"/>
  <c r="D10" i="3"/>
  <c r="AB6" i="2" l="1"/>
  <c r="AB8" i="2"/>
  <c r="AB5" i="2"/>
  <c r="AB7" i="2"/>
  <c r="AB9" i="2"/>
  <c r="Z6" i="2"/>
  <c r="Z8" i="2"/>
  <c r="Z5" i="2"/>
  <c r="Z7" i="2"/>
  <c r="Z9" i="2"/>
  <c r="X6" i="2"/>
  <c r="X8" i="2"/>
  <c r="X5" i="2"/>
  <c r="X7" i="2"/>
  <c r="X9" i="2"/>
  <c r="V6" i="2"/>
  <c r="V8" i="2"/>
  <c r="V5" i="2"/>
  <c r="V7" i="2"/>
  <c r="V9" i="2"/>
  <c r="T6" i="2"/>
  <c r="T8" i="2"/>
  <c r="T5" i="2"/>
  <c r="T7" i="2"/>
  <c r="T9" i="2"/>
  <c r="R6" i="2"/>
  <c r="R8" i="2"/>
  <c r="R5" i="2"/>
  <c r="R7" i="2"/>
  <c r="R9" i="2"/>
  <c r="AC5" i="2"/>
  <c r="AC7" i="2"/>
  <c r="AC9" i="2"/>
  <c r="AC6" i="2"/>
  <c r="AC8" i="2"/>
  <c r="AA5" i="2"/>
  <c r="AA7" i="2"/>
  <c r="AA9" i="2"/>
  <c r="AA6" i="2"/>
  <c r="AA8" i="2"/>
  <c r="Y5" i="2"/>
  <c r="Y7" i="2"/>
  <c r="Y9" i="2"/>
  <c r="Y6" i="2"/>
  <c r="Y8" i="2"/>
  <c r="W5" i="2"/>
  <c r="W7" i="2"/>
  <c r="W9" i="2"/>
  <c r="W6" i="2"/>
  <c r="W8" i="2"/>
  <c r="U5" i="2"/>
  <c r="U7" i="2"/>
  <c r="U9" i="2"/>
  <c r="U6" i="2"/>
  <c r="U8" i="2"/>
  <c r="S5" i="2"/>
  <c r="S7" i="2"/>
  <c r="S9" i="2"/>
  <c r="S6" i="2"/>
  <c r="S8" i="2"/>
  <c r="U6" i="3"/>
  <c r="U8" i="3"/>
  <c r="U5" i="3"/>
  <c r="U7" i="3"/>
  <c r="U9" i="3"/>
  <c r="W6" i="3"/>
  <c r="W8" i="3"/>
  <c r="W5" i="3"/>
  <c r="W7" i="3"/>
  <c r="W9" i="3"/>
  <c r="Y6" i="3"/>
  <c r="Y8" i="3"/>
  <c r="Y5" i="3"/>
  <c r="Y7" i="3"/>
  <c r="Y9" i="3"/>
  <c r="AA7" i="3"/>
  <c r="AA9" i="3"/>
  <c r="AA8" i="3"/>
  <c r="AA5" i="3"/>
  <c r="AA6" i="3"/>
  <c r="AC7" i="3"/>
  <c r="AC9" i="3"/>
  <c r="AC6" i="3"/>
  <c r="AC8" i="3"/>
  <c r="AC5" i="3"/>
  <c r="N12" i="3"/>
  <c r="N26" i="4" s="1"/>
  <c r="L12" i="3"/>
  <c r="L26" i="4" s="1"/>
  <c r="J12" i="3"/>
  <c r="J26" i="4" s="1"/>
  <c r="H12" i="3"/>
  <c r="H26" i="4" s="1"/>
  <c r="F12" i="3"/>
  <c r="F26" i="4" s="1"/>
  <c r="D12" i="3"/>
  <c r="D26" i="4" s="1"/>
  <c r="S7" i="4"/>
  <c r="S9" i="4"/>
  <c r="S11" i="4"/>
  <c r="S13" i="4"/>
  <c r="S15" i="4"/>
  <c r="S17" i="4"/>
  <c r="S19" i="4"/>
  <c r="S21" i="4"/>
  <c r="S23" i="4"/>
  <c r="S6" i="4"/>
  <c r="S8" i="4"/>
  <c r="S10" i="4"/>
  <c r="S12" i="4"/>
  <c r="S14" i="4"/>
  <c r="S16" i="4"/>
  <c r="S18" i="4"/>
  <c r="S20" i="4"/>
  <c r="S22" i="4"/>
  <c r="S5" i="4"/>
  <c r="U6" i="4"/>
  <c r="U8" i="4"/>
  <c r="U10" i="4"/>
  <c r="U7" i="4"/>
  <c r="U11" i="4"/>
  <c r="U13" i="4"/>
  <c r="U15" i="4"/>
  <c r="U17" i="4"/>
  <c r="U19" i="4"/>
  <c r="U21" i="4"/>
  <c r="U23" i="4"/>
  <c r="U9" i="4"/>
  <c r="U12" i="4"/>
  <c r="U14" i="4"/>
  <c r="U16" i="4"/>
  <c r="U18" i="4"/>
  <c r="U20" i="4"/>
  <c r="U22" i="4"/>
  <c r="U5" i="4"/>
  <c r="W6" i="4"/>
  <c r="W8" i="4"/>
  <c r="W10" i="4"/>
  <c r="W12" i="4"/>
  <c r="W14" i="4"/>
  <c r="W16" i="4"/>
  <c r="W18" i="4"/>
  <c r="W20" i="4"/>
  <c r="W22" i="4"/>
  <c r="W5" i="4"/>
  <c r="W9" i="4"/>
  <c r="W13" i="4"/>
  <c r="W17" i="4"/>
  <c r="W21" i="4"/>
  <c r="W7" i="4"/>
  <c r="W11" i="4"/>
  <c r="W15" i="4"/>
  <c r="W19" i="4"/>
  <c r="W23" i="4"/>
  <c r="Y6" i="4"/>
  <c r="Y8" i="4"/>
  <c r="Y10" i="4"/>
  <c r="Y12" i="4"/>
  <c r="Y14" i="4"/>
  <c r="Y16" i="4"/>
  <c r="Y18" i="4"/>
  <c r="Y20" i="4"/>
  <c r="Y22" i="4"/>
  <c r="Y5" i="4"/>
  <c r="Y24" i="4" s="1"/>
  <c r="Y7" i="4"/>
  <c r="Y11" i="4"/>
  <c r="Y15" i="4"/>
  <c r="Y19" i="4"/>
  <c r="Y23" i="4"/>
  <c r="Y9" i="4"/>
  <c r="Y13" i="4"/>
  <c r="Y17" i="4"/>
  <c r="Y21" i="4"/>
  <c r="AA6" i="4"/>
  <c r="AA8" i="4"/>
  <c r="AA10" i="4"/>
  <c r="AA12" i="4"/>
  <c r="AA14" i="4"/>
  <c r="AA16" i="4"/>
  <c r="AA18" i="4"/>
  <c r="AA20" i="4"/>
  <c r="AA22" i="4"/>
  <c r="AA5" i="4"/>
  <c r="AA9" i="4"/>
  <c r="AA13" i="4"/>
  <c r="AA17" i="4"/>
  <c r="AA21" i="4"/>
  <c r="AA7" i="4"/>
  <c r="AA11" i="4"/>
  <c r="AA15" i="4"/>
  <c r="AA19" i="4"/>
  <c r="AA23" i="4"/>
  <c r="AC6" i="4"/>
  <c r="AC8" i="4"/>
  <c r="AC10" i="4"/>
  <c r="AC12" i="4"/>
  <c r="AC14" i="4"/>
  <c r="AC16" i="4"/>
  <c r="AC18" i="4"/>
  <c r="AC20" i="4"/>
  <c r="AC22" i="4"/>
  <c r="AC5" i="4"/>
  <c r="AC7" i="4"/>
  <c r="AC11" i="4"/>
  <c r="AC15" i="4"/>
  <c r="AC19" i="4"/>
  <c r="AC23" i="4"/>
  <c r="AC9" i="4"/>
  <c r="AC13" i="4"/>
  <c r="AC17" i="4"/>
  <c r="AC21" i="4"/>
  <c r="S6" i="3"/>
  <c r="S8" i="3"/>
  <c r="S5" i="3"/>
  <c r="S7" i="3"/>
  <c r="S9" i="3"/>
  <c r="R7" i="3"/>
  <c r="R9" i="3"/>
  <c r="R6" i="3"/>
  <c r="R8" i="3"/>
  <c r="R5" i="3"/>
  <c r="T7" i="3"/>
  <c r="T9" i="3"/>
  <c r="T6" i="3"/>
  <c r="T8" i="3"/>
  <c r="T5" i="3"/>
  <c r="V7" i="3"/>
  <c r="V9" i="3"/>
  <c r="V6" i="3"/>
  <c r="V8" i="3"/>
  <c r="V5" i="3"/>
  <c r="X7" i="3"/>
  <c r="X9" i="3"/>
  <c r="X6" i="3"/>
  <c r="X8" i="3"/>
  <c r="X5" i="3"/>
  <c r="Z6" i="3"/>
  <c r="Z8" i="3"/>
  <c r="Z9" i="3"/>
  <c r="Z7" i="3"/>
  <c r="Z5" i="3"/>
  <c r="AB6" i="3"/>
  <c r="AB8" i="3"/>
  <c r="AB5" i="3"/>
  <c r="AB7" i="3"/>
  <c r="AB9" i="3"/>
  <c r="O12" i="3"/>
  <c r="O26" i="4" s="1"/>
  <c r="M12" i="3"/>
  <c r="M26" i="4" s="1"/>
  <c r="K12" i="3"/>
  <c r="K26" i="4" s="1"/>
  <c r="I12" i="3"/>
  <c r="I26" i="4" s="1"/>
  <c r="G12" i="3"/>
  <c r="G26" i="4" s="1"/>
  <c r="E12" i="3"/>
  <c r="E26" i="4" s="1"/>
  <c r="R6" i="4"/>
  <c r="R8" i="4"/>
  <c r="R10" i="4"/>
  <c r="R12" i="4"/>
  <c r="R14" i="4"/>
  <c r="R16" i="4"/>
  <c r="R18" i="4"/>
  <c r="R20" i="4"/>
  <c r="R22" i="4"/>
  <c r="R7" i="4"/>
  <c r="R9" i="4"/>
  <c r="R11" i="4"/>
  <c r="R13" i="4"/>
  <c r="R15" i="4"/>
  <c r="R17" i="4"/>
  <c r="R19" i="4"/>
  <c r="R21" i="4"/>
  <c r="R23" i="4"/>
  <c r="T6" i="4"/>
  <c r="T8" i="4"/>
  <c r="T10" i="4"/>
  <c r="T12" i="4"/>
  <c r="T14" i="4"/>
  <c r="T16" i="4"/>
  <c r="T18" i="4"/>
  <c r="T20" i="4"/>
  <c r="T22" i="4"/>
  <c r="T5" i="4"/>
  <c r="T7" i="4"/>
  <c r="T9" i="4"/>
  <c r="T11" i="4"/>
  <c r="T13" i="4"/>
  <c r="T15" i="4"/>
  <c r="T17" i="4"/>
  <c r="T19" i="4"/>
  <c r="T21" i="4"/>
  <c r="T23" i="4"/>
  <c r="V7" i="4"/>
  <c r="V9" i="4"/>
  <c r="V11" i="4"/>
  <c r="V13" i="4"/>
  <c r="V15" i="4"/>
  <c r="V17" i="4"/>
  <c r="V19" i="4"/>
  <c r="V21" i="4"/>
  <c r="V23" i="4"/>
  <c r="V6" i="4"/>
  <c r="V10" i="4"/>
  <c r="V14" i="4"/>
  <c r="V18" i="4"/>
  <c r="V22" i="4"/>
  <c r="V8" i="4"/>
  <c r="V12" i="4"/>
  <c r="V16" i="4"/>
  <c r="V20" i="4"/>
  <c r="V5" i="4"/>
  <c r="X7" i="4"/>
  <c r="X9" i="4"/>
  <c r="X11" i="4"/>
  <c r="X13" i="4"/>
  <c r="X15" i="4"/>
  <c r="X17" i="4"/>
  <c r="X19" i="4"/>
  <c r="X21" i="4"/>
  <c r="X23" i="4"/>
  <c r="X8" i="4"/>
  <c r="X12" i="4"/>
  <c r="X16" i="4"/>
  <c r="X20" i="4"/>
  <c r="X5" i="4"/>
  <c r="X6" i="4"/>
  <c r="X10" i="4"/>
  <c r="X14" i="4"/>
  <c r="X18" i="4"/>
  <c r="X22" i="4"/>
  <c r="Z7" i="4"/>
  <c r="Z9" i="4"/>
  <c r="Z11" i="4"/>
  <c r="Z13" i="4"/>
  <c r="Z15" i="4"/>
  <c r="Z17" i="4"/>
  <c r="Z19" i="4"/>
  <c r="Z21" i="4"/>
  <c r="Z23" i="4"/>
  <c r="Z6" i="4"/>
  <c r="Z10" i="4"/>
  <c r="Z14" i="4"/>
  <c r="Z18" i="4"/>
  <c r="Z22" i="4"/>
  <c r="Z8" i="4"/>
  <c r="Z12" i="4"/>
  <c r="Z16" i="4"/>
  <c r="Z20" i="4"/>
  <c r="Z5" i="4"/>
  <c r="AB7" i="4"/>
  <c r="AB9" i="4"/>
  <c r="AB11" i="4"/>
  <c r="AB13" i="4"/>
  <c r="AB15" i="4"/>
  <c r="AB17" i="4"/>
  <c r="AB19" i="4"/>
  <c r="AB21" i="4"/>
  <c r="AB23" i="4"/>
  <c r="AB8" i="4"/>
  <c r="AB12" i="4"/>
  <c r="AB16" i="4"/>
  <c r="AB20" i="4"/>
  <c r="AB5" i="4"/>
  <c r="AB6" i="4"/>
  <c r="AB10" i="4"/>
  <c r="AB14" i="4"/>
  <c r="AB18" i="4"/>
  <c r="AB22" i="4"/>
  <c r="R5" i="4"/>
  <c r="U24" i="4"/>
  <c r="P24" i="4"/>
  <c r="X24" i="4"/>
  <c r="P10" i="2"/>
  <c r="P10" i="3"/>
  <c r="AB24" i="4" l="1"/>
  <c r="T24" i="4"/>
  <c r="AC24" i="4"/>
  <c r="AD5" i="2"/>
  <c r="AD6" i="2"/>
  <c r="AD7" i="2"/>
  <c r="AD8" i="2"/>
  <c r="AD9" i="2"/>
  <c r="S10" i="2"/>
  <c r="W10" i="2"/>
  <c r="AA10" i="2"/>
  <c r="R10" i="2"/>
  <c r="V10" i="2"/>
  <c r="Z10" i="2"/>
  <c r="U10" i="2"/>
  <c r="Y10" i="2"/>
  <c r="AC10" i="2"/>
  <c r="T10" i="2"/>
  <c r="X10" i="2"/>
  <c r="AB10" i="2"/>
  <c r="P12" i="3"/>
  <c r="Z12" i="3" s="1"/>
  <c r="AD7" i="4"/>
  <c r="AD9" i="4"/>
  <c r="AD11" i="4"/>
  <c r="AD13" i="4"/>
  <c r="AD15" i="4"/>
  <c r="AD17" i="4"/>
  <c r="AD19" i="4"/>
  <c r="AD21" i="4"/>
  <c r="AD23" i="4"/>
  <c r="AD20" i="4"/>
  <c r="AD16" i="4"/>
  <c r="AD12" i="4"/>
  <c r="AD8" i="4"/>
  <c r="AD22" i="4"/>
  <c r="AD18" i="4"/>
  <c r="AD14" i="4"/>
  <c r="AD10" i="4"/>
  <c r="AD6" i="4"/>
  <c r="AD5" i="4"/>
  <c r="AD7" i="3"/>
  <c r="AD8" i="3"/>
  <c r="AD9" i="3"/>
  <c r="AD6" i="3"/>
  <c r="AD5" i="3"/>
  <c r="X10" i="3"/>
  <c r="AC10" i="3"/>
  <c r="AB10" i="3"/>
  <c r="V24" i="4"/>
  <c r="R24" i="4"/>
  <c r="Z24" i="4"/>
  <c r="W24" i="4"/>
  <c r="S24" i="4"/>
  <c r="P26" i="4"/>
  <c r="X26" i="4" s="1"/>
  <c r="AA24" i="4"/>
  <c r="U10" i="3"/>
  <c r="T10" i="3"/>
  <c r="W10" i="3"/>
  <c r="Y10" i="3"/>
  <c r="S10" i="3"/>
  <c r="AA10" i="3"/>
  <c r="Z10" i="3"/>
  <c r="R10" i="3"/>
  <c r="V10" i="3"/>
  <c r="AD10" i="2" l="1"/>
  <c r="AD10" i="3"/>
  <c r="AD24" i="4"/>
  <c r="T26" i="4"/>
  <c r="V26" i="4"/>
  <c r="AB26" i="4"/>
  <c r="U26" i="4"/>
  <c r="R26" i="4"/>
  <c r="AD26" i="4"/>
  <c r="S26" i="4"/>
  <c r="W26" i="4"/>
  <c r="AA26" i="4"/>
  <c r="AC26" i="4"/>
  <c r="Z26" i="4"/>
  <c r="Y26" i="4"/>
  <c r="AA12" i="3"/>
  <c r="U12" i="3"/>
  <c r="AD12" i="3"/>
  <c r="V12" i="3"/>
  <c r="T12" i="3"/>
  <c r="X12" i="3"/>
  <c r="W12" i="3"/>
  <c r="AB12" i="3"/>
  <c r="Y12" i="3"/>
  <c r="AC12" i="3"/>
  <c r="R12" i="3"/>
  <c r="S12"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LIEGEOIS</author>
  </authors>
  <commentList>
    <comment ref="E11" authorId="0" shapeId="0" xr:uid="{C073652D-F053-4CB1-9FD9-56FFF027B53C}">
      <text>
        <r>
          <rPr>
            <b/>
            <sz val="16"/>
            <color indexed="81"/>
            <rFont val="Arial"/>
            <family val="2"/>
          </rPr>
          <t>LES DATES SONT LA POUR ESSAIES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LIEGEOIS</author>
  </authors>
  <commentList>
    <comment ref="D4" authorId="0" shapeId="0" xr:uid="{9A3A8F76-D29A-489A-9B0E-8836C15CB576}">
      <text>
        <r>
          <rPr>
            <b/>
            <sz val="18"/>
            <color indexed="81"/>
            <rFont val="Arial"/>
            <family val="2"/>
          </rPr>
          <t xml:space="preserve">Je souhaiterais que si la date ne ce trouve pas dans Dépôt colonne A Le résultat soit 0 et que si la date est grisée reste en blanc ( ex lundi 31 soit Blanc)
</t>
        </r>
      </text>
    </comment>
  </commentList>
</comments>
</file>

<file path=xl/sharedStrings.xml><?xml version="1.0" encoding="utf-8"?>
<sst xmlns="http://schemas.openxmlformats.org/spreadsheetml/2006/main" count="305" uniqueCount="89">
  <si>
    <t>Douze mois</t>
  </si>
  <si>
    <t>CHIFFRE D’AFFAIRES (VENTES)</t>
  </si>
  <si>
    <t>TOTAL DES VENTES</t>
  </si>
  <si>
    <t>TENDANCE</t>
  </si>
  <si>
    <t>Mars</t>
  </si>
  <si>
    <t>Mai</t>
  </si>
  <si>
    <t>Juin</t>
  </si>
  <si>
    <t>Août</t>
  </si>
  <si>
    <t>ANNUEL</t>
  </si>
  <si>
    <t>Annuel</t>
  </si>
  <si>
    <t>DÉBUT DE L’EXERCICE :</t>
  </si>
  <si>
    <t>Nom de l’entreprise</t>
  </si>
  <si>
    <t>COÛT DES VENTES</t>
  </si>
  <si>
    <t>COÛT TOTAL DES VENTES</t>
  </si>
  <si>
    <t>Marge brute</t>
  </si>
  <si>
    <t>EXERCICE :</t>
  </si>
  <si>
    <t>DÉPENSES</t>
  </si>
  <si>
    <t xml:space="preserve">Dépenses salariales </t>
  </si>
  <si>
    <t xml:space="preserve">Charges sociales </t>
  </si>
  <si>
    <t>Services extérieurs</t>
  </si>
  <si>
    <t>Fournitures (bureau et exploitation)</t>
  </si>
  <si>
    <t>Réparations et entretien</t>
  </si>
  <si>
    <t>Publicité</t>
  </si>
  <si>
    <t>Voiture, livraison et transport</t>
  </si>
  <si>
    <t>Comptabilité et juridique</t>
  </si>
  <si>
    <t>Loyer</t>
  </si>
  <si>
    <t>Téléphone</t>
  </si>
  <si>
    <t>Charges</t>
  </si>
  <si>
    <t>Assurance</t>
  </si>
  <si>
    <t>Taxes (immobilier, etc.)</t>
  </si>
  <si>
    <t>Intérêts</t>
  </si>
  <si>
    <t>Amortissement</t>
  </si>
  <si>
    <t>Autres dépenses (à préciser)</t>
  </si>
  <si>
    <t>Divers (non spécifié)</t>
  </si>
  <si>
    <t>DÉPENSES TOTALES</t>
  </si>
  <si>
    <t>Bénéfices nets</t>
  </si>
  <si>
    <t xml:space="preserve"> </t>
  </si>
  <si>
    <t>Colonne1</t>
  </si>
  <si>
    <t>INDEX %</t>
  </si>
  <si>
    <t>ANNÉE %</t>
  </si>
  <si>
    <t>JANV</t>
  </si>
  <si>
    <t>Janv</t>
  </si>
  <si>
    <t>Févr</t>
  </si>
  <si>
    <t>Avr</t>
  </si>
  <si>
    <t>Juil</t>
  </si>
  <si>
    <t>Sept</t>
  </si>
  <si>
    <t>Oct</t>
  </si>
  <si>
    <t>Nov</t>
  </si>
  <si>
    <t>Déc</t>
  </si>
  <si>
    <t>Index %</t>
  </si>
  <si>
    <t>Avr %</t>
  </si>
  <si>
    <t>Mai %</t>
  </si>
  <si>
    <t>Oct %</t>
  </si>
  <si>
    <t>Nov %</t>
  </si>
  <si>
    <t>Déc %</t>
  </si>
  <si>
    <t>Année %</t>
  </si>
  <si>
    <t>Jan %</t>
  </si>
  <si>
    <t>Fév %</t>
  </si>
  <si>
    <t>Mar %</t>
  </si>
  <si>
    <t>Jui %</t>
  </si>
  <si>
    <t>Aoû %</t>
  </si>
  <si>
    <t>Sep %</t>
  </si>
  <si>
    <t xml:space="preserve">Jui % </t>
  </si>
  <si>
    <t>Semaine 1</t>
  </si>
  <si>
    <t>Semaine 2</t>
  </si>
  <si>
    <t>Semaine 3</t>
  </si>
  <si>
    <t>Semaine 4</t>
  </si>
  <si>
    <t>Semaine 5</t>
  </si>
  <si>
    <t>PARAMÈTRES DU CALENDRIER</t>
  </si>
  <si>
    <t>ANNÉE</t>
  </si>
  <si>
    <t>DÉBUT DE LA SEMAINE</t>
  </si>
  <si>
    <t>DIMANCHE</t>
  </si>
  <si>
    <t>NOTES</t>
  </si>
  <si>
    <t>CA de la semaine</t>
  </si>
  <si>
    <t>SAMEDI</t>
  </si>
  <si>
    <t>LUNDI</t>
  </si>
  <si>
    <t>MARDI</t>
  </si>
  <si>
    <t>MERCREDI</t>
  </si>
  <si>
    <t>JEUDI</t>
  </si>
  <si>
    <t>VENDREDI</t>
  </si>
  <si>
    <t>DEPÔT en Banque</t>
  </si>
  <si>
    <t>Nbres de billets</t>
  </si>
  <si>
    <t>Nbres de Pièces</t>
  </si>
  <si>
    <t>BILLETS</t>
  </si>
  <si>
    <t>PIECES</t>
  </si>
  <si>
    <t>TOTAUX GLOBALES</t>
  </si>
  <si>
    <t>DATE</t>
  </si>
  <si>
    <t>Réf</t>
  </si>
  <si>
    <t>&lt;== ne pas supprimer w1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</si>
</sst>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3">
    <numFmt numFmtId="42" formatCode="_-* #,##0\ &quot;€&quot;_-;\-* #,##0\ &quot;€&quot;_-;_-* &quot;-&quot;\ &quot;€&quot;_-;_-@_-"/>
    <numFmt numFmtId="44" formatCode="_-* #,##0.00\ &quot;€&quot;_-;\-* #,##0.00\ &quot;€&quot;_-;_-* &quot;-&quot;??\ &quot;€&quot;_-;_-@_-"/>
    <numFmt numFmtId="164" formatCode="_(&quot;$&quot;* #,##0_);_(&quot;$&quot;* \(#,##0\);_(&quot;$&quot;* &quot;-&quot;_);_(@_)"/>
    <numFmt numFmtId="165" formatCode="_(* #,##0_);_(* \(#,##0\);_(* &quot;-&quot;_);_(@_)"/>
    <numFmt numFmtId="166" formatCode="_(* #,##0.00_);_(* \(#,##0.00\);_(* &quot;-&quot;??_);_(@_)"/>
    <numFmt numFmtId="167" formatCode=";;;"/>
    <numFmt numFmtId="168" formatCode="0%;;&quot;-&quot;;"/>
    <numFmt numFmtId="169" formatCode="[$-40C]mmm\-yy;@"/>
    <numFmt numFmtId="170" formatCode="d"/>
    <numFmt numFmtId="171" formatCode="#,##0.00\ &quot;€&quot;"/>
    <numFmt numFmtId="172" formatCode="_-* #,##0\ &quot;€&quot;_-;\-* #,##0\ &quot;€&quot;_-;_-* &quot;-&quot;??\ &quot;€&quot;_-;_-@_-"/>
    <numFmt numFmtId="173" formatCode="dd\ mmmm\ yyyy\ hh:mm"/>
    <numFmt numFmtId="174" formatCode="[$-F800]dddd\,\ mmmm\ dd\,\ yyyy"/>
  </numFmts>
  <fonts count="46" x14ac:knownFonts="1">
    <font>
      <sz val="11"/>
      <color theme="1"/>
      <name val="Century Gothic"/>
      <family val="2"/>
      <scheme val="minor"/>
    </font>
    <font>
      <sz val="11"/>
      <color theme="1"/>
      <name val="Century Gothic"/>
      <family val="2"/>
      <scheme val="minor"/>
    </font>
    <font>
      <b/>
      <sz val="12"/>
      <color theme="0"/>
      <name val="Century Gothic"/>
      <family val="2"/>
      <scheme val="minor"/>
    </font>
    <font>
      <b/>
      <sz val="12"/>
      <color theme="8"/>
      <name val="Bookman Old Style"/>
      <family val="1"/>
      <scheme val="major"/>
    </font>
    <font>
      <b/>
      <sz val="26"/>
      <color theme="3"/>
      <name val="Century Gothic"/>
      <family val="2"/>
      <scheme val="minor"/>
    </font>
    <font>
      <b/>
      <sz val="22"/>
      <color theme="3"/>
      <name val="Century Gothic"/>
      <family val="2"/>
      <scheme val="minor"/>
    </font>
    <font>
      <b/>
      <sz val="12"/>
      <color theme="3"/>
      <name val="Century Gothic"/>
      <family val="2"/>
      <scheme val="minor"/>
    </font>
    <font>
      <b/>
      <i/>
      <sz val="22"/>
      <color theme="7"/>
      <name val="Bookman Old Style"/>
      <family val="1"/>
      <scheme val="major"/>
    </font>
    <font>
      <b/>
      <sz val="11"/>
      <color theme="8"/>
      <name val="Century Gothic"/>
      <family val="2"/>
      <scheme val="minor"/>
    </font>
    <font>
      <b/>
      <sz val="11"/>
      <color theme="0"/>
      <name val="Century Gothic"/>
      <family val="2"/>
      <scheme val="minor"/>
    </font>
    <font>
      <sz val="11"/>
      <color theme="3"/>
      <name val="Bookman Old Style"/>
      <family val="1"/>
      <scheme val="major"/>
    </font>
    <font>
      <sz val="11"/>
      <name val="Century Gothic"/>
      <family val="2"/>
      <scheme val="minor"/>
    </font>
    <font>
      <b/>
      <i/>
      <sz val="16"/>
      <color theme="7" tint="-0.24994659260841701"/>
      <name val="Bookman Old Style"/>
      <family val="1"/>
      <scheme val="major"/>
    </font>
    <font>
      <b/>
      <i/>
      <sz val="22"/>
      <color theme="7" tint="-0.24994659260841701"/>
      <name val="Bookman Old Style"/>
      <family val="1"/>
      <scheme val="major"/>
    </font>
    <font>
      <sz val="11"/>
      <color theme="1"/>
      <name val="Arial"/>
      <family val="2"/>
    </font>
    <font>
      <b/>
      <i/>
      <sz val="16"/>
      <color theme="7" tint="-0.24994659260841701"/>
      <name val="Arial"/>
      <family val="2"/>
    </font>
    <font>
      <b/>
      <i/>
      <sz val="22"/>
      <color theme="7"/>
      <name val="Arial"/>
      <family val="2"/>
    </font>
    <font>
      <b/>
      <i/>
      <sz val="22"/>
      <color theme="7" tint="-0.24994659260841701"/>
      <name val="Arial"/>
      <family val="2"/>
    </font>
    <font>
      <b/>
      <sz val="22"/>
      <color theme="3"/>
      <name val="Arial"/>
      <family val="2"/>
    </font>
    <font>
      <b/>
      <sz val="26"/>
      <color theme="3"/>
      <name val="Arial"/>
      <family val="2"/>
    </font>
    <font>
      <b/>
      <sz val="11"/>
      <color theme="8"/>
      <name val="Arial"/>
      <family val="2"/>
    </font>
    <font>
      <b/>
      <sz val="12"/>
      <color theme="8"/>
      <name val="Arial"/>
      <family val="2"/>
    </font>
    <font>
      <sz val="11"/>
      <color theme="3"/>
      <name val="Arial"/>
      <family val="2"/>
    </font>
    <font>
      <b/>
      <sz val="12"/>
      <color theme="3"/>
      <name val="Arial"/>
      <family val="2"/>
    </font>
    <font>
      <sz val="10"/>
      <color theme="1"/>
      <name val="Arial"/>
      <family val="2"/>
    </font>
    <font>
      <sz val="11"/>
      <name val="Arial"/>
      <family val="2"/>
    </font>
    <font>
      <b/>
      <sz val="11"/>
      <color theme="1"/>
      <name val="Arial"/>
      <family val="2"/>
    </font>
    <font>
      <sz val="12"/>
      <color theme="4" tint="-0.24994659260841701"/>
      <name val="Bookman Old Style"/>
      <family val="1"/>
      <scheme val="major"/>
    </font>
    <font>
      <sz val="11"/>
      <color theme="1" tint="0.34998626667073579"/>
      <name val="Century Gothic"/>
      <family val="2"/>
      <scheme val="minor"/>
    </font>
    <font>
      <sz val="10"/>
      <name val="Arial"/>
      <family val="2"/>
    </font>
    <font>
      <sz val="12"/>
      <color theme="4" tint="-0.24994659260841701"/>
      <name val="Arial"/>
      <family val="2"/>
    </font>
    <font>
      <sz val="11"/>
      <color theme="1" tint="0.34998626667073579"/>
      <name val="Arial"/>
      <family val="2"/>
    </font>
    <font>
      <b/>
      <sz val="11"/>
      <color theme="1" tint="0.34998626667073579"/>
      <name val="Arial"/>
      <family val="2"/>
    </font>
    <font>
      <sz val="11"/>
      <color theme="0"/>
      <name val="Arial"/>
      <family val="2"/>
    </font>
    <font>
      <b/>
      <sz val="11"/>
      <color rgb="FFFF0000"/>
      <name val="Arial"/>
      <family val="2"/>
    </font>
    <font>
      <sz val="11"/>
      <color rgb="FF000000"/>
      <name val="Calibri"/>
      <family val="2"/>
    </font>
    <font>
      <sz val="9"/>
      <color theme="1"/>
      <name val="Arial"/>
      <family val="2"/>
    </font>
    <font>
      <b/>
      <sz val="11"/>
      <color rgb="FFFFFF00"/>
      <name val="Arial"/>
      <family val="2"/>
    </font>
    <font>
      <b/>
      <sz val="10"/>
      <color theme="0"/>
      <name val="Arial"/>
      <family val="2"/>
    </font>
    <font>
      <sz val="8"/>
      <color theme="1"/>
      <name val="Arial"/>
      <family val="2"/>
    </font>
    <font>
      <b/>
      <sz val="10"/>
      <color theme="1"/>
      <name val="Arial"/>
      <family val="2"/>
    </font>
    <font>
      <b/>
      <sz val="10"/>
      <color rgb="FFFFFF00"/>
      <name val="Arial"/>
      <family val="2"/>
    </font>
    <font>
      <sz val="20"/>
      <color theme="0"/>
      <name val="Arial"/>
      <family val="2"/>
    </font>
    <font>
      <b/>
      <sz val="8"/>
      <color theme="1"/>
      <name val="Arial"/>
      <family val="2"/>
    </font>
    <font>
      <b/>
      <sz val="16"/>
      <color indexed="81"/>
      <name val="Arial"/>
      <family val="2"/>
    </font>
    <font>
      <b/>
      <sz val="18"/>
      <color indexed="81"/>
      <name val="Arial"/>
      <family val="2"/>
    </font>
  </fonts>
  <fills count="19">
    <fill>
      <patternFill patternType="none"/>
    </fill>
    <fill>
      <patternFill patternType="gray125"/>
    </fill>
    <fill>
      <patternFill patternType="solid">
        <fgColor theme="3"/>
        <bgColor indexed="64"/>
      </patternFill>
    </fill>
    <fill>
      <patternFill patternType="solid">
        <fgColor theme="4" tint="0.39997558519241921"/>
        <bgColor indexed="64"/>
      </patternFill>
    </fill>
    <fill>
      <patternFill patternType="solid">
        <fgColor rgb="FFFFFFCC"/>
      </patternFill>
    </fill>
    <fill>
      <patternFill patternType="solid">
        <fgColor theme="5" tint="0.39994506668294322"/>
        <bgColor indexed="64"/>
      </patternFill>
    </fill>
    <fill>
      <patternFill patternType="solid">
        <fgColor theme="6" tint="0.39994506668294322"/>
        <bgColor indexed="64"/>
      </patternFill>
    </fill>
    <fill>
      <patternFill patternType="solid">
        <fgColor rgb="FFFFFF00"/>
        <bgColor indexed="64"/>
      </patternFill>
    </fill>
    <fill>
      <patternFill patternType="solid">
        <fgColor indexed="9"/>
        <bgColor indexed="64"/>
      </patternFill>
    </fill>
    <fill>
      <patternFill patternType="solid">
        <fgColor theme="2"/>
        <bgColor indexed="64"/>
      </patternFill>
    </fill>
    <fill>
      <patternFill patternType="solid">
        <fgColor theme="3" tint="0.749992370372631"/>
        <bgColor indexed="64"/>
      </patternFill>
    </fill>
    <fill>
      <patternFill patternType="solid">
        <fgColor theme="0"/>
        <bgColor indexed="64"/>
      </patternFill>
    </fill>
    <fill>
      <patternFill patternType="solid">
        <fgColor rgb="FF00FF00"/>
        <bgColor indexed="64"/>
      </patternFill>
    </fill>
    <fill>
      <patternFill patternType="solid">
        <fgColor theme="2" tint="-4.9989318521683403E-2"/>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3" tint="-0.249977111117893"/>
        <bgColor indexed="64"/>
      </patternFill>
    </fill>
    <fill>
      <patternFill patternType="solid">
        <fgColor rgb="FFFF0000"/>
        <bgColor indexed="64"/>
      </patternFill>
    </fill>
    <fill>
      <patternFill patternType="solid">
        <fgColor theme="2" tint="-0.14999847407452621"/>
        <bgColor indexed="64"/>
      </patternFill>
    </fill>
  </fills>
  <borders count="8">
    <border>
      <left/>
      <right/>
      <top/>
      <bottom/>
      <diagonal/>
    </border>
    <border>
      <left style="thin">
        <color rgb="FFB2B2B2"/>
      </left>
      <right style="thin">
        <color rgb="FFB2B2B2"/>
      </right>
      <top style="thin">
        <color rgb="FFB2B2B2"/>
      </top>
      <bottom style="thin">
        <color rgb="FFB2B2B2"/>
      </bottom>
      <diagonal/>
    </border>
    <border>
      <left style="thin">
        <color auto="1"/>
      </left>
      <right style="thin">
        <color auto="1"/>
      </right>
      <top/>
      <bottom style="thin">
        <color auto="1"/>
      </bottom>
      <diagonal/>
    </border>
    <border>
      <left/>
      <right/>
      <top/>
      <bottom style="dotted">
        <color theme="3"/>
      </bottom>
      <diagonal/>
    </border>
    <border>
      <left/>
      <right/>
      <top style="thin">
        <color theme="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s>
  <cellStyleXfs count="23">
    <xf numFmtId="0" fontId="0" fillId="0" borderId="0"/>
    <xf numFmtId="9" fontId="11" fillId="0" borderId="0" applyFill="0" applyBorder="0" applyProtection="0">
      <alignment horizontal="right"/>
    </xf>
    <xf numFmtId="0" fontId="5" fillId="0" borderId="0" applyNumberFormat="0" applyFill="0" applyBorder="0" applyProtection="0">
      <alignment vertical="center"/>
    </xf>
    <xf numFmtId="0" fontId="12" fillId="0" borderId="3" applyProtection="0">
      <alignment vertical="center"/>
    </xf>
    <xf numFmtId="166" fontId="1" fillId="0" borderId="0" applyFont="0" applyFill="0" applyBorder="0" applyAlignment="0" applyProtection="0"/>
    <xf numFmtId="165" fontId="1" fillId="0" borderId="0" applyFont="0" applyFill="0" applyBorder="0" applyAlignment="0" applyProtection="0"/>
    <xf numFmtId="42" fontId="11" fillId="0" borderId="0" applyFill="0" applyBorder="0" applyAlignment="0" applyProtection="0"/>
    <xf numFmtId="0" fontId="1" fillId="4" borderId="1" applyNumberFormat="0" applyFont="0" applyAlignment="0" applyProtection="0"/>
    <xf numFmtId="0" fontId="2" fillId="2" borderId="0">
      <alignment horizontal="right" vertical="center" indent="1"/>
    </xf>
    <xf numFmtId="42" fontId="9" fillId="2" borderId="0" applyBorder="0" applyAlignment="0" applyProtection="0"/>
    <xf numFmtId="9" fontId="9" fillId="2" borderId="0" applyBorder="0" applyAlignment="0" applyProtection="0"/>
    <xf numFmtId="0" fontId="1" fillId="0" borderId="0">
      <alignment horizontal="right" wrapText="1" indent="1"/>
    </xf>
    <xf numFmtId="0" fontId="13" fillId="0" borderId="0" applyFill="0" applyProtection="0">
      <alignment horizontal="right" vertical="center"/>
    </xf>
    <xf numFmtId="0" fontId="3" fillId="0" borderId="0" applyFill="0" applyProtection="0">
      <alignment horizontal="right" vertical="center"/>
    </xf>
    <xf numFmtId="169" fontId="10" fillId="0" borderId="2" applyFill="0" applyProtection="0">
      <alignment horizontal="center" vertical="center"/>
    </xf>
    <xf numFmtId="0" fontId="6" fillId="0" borderId="0">
      <alignment horizontal="right" indent="1"/>
    </xf>
    <xf numFmtId="164" fontId="1" fillId="5" borderId="4" applyNumberFormat="0" applyFont="0" applyAlignment="0">
      <alignment horizontal="center"/>
    </xf>
    <xf numFmtId="42" fontId="11" fillId="3" borderId="4" applyNumberFormat="0" applyFont="0" applyAlignment="0"/>
    <xf numFmtId="164" fontId="11" fillId="6" borderId="4" applyNumberFormat="0" applyFont="0" applyAlignment="0"/>
    <xf numFmtId="0" fontId="27" fillId="0" borderId="0">
      <alignment horizontal="left" indent="1"/>
    </xf>
    <xf numFmtId="170" fontId="28" fillId="0" borderId="0">
      <alignment horizontal="left" indent="1"/>
    </xf>
    <xf numFmtId="0" fontId="11" fillId="9" borderId="0" applyNumberFormat="0" applyFont="0" applyBorder="0" applyAlignment="0">
      <alignment horizontal="left" vertical="center" indent="1"/>
    </xf>
    <xf numFmtId="44" fontId="1" fillId="0" borderId="0" applyFont="0" applyFill="0" applyBorder="0" applyAlignment="0" applyProtection="0"/>
  </cellStyleXfs>
  <cellXfs count="124">
    <xf numFmtId="0" fontId="0" fillId="0" borderId="0" xfId="0"/>
    <xf numFmtId="0" fontId="0" fillId="0" borderId="0" xfId="0" applyBorder="1"/>
    <xf numFmtId="0" fontId="0" fillId="0" borderId="0" xfId="0" applyAlignment="1"/>
    <xf numFmtId="0" fontId="4" fillId="0" borderId="0" xfId="0" applyFont="1" applyBorder="1" applyAlignment="1">
      <alignment vertical="center"/>
    </xf>
    <xf numFmtId="0" fontId="5" fillId="0" borderId="0" xfId="2" applyBorder="1" applyAlignment="1">
      <alignment vertical="center"/>
    </xf>
    <xf numFmtId="0" fontId="8" fillId="0" borderId="0" xfId="0" applyFont="1"/>
    <xf numFmtId="0" fontId="0" fillId="0" borderId="0" xfId="0" applyNumberFormat="1"/>
    <xf numFmtId="0" fontId="7" fillId="0" borderId="0" xfId="0" applyFont="1" applyBorder="1" applyAlignment="1">
      <alignment horizontal="right" vertical="center"/>
    </xf>
    <xf numFmtId="0" fontId="0" fillId="0" borderId="0" xfId="0" applyAlignment="1">
      <alignment horizontal="center"/>
    </xf>
    <xf numFmtId="0" fontId="0" fillId="0" borderId="0" xfId="0" applyFont="1" applyFill="1" applyBorder="1" applyAlignment="1">
      <alignment horizontal="right" indent="1"/>
    </xf>
    <xf numFmtId="0" fontId="0" fillId="0" borderId="0" xfId="0" applyFont="1" applyFill="1" applyBorder="1" applyAlignment="1">
      <alignment horizontal="center"/>
    </xf>
    <xf numFmtId="0" fontId="0" fillId="0" borderId="0" xfId="0"/>
    <xf numFmtId="0" fontId="2" fillId="2" borderId="0" xfId="8">
      <alignment horizontal="right" vertical="center" indent="1"/>
    </xf>
    <xf numFmtId="9" fontId="9" fillId="2" borderId="0" xfId="10" applyFill="1" applyAlignment="1">
      <alignment horizontal="right" vertical="center" indent="1"/>
    </xf>
    <xf numFmtId="0" fontId="1" fillId="0" borderId="0" xfId="11">
      <alignment horizontal="right" wrapText="1" indent="1"/>
    </xf>
    <xf numFmtId="168" fontId="0" fillId="0" borderId="0" xfId="0" applyNumberFormat="1" applyFont="1" applyFill="1" applyBorder="1" applyAlignment="1">
      <alignment horizontal="right"/>
    </xf>
    <xf numFmtId="0" fontId="0" fillId="0" borderId="0" xfId="0" applyAlignment="1">
      <alignment horizontal="center"/>
    </xf>
    <xf numFmtId="0" fontId="13" fillId="0" borderId="0" xfId="12">
      <alignment horizontal="right" vertical="center"/>
    </xf>
    <xf numFmtId="0" fontId="3" fillId="0" borderId="0" xfId="13">
      <alignment horizontal="right" vertical="center"/>
    </xf>
    <xf numFmtId="169" fontId="10" fillId="0" borderId="2" xfId="14">
      <alignment horizontal="center" vertical="center"/>
    </xf>
    <xf numFmtId="0" fontId="12" fillId="0" borderId="3" xfId="3">
      <alignment vertical="center"/>
    </xf>
    <xf numFmtId="167" fontId="0" fillId="0" borderId="0" xfId="0" applyNumberFormat="1" applyFont="1" applyFill="1" applyBorder="1" applyAlignment="1">
      <alignment horizontal="center"/>
    </xf>
    <xf numFmtId="167" fontId="0" fillId="0" borderId="0" xfId="0" applyNumberFormat="1" applyFont="1" applyFill="1" applyBorder="1" applyAlignment="1">
      <alignment horizontal="right"/>
    </xf>
    <xf numFmtId="42" fontId="0" fillId="0" borderId="0" xfId="6" applyFont="1" applyFill="1" applyBorder="1"/>
    <xf numFmtId="9" fontId="0" fillId="0" borderId="0" xfId="1" applyFont="1" applyFill="1" applyBorder="1" applyAlignment="1">
      <alignment horizontal="right"/>
    </xf>
    <xf numFmtId="0" fontId="0" fillId="0" borderId="0" xfId="0" applyFont="1" applyFill="1" applyBorder="1"/>
    <xf numFmtId="9" fontId="0" fillId="0" borderId="0" xfId="0" applyNumberFormat="1" applyFont="1" applyFill="1" applyBorder="1" applyAlignment="1">
      <alignment horizontal="right"/>
    </xf>
    <xf numFmtId="0" fontId="6" fillId="0" borderId="0" xfId="15">
      <alignment horizontal="right" indent="1"/>
    </xf>
    <xf numFmtId="0" fontId="5" fillId="0" borderId="0" xfId="2" applyBorder="1">
      <alignment vertical="center"/>
    </xf>
    <xf numFmtId="0" fontId="0" fillId="3" borderId="4" xfId="17" applyNumberFormat="1" applyFont="1"/>
    <xf numFmtId="0" fontId="0" fillId="6" borderId="4" xfId="18" applyNumberFormat="1" applyFont="1" applyAlignment="1">
      <alignment horizontal="center"/>
    </xf>
    <xf numFmtId="42" fontId="11" fillId="6" borderId="4" xfId="6" applyFill="1" applyBorder="1"/>
    <xf numFmtId="9" fontId="11" fillId="6" borderId="4" xfId="1" applyFill="1" applyBorder="1" applyAlignment="1">
      <alignment horizontal="right"/>
    </xf>
    <xf numFmtId="169" fontId="10" fillId="0" borderId="2" xfId="14" applyNumberFormat="1">
      <alignment horizontal="center" vertical="center"/>
    </xf>
    <xf numFmtId="42" fontId="0" fillId="0" borderId="0" xfId="0" applyNumberFormat="1" applyFont="1" applyFill="1" applyBorder="1"/>
    <xf numFmtId="42" fontId="9" fillId="2" borderId="0" xfId="9" applyNumberFormat="1" applyFill="1" applyAlignment="1">
      <alignment horizontal="right" vertical="center" indent="1"/>
    </xf>
    <xf numFmtId="42" fontId="11" fillId="3" borderId="4" xfId="6" applyFill="1" applyBorder="1"/>
    <xf numFmtId="9" fontId="11" fillId="3" borderId="4" xfId="1" applyFill="1" applyBorder="1">
      <alignment horizontal="right"/>
    </xf>
    <xf numFmtId="0" fontId="14" fillId="0" borderId="0" xfId="0" applyNumberFormat="1" applyFont="1"/>
    <xf numFmtId="0" fontId="15" fillId="0" borderId="3" xfId="3" applyFont="1">
      <alignment vertical="center"/>
    </xf>
    <xf numFmtId="0" fontId="14" fillId="0" borderId="0" xfId="0" applyFont="1"/>
    <xf numFmtId="0" fontId="14" fillId="0" borderId="0" xfId="0" applyFont="1" applyAlignment="1">
      <alignment horizontal="center"/>
    </xf>
    <xf numFmtId="0" fontId="16" fillId="0" borderId="0" xfId="0" applyFont="1" applyBorder="1" applyAlignment="1">
      <alignment horizontal="right" vertical="center"/>
    </xf>
    <xf numFmtId="0" fontId="17" fillId="0" borderId="0" xfId="12" applyFont="1">
      <alignment horizontal="right" vertical="center"/>
    </xf>
    <xf numFmtId="0" fontId="18" fillId="0" borderId="0" xfId="2" applyFont="1" applyBorder="1" applyAlignment="1">
      <alignment vertical="center"/>
    </xf>
    <xf numFmtId="0" fontId="19" fillId="0" borderId="0" xfId="0" applyFont="1" applyBorder="1" applyAlignment="1">
      <alignment vertical="center"/>
    </xf>
    <xf numFmtId="0" fontId="20" fillId="0" borderId="0" xfId="0" applyFont="1"/>
    <xf numFmtId="0" fontId="21" fillId="0" borderId="0" xfId="13" applyFont="1">
      <alignment horizontal="right" vertical="center"/>
    </xf>
    <xf numFmtId="0" fontId="21" fillId="0" borderId="0" xfId="13" applyNumberFormat="1" applyFont="1">
      <alignment horizontal="right" vertical="center"/>
    </xf>
    <xf numFmtId="169" fontId="22" fillId="0" borderId="2" xfId="14" applyNumberFormat="1" applyFont="1">
      <alignment horizontal="center" vertical="center"/>
    </xf>
    <xf numFmtId="0" fontId="23" fillId="0" borderId="0" xfId="15" applyFont="1">
      <alignment horizontal="right" indent="1"/>
    </xf>
    <xf numFmtId="167" fontId="14" fillId="0" borderId="0" xfId="0" applyNumberFormat="1" applyFont="1" applyFill="1" applyBorder="1" applyAlignment="1">
      <alignment horizontal="center"/>
    </xf>
    <xf numFmtId="167" fontId="14" fillId="0" borderId="0" xfId="0" applyNumberFormat="1" applyFont="1" applyFill="1" applyBorder="1" applyAlignment="1">
      <alignment horizontal="right"/>
    </xf>
    <xf numFmtId="0" fontId="14" fillId="0" borderId="0" xfId="11" applyFont="1">
      <alignment horizontal="right" wrapText="1" indent="1"/>
    </xf>
    <xf numFmtId="0" fontId="24" fillId="5" borderId="4" xfId="16" applyNumberFormat="1" applyFont="1" applyAlignment="1">
      <alignment horizontal="center"/>
    </xf>
    <xf numFmtId="42" fontId="25" fillId="0" borderId="0" xfId="6" applyNumberFormat="1" applyFont="1" applyFill="1" applyBorder="1"/>
    <xf numFmtId="42" fontId="25" fillId="5" borderId="4" xfId="6" applyNumberFormat="1" applyFont="1" applyFill="1" applyBorder="1" applyAlignment="1">
      <alignment horizontal="center"/>
    </xf>
    <xf numFmtId="9" fontId="25" fillId="0" borderId="0" xfId="1" applyFont="1" applyFill="1" applyBorder="1" applyAlignment="1">
      <alignment horizontal="right"/>
    </xf>
    <xf numFmtId="9" fontId="25" fillId="5" borderId="4" xfId="1" applyFont="1" applyFill="1" applyBorder="1" applyAlignment="1">
      <alignment horizontal="right"/>
    </xf>
    <xf numFmtId="9" fontId="25" fillId="5" borderId="4" xfId="1" applyFont="1" applyFill="1" applyBorder="1">
      <alignment horizontal="right"/>
    </xf>
    <xf numFmtId="0" fontId="14" fillId="0" borderId="0" xfId="0" applyFont="1" applyFill="1" applyBorder="1" applyAlignment="1">
      <alignment horizontal="right" indent="1"/>
    </xf>
    <xf numFmtId="42" fontId="14" fillId="0" borderId="0" xfId="0" applyNumberFormat="1" applyFont="1" applyFill="1" applyBorder="1"/>
    <xf numFmtId="9" fontId="14" fillId="0" borderId="0" xfId="0" applyNumberFormat="1" applyFont="1" applyFill="1" applyBorder="1" applyAlignment="1">
      <alignment horizontal="right"/>
    </xf>
    <xf numFmtId="9" fontId="14" fillId="0" borderId="0" xfId="0" applyNumberFormat="1" applyFont="1"/>
    <xf numFmtId="0" fontId="26" fillId="7" borderId="0" xfId="0" applyFont="1" applyFill="1" applyBorder="1"/>
    <xf numFmtId="0" fontId="14" fillId="0" borderId="0" xfId="0" applyFont="1" applyAlignment="1">
      <alignment vertical="top"/>
    </xf>
    <xf numFmtId="0" fontId="18" fillId="8" borderId="0" xfId="2" applyFont="1" applyFill="1" applyBorder="1">
      <alignment vertical="center"/>
    </xf>
    <xf numFmtId="0" fontId="18" fillId="8" borderId="0" xfId="2" applyFont="1" applyFill="1" applyBorder="1" applyAlignment="1">
      <alignment horizontal="left" vertical="center"/>
    </xf>
    <xf numFmtId="0" fontId="18" fillId="8" borderId="0" xfId="2" applyNumberFormat="1" applyFont="1" applyFill="1" applyBorder="1" applyAlignment="1">
      <alignment horizontal="left" vertical="center"/>
    </xf>
    <xf numFmtId="0" fontId="15" fillId="8" borderId="0" xfId="3" applyFont="1" applyFill="1" applyBorder="1" applyAlignment="1">
      <alignment vertical="center"/>
    </xf>
    <xf numFmtId="0" fontId="18" fillId="8" borderId="0" xfId="2" applyFont="1" applyFill="1" applyAlignment="1">
      <alignment horizontal="left" vertical="center"/>
    </xf>
    <xf numFmtId="0" fontId="14" fillId="8" borderId="0" xfId="0" applyFont="1" applyFill="1" applyAlignment="1">
      <alignment vertical="top"/>
    </xf>
    <xf numFmtId="0" fontId="17" fillId="8" borderId="0" xfId="12" applyFont="1" applyFill="1" applyAlignment="1"/>
    <xf numFmtId="0" fontId="29" fillId="0" borderId="0" xfId="0" applyFont="1" applyAlignment="1">
      <alignment vertical="top"/>
    </xf>
    <xf numFmtId="0" fontId="21" fillId="0" borderId="0" xfId="13" applyFont="1" applyAlignment="1"/>
    <xf numFmtId="0" fontId="30" fillId="0" borderId="0" xfId="19" applyFont="1">
      <alignment horizontal="left" indent="1"/>
    </xf>
    <xf numFmtId="0" fontId="14" fillId="0" borderId="0" xfId="0" applyFont="1" applyAlignment="1">
      <alignment horizontal="left" indent="1"/>
    </xf>
    <xf numFmtId="0" fontId="14" fillId="0" borderId="0" xfId="13" applyFont="1" applyAlignment="1"/>
    <xf numFmtId="170" fontId="14" fillId="0" borderId="0" xfId="0" applyNumberFormat="1" applyFont="1" applyAlignment="1">
      <alignment vertical="top"/>
    </xf>
    <xf numFmtId="170" fontId="31" fillId="9" borderId="0" xfId="21" applyNumberFormat="1" applyFont="1" applyAlignment="1">
      <alignment horizontal="left" wrapText="1" indent="1"/>
    </xf>
    <xf numFmtId="0" fontId="14" fillId="9" borderId="0" xfId="21" applyFont="1" applyAlignment="1">
      <alignment vertical="top"/>
    </xf>
    <xf numFmtId="0" fontId="14" fillId="8" borderId="0" xfId="0" applyFont="1" applyFill="1" applyAlignment="1">
      <alignment horizontal="right"/>
    </xf>
    <xf numFmtId="0" fontId="23" fillId="0" borderId="0" xfId="15" applyFont="1" applyAlignment="1">
      <alignment horizontal="left" wrapText="1" indent="1"/>
    </xf>
    <xf numFmtId="0" fontId="14" fillId="0" borderId="5" xfId="0" applyFont="1" applyBorder="1" applyAlignment="1">
      <alignment horizontal="left" indent="1"/>
    </xf>
    <xf numFmtId="0" fontId="15" fillId="0" borderId="0" xfId="3" applyFont="1" applyFill="1" applyBorder="1" applyAlignment="1">
      <alignment horizontal="left" vertical="center" indent="1"/>
    </xf>
    <xf numFmtId="170" fontId="32" fillId="0" borderId="5" xfId="20" applyFont="1" applyBorder="1">
      <alignment horizontal="left" indent="1"/>
    </xf>
    <xf numFmtId="170" fontId="32" fillId="9" borderId="5" xfId="21" applyNumberFormat="1" applyFont="1" applyBorder="1" applyAlignment="1">
      <alignment horizontal="left" wrapText="1" indent="1"/>
    </xf>
    <xf numFmtId="0" fontId="26" fillId="10" borderId="5" xfId="21" applyFont="1" applyFill="1" applyBorder="1" applyAlignment="1">
      <alignment vertical="top"/>
    </xf>
    <xf numFmtId="170" fontId="32" fillId="11" borderId="5" xfId="20" applyFont="1" applyFill="1" applyBorder="1">
      <alignment horizontal="left" indent="1"/>
    </xf>
    <xf numFmtId="0" fontId="15" fillId="0" borderId="0" xfId="3" applyFont="1" applyFill="1" applyBorder="1" applyAlignment="1">
      <alignment horizontal="center" vertical="center" wrapText="1"/>
    </xf>
    <xf numFmtId="171" fontId="14" fillId="0" borderId="5" xfId="0" applyNumberFormat="1" applyFont="1" applyBorder="1" applyAlignment="1">
      <alignment vertical="top"/>
    </xf>
    <xf numFmtId="171" fontId="14" fillId="12" borderId="5" xfId="0" applyNumberFormat="1" applyFont="1" applyFill="1" applyBorder="1" applyAlignment="1">
      <alignment vertical="top"/>
    </xf>
    <xf numFmtId="170" fontId="33" fillId="11" borderId="0" xfId="21" applyNumberFormat="1" applyFont="1" applyFill="1" applyAlignment="1">
      <alignment horizontal="left" wrapText="1" indent="1"/>
    </xf>
    <xf numFmtId="171" fontId="34" fillId="13" borderId="5" xfId="21" applyNumberFormat="1" applyFont="1" applyFill="1" applyBorder="1" applyAlignment="1">
      <alignment vertical="top"/>
    </xf>
    <xf numFmtId="171" fontId="34" fillId="13" borderId="5" xfId="0" applyNumberFormat="1" applyFont="1" applyFill="1" applyBorder="1" applyAlignment="1">
      <alignment vertical="top"/>
    </xf>
    <xf numFmtId="171" fontId="36" fillId="0" borderId="0" xfId="0" applyNumberFormat="1" applyFont="1" applyAlignment="1">
      <alignment horizontal="center" vertical="center" wrapText="1"/>
    </xf>
    <xf numFmtId="0" fontId="38" fillId="17" borderId="0" xfId="0" applyNumberFormat="1" applyFont="1" applyFill="1" applyAlignment="1">
      <alignment horizontal="center" vertical="center" wrapText="1"/>
    </xf>
    <xf numFmtId="0" fontId="39" fillId="0" borderId="0" xfId="0" applyNumberFormat="1" applyFont="1" applyAlignment="1">
      <alignment horizontal="center" vertical="center"/>
    </xf>
    <xf numFmtId="44" fontId="39" fillId="0" borderId="0" xfId="0" applyNumberFormat="1" applyFont="1" applyAlignment="1">
      <alignment horizontal="center" vertical="center"/>
    </xf>
    <xf numFmtId="0" fontId="39" fillId="0" borderId="0" xfId="0" applyFont="1"/>
    <xf numFmtId="1" fontId="39" fillId="0" borderId="0" xfId="0" applyNumberFormat="1" applyFont="1"/>
    <xf numFmtId="0" fontId="39" fillId="0" borderId="0" xfId="0" applyFont="1" applyAlignment="1">
      <alignment horizontal="center"/>
    </xf>
    <xf numFmtId="171" fontId="36" fillId="0" borderId="0" xfId="0" applyNumberFormat="1" applyFont="1" applyAlignment="1">
      <alignment horizontal="center" wrapText="1"/>
    </xf>
    <xf numFmtId="171" fontId="14" fillId="0" borderId="0" xfId="0" applyNumberFormat="1" applyFont="1" applyAlignment="1">
      <alignment horizontal="center"/>
    </xf>
    <xf numFmtId="172" fontId="39" fillId="0" borderId="0" xfId="0" applyNumberFormat="1" applyFont="1" applyAlignment="1">
      <alignment horizontal="center" vertical="center"/>
    </xf>
    <xf numFmtId="0" fontId="14" fillId="0" borderId="0" xfId="0" applyNumberFormat="1" applyFont="1" applyAlignment="1">
      <alignment horizontal="center"/>
    </xf>
    <xf numFmtId="173" fontId="39" fillId="0" borderId="0" xfId="0" applyNumberFormat="1" applyFont="1" applyAlignment="1">
      <alignment horizontal="left"/>
    </xf>
    <xf numFmtId="173" fontId="40" fillId="7" borderId="0" xfId="0" applyNumberFormat="1" applyFont="1" applyFill="1" applyAlignment="1">
      <alignment horizontal="center"/>
    </xf>
    <xf numFmtId="0" fontId="39" fillId="0" borderId="0" xfId="0" applyNumberFormat="1" applyFont="1"/>
    <xf numFmtId="0" fontId="42" fillId="17" borderId="0" xfId="0" applyNumberFormat="1" applyFont="1" applyFill="1" applyAlignment="1">
      <alignment horizontal="center" vertical="center"/>
    </xf>
    <xf numFmtId="171" fontId="26" fillId="0" borderId="0" xfId="0" applyNumberFormat="1" applyFont="1" applyAlignment="1">
      <alignment horizontal="center" vertical="center"/>
    </xf>
    <xf numFmtId="0" fontId="43" fillId="0" borderId="0" xfId="0" applyFont="1" applyAlignment="1">
      <alignment horizontal="center" vertical="center"/>
    </xf>
    <xf numFmtId="172" fontId="24" fillId="14" borderId="6" xfId="22" applyNumberFormat="1" applyFont="1" applyFill="1" applyBorder="1" applyAlignment="1">
      <alignment horizontal="center" vertical="center"/>
    </xf>
    <xf numFmtId="172" fontId="24" fillId="15" borderId="6" xfId="22" applyNumberFormat="1" applyFont="1" applyFill="1" applyBorder="1" applyAlignment="1">
      <alignment horizontal="center" vertical="center"/>
    </xf>
    <xf numFmtId="171" fontId="14" fillId="15" borderId="6" xfId="0" applyNumberFormat="1" applyFont="1" applyFill="1" applyBorder="1" applyAlignment="1">
      <alignment horizontal="center" vertical="center"/>
    </xf>
    <xf numFmtId="1" fontId="37" fillId="16" borderId="6" xfId="0" applyNumberFormat="1" applyFont="1" applyFill="1" applyBorder="1" applyAlignment="1">
      <alignment horizontal="center" vertical="center" wrapText="1"/>
    </xf>
    <xf numFmtId="0" fontId="41" fillId="17" borderId="7" xfId="0" quotePrefix="1" applyNumberFormat="1" applyFont="1" applyFill="1" applyBorder="1" applyAlignment="1">
      <alignment horizontal="center" wrapText="1"/>
    </xf>
    <xf numFmtId="174" fontId="32" fillId="0" borderId="5" xfId="20" applyNumberFormat="1" applyFont="1" applyBorder="1">
      <alignment horizontal="left" indent="1"/>
    </xf>
    <xf numFmtId="169" fontId="22" fillId="0" borderId="2" xfId="14" applyFont="1" applyAlignment="1">
      <alignment horizontal="left" vertical="top" wrapText="1" indent="1"/>
    </xf>
    <xf numFmtId="0" fontId="39" fillId="9" borderId="0" xfId="21" applyFont="1" applyAlignment="1">
      <alignment vertical="top"/>
    </xf>
    <xf numFmtId="0" fontId="36" fillId="9" borderId="0" xfId="21" applyFont="1" applyAlignment="1">
      <alignment vertical="top"/>
    </xf>
    <xf numFmtId="0" fontId="14" fillId="9" borderId="0" xfId="21" applyFont="1" applyAlignment="1">
      <alignment vertical="top"/>
    </xf>
    <xf numFmtId="171" fontId="34" fillId="18" borderId="5" xfId="0" applyNumberFormat="1" applyFont="1" applyFill="1" applyBorder="1" applyAlignment="1">
      <alignment vertical="top"/>
    </xf>
    <xf numFmtId="0" fontId="14" fillId="11" borderId="0" xfId="0" applyFont="1" applyFill="1" applyAlignment="1">
      <alignment vertical="top"/>
    </xf>
  </cellXfs>
  <cellStyles count="23">
    <cellStyle name="Bandes de couleur" xfId="21" xr:uid="{00000000-0005-0000-0000-000000000000}"/>
    <cellStyle name="Bénéfices" xfId="8" xr:uid="{00000000-0005-0000-0000-000001000000}"/>
    <cellStyle name="Détails du tableau" xfId="11" xr:uid="{00000000-0005-0000-0000-000003000000}"/>
    <cellStyle name="Entrée des paramètres" xfId="19" xr:uid="{00000000-0005-0000-0000-000004000000}"/>
    <cellStyle name="Jour" xfId="20" xr:uid="{00000000-0005-0000-0000-000005000000}"/>
    <cellStyle name="Milliers" xfId="4" builtinId="3" customBuiltin="1"/>
    <cellStyle name="Milliers [0]" xfId="5" builtinId="6" customBuiltin="1"/>
    <cellStyle name="Monétaire" xfId="22" builtinId="4"/>
    <cellStyle name="Monétaire [0]" xfId="6" builtinId="7" customBuiltin="1"/>
    <cellStyle name="Montant des bénéfices" xfId="9" xr:uid="{00000000-0005-0000-0000-00000A000000}"/>
    <cellStyle name="Normal" xfId="0" builtinId="0" customBuiltin="1"/>
    <cellStyle name="Note" xfId="7" builtinId="10" customBuiltin="1"/>
    <cellStyle name="Pourcentage" xfId="1" builtinId="5" customBuiltin="1"/>
    <cellStyle name="Pourcentage de marge" xfId="10" xr:uid="{00000000-0005-0000-0000-00000D000000}"/>
    <cellStyle name="Remplissage Chiffre d’affaires" xfId="16" xr:uid="{00000000-0005-0000-0000-00000E000000}"/>
    <cellStyle name="Remplissage Coût des ventes" xfId="17" xr:uid="{00000000-0005-0000-0000-00000F000000}"/>
    <cellStyle name="Remplissage Dépenses" xfId="18" xr:uid="{00000000-0005-0000-0000-000010000000}"/>
    <cellStyle name="Titre" xfId="2" builtinId="15" customBuiltin="1"/>
    <cellStyle name="Titre de tableau 1" xfId="15" xr:uid="{00000000-0005-0000-0000-000012000000}"/>
    <cellStyle name="Titre 1" xfId="3" builtinId="16" customBuiltin="1"/>
    <cellStyle name="Titre 2" xfId="12" builtinId="17" customBuiltin="1"/>
    <cellStyle name="Titre 3" xfId="13" builtinId="18" customBuiltin="1"/>
    <cellStyle name="Titre 4" xfId="14" builtinId="19" customBuiltin="1"/>
  </cellStyles>
  <dxfs count="163">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fill>
        <patternFill patternType="none">
          <fgColor indexed="64"/>
          <bgColor indexed="65"/>
        </patternFill>
      </fill>
      <alignment horizontal="center"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fill>
        <patternFill patternType="none">
          <fgColor indexed="64"/>
          <bgColor indexed="65"/>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68" formatCode="0%;;&quot;-&quot;;"/>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numFmt numFmtId="32" formatCode="_-* #,##0\ &quot;€&quot;_-;\-* #,##0\ &quot;€&quot;_-;_-* &quot;-&quot;\ &quot;€&quot;_-;_-@_-"/>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1"/>
        <color theme="1"/>
        <name val="Century Gothic"/>
        <scheme val="minor"/>
      </font>
      <fill>
        <patternFill patternType="none">
          <fgColor indexed="64"/>
          <bgColor indexed="65"/>
        </patternFill>
      </fill>
      <alignment horizontal="right" vertical="bottom" textRotation="0" wrapText="0" indent="1" justifyLastLine="0" shrinkToFit="0" readingOrder="0"/>
      <border diagonalUp="0" diagonalDown="0" outline="0">
        <left/>
        <right/>
        <top/>
        <bottom/>
      </border>
    </dxf>
    <dxf>
      <font>
        <b val="0"/>
        <i val="0"/>
        <strike val="0"/>
        <condense val="0"/>
        <extend val="0"/>
        <outline val="0"/>
        <shadow val="0"/>
        <u val="none"/>
        <vertAlign val="baseline"/>
        <sz val="11"/>
        <color theme="1"/>
        <name val="Century Gothic"/>
        <scheme val="minor"/>
      </font>
      <numFmt numFmtId="13" formatCode="0%"/>
      <fill>
        <patternFill patternType="none">
          <fgColor indexed="64"/>
          <bgColor indexed="65"/>
        </patternFill>
      </fill>
      <alignment horizontal="right" vertical="bottom" textRotation="0" wrapText="0" indent="0" justifyLastLine="0" shrinkToFit="0" readingOrder="0"/>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b val="0"/>
        <i val="0"/>
        <strike val="0"/>
        <condense val="0"/>
        <extend val="0"/>
        <outline val="0"/>
        <shadow val="0"/>
        <u val="none"/>
        <vertAlign val="baseline"/>
        <sz val="11"/>
        <color theme="1"/>
        <name val="Arial"/>
        <scheme val="none"/>
      </font>
      <numFmt numFmtId="13" formatCode="0%"/>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13" formatCode="0%"/>
      <fill>
        <patternFill patternType="none">
          <fgColor indexed="64"/>
          <bgColor indexed="65"/>
        </patternFill>
      </fill>
      <alignment horizontal="right" vertical="bottom" textRotation="0" wrapText="0" indent="0" justifyLastLine="0" shrinkToFit="0" readingOrder="0"/>
      <border diagonalUp="0" diagonalDown="0" outline="0">
        <left/>
        <right/>
        <top/>
        <bottom/>
      </border>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32" formatCode="_-* #,##0\ &quot;€&quot;_-;\-* #,##0\ &quot;€&quot;_-;_-* &quot;-&quot;\ &quot;€&quot;_-;_-@_-"/>
      <fill>
        <patternFill patternType="none">
          <fgColor indexed="64"/>
          <bgColor indexed="65"/>
        </patternFill>
      </fill>
      <border diagonalUp="0" diagonalDown="0" outline="0">
        <left/>
        <right/>
        <top/>
        <bottom/>
      </border>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32" formatCode="_-* #,##0\ &quot;€&quot;_-;\-* #,##0\ &quot;€&quot;_-;_-* &quot;-&quot;\ &quot;€&quot;_-;_-@_-"/>
      <fill>
        <patternFill patternType="none">
          <fgColor indexed="64"/>
          <bgColor indexed="65"/>
        </patternFill>
      </fill>
      <border diagonalUp="0" diagonalDown="0" outline="0">
        <left/>
        <right/>
        <top/>
        <bottom/>
      </border>
    </dxf>
    <dxf>
      <font>
        <strike val="0"/>
        <outline val="0"/>
        <shadow val="0"/>
        <u val="none"/>
        <vertAlign val="baseline"/>
        <name val="Arial"/>
        <scheme val="none"/>
      </font>
      <numFmt numFmtId="32" formatCode="_-* #,##0\ &quot;€&quot;_-;\-* #,##0\ &quot;€&quot;_-;_-* &quot;-&quot;\ &quot;€&quot;_-;_-@_-"/>
    </dxf>
    <dxf>
      <font>
        <b val="0"/>
        <i val="0"/>
        <strike val="0"/>
        <condense val="0"/>
        <extend val="0"/>
        <outline val="0"/>
        <shadow val="0"/>
        <u val="none"/>
        <vertAlign val="baseline"/>
        <sz val="11"/>
        <color theme="1"/>
        <name val="Arial"/>
        <scheme val="none"/>
      </font>
      <numFmt numFmtId="32" formatCode="_-* #,##0\ &quot;€&quot;_-;\-* #,##0\ &quot;€&quot;_-;_-* &quot;-&quot;\ &quot;€&quot;_-;_-@_-"/>
      <fill>
        <patternFill patternType="none">
          <fgColor indexed="64"/>
          <bgColor indexed="65"/>
        </patternFill>
      </fill>
      <border diagonalUp="0" diagonalDown="0" outline="0">
        <left/>
        <right/>
        <top/>
        <bottom/>
      </border>
    </dxf>
    <dxf>
      <font>
        <strike val="0"/>
        <outline val="0"/>
        <shadow val="0"/>
        <u val="none"/>
        <vertAlign val="baseline"/>
        <name val="Arial"/>
        <scheme val="none"/>
      </font>
      <numFmt numFmtId="32" formatCode="_-* #,##0\ &quot;€&quot;_-;\-* #,##0\ &quot;€&quot;_-;_-* &quot;-&quot;\ &quot;€&quot;_-;_-@_-"/>
    </dxf>
    <dxf>
      <font>
        <b val="0"/>
        <i val="0"/>
        <strike val="0"/>
        <condense val="0"/>
        <extend val="0"/>
        <outline val="0"/>
        <shadow val="0"/>
        <u val="none"/>
        <vertAlign val="baseline"/>
        <sz val="11"/>
        <color theme="1"/>
        <name val="Arial"/>
        <scheme val="none"/>
      </font>
      <numFmt numFmtId="32" formatCode="_-* #,##0\ &quot;€&quot;_-;\-* #,##0\ &quot;€&quot;_-;_-* &quot;-&quot;\ &quot;€&quot;_-;_-@_-"/>
      <fill>
        <patternFill patternType="none">
          <fgColor indexed="64"/>
          <bgColor indexed="65"/>
        </patternFill>
      </fill>
      <border diagonalUp="0" diagonalDown="0" outline="0">
        <left/>
        <right/>
        <top/>
        <bottom/>
      </border>
    </dxf>
    <dxf>
      <font>
        <strike val="0"/>
        <outline val="0"/>
        <shadow val="0"/>
        <u val="none"/>
        <vertAlign val="baseline"/>
        <name val="Arial"/>
        <scheme val="none"/>
      </font>
      <numFmt numFmtId="32" formatCode="_-* #,##0\ &quot;€&quot;_-;\-* #,##0\ &quot;€&quot;_-;_-* &quot;-&quot;\ &quot;€&quot;_-;_-@_-"/>
    </dxf>
    <dxf>
      <font>
        <b val="0"/>
        <i val="0"/>
        <strike val="0"/>
        <condense val="0"/>
        <extend val="0"/>
        <outline val="0"/>
        <shadow val="0"/>
        <u val="none"/>
        <vertAlign val="baseline"/>
        <sz val="11"/>
        <color theme="1"/>
        <name val="Arial"/>
        <scheme val="none"/>
      </font>
      <numFmt numFmtId="32" formatCode="_-* #,##0\ &quot;€&quot;_-;\-* #,##0\ &quot;€&quot;_-;_-* &quot;-&quot;\ &quot;€&quot;_-;_-@_-"/>
      <fill>
        <patternFill patternType="none">
          <fgColor indexed="64"/>
          <bgColor indexed="65"/>
        </patternFill>
      </fill>
      <border diagonalUp="0" diagonalDown="0" outline="0">
        <left/>
        <right/>
        <top/>
        <bottom/>
      </border>
    </dxf>
    <dxf>
      <font>
        <strike val="0"/>
        <outline val="0"/>
        <shadow val="0"/>
        <u val="none"/>
        <vertAlign val="baseline"/>
        <name val="Arial"/>
        <scheme val="none"/>
      </font>
      <numFmt numFmtId="32" formatCode="_-* #,##0\ &quot;€&quot;_-;\-* #,##0\ &quot;€&quot;_-;_-* &quot;-&quot;\ &quot;€&quot;_-;_-@_-"/>
    </dxf>
    <dxf>
      <font>
        <b val="0"/>
        <i val="0"/>
        <strike val="0"/>
        <condense val="0"/>
        <extend val="0"/>
        <outline val="0"/>
        <shadow val="0"/>
        <u val="none"/>
        <vertAlign val="baseline"/>
        <sz val="11"/>
        <color theme="1"/>
        <name val="Arial"/>
        <scheme val="none"/>
      </font>
      <numFmt numFmtId="32" formatCode="_-* #,##0\ &quot;€&quot;_-;\-* #,##0\ &quot;€&quot;_-;_-* &quot;-&quot;\ &quot;€&quot;_-;_-@_-"/>
      <fill>
        <patternFill patternType="none">
          <fgColor indexed="64"/>
          <bgColor indexed="65"/>
        </patternFill>
      </fill>
      <border diagonalUp="0" diagonalDown="0" outline="0">
        <left/>
        <right/>
        <top/>
        <bottom/>
      </border>
    </dxf>
    <dxf>
      <font>
        <strike val="0"/>
        <outline val="0"/>
        <shadow val="0"/>
        <u val="none"/>
        <vertAlign val="baseline"/>
        <name val="Arial"/>
        <scheme val="none"/>
      </font>
      <numFmt numFmtId="32" formatCode="_-* #,##0\ &quot;€&quot;_-;\-* #,##0\ &quot;€&quot;_-;_-* &quot;-&quot;\ &quot;€&quot;_-;_-@_-"/>
    </dxf>
    <dxf>
      <font>
        <b val="0"/>
        <i val="0"/>
        <strike val="0"/>
        <condense val="0"/>
        <extend val="0"/>
        <outline val="0"/>
        <shadow val="0"/>
        <u val="none"/>
        <vertAlign val="baseline"/>
        <sz val="11"/>
        <color theme="1"/>
        <name val="Arial"/>
        <scheme val="none"/>
      </font>
      <numFmt numFmtId="32" formatCode="_-* #,##0\ &quot;€&quot;_-;\-* #,##0\ &quot;€&quot;_-;_-* &quot;-&quot;\ &quot;€&quot;_-;_-@_-"/>
      <fill>
        <patternFill patternType="none">
          <fgColor indexed="64"/>
          <bgColor indexed="65"/>
        </patternFill>
      </fill>
      <border diagonalUp="0" diagonalDown="0" outline="0">
        <left/>
        <right/>
        <top/>
        <bottom/>
      </border>
    </dxf>
    <dxf>
      <font>
        <strike val="0"/>
        <outline val="0"/>
        <shadow val="0"/>
        <u val="none"/>
        <vertAlign val="baseline"/>
        <name val="Arial"/>
        <scheme val="none"/>
      </font>
      <numFmt numFmtId="32" formatCode="_-* #,##0\ &quot;€&quot;_-;\-* #,##0\ &quot;€&quot;_-;_-* &quot;-&quot;\ &quot;€&quot;_-;_-@_-"/>
    </dxf>
    <dxf>
      <font>
        <b val="0"/>
        <i val="0"/>
        <strike val="0"/>
        <condense val="0"/>
        <extend val="0"/>
        <outline val="0"/>
        <shadow val="0"/>
        <u val="none"/>
        <vertAlign val="baseline"/>
        <sz val="11"/>
        <color theme="1"/>
        <name val="Arial"/>
        <scheme val="none"/>
      </font>
      <numFmt numFmtId="32" formatCode="_-* #,##0\ &quot;€&quot;_-;\-* #,##0\ &quot;€&quot;_-;_-* &quot;-&quot;\ &quot;€&quot;_-;_-@_-"/>
      <fill>
        <patternFill patternType="none">
          <fgColor indexed="64"/>
          <bgColor indexed="65"/>
        </patternFill>
      </fill>
      <border diagonalUp="0" diagonalDown="0" outline="0">
        <left/>
        <right/>
        <top/>
        <bottom/>
      </border>
    </dxf>
    <dxf>
      <font>
        <strike val="0"/>
        <outline val="0"/>
        <shadow val="0"/>
        <u val="none"/>
        <vertAlign val="baseline"/>
        <name val="Arial"/>
        <scheme val="none"/>
      </font>
      <numFmt numFmtId="32" formatCode="_-* #,##0\ &quot;€&quot;_-;\-* #,##0\ &quot;€&quot;_-;_-* &quot;-&quot;\ &quot;€&quot;_-;_-@_-"/>
    </dxf>
    <dxf>
      <font>
        <b val="0"/>
        <i val="0"/>
        <strike val="0"/>
        <condense val="0"/>
        <extend val="0"/>
        <outline val="0"/>
        <shadow val="0"/>
        <u val="none"/>
        <vertAlign val="baseline"/>
        <sz val="11"/>
        <color theme="1"/>
        <name val="Arial"/>
        <scheme val="none"/>
      </font>
      <numFmt numFmtId="32" formatCode="_-* #,##0\ &quot;€&quot;_-;\-* #,##0\ &quot;€&quot;_-;_-* &quot;-&quot;\ &quot;€&quot;_-;_-@_-"/>
      <fill>
        <patternFill patternType="none">
          <fgColor indexed="64"/>
          <bgColor indexed="65"/>
        </patternFill>
      </fill>
      <border diagonalUp="0" diagonalDown="0" outline="0">
        <left/>
        <right/>
        <top/>
        <bottom/>
      </border>
    </dxf>
    <dxf>
      <font>
        <strike val="0"/>
        <outline val="0"/>
        <shadow val="0"/>
        <u val="none"/>
        <vertAlign val="baseline"/>
        <name val="Arial"/>
        <scheme val="none"/>
      </font>
      <numFmt numFmtId="32" formatCode="_-* #,##0\ &quot;€&quot;_-;\-* #,##0\ &quot;€&quot;_-;_-* &quot;-&quot;\ &quot;€&quot;_-;_-@_-"/>
    </dxf>
    <dxf>
      <font>
        <b val="0"/>
        <i val="0"/>
        <strike val="0"/>
        <condense val="0"/>
        <extend val="0"/>
        <outline val="0"/>
        <shadow val="0"/>
        <u val="none"/>
        <vertAlign val="baseline"/>
        <sz val="11"/>
        <color theme="1"/>
        <name val="Arial"/>
        <scheme val="none"/>
      </font>
      <numFmt numFmtId="32" formatCode="_-* #,##0\ &quot;€&quot;_-;\-* #,##0\ &quot;€&quot;_-;_-* &quot;-&quot;\ &quot;€&quot;_-;_-@_-"/>
      <fill>
        <patternFill patternType="none">
          <fgColor indexed="64"/>
          <bgColor indexed="65"/>
        </patternFill>
      </fill>
      <border diagonalUp="0" diagonalDown="0" outline="0">
        <left/>
        <right/>
        <top/>
        <bottom/>
      </border>
    </dxf>
    <dxf>
      <font>
        <strike val="0"/>
        <outline val="0"/>
        <shadow val="0"/>
        <u val="none"/>
        <vertAlign val="baseline"/>
        <name val="Arial"/>
        <scheme val="none"/>
      </font>
      <numFmt numFmtId="32" formatCode="_-* #,##0\ &quot;€&quot;_-;\-* #,##0\ &quot;€&quot;_-;_-* &quot;-&quot;\ &quot;€&quot;_-;_-@_-"/>
    </dxf>
    <dxf>
      <font>
        <b val="0"/>
        <i val="0"/>
        <strike val="0"/>
        <condense val="0"/>
        <extend val="0"/>
        <outline val="0"/>
        <shadow val="0"/>
        <u val="none"/>
        <vertAlign val="baseline"/>
        <sz val="11"/>
        <color theme="1"/>
        <name val="Arial"/>
        <scheme val="none"/>
      </font>
      <numFmt numFmtId="32" formatCode="_-* #,##0\ &quot;€&quot;_-;\-* #,##0\ &quot;€&quot;_-;_-* &quot;-&quot;\ &quot;€&quot;_-;_-@_-"/>
      <fill>
        <patternFill patternType="none">
          <fgColor indexed="64"/>
          <bgColor indexed="65"/>
        </patternFill>
      </fill>
      <border diagonalUp="0" diagonalDown="0" outline="0">
        <left/>
        <right/>
        <top/>
        <bottom/>
      </border>
    </dxf>
    <dxf>
      <font>
        <strike val="0"/>
        <outline val="0"/>
        <shadow val="0"/>
        <u val="none"/>
        <vertAlign val="baseline"/>
        <name val="Arial"/>
        <scheme val="none"/>
      </font>
      <numFmt numFmtId="32" formatCode="_-* #,##0\ &quot;€&quot;_-;\-* #,##0\ &quot;€&quot;_-;_-* &quot;-&quot;\ &quot;€&quot;_-;_-@_-"/>
    </dxf>
    <dxf>
      <font>
        <b val="0"/>
        <i val="0"/>
        <strike val="0"/>
        <condense val="0"/>
        <extend val="0"/>
        <outline val="0"/>
        <shadow val="0"/>
        <u val="none"/>
        <vertAlign val="baseline"/>
        <sz val="11"/>
        <color theme="1"/>
        <name val="Arial"/>
        <scheme val="none"/>
      </font>
      <numFmt numFmtId="32" formatCode="_-* #,##0\ &quot;€&quot;_-;\-* #,##0\ &quot;€&quot;_-;_-* &quot;-&quot;\ &quot;€&quot;_-;_-@_-"/>
      <fill>
        <patternFill patternType="none">
          <fgColor indexed="64"/>
          <bgColor indexed="65"/>
        </patternFill>
      </fill>
      <border diagonalUp="0" diagonalDown="0" outline="0">
        <left/>
        <right/>
        <top/>
        <bottom/>
      </border>
    </dxf>
    <dxf>
      <font>
        <strike val="0"/>
        <outline val="0"/>
        <shadow val="0"/>
        <u val="none"/>
        <vertAlign val="baseline"/>
        <name val="Arial"/>
        <scheme val="none"/>
      </font>
      <numFmt numFmtId="32" formatCode="_-* #,##0\ &quot;€&quot;_-;\-* #,##0\ &quot;€&quot;_-;_-* &quot;-&quot;\ &quot;€&quot;_-;_-@_-"/>
    </dxf>
    <dxf>
      <font>
        <b val="0"/>
        <i val="0"/>
        <strike val="0"/>
        <condense val="0"/>
        <extend val="0"/>
        <outline val="0"/>
        <shadow val="0"/>
        <u val="none"/>
        <vertAlign val="baseline"/>
        <sz val="11"/>
        <color theme="1"/>
        <name val="Arial"/>
        <scheme val="none"/>
      </font>
      <numFmt numFmtId="32" formatCode="_-* #,##0\ &quot;€&quot;_-;\-* #,##0\ &quot;€&quot;_-;_-* &quot;-&quot;\ &quot;€&quot;_-;_-@_-"/>
      <fill>
        <patternFill patternType="none">
          <fgColor indexed="64"/>
          <bgColor indexed="65"/>
        </patternFill>
      </fill>
      <border diagonalUp="0" diagonalDown="0" outline="0">
        <left/>
        <right/>
        <top/>
        <bottom/>
      </border>
    </dxf>
    <dxf>
      <font>
        <strike val="0"/>
        <outline val="0"/>
        <shadow val="0"/>
        <u val="none"/>
        <vertAlign val="baseline"/>
        <name val="Arial"/>
        <scheme val="none"/>
      </font>
      <numFmt numFmtId="32" formatCode="_-* #,##0\ &quot;€&quot;_-;\-* #,##0\ &quot;€&quot;_-;_-* &quot;-&quot;\ &quot;€&quot;_-;_-@_-"/>
    </dxf>
    <dxf>
      <font>
        <b/>
        <i val="0"/>
        <strike val="0"/>
        <condense val="0"/>
        <extend val="0"/>
        <outline val="0"/>
        <shadow val="0"/>
        <u val="none"/>
        <vertAlign val="baseline"/>
        <sz val="11"/>
        <color theme="1"/>
        <name val="Arial"/>
        <scheme val="none"/>
      </font>
      <fill>
        <patternFill patternType="solid">
          <fgColor indexed="64"/>
          <bgColor rgb="FFFFFF00"/>
        </patternFill>
      </fill>
      <border diagonalUp="0" diagonalDown="0" outline="0">
        <left/>
        <right/>
        <top/>
        <bottom/>
      </border>
    </dxf>
    <dxf>
      <font>
        <b val="0"/>
        <i val="0"/>
        <strike val="0"/>
        <condense val="0"/>
        <extend val="0"/>
        <outline val="0"/>
        <shadow val="0"/>
        <u val="none"/>
        <vertAlign val="baseline"/>
        <sz val="10"/>
        <color theme="1"/>
        <name val="Arial"/>
        <scheme val="none"/>
      </font>
      <alignment horizontal="center" vertical="bottom" textRotation="0" wrapText="0" indent="0" justifyLastLine="0" shrinkToFit="0" readingOrder="0"/>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right" vertical="bottom" textRotation="0" wrapText="0" indent="1" justifyLastLine="0" shrinkToFit="0" readingOrder="0"/>
      <border diagonalUp="0" diagonalDown="0" outline="0">
        <left/>
        <right/>
        <top/>
        <bottom/>
      </border>
    </dxf>
    <dxf>
      <font>
        <strike val="0"/>
        <outline val="0"/>
        <shadow val="0"/>
        <u val="none"/>
        <vertAlign val="baseline"/>
        <name val="Arial"/>
        <scheme val="none"/>
      </font>
    </dxf>
    <dxf>
      <font>
        <b val="0"/>
        <i val="0"/>
        <strike val="0"/>
        <condense val="0"/>
        <extend val="0"/>
        <outline val="0"/>
        <shadow val="0"/>
        <u val="none"/>
        <vertAlign val="baseline"/>
        <sz val="11"/>
        <color theme="1"/>
        <name val="Arial"/>
        <scheme val="none"/>
      </font>
      <numFmt numFmtId="13" formatCode="0%"/>
      <fill>
        <patternFill patternType="none">
          <fgColor indexed="64"/>
          <bgColor indexed="65"/>
        </patternFill>
      </fill>
      <alignment horizontal="right" vertical="bottom" textRotation="0" wrapText="0" indent="0" justifyLastLine="0" shrinkToFit="0" readingOrder="0"/>
    </dxf>
    <dxf>
      <font>
        <strike val="0"/>
        <outline val="0"/>
        <shadow val="0"/>
        <u val="none"/>
        <vertAlign val="baseline"/>
        <name val="Arial"/>
        <scheme val="none"/>
      </font>
    </dxf>
    <dxf>
      <font>
        <strike val="0"/>
        <outline val="0"/>
        <shadow val="0"/>
        <u val="none"/>
        <vertAlign val="baseline"/>
        <name val="Arial"/>
        <scheme val="none"/>
      </font>
    </dxf>
    <dxf>
      <border>
        <left/>
        <right style="dotted">
          <color theme="4" tint="0.39994506668294322"/>
        </right>
        <top style="thin">
          <color theme="4" tint="0.39994506668294322"/>
        </top>
        <bottom style="thin">
          <color theme="4" tint="0.39994506668294322"/>
        </bottom>
        <vertical style="dotted">
          <color theme="4" tint="0.39994506668294322"/>
        </vertical>
        <horizontal style="thin">
          <color theme="4" tint="0.39994506668294322"/>
        </horizontal>
      </border>
    </dxf>
    <dxf>
      <border>
        <left/>
        <right style="dotted">
          <color theme="4" tint="0.39994506668294322"/>
        </right>
        <top style="thin">
          <color theme="4" tint="0.39994506668294322"/>
        </top>
        <bottom style="thin">
          <color theme="4" tint="0.39994506668294322"/>
        </bottom>
        <vertical style="dotted">
          <color theme="4" tint="0.39994506668294322"/>
        </vertical>
        <horizontal/>
      </border>
    </dxf>
    <dxf>
      <font>
        <b/>
        <i val="0"/>
        <color theme="3"/>
      </font>
      <fill>
        <patternFill patternType="none">
          <bgColor auto="1"/>
        </patternFill>
      </fill>
      <border>
        <vertical/>
        <horizontal/>
      </border>
    </dxf>
    <dxf>
      <font>
        <b/>
        <i val="0"/>
        <color theme="3"/>
      </font>
      <fill>
        <patternFill patternType="none">
          <bgColor auto="1"/>
        </patternFill>
      </fill>
      <border diagonalUp="0" diagonalDown="0">
        <left/>
        <right/>
        <top/>
        <bottom/>
        <vertical/>
        <horizontal/>
      </border>
    </dxf>
    <dxf>
      <border>
        <vertical/>
        <horizontal/>
      </border>
    </dxf>
    <dxf>
      <border>
        <left/>
        <right style="dotted">
          <color theme="5" tint="0.39991454817346722"/>
        </right>
        <top style="thin">
          <color theme="5" tint="0.39994506668294322"/>
        </top>
        <bottom style="thin">
          <color theme="5" tint="0.39994506668294322"/>
        </bottom>
        <vertical style="dotted">
          <color theme="5" tint="0.39994506668294322"/>
        </vertical>
        <horizontal style="thin">
          <color theme="5" tint="0.39994506668294322"/>
        </horizontal>
      </border>
    </dxf>
    <dxf>
      <border>
        <left/>
        <right style="dotted">
          <color theme="5" tint="0.39991454817346722"/>
        </right>
        <top style="thin">
          <color theme="5" tint="0.39994506668294322"/>
        </top>
        <bottom style="thin">
          <color theme="5" tint="0.39994506668294322"/>
        </bottom>
        <vertical style="dotted">
          <color theme="5" tint="0.39991454817346722"/>
        </vertical>
        <horizontal/>
      </border>
    </dxf>
    <dxf>
      <font>
        <b/>
        <i val="0"/>
        <color theme="3"/>
      </font>
      <fill>
        <patternFill patternType="none">
          <bgColor auto="1"/>
        </patternFill>
      </fill>
      <border>
        <vertical/>
        <horizontal/>
      </border>
    </dxf>
    <dxf>
      <font>
        <b/>
        <i val="0"/>
        <color theme="3"/>
      </font>
      <fill>
        <patternFill patternType="none">
          <bgColor auto="1"/>
        </patternFill>
      </fill>
      <border diagonalUp="0" diagonalDown="0">
        <left/>
        <right/>
        <top/>
        <bottom/>
        <vertical/>
        <horizontal/>
      </border>
    </dxf>
    <dxf>
      <border>
        <vertical/>
        <horizontal/>
      </border>
    </dxf>
    <dxf>
      <border>
        <left/>
        <right style="dotted">
          <color theme="6" tint="0.39994506668294322"/>
        </right>
        <top style="thin">
          <color theme="6" tint="0.39994506668294322"/>
        </top>
        <bottom style="thin">
          <color theme="6" tint="0.39994506668294322"/>
        </bottom>
        <vertical style="dotted">
          <color theme="6" tint="0.39994506668294322"/>
        </vertical>
        <horizontal style="thin">
          <color theme="6" tint="0.39994506668294322"/>
        </horizontal>
      </border>
    </dxf>
    <dxf>
      <border>
        <left/>
        <right style="dotted">
          <color theme="6" tint="0.39994506668294322"/>
        </right>
        <top style="thin">
          <color theme="6" tint="0.39994506668294322"/>
        </top>
        <bottom style="thin">
          <color theme="6" tint="0.39994506668294322"/>
        </bottom>
        <vertical style="dotted">
          <color theme="6" tint="0.39994506668294322"/>
        </vertical>
        <horizontal/>
      </border>
    </dxf>
    <dxf>
      <font>
        <b/>
        <i val="0"/>
        <color theme="3"/>
      </font>
      <fill>
        <patternFill patternType="none">
          <bgColor auto="1"/>
        </patternFill>
      </fill>
      <border>
        <vertical/>
        <horizontal/>
      </border>
    </dxf>
    <dxf>
      <font>
        <b/>
        <i val="0"/>
        <color theme="3"/>
      </font>
      <fill>
        <patternFill patternType="none">
          <bgColor auto="1"/>
        </patternFill>
      </fill>
      <border diagonalUp="0" diagonalDown="0">
        <left/>
        <right/>
        <top/>
        <bottom/>
        <vertical/>
        <horizontal/>
      </border>
    </dxf>
    <dxf>
      <border>
        <vertical/>
        <horizontal/>
      </border>
    </dxf>
  </dxfs>
  <tableStyles count="3" defaultTableStyle="Chiffres d’affaires Bénéfices et pertes" defaultPivotStyle="PivotStyleLight16">
    <tableStyle name="Dépenses Bénéfices et pertes" pivot="0" count="5" xr9:uid="{00000000-0011-0000-FFFF-FFFF00000000}">
      <tableStyleElement type="wholeTable" dxfId="162"/>
      <tableStyleElement type="headerRow" dxfId="161"/>
      <tableStyleElement type="totalRow" dxfId="160"/>
      <tableStyleElement type="firstRowStripe" dxfId="159"/>
      <tableStyleElement type="secondRowStripe" dxfId="158"/>
    </tableStyle>
    <tableStyle name="Chiffres d’affaires Bénéfices et pertes" pivot="0" count="5" xr9:uid="{00000000-0011-0000-FFFF-FFFF01000000}">
      <tableStyleElement type="wholeTable" dxfId="157"/>
      <tableStyleElement type="headerRow" dxfId="156"/>
      <tableStyleElement type="totalRow" dxfId="155"/>
      <tableStyleElement type="firstRowStripe" dxfId="154"/>
      <tableStyleElement type="secondRowStripe" dxfId="153"/>
    </tableStyle>
    <tableStyle name="Ventes Bénéfices et pertes" pivot="0" count="5" xr9:uid="{00000000-0011-0000-FFFF-FFFF02000000}">
      <tableStyleElement type="wholeTable" dxfId="152"/>
      <tableStyleElement type="headerRow" dxfId="151"/>
      <tableStyleElement type="totalRow" dxfId="150"/>
      <tableStyleElement type="firstRowStripe" dxfId="149"/>
      <tableStyleElement type="secondRowStripe" dxfId="148"/>
    </tableStyle>
  </tableStyles>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123825</xdr:colOff>
          <xdr:row>0</xdr:row>
          <xdr:rowOff>209550</xdr:rowOff>
        </xdr:from>
        <xdr:to>
          <xdr:col>0</xdr:col>
          <xdr:colOff>1495425</xdr:colOff>
          <xdr:row>0</xdr:row>
          <xdr:rowOff>495300</xdr:rowOff>
        </xdr:to>
        <xdr:sp macro="" textlink="">
          <xdr:nvSpPr>
            <xdr:cNvPr id="2049" name="Button 1" hidden="1">
              <a:extLst>
                <a:ext uri="{63B3BB69-23CF-44E3-9099-C40C66FF867C}">
                  <a14:compatExt spid="_x0000_s2049"/>
                </a:ext>
                <a:ext uri="{FF2B5EF4-FFF2-40B4-BE49-F238E27FC236}">
                  <a16:creationId xmlns:a16="http://schemas.microsoft.com/office/drawing/2014/main" id="{00000000-0008-0000-0000-000001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Nouveau</a:t>
              </a:r>
            </a:p>
          </xdr:txBody>
        </xdr:sp>
        <xdr:clientData fPrintsWithSheet="0"/>
      </xdr:twoCellAnchor>
    </mc:Choice>
    <mc:Fallback/>
  </mc:AlternateContent>
  <xdr:twoCellAnchor>
    <xdr:from>
      <xdr:col>0</xdr:col>
      <xdr:colOff>0</xdr:colOff>
      <xdr:row>0</xdr:row>
      <xdr:rowOff>0</xdr:rowOff>
    </xdr:from>
    <xdr:to>
      <xdr:col>0</xdr:col>
      <xdr:colOff>847725</xdr:colOff>
      <xdr:row>0</xdr:row>
      <xdr:rowOff>171450</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0"/>
          <a:ext cx="847725" cy="171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700">
              <a:solidFill>
                <a:srgbClr val="FF0000"/>
              </a:solidFill>
            </a:rPr>
            <a:t>Version </a:t>
          </a:r>
          <a:r>
            <a:rPr lang="fr-FR" sz="700" baseline="0">
              <a:solidFill>
                <a:srgbClr val="FF0000"/>
              </a:solidFill>
            </a:rPr>
            <a:t>8</a:t>
          </a:r>
          <a:endParaRPr lang="fr-FR" sz="700">
            <a:solidFill>
              <a:srgbClr val="FF0000"/>
            </a:solidFill>
          </a:endParaRPr>
        </a:p>
      </xdr:txBody>
    </xdr:sp>
    <xdr:clientData/>
  </xdr:twoCellAnchor>
  <xdr:twoCellAnchor>
    <xdr:from>
      <xdr:col>18</xdr:col>
      <xdr:colOff>219075</xdr:colOff>
      <xdr:row>0</xdr:row>
      <xdr:rowOff>114300</xdr:rowOff>
    </xdr:from>
    <xdr:to>
      <xdr:col>18</xdr:col>
      <xdr:colOff>381000</xdr:colOff>
      <xdr:row>0</xdr:row>
      <xdr:rowOff>276225</xdr:rowOff>
    </xdr:to>
    <xdr:sp macro="[0]!HautPAGE_Cliquer" textlink="">
      <xdr:nvSpPr>
        <xdr:cNvPr id="9" name="HautPAGE">
          <a:extLst>
            <a:ext uri="{FF2B5EF4-FFF2-40B4-BE49-F238E27FC236}">
              <a16:creationId xmlns:a16="http://schemas.microsoft.com/office/drawing/2014/main" id="{00000000-0008-0000-0000-000009000000}"/>
            </a:ext>
          </a:extLst>
        </xdr:cNvPr>
        <xdr:cNvSpPr/>
      </xdr:nvSpPr>
      <xdr:spPr>
        <a:xfrm>
          <a:off x="10715625" y="114300"/>
          <a:ext cx="161925" cy="161925"/>
        </a:xfrm>
        <a:prstGeom prst="triangl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Chiffre_daffaires" displayName="Chiffre_daffaires" ref="B4:AD10" totalsRowCount="1" headerRowDxfId="147" dataDxfId="146" totalsRowDxfId="145">
  <autoFilter ref="B4:AD9" xr:uid="{00000000-0009-0000-0100-000003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autoFilter>
  <tableColumns count="29">
    <tableColumn id="1" xr3:uid="{00000000-0010-0000-0000-000001000000}" name="CHIFFRE D’AFFAIRES (VENTES)" totalsRowLabel="TOTAL DES VENTES" dataDxfId="144" totalsRowDxfId="143"/>
    <tableColumn id="29" xr3:uid="{00000000-0010-0000-0000-00001D000000}" name="TENDANCE" dataDxfId="142" totalsRowDxfId="141"/>
    <tableColumn id="2" xr3:uid="{00000000-0010-0000-0000-000002000000}" name="Janv" totalsRowFunction="sum" dataDxfId="140" totalsRowDxfId="139"/>
    <tableColumn id="3" xr3:uid="{00000000-0010-0000-0000-000003000000}" name="Févr" totalsRowFunction="sum" dataDxfId="138" totalsRowDxfId="137"/>
    <tableColumn id="4" xr3:uid="{00000000-0010-0000-0000-000004000000}" name="Mars" totalsRowFunction="sum" dataDxfId="136" totalsRowDxfId="135"/>
    <tableColumn id="5" xr3:uid="{00000000-0010-0000-0000-000005000000}" name="Avr" totalsRowFunction="sum" dataDxfId="134" totalsRowDxfId="133"/>
    <tableColumn id="6" xr3:uid="{00000000-0010-0000-0000-000006000000}" name="Mai" totalsRowFunction="sum" dataDxfId="132" totalsRowDxfId="131"/>
    <tableColumn id="7" xr3:uid="{00000000-0010-0000-0000-000007000000}" name="Juin" totalsRowFunction="sum" dataDxfId="130" totalsRowDxfId="129"/>
    <tableColumn id="8" xr3:uid="{00000000-0010-0000-0000-000008000000}" name="Juil" totalsRowFunction="sum" dataDxfId="128" totalsRowDxfId="127"/>
    <tableColumn id="9" xr3:uid="{00000000-0010-0000-0000-000009000000}" name="Août" totalsRowFunction="sum" dataDxfId="126" totalsRowDxfId="125"/>
    <tableColumn id="10" xr3:uid="{00000000-0010-0000-0000-00000A000000}" name="Sept" totalsRowFunction="sum" dataDxfId="124" totalsRowDxfId="123"/>
    <tableColumn id="11" xr3:uid="{00000000-0010-0000-0000-00000B000000}" name="Oct" totalsRowFunction="sum" dataDxfId="122" totalsRowDxfId="121"/>
    <tableColumn id="12" xr3:uid="{00000000-0010-0000-0000-00000C000000}" name="Nov" totalsRowFunction="sum" dataDxfId="120" totalsRowDxfId="119"/>
    <tableColumn id="13" xr3:uid="{00000000-0010-0000-0000-00000D000000}" name="Déc" totalsRowFunction="sum" dataDxfId="118" totalsRowDxfId="117"/>
    <tableColumn id="14" xr3:uid="{00000000-0010-0000-0000-00000E000000}" name="Annuel" totalsRowFunction="sum" dataDxfId="116" totalsRowDxfId="115">
      <calculatedColumnFormula>SUM(Chiffre_daffaires[[#This Row],[Janv]:[Déc]])</calculatedColumnFormula>
    </tableColumn>
    <tableColumn id="15" xr3:uid="{00000000-0010-0000-0000-00000F000000}" name="Index %" totalsRowFunction="sum" dataDxfId="114" totalsRowDxfId="113"/>
    <tableColumn id="16" xr3:uid="{00000000-0010-0000-0000-000010000000}" name="Jan %" totalsRowFunction="sum" dataDxfId="112" totalsRowDxfId="111">
      <calculatedColumnFormula>IFERROR(Chiffre_daffaires[[#This Row],[Janv]]/Chiffre_daffaires[[#Totals],[Janv]],"-")</calculatedColumnFormula>
    </tableColumn>
    <tableColumn id="17" xr3:uid="{00000000-0010-0000-0000-000011000000}" name="Fév %" totalsRowFunction="sum" dataDxfId="110" totalsRowDxfId="109">
      <calculatedColumnFormula>IFERROR(Chiffre_daffaires[[#This Row],[Févr]]/Chiffre_daffaires[[#Totals],[Févr]],"-")</calculatedColumnFormula>
    </tableColumn>
    <tableColumn id="18" xr3:uid="{00000000-0010-0000-0000-000012000000}" name="Mar %" totalsRowFunction="sum" dataDxfId="108" totalsRowDxfId="107">
      <calculatedColumnFormula>IFERROR(Chiffre_daffaires[[#This Row],[Mars]]/Chiffre_daffaires[[#Totals],[Mars]],"-")</calculatedColumnFormula>
    </tableColumn>
    <tableColumn id="19" xr3:uid="{00000000-0010-0000-0000-000013000000}" name="Avr %" totalsRowFunction="sum" dataDxfId="106" totalsRowDxfId="105">
      <calculatedColumnFormula>IFERROR(Chiffre_daffaires[[#This Row],[Avr]]/Chiffre_daffaires[[#Totals],[Avr]],"-")</calculatedColumnFormula>
    </tableColumn>
    <tableColumn id="20" xr3:uid="{00000000-0010-0000-0000-000014000000}" name="Mai %" totalsRowFunction="sum" dataDxfId="104" totalsRowDxfId="103">
      <calculatedColumnFormula>IFERROR(Chiffre_daffaires[[#This Row],[Mai]]/Chiffre_daffaires[[#Totals],[Mai]],"-")</calculatedColumnFormula>
    </tableColumn>
    <tableColumn id="21" xr3:uid="{00000000-0010-0000-0000-000015000000}" name="Jui %" totalsRowFunction="sum" dataDxfId="102" totalsRowDxfId="101">
      <calculatedColumnFormula>IFERROR(Chiffre_daffaires[[#This Row],[Juin]]/Chiffre_daffaires[[#Totals],[Juin]],"-")</calculatedColumnFormula>
    </tableColumn>
    <tableColumn id="22" xr3:uid="{00000000-0010-0000-0000-000016000000}" name="Jui % " totalsRowFunction="sum" dataDxfId="100" totalsRowDxfId="99">
      <calculatedColumnFormula>IFERROR(Chiffre_daffaires[[#This Row],[Juil]]/Chiffre_daffaires[[#Totals],[Juil]],"-")</calculatedColumnFormula>
    </tableColumn>
    <tableColumn id="23" xr3:uid="{00000000-0010-0000-0000-000017000000}" name="Aoû %" totalsRowFunction="sum" dataDxfId="98" totalsRowDxfId="97">
      <calculatedColumnFormula>IFERROR(Chiffre_daffaires[[#This Row],[Août]]/Chiffre_daffaires[[#Totals],[Août]],"-")</calculatedColumnFormula>
    </tableColumn>
    <tableColumn id="24" xr3:uid="{00000000-0010-0000-0000-000018000000}" name="Sep %" totalsRowFunction="sum" dataDxfId="96" totalsRowDxfId="95">
      <calculatedColumnFormula>IFERROR(Chiffre_daffaires[[#This Row],[Sept]]/Chiffre_daffaires[[#Totals],[Sept]],"-")</calculatedColumnFormula>
    </tableColumn>
    <tableColumn id="25" xr3:uid="{00000000-0010-0000-0000-000019000000}" name="Oct %" totalsRowFunction="sum" dataDxfId="94" totalsRowDxfId="93">
      <calculatedColumnFormula>IFERROR(Chiffre_daffaires[[#This Row],[Oct]]/Chiffre_daffaires[[#Totals],[Oct]],"-")</calculatedColumnFormula>
    </tableColumn>
    <tableColumn id="26" xr3:uid="{00000000-0010-0000-0000-00001A000000}" name="Nov %" totalsRowFunction="sum" dataDxfId="92" totalsRowDxfId="91">
      <calculatedColumnFormula>IFERROR(Chiffre_daffaires[[#This Row],[Nov]]/Chiffre_daffaires[[#Totals],[Nov]],"-")</calculatedColumnFormula>
    </tableColumn>
    <tableColumn id="27" xr3:uid="{00000000-0010-0000-0000-00001B000000}" name="Déc %" totalsRowFunction="sum" dataDxfId="90" totalsRowDxfId="89">
      <calculatedColumnFormula>IFERROR(Chiffre_daffaires[[#This Row],[Déc]]/Chiffre_daffaires[[#Totals],[Déc]],"-")</calculatedColumnFormula>
    </tableColumn>
    <tableColumn id="28" xr3:uid="{00000000-0010-0000-0000-00001C000000}" name="Année %" totalsRowFunction="sum" dataDxfId="88" totalsRowDxfId="87">
      <calculatedColumnFormula>IFERROR(Chiffre_daffaires[[#This Row],[Annuel]]/Chiffre_daffaires[[#Totals],[Annuel]],"-")</calculatedColumnFormula>
    </tableColumn>
  </tableColumns>
  <tableStyleInfo name="Chiffres d’affaires Bénéfices et pertes" showFirstColumn="0" showLastColumn="0" showRowStripes="1" showColumnStripes="0"/>
  <extLst>
    <ext xmlns:x14="http://schemas.microsoft.com/office/spreadsheetml/2009/9/main" uri="{504A1905-F514-4f6f-8877-14C23A59335A}">
      <x14:table altTextSummary="Synthèse des ventes mensuelles, total annuel et pourcentage par mois pour chaque élément de chiffre d’affaires"/>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CoûtdesVentes" displayName="CoûtdesVentes" ref="B4:AD10" totalsRowCount="1" totalsRowDxfId="59">
  <tableColumns count="29">
    <tableColumn id="1" xr3:uid="{00000000-0010-0000-0100-000001000000}" name="COÛT DES VENTES" totalsRowLabel="COÛT TOTAL DES VENTES" totalsRowDxfId="58"/>
    <tableColumn id="2" xr3:uid="{00000000-0010-0000-0100-000002000000}" name="TENDANCE" totalsRowDxfId="57"/>
    <tableColumn id="3" xr3:uid="{00000000-0010-0000-0100-000003000000}" name="Janv" totalsRowFunction="sum" totalsRowDxfId="56"/>
    <tableColumn id="4" xr3:uid="{00000000-0010-0000-0100-000004000000}" name="Févr" totalsRowFunction="sum" totalsRowDxfId="55"/>
    <tableColumn id="5" xr3:uid="{00000000-0010-0000-0100-000005000000}" name="Mars" totalsRowFunction="sum" totalsRowDxfId="54"/>
    <tableColumn id="6" xr3:uid="{00000000-0010-0000-0100-000006000000}" name="Avr" totalsRowFunction="sum" totalsRowDxfId="53"/>
    <tableColumn id="7" xr3:uid="{00000000-0010-0000-0100-000007000000}" name="Mai" totalsRowFunction="sum" totalsRowDxfId="52"/>
    <tableColumn id="8" xr3:uid="{00000000-0010-0000-0100-000008000000}" name="Juin" totalsRowFunction="sum" totalsRowDxfId="51"/>
    <tableColumn id="9" xr3:uid="{00000000-0010-0000-0100-000009000000}" name="Juil" totalsRowFunction="sum" totalsRowDxfId="50"/>
    <tableColumn id="10" xr3:uid="{00000000-0010-0000-0100-00000A000000}" name="Août" totalsRowFunction="sum" totalsRowDxfId="49"/>
    <tableColumn id="11" xr3:uid="{00000000-0010-0000-0100-00000B000000}" name="Sept" totalsRowFunction="sum" totalsRowDxfId="48"/>
    <tableColumn id="12" xr3:uid="{00000000-0010-0000-0100-00000C000000}" name="Oct" totalsRowFunction="sum" totalsRowDxfId="47"/>
    <tableColumn id="13" xr3:uid="{00000000-0010-0000-0100-00000D000000}" name="Nov" totalsRowFunction="sum" totalsRowDxfId="46"/>
    <tableColumn id="14" xr3:uid="{00000000-0010-0000-0100-00000E000000}" name="Déc" totalsRowFunction="sum" totalsRowDxfId="45"/>
    <tableColumn id="15" xr3:uid="{00000000-0010-0000-0100-00000F000000}" name="Annuel" totalsRowFunction="sum" totalsRowDxfId="44" dataCellStyle="Monétaire [0]">
      <calculatedColumnFormula>SUM(CoûtdesVentes[[#This Row],[Janv]:[Déc]])</calculatedColumnFormula>
    </tableColumn>
    <tableColumn id="16" xr3:uid="{00000000-0010-0000-0100-000010000000}" name="Index %" totalsRowFunction="sum" totalsRowDxfId="43"/>
    <tableColumn id="17" xr3:uid="{00000000-0010-0000-0100-000011000000}" name="Jan %" totalsRowFunction="sum" totalsRowDxfId="42" dataCellStyle="Pourcentage">
      <calculatedColumnFormula>IFERROR(CoûtdesVentes[[#This Row],[Janv]]/CoûtdesVentes[[#Totals],[Janv]],"-")</calculatedColumnFormula>
    </tableColumn>
    <tableColumn id="18" xr3:uid="{00000000-0010-0000-0100-000012000000}" name="Fév %" totalsRowFunction="sum" totalsRowDxfId="41" dataCellStyle="Pourcentage">
      <calculatedColumnFormula>IFERROR(CoûtdesVentes[[#This Row],[Févr]]/CoûtdesVentes[[#Totals],[Févr]],"-")</calculatedColumnFormula>
    </tableColumn>
    <tableColumn id="19" xr3:uid="{00000000-0010-0000-0100-000013000000}" name="Mar %" totalsRowFunction="sum" totalsRowDxfId="40" dataCellStyle="Pourcentage">
      <calculatedColumnFormula>IFERROR(CoûtdesVentes[[#This Row],[Mars]]/CoûtdesVentes[[#Totals],[Mars]],"-")</calculatedColumnFormula>
    </tableColumn>
    <tableColumn id="20" xr3:uid="{00000000-0010-0000-0100-000014000000}" name="Avr %" totalsRowFunction="sum" totalsRowDxfId="39" dataCellStyle="Pourcentage">
      <calculatedColumnFormula>IFERROR(CoûtdesVentes[[#This Row],[Avr]]/CoûtdesVentes[[#Totals],[Avr]],"-")</calculatedColumnFormula>
    </tableColumn>
    <tableColumn id="21" xr3:uid="{00000000-0010-0000-0100-000015000000}" name="Mai %" totalsRowFunction="sum" totalsRowDxfId="38" dataCellStyle="Pourcentage">
      <calculatedColumnFormula>IFERROR(CoûtdesVentes[[#This Row],[Mai]]/CoûtdesVentes[[#Totals],[Mai]],"-")</calculatedColumnFormula>
    </tableColumn>
    <tableColumn id="22" xr3:uid="{00000000-0010-0000-0100-000016000000}" name="Jui %" totalsRowFunction="sum" totalsRowDxfId="37" dataCellStyle="Pourcentage">
      <calculatedColumnFormula>IFERROR(CoûtdesVentes[[#This Row],[Juin]]/CoûtdesVentes[[#Totals],[Juin]],"-")</calculatedColumnFormula>
    </tableColumn>
    <tableColumn id="23" xr3:uid="{00000000-0010-0000-0100-000017000000}" name="Jui % " totalsRowFunction="sum" totalsRowDxfId="36" dataCellStyle="Pourcentage">
      <calculatedColumnFormula>IFERROR(CoûtdesVentes[[#This Row],[Juil]]/CoûtdesVentes[[#Totals],[Juil]],"-")</calculatedColumnFormula>
    </tableColumn>
    <tableColumn id="24" xr3:uid="{00000000-0010-0000-0100-000018000000}" name="Aoû %" totalsRowFunction="sum" totalsRowDxfId="35" dataCellStyle="Pourcentage">
      <calculatedColumnFormula>IFERROR(CoûtdesVentes[[#This Row],[Août]]/CoûtdesVentes[[#Totals],[Août]],"-")</calculatedColumnFormula>
    </tableColumn>
    <tableColumn id="25" xr3:uid="{00000000-0010-0000-0100-000019000000}" name="Sep %" totalsRowFunction="sum" totalsRowDxfId="34" dataCellStyle="Pourcentage">
      <calculatedColumnFormula>IFERROR(CoûtdesVentes[[#This Row],[Sept]]/CoûtdesVentes[[#Totals],[Sept]],"-")</calculatedColumnFormula>
    </tableColumn>
    <tableColumn id="26" xr3:uid="{00000000-0010-0000-0100-00001A000000}" name="Oct %" totalsRowFunction="sum" totalsRowDxfId="33" dataCellStyle="Pourcentage">
      <calculatedColumnFormula>IFERROR(CoûtdesVentes[[#This Row],[Oct]]/CoûtdesVentes[[#Totals],[Oct]],"-")</calculatedColumnFormula>
    </tableColumn>
    <tableColumn id="27" xr3:uid="{00000000-0010-0000-0100-00001B000000}" name="Nov %" totalsRowFunction="sum" totalsRowDxfId="32" dataCellStyle="Pourcentage">
      <calculatedColumnFormula>IFERROR(CoûtdesVentes[[#This Row],[Nov]]/CoûtdesVentes[[#Totals],[Nov]],"-")</calculatedColumnFormula>
    </tableColumn>
    <tableColumn id="28" xr3:uid="{00000000-0010-0000-0100-00001C000000}" name="Déc %" totalsRowFunction="sum" totalsRowDxfId="31" dataCellStyle="Pourcentage">
      <calculatedColumnFormula>IFERROR(CoûtdesVentes[[#This Row],[Déc]]/CoûtdesVentes[[#Totals],[Déc]],"-")</calculatedColumnFormula>
    </tableColumn>
    <tableColumn id="29" xr3:uid="{00000000-0010-0000-0100-00001D000000}" name="Année %" totalsRowFunction="sum" totalsRowDxfId="30" dataCellStyle="Pourcentage">
      <calculatedColumnFormula>IFERROR(CoûtdesVentes[[#This Row],[Annuel]]/CoûtdesVentes[[#Totals],[Annuel]],"-")</calculatedColumnFormula>
    </tableColumn>
  </tableColumns>
  <tableStyleInfo name="Ventes Bénéfices et pertes" showFirstColumn="0" showLastColumn="0" showRowStripes="1" showColumnStripes="0"/>
  <extLst>
    <ext xmlns:x14="http://schemas.microsoft.com/office/spreadsheetml/2009/9/main" uri="{504A1905-F514-4f6f-8877-14C23A59335A}">
      <x14:table altTextSummary="Synthèse du coût des ventes, total annuel et pourcentage par mois pour chaque élément de coût"/>
    </ext>
  </extLst>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2000000}" name="tblDépenses" displayName="tblDépenses" ref="B4:AD24" totalsRowCount="1" totalsRowDxfId="29">
  <tableColumns count="29">
    <tableColumn id="1" xr3:uid="{00000000-0010-0000-0200-000001000000}" name="DÉPENSES" totalsRowLabel="DÉPENSES TOTALES" totalsRowDxfId="28"/>
    <tableColumn id="2" xr3:uid="{00000000-0010-0000-0200-000002000000}" name="TENDANCE" totalsRowLabel=" " totalsRowDxfId="27"/>
    <tableColumn id="3" xr3:uid="{00000000-0010-0000-0200-000003000000}" name="Colonne1" totalsRowFunction="sum" totalsRowDxfId="26"/>
    <tableColumn id="4" xr3:uid="{00000000-0010-0000-0200-000004000000}" name="Févr" totalsRowFunction="sum" totalsRowDxfId="25"/>
    <tableColumn id="5" xr3:uid="{00000000-0010-0000-0200-000005000000}" name="Mars" totalsRowFunction="sum" totalsRowDxfId="24"/>
    <tableColumn id="6" xr3:uid="{00000000-0010-0000-0200-000006000000}" name="Avr" totalsRowFunction="sum" totalsRowDxfId="23"/>
    <tableColumn id="7" xr3:uid="{00000000-0010-0000-0200-000007000000}" name="Mai" totalsRowFunction="sum" totalsRowDxfId="22"/>
    <tableColumn id="8" xr3:uid="{00000000-0010-0000-0200-000008000000}" name="Juin" totalsRowFunction="sum" totalsRowDxfId="21"/>
    <tableColumn id="9" xr3:uid="{00000000-0010-0000-0200-000009000000}" name="Juil" totalsRowFunction="sum" totalsRowDxfId="20"/>
    <tableColumn id="10" xr3:uid="{00000000-0010-0000-0200-00000A000000}" name="Août" totalsRowFunction="sum" totalsRowDxfId="19"/>
    <tableColumn id="11" xr3:uid="{00000000-0010-0000-0200-00000B000000}" name="Sept" totalsRowFunction="sum" totalsRowDxfId="18"/>
    <tableColumn id="12" xr3:uid="{00000000-0010-0000-0200-00000C000000}" name="Oct" totalsRowFunction="sum" totalsRowDxfId="17"/>
    <tableColumn id="13" xr3:uid="{00000000-0010-0000-0200-00000D000000}" name="Nov" totalsRowFunction="sum" totalsRowDxfId="16"/>
    <tableColumn id="14" xr3:uid="{00000000-0010-0000-0200-00000E000000}" name="Déc" totalsRowFunction="sum" totalsRowDxfId="15"/>
    <tableColumn id="15" xr3:uid="{00000000-0010-0000-0200-00000F000000}" name="Annuel" totalsRowFunction="sum" totalsRowDxfId="14">
      <calculatedColumnFormula>SUM(tblDépenses[[#This Row],[Colonne1]:[Déc]])</calculatedColumnFormula>
    </tableColumn>
    <tableColumn id="16" xr3:uid="{00000000-0010-0000-0200-000010000000}" name="Index %" totalsRowFunction="sum" totalsRowDxfId="13"/>
    <tableColumn id="17" xr3:uid="{00000000-0010-0000-0200-000011000000}" name="Jan %" totalsRowFunction="sum" totalsRowDxfId="12">
      <calculatedColumnFormula>tblDépenses[[#This Row],[Colonne1]]/tblDépenses[[#Totals],[Colonne1]]</calculatedColumnFormula>
    </tableColumn>
    <tableColumn id="18" xr3:uid="{00000000-0010-0000-0200-000012000000}" name="Fév %" totalsRowFunction="sum" totalsRowDxfId="11">
      <calculatedColumnFormula>tblDépenses[[#This Row],[Févr]]/tblDépenses[[#Totals],[Févr]]</calculatedColumnFormula>
    </tableColumn>
    <tableColumn id="19" xr3:uid="{00000000-0010-0000-0200-000013000000}" name="Mar %" totalsRowFunction="sum" totalsRowDxfId="10">
      <calculatedColumnFormula>tblDépenses[[#This Row],[Mars]]/tblDépenses[[#Totals],[Mars]]</calculatedColumnFormula>
    </tableColumn>
    <tableColumn id="20" xr3:uid="{00000000-0010-0000-0200-000014000000}" name="Avr %" totalsRowFunction="sum" totalsRowDxfId="9">
      <calculatedColumnFormula>tblDépenses[[#This Row],[Avr]]/tblDépenses[[#Totals],[Avr]]</calculatedColumnFormula>
    </tableColumn>
    <tableColumn id="21" xr3:uid="{00000000-0010-0000-0200-000015000000}" name="Mai %" totalsRowFunction="sum" totalsRowDxfId="8">
      <calculatedColumnFormula>tblDépenses[[#This Row],[Mai]]/tblDépenses[[#Totals],[Mai]]</calculatedColumnFormula>
    </tableColumn>
    <tableColumn id="22" xr3:uid="{00000000-0010-0000-0200-000016000000}" name="Jui %" totalsRowFunction="sum" totalsRowDxfId="7">
      <calculatedColumnFormula>tblDépenses[[#This Row],[Juin]]/tblDépenses[[#Totals],[Juin]]</calculatedColumnFormula>
    </tableColumn>
    <tableColumn id="23" xr3:uid="{00000000-0010-0000-0200-000017000000}" name="Jui % " totalsRowFunction="sum" totalsRowDxfId="6">
      <calculatedColumnFormula>tblDépenses[[#This Row],[Juil]]/tblDépenses[[#Totals],[Juil]]</calculatedColumnFormula>
    </tableColumn>
    <tableColumn id="24" xr3:uid="{00000000-0010-0000-0200-000018000000}" name="Aoû %" totalsRowFunction="sum" totalsRowDxfId="5">
      <calculatedColumnFormula>tblDépenses[[#This Row],[Août]]/tblDépenses[[#Totals],[Août]]</calculatedColumnFormula>
    </tableColumn>
    <tableColumn id="25" xr3:uid="{00000000-0010-0000-0200-000019000000}" name="Sep %" totalsRowFunction="sum" totalsRowDxfId="4">
      <calculatedColumnFormula>tblDépenses[[#This Row],[Sept]]/tblDépenses[[#Totals],[Sept]]</calculatedColumnFormula>
    </tableColumn>
    <tableColumn id="26" xr3:uid="{00000000-0010-0000-0200-00001A000000}" name="Oct %" totalsRowFunction="sum" totalsRowDxfId="3">
      <calculatedColumnFormula>tblDépenses[[#This Row],[Oct]]/tblDépenses[[#Totals],[Oct]]</calculatedColumnFormula>
    </tableColumn>
    <tableColumn id="27" xr3:uid="{00000000-0010-0000-0200-00001B000000}" name="Nov %" totalsRowFunction="sum" totalsRowDxfId="2">
      <calculatedColumnFormula>tblDépenses[[#This Row],[Nov]]/tblDépenses[[#Totals],[Nov]]</calculatedColumnFormula>
    </tableColumn>
    <tableColumn id="28" xr3:uid="{00000000-0010-0000-0200-00001C000000}" name="Déc %" totalsRowFunction="sum" totalsRowDxfId="1">
      <calculatedColumnFormula>tblDépenses[[#This Row],[Déc]]/tblDépenses[[#Totals],[Déc]]</calculatedColumnFormula>
    </tableColumn>
    <tableColumn id="29" xr3:uid="{00000000-0010-0000-0200-00001D000000}" name="Année %" totalsRowFunction="sum" totalsRowDxfId="0">
      <calculatedColumnFormula>tblDépenses[[#This Row],[Annuel]]/tblDépenses[[#Totals],[Annuel]]</calculatedColumnFormula>
    </tableColumn>
  </tableColumns>
  <tableStyleInfo name="Dépenses Bénéfices et pertes" showFirstColumn="0" showLastColumn="0" showRowStripes="1" showColumnStripes="0"/>
  <extLst>
    <ext xmlns:x14="http://schemas.microsoft.com/office/spreadsheetml/2009/9/main" uri="{504A1905-F514-4f6f-8877-14C23A59335A}">
      <x14:table altTextSummary="Synthèse des dépenses, total annuel et pourcentage par mois pour chaque élément de dépense"/>
    </ext>
  </extLst>
</table>
</file>

<file path=xl/theme/theme1.xml><?xml version="1.0" encoding="utf-8"?>
<a:theme xmlns:a="http://schemas.openxmlformats.org/drawingml/2006/main" name="Office Theme">
  <a:themeElements>
    <a:clrScheme name="Profit and Loss">
      <a:dk1>
        <a:sysClr val="windowText" lastClr="000000"/>
      </a:dk1>
      <a:lt1>
        <a:srgbClr val="FFFFFF"/>
      </a:lt1>
      <a:dk2>
        <a:srgbClr val="38321C"/>
      </a:dk2>
      <a:lt2>
        <a:srgbClr val="FFFFFF"/>
      </a:lt2>
      <a:accent1>
        <a:srgbClr val="DE8D26"/>
      </a:accent1>
      <a:accent2>
        <a:srgbClr val="2F7B6A"/>
      </a:accent2>
      <a:accent3>
        <a:srgbClr val="3BA0D6"/>
      </a:accent3>
      <a:accent4>
        <a:srgbClr val="8E9ACA"/>
      </a:accent4>
      <a:accent5>
        <a:srgbClr val="6F6857"/>
      </a:accent5>
      <a:accent6>
        <a:srgbClr val="F79646"/>
      </a:accent6>
      <a:hlink>
        <a:srgbClr val="0000FF"/>
      </a:hlink>
      <a:folHlink>
        <a:srgbClr val="800080"/>
      </a:folHlink>
    </a:clrScheme>
    <a:fontScheme name="Profit Loss Statement">
      <a:majorFont>
        <a:latin typeface="Bookman Old Style"/>
        <a:ea typeface=""/>
        <a:cs typeface=""/>
      </a:majorFont>
      <a:minorFont>
        <a:latin typeface="Century Gothic"/>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15.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4.bin"/></Relationships>
</file>

<file path=xl/worksheets/_rels/sheet16.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AN366"/>
  <sheetViews>
    <sheetView zoomScale="85" zoomScaleNormal="85" workbookViewId="0">
      <selection activeCell="I14" sqref="I14"/>
    </sheetView>
  </sheetViews>
  <sheetFormatPr baseColWidth="10" defaultColWidth="10" defaultRowHeight="21.75" customHeight="1" x14ac:dyDescent="0.2"/>
  <cols>
    <col min="1" max="1" width="18.375" style="106" customWidth="1"/>
    <col min="2" max="2" width="6.375" style="100" customWidth="1"/>
    <col min="3" max="4" width="6.375" style="99" customWidth="1"/>
    <col min="5" max="16" width="5.75" style="99" customWidth="1"/>
    <col min="17" max="17" width="5.75" style="101" customWidth="1"/>
    <col min="18" max="18" width="10.125" style="101" customWidth="1"/>
    <col min="19" max="19" width="7.25" style="101" bestFit="1" customWidth="1"/>
    <col min="20" max="21" width="10.25" style="101" customWidth="1"/>
    <col min="22" max="22" width="6.75" style="111" customWidth="1"/>
    <col min="23" max="23" width="13.375" style="99" customWidth="1"/>
    <col min="24" max="24" width="6.75" style="99" customWidth="1"/>
    <col min="25" max="16384" width="10" style="99"/>
  </cols>
  <sheetData>
    <row r="1" spans="1:40" s="103" customFormat="1" ht="56.25" customHeight="1" x14ac:dyDescent="0.2">
      <c r="A1" s="107" t="s">
        <v>86</v>
      </c>
      <c r="B1" s="112">
        <v>500</v>
      </c>
      <c r="C1" s="112">
        <v>200</v>
      </c>
      <c r="D1" s="112">
        <v>100</v>
      </c>
      <c r="E1" s="112">
        <v>50</v>
      </c>
      <c r="F1" s="112">
        <v>20</v>
      </c>
      <c r="G1" s="112">
        <v>10</v>
      </c>
      <c r="H1" s="112">
        <v>5</v>
      </c>
      <c r="I1" s="113">
        <v>2</v>
      </c>
      <c r="J1" s="114">
        <v>1</v>
      </c>
      <c r="K1" s="114">
        <v>0.5</v>
      </c>
      <c r="L1" s="114">
        <v>0.2</v>
      </c>
      <c r="M1" s="114">
        <v>0.1</v>
      </c>
      <c r="N1" s="114">
        <v>0.05</v>
      </c>
      <c r="O1" s="114">
        <v>0.02</v>
      </c>
      <c r="P1" s="114">
        <v>0.01</v>
      </c>
      <c r="Q1" s="95" t="s">
        <v>81</v>
      </c>
      <c r="R1" s="115" t="s">
        <v>83</v>
      </c>
      <c r="S1" s="102" t="s">
        <v>82</v>
      </c>
      <c r="T1" s="115" t="s">
        <v>84</v>
      </c>
      <c r="U1" s="96" t="s">
        <v>85</v>
      </c>
      <c r="V1" s="110" t="s">
        <v>87</v>
      </c>
      <c r="W1" s="109">
        <v>367</v>
      </c>
      <c r="X1" s="116" t="s">
        <v>88</v>
      </c>
      <c r="AL1" s="105" t="e">
        <f>MONTH(#REF!)</f>
        <v>#REF!</v>
      </c>
      <c r="AM1" s="105" t="e">
        <f>WEEKDAY(#REF!)</f>
        <v>#REF!</v>
      </c>
      <c r="AN1" s="105" t="e">
        <f>WEEKNUM(#REF!)</f>
        <v>#REF!</v>
      </c>
    </row>
    <row r="2" spans="1:40" ht="21.75" customHeight="1" x14ac:dyDescent="0.2">
      <c r="A2" s="106">
        <v>43466</v>
      </c>
      <c r="B2" s="97">
        <v>3</v>
      </c>
      <c r="C2" s="97">
        <v>4</v>
      </c>
      <c r="D2" s="97">
        <v>9</v>
      </c>
      <c r="E2" s="97">
        <v>2</v>
      </c>
      <c r="F2" s="97">
        <v>3</v>
      </c>
      <c r="G2" s="97">
        <v>4</v>
      </c>
      <c r="H2" s="97">
        <v>5</v>
      </c>
      <c r="I2" s="97"/>
      <c r="J2" s="97"/>
      <c r="K2" s="97"/>
      <c r="L2" s="97"/>
      <c r="M2" s="97"/>
      <c r="N2" s="97"/>
      <c r="O2" s="97"/>
      <c r="P2" s="97"/>
      <c r="Q2" s="97">
        <f t="shared" ref="Q2" si="0">SUM(B2:H2)</f>
        <v>30</v>
      </c>
      <c r="R2" s="104">
        <f t="shared" ref="R2" si="1">SUM(B2*B$1+C2*C$1+D2*D$1+E2*E$1+F2*F$1+G2*G$1+H2*H$1)</f>
        <v>3425</v>
      </c>
      <c r="S2" s="97">
        <f t="shared" ref="S2" si="2">SUM(I2:P2)</f>
        <v>0</v>
      </c>
      <c r="T2" s="98">
        <f t="shared" ref="T2" si="3">SUM(I2*I$1+J2*J$1+K2*K$1+L2*L$1+M2*M$1+N2*N$1+O2*O$1+P2*P$1)</f>
        <v>0</v>
      </c>
      <c r="U2" s="98">
        <f t="shared" ref="U2" si="4">SUM(R2+T2)</f>
        <v>3425</v>
      </c>
      <c r="V2" s="111">
        <v>1</v>
      </c>
    </row>
    <row r="3" spans="1:40" ht="21.75" customHeight="1" x14ac:dyDescent="0.2">
      <c r="A3" s="106">
        <v>43467</v>
      </c>
      <c r="B3" s="97">
        <v>2</v>
      </c>
      <c r="C3" s="97">
        <v>9</v>
      </c>
      <c r="D3" s="97">
        <v>4</v>
      </c>
      <c r="E3" s="97">
        <v>9</v>
      </c>
      <c r="F3" s="97">
        <v>8</v>
      </c>
      <c r="G3" s="97">
        <v>9</v>
      </c>
      <c r="H3" s="97">
        <v>9</v>
      </c>
      <c r="I3" s="97"/>
      <c r="J3" s="97"/>
      <c r="K3" s="97"/>
      <c r="L3" s="97"/>
      <c r="M3" s="97"/>
      <c r="N3" s="97"/>
      <c r="O3" s="97"/>
      <c r="P3" s="97"/>
      <c r="Q3" s="97">
        <f t="shared" ref="Q3" si="5">SUM(B3:H3)</f>
        <v>50</v>
      </c>
      <c r="R3" s="104">
        <f t="shared" ref="R3" si="6">SUM(B3*B$1+C3*C$1+D3*D$1+E3*E$1+F3*F$1+G3*G$1+H3*H$1)</f>
        <v>3945</v>
      </c>
      <c r="S3" s="97">
        <f t="shared" ref="S3" si="7">SUM(I3:P3)</f>
        <v>0</v>
      </c>
      <c r="T3" s="98">
        <f t="shared" ref="T3" si="8">SUM(I3*I$1+J3*J$1+K3*K$1+L3*L$1+M3*M$1+N3*N$1+O3*O$1+P3*P$1)</f>
        <v>0</v>
      </c>
      <c r="U3" s="98">
        <f t="shared" ref="U3" si="9">SUM(R3+T3)</f>
        <v>3945</v>
      </c>
      <c r="V3" s="111">
        <v>2</v>
      </c>
    </row>
    <row r="4" spans="1:40" ht="21.75" customHeight="1" x14ac:dyDescent="0.2">
      <c r="A4" s="106">
        <v>43468</v>
      </c>
      <c r="B4" s="97">
        <v>9</v>
      </c>
      <c r="C4" s="97">
        <v>9</v>
      </c>
      <c r="D4" s="97">
        <v>9</v>
      </c>
      <c r="E4" s="97">
        <v>9</v>
      </c>
      <c r="F4" s="97">
        <v>9</v>
      </c>
      <c r="G4" s="97">
        <v>9</v>
      </c>
      <c r="H4" s="97">
        <v>9</v>
      </c>
      <c r="I4" s="97">
        <v>9</v>
      </c>
      <c r="J4" s="97">
        <v>9</v>
      </c>
      <c r="K4" s="97">
        <v>9</v>
      </c>
      <c r="L4" s="97">
        <v>9</v>
      </c>
      <c r="M4" s="97">
        <v>9</v>
      </c>
      <c r="N4" s="97">
        <v>9</v>
      </c>
      <c r="O4" s="97">
        <v>9</v>
      </c>
      <c r="P4" s="97">
        <v>9</v>
      </c>
      <c r="Q4" s="97">
        <f t="shared" ref="Q4" si="10">SUM(B4:H4)</f>
        <v>63</v>
      </c>
      <c r="R4" s="104">
        <f t="shared" ref="R4" si="11">SUM(B4*B$1+C4*C$1+D4*D$1+E4*E$1+F4*F$1+G4*G$1+H4*H$1)</f>
        <v>7965</v>
      </c>
      <c r="S4" s="97">
        <f t="shared" ref="S4" si="12">SUM(I4:P4)</f>
        <v>72</v>
      </c>
      <c r="T4" s="98">
        <f t="shared" ref="T4" si="13">SUM(I4*I$1+J4*J$1+K4*K$1+L4*L$1+M4*M$1+N4*N$1+O4*O$1+P4*P$1)</f>
        <v>34.92</v>
      </c>
      <c r="U4" s="98">
        <f t="shared" ref="U4" si="14">SUM(R4+T4)</f>
        <v>7999.92</v>
      </c>
      <c r="V4" s="111">
        <v>3</v>
      </c>
      <c r="W4" s="108"/>
    </row>
    <row r="5" spans="1:40" ht="21.75" customHeight="1" x14ac:dyDescent="0.2">
      <c r="A5" s="106">
        <v>43469</v>
      </c>
      <c r="B5" s="97">
        <v>9</v>
      </c>
      <c r="C5" s="97">
        <v>9</v>
      </c>
      <c r="D5" s="97">
        <v>9</v>
      </c>
      <c r="E5" s="97">
        <v>9</v>
      </c>
      <c r="F5" s="97">
        <v>9</v>
      </c>
      <c r="G5" s="97">
        <v>9</v>
      </c>
      <c r="H5" s="97">
        <v>9</v>
      </c>
      <c r="I5" s="97">
        <v>9</v>
      </c>
      <c r="J5" s="97">
        <v>9</v>
      </c>
      <c r="K5" s="97">
        <v>9</v>
      </c>
      <c r="L5" s="97">
        <v>9</v>
      </c>
      <c r="M5" s="97">
        <v>9</v>
      </c>
      <c r="N5" s="97">
        <v>9</v>
      </c>
      <c r="O5" s="97">
        <v>9</v>
      </c>
      <c r="P5" s="97">
        <v>9</v>
      </c>
      <c r="Q5" s="97">
        <f t="shared" ref="Q5:Q68" si="15">SUM(B5:H5)</f>
        <v>63</v>
      </c>
      <c r="R5" s="104">
        <f t="shared" ref="R5:R68" si="16">SUM(B5*B$1+C5*C$1+D5*D$1+E5*E$1+F5*F$1+G5*G$1+H5*H$1)</f>
        <v>7965</v>
      </c>
      <c r="S5" s="97">
        <f t="shared" ref="S5:S68" si="17">SUM(I5:P5)</f>
        <v>72</v>
      </c>
      <c r="T5" s="98">
        <f t="shared" ref="T5:T68" si="18">SUM(I5*I$1+J5*J$1+K5*K$1+L5*L$1+M5*M$1+N5*N$1+O5*O$1+P5*P$1)</f>
        <v>34.92</v>
      </c>
      <c r="U5" s="98">
        <f t="shared" ref="U5:U68" si="19">SUM(R5+T5)</f>
        <v>7999.92</v>
      </c>
      <c r="V5" s="111">
        <v>4</v>
      </c>
      <c r="W5" s="108"/>
    </row>
    <row r="6" spans="1:40" ht="21.75" customHeight="1" x14ac:dyDescent="0.2">
      <c r="A6" s="106">
        <v>43470</v>
      </c>
      <c r="B6" s="97">
        <v>9</v>
      </c>
      <c r="C6" s="97">
        <v>9</v>
      </c>
      <c r="D6" s="97">
        <v>9</v>
      </c>
      <c r="E6" s="97">
        <v>9</v>
      </c>
      <c r="F6" s="97">
        <v>9</v>
      </c>
      <c r="G6" s="97">
        <v>9</v>
      </c>
      <c r="H6" s="97">
        <v>9</v>
      </c>
      <c r="I6" s="97">
        <v>9</v>
      </c>
      <c r="J6" s="97">
        <v>9</v>
      </c>
      <c r="K6" s="97">
        <v>9</v>
      </c>
      <c r="L6" s="97">
        <v>9</v>
      </c>
      <c r="M6" s="97">
        <v>9</v>
      </c>
      <c r="N6" s="97">
        <v>9</v>
      </c>
      <c r="O6" s="97">
        <v>9</v>
      </c>
      <c r="P6" s="97">
        <v>9</v>
      </c>
      <c r="Q6" s="97">
        <f t="shared" si="15"/>
        <v>63</v>
      </c>
      <c r="R6" s="104">
        <f t="shared" si="16"/>
        <v>7965</v>
      </c>
      <c r="S6" s="97">
        <f t="shared" si="17"/>
        <v>72</v>
      </c>
      <c r="T6" s="98">
        <f t="shared" si="18"/>
        <v>34.92</v>
      </c>
      <c r="U6" s="98">
        <f t="shared" si="19"/>
        <v>7999.92</v>
      </c>
      <c r="V6" s="111">
        <v>5</v>
      </c>
      <c r="W6" s="108"/>
    </row>
    <row r="7" spans="1:40" ht="21.75" customHeight="1" x14ac:dyDescent="0.2">
      <c r="A7" s="106">
        <v>43471</v>
      </c>
      <c r="B7" s="97">
        <v>9</v>
      </c>
      <c r="C7" s="97">
        <v>9</v>
      </c>
      <c r="D7" s="97">
        <v>9</v>
      </c>
      <c r="E7" s="97">
        <v>9</v>
      </c>
      <c r="F7" s="97">
        <v>9</v>
      </c>
      <c r="G7" s="97">
        <v>9</v>
      </c>
      <c r="H7" s="97">
        <v>9</v>
      </c>
      <c r="I7" s="97">
        <v>9</v>
      </c>
      <c r="J7" s="97">
        <v>9</v>
      </c>
      <c r="K7" s="97">
        <v>9</v>
      </c>
      <c r="L7" s="97">
        <v>9</v>
      </c>
      <c r="M7" s="97">
        <v>9</v>
      </c>
      <c r="N7" s="97">
        <v>9</v>
      </c>
      <c r="O7" s="97">
        <v>9</v>
      </c>
      <c r="P7" s="97">
        <v>9</v>
      </c>
      <c r="Q7" s="97">
        <f t="shared" si="15"/>
        <v>63</v>
      </c>
      <c r="R7" s="104">
        <f t="shared" si="16"/>
        <v>7965</v>
      </c>
      <c r="S7" s="97">
        <f t="shared" si="17"/>
        <v>72</v>
      </c>
      <c r="T7" s="98">
        <f t="shared" si="18"/>
        <v>34.92</v>
      </c>
      <c r="U7" s="98">
        <f t="shared" si="19"/>
        <v>7999.92</v>
      </c>
      <c r="V7" s="111">
        <v>6</v>
      </c>
      <c r="W7" s="108"/>
    </row>
    <row r="8" spans="1:40" ht="21.75" customHeight="1" x14ac:dyDescent="0.2">
      <c r="A8" s="106">
        <v>43472</v>
      </c>
      <c r="B8" s="97">
        <v>9</v>
      </c>
      <c r="C8" s="97">
        <v>9</v>
      </c>
      <c r="D8" s="97">
        <v>9</v>
      </c>
      <c r="E8" s="97">
        <v>9</v>
      </c>
      <c r="F8" s="97">
        <v>9</v>
      </c>
      <c r="G8" s="97">
        <v>9</v>
      </c>
      <c r="H8" s="97">
        <v>9</v>
      </c>
      <c r="I8" s="97">
        <v>9</v>
      </c>
      <c r="J8" s="97">
        <v>9</v>
      </c>
      <c r="K8" s="97">
        <v>9</v>
      </c>
      <c r="L8" s="97">
        <v>9</v>
      </c>
      <c r="M8" s="97">
        <v>9</v>
      </c>
      <c r="N8" s="97">
        <v>9</v>
      </c>
      <c r="O8" s="97">
        <v>9</v>
      </c>
      <c r="P8" s="97">
        <v>9</v>
      </c>
      <c r="Q8" s="97">
        <f t="shared" si="15"/>
        <v>63</v>
      </c>
      <c r="R8" s="104">
        <f t="shared" si="16"/>
        <v>7965</v>
      </c>
      <c r="S8" s="97">
        <f t="shared" si="17"/>
        <v>72</v>
      </c>
      <c r="T8" s="98">
        <f t="shared" si="18"/>
        <v>34.92</v>
      </c>
      <c r="U8" s="98">
        <f t="shared" si="19"/>
        <v>7999.92</v>
      </c>
      <c r="V8" s="111">
        <v>7</v>
      </c>
      <c r="W8" s="108"/>
    </row>
    <row r="9" spans="1:40" ht="21.75" customHeight="1" x14ac:dyDescent="0.2">
      <c r="A9" s="106">
        <v>43473</v>
      </c>
      <c r="B9" s="97">
        <v>9</v>
      </c>
      <c r="C9" s="97">
        <v>9</v>
      </c>
      <c r="D9" s="97">
        <v>9</v>
      </c>
      <c r="E9" s="97">
        <v>9</v>
      </c>
      <c r="F9" s="97">
        <v>9</v>
      </c>
      <c r="G9" s="97">
        <v>9</v>
      </c>
      <c r="H9" s="97">
        <v>9</v>
      </c>
      <c r="I9" s="97">
        <v>9</v>
      </c>
      <c r="J9" s="97">
        <v>9</v>
      </c>
      <c r="K9" s="97">
        <v>9</v>
      </c>
      <c r="L9" s="97">
        <v>9</v>
      </c>
      <c r="M9" s="97">
        <v>9</v>
      </c>
      <c r="N9" s="97">
        <v>9</v>
      </c>
      <c r="O9" s="97">
        <v>9</v>
      </c>
      <c r="P9" s="97">
        <v>9</v>
      </c>
      <c r="Q9" s="97">
        <f t="shared" si="15"/>
        <v>63</v>
      </c>
      <c r="R9" s="104">
        <f t="shared" si="16"/>
        <v>7965</v>
      </c>
      <c r="S9" s="97">
        <f t="shared" si="17"/>
        <v>72</v>
      </c>
      <c r="T9" s="98">
        <f t="shared" si="18"/>
        <v>34.92</v>
      </c>
      <c r="U9" s="98">
        <f t="shared" si="19"/>
        <v>7999.92</v>
      </c>
      <c r="V9" s="111">
        <v>8</v>
      </c>
      <c r="W9" s="108"/>
    </row>
    <row r="10" spans="1:40" ht="21.75" customHeight="1" x14ac:dyDescent="0.2">
      <c r="A10" s="106">
        <v>43474</v>
      </c>
      <c r="B10" s="97">
        <v>9</v>
      </c>
      <c r="C10" s="97">
        <v>9</v>
      </c>
      <c r="D10" s="97">
        <v>9</v>
      </c>
      <c r="E10" s="97">
        <v>9</v>
      </c>
      <c r="F10" s="97">
        <v>9</v>
      </c>
      <c r="G10" s="97">
        <v>9</v>
      </c>
      <c r="H10" s="97">
        <v>9</v>
      </c>
      <c r="I10" s="97">
        <v>9</v>
      </c>
      <c r="J10" s="97">
        <v>9</v>
      </c>
      <c r="K10" s="97">
        <v>9</v>
      </c>
      <c r="L10" s="97">
        <v>9</v>
      </c>
      <c r="M10" s="97">
        <v>9</v>
      </c>
      <c r="N10" s="97">
        <v>9</v>
      </c>
      <c r="O10" s="97">
        <v>9</v>
      </c>
      <c r="P10" s="97">
        <v>9</v>
      </c>
      <c r="Q10" s="97">
        <f t="shared" si="15"/>
        <v>63</v>
      </c>
      <c r="R10" s="104">
        <f t="shared" si="16"/>
        <v>7965</v>
      </c>
      <c r="S10" s="97">
        <f t="shared" si="17"/>
        <v>72</v>
      </c>
      <c r="T10" s="98">
        <f t="shared" si="18"/>
        <v>34.92</v>
      </c>
      <c r="U10" s="98">
        <f t="shared" si="19"/>
        <v>7999.92</v>
      </c>
      <c r="V10" s="111">
        <v>9</v>
      </c>
      <c r="W10" s="108"/>
    </row>
    <row r="11" spans="1:40" ht="21.75" customHeight="1" x14ac:dyDescent="0.2">
      <c r="A11" s="106">
        <v>43475</v>
      </c>
      <c r="B11" s="97">
        <v>9</v>
      </c>
      <c r="C11" s="97">
        <v>9</v>
      </c>
      <c r="D11" s="97">
        <v>9</v>
      </c>
      <c r="E11" s="97">
        <v>9</v>
      </c>
      <c r="F11" s="97">
        <v>9</v>
      </c>
      <c r="G11" s="97">
        <v>9</v>
      </c>
      <c r="H11" s="97">
        <v>9</v>
      </c>
      <c r="I11" s="97">
        <v>9</v>
      </c>
      <c r="J11" s="97">
        <v>9</v>
      </c>
      <c r="K11" s="97">
        <v>9</v>
      </c>
      <c r="L11" s="97">
        <v>9</v>
      </c>
      <c r="M11" s="97">
        <v>9</v>
      </c>
      <c r="N11" s="97">
        <v>9</v>
      </c>
      <c r="O11" s="97">
        <v>9</v>
      </c>
      <c r="P11" s="97">
        <v>9</v>
      </c>
      <c r="Q11" s="97">
        <f t="shared" si="15"/>
        <v>63</v>
      </c>
      <c r="R11" s="104">
        <f t="shared" si="16"/>
        <v>7965</v>
      </c>
      <c r="S11" s="97">
        <f t="shared" si="17"/>
        <v>72</v>
      </c>
      <c r="T11" s="98">
        <f t="shared" si="18"/>
        <v>34.92</v>
      </c>
      <c r="U11" s="98">
        <f t="shared" si="19"/>
        <v>7999.92</v>
      </c>
      <c r="V11" s="111">
        <v>10</v>
      </c>
      <c r="W11" s="108"/>
    </row>
    <row r="12" spans="1:40" ht="21.75" customHeight="1" x14ac:dyDescent="0.2">
      <c r="A12" s="106">
        <v>43476</v>
      </c>
      <c r="B12" s="97">
        <v>9</v>
      </c>
      <c r="C12" s="97">
        <v>9</v>
      </c>
      <c r="D12" s="97">
        <v>9</v>
      </c>
      <c r="E12" s="97">
        <v>9</v>
      </c>
      <c r="F12" s="97">
        <v>9</v>
      </c>
      <c r="G12" s="97">
        <v>9</v>
      </c>
      <c r="H12" s="97">
        <v>9</v>
      </c>
      <c r="I12" s="97">
        <v>9</v>
      </c>
      <c r="J12" s="97">
        <v>9</v>
      </c>
      <c r="K12" s="97">
        <v>9</v>
      </c>
      <c r="L12" s="97">
        <v>9</v>
      </c>
      <c r="M12" s="97">
        <v>9</v>
      </c>
      <c r="N12" s="97">
        <v>9</v>
      </c>
      <c r="O12" s="97">
        <v>9</v>
      </c>
      <c r="P12" s="97">
        <v>9</v>
      </c>
      <c r="Q12" s="97">
        <f t="shared" si="15"/>
        <v>63</v>
      </c>
      <c r="R12" s="104">
        <f t="shared" si="16"/>
        <v>7965</v>
      </c>
      <c r="S12" s="97">
        <f t="shared" si="17"/>
        <v>72</v>
      </c>
      <c r="T12" s="98">
        <f t="shared" si="18"/>
        <v>34.92</v>
      </c>
      <c r="U12" s="98">
        <f t="shared" si="19"/>
        <v>7999.92</v>
      </c>
      <c r="V12" s="111">
        <v>11</v>
      </c>
      <c r="W12" s="108"/>
    </row>
    <row r="13" spans="1:40" ht="21.75" customHeight="1" x14ac:dyDescent="0.2">
      <c r="A13" s="106">
        <v>43477</v>
      </c>
      <c r="B13" s="97">
        <v>9</v>
      </c>
      <c r="C13" s="97">
        <v>9</v>
      </c>
      <c r="D13" s="97">
        <v>9</v>
      </c>
      <c r="E13" s="97">
        <v>9</v>
      </c>
      <c r="F13" s="97">
        <v>9</v>
      </c>
      <c r="G13" s="97">
        <v>9</v>
      </c>
      <c r="H13" s="97">
        <v>9</v>
      </c>
      <c r="I13" s="97">
        <v>9</v>
      </c>
      <c r="J13" s="97">
        <v>9</v>
      </c>
      <c r="K13" s="97">
        <v>9</v>
      </c>
      <c r="L13" s="97">
        <v>9</v>
      </c>
      <c r="M13" s="97">
        <v>9</v>
      </c>
      <c r="N13" s="97">
        <v>9</v>
      </c>
      <c r="O13" s="97">
        <v>9</v>
      </c>
      <c r="P13" s="97">
        <v>9</v>
      </c>
      <c r="Q13" s="97">
        <f t="shared" si="15"/>
        <v>63</v>
      </c>
      <c r="R13" s="104">
        <f t="shared" si="16"/>
        <v>7965</v>
      </c>
      <c r="S13" s="97">
        <f t="shared" si="17"/>
        <v>72</v>
      </c>
      <c r="T13" s="98">
        <f t="shared" si="18"/>
        <v>34.92</v>
      </c>
      <c r="U13" s="98">
        <f t="shared" si="19"/>
        <v>7999.92</v>
      </c>
      <c r="V13" s="111">
        <v>12</v>
      </c>
      <c r="W13" s="108"/>
    </row>
    <row r="14" spans="1:40" ht="21.75" customHeight="1" x14ac:dyDescent="0.2">
      <c r="A14" s="106">
        <v>43478</v>
      </c>
      <c r="B14" s="97">
        <v>9</v>
      </c>
      <c r="C14" s="97">
        <v>9</v>
      </c>
      <c r="D14" s="97">
        <v>9</v>
      </c>
      <c r="E14" s="97">
        <v>9</v>
      </c>
      <c r="F14" s="97">
        <v>9</v>
      </c>
      <c r="G14" s="97">
        <v>9</v>
      </c>
      <c r="H14" s="97">
        <v>9</v>
      </c>
      <c r="I14" s="97">
        <v>9</v>
      </c>
      <c r="J14" s="97">
        <v>9</v>
      </c>
      <c r="K14" s="97">
        <v>9</v>
      </c>
      <c r="L14" s="97">
        <v>9</v>
      </c>
      <c r="M14" s="97">
        <v>9</v>
      </c>
      <c r="N14" s="97">
        <v>9</v>
      </c>
      <c r="O14" s="97">
        <v>9</v>
      </c>
      <c r="P14" s="97">
        <v>9</v>
      </c>
      <c r="Q14" s="97">
        <f t="shared" si="15"/>
        <v>63</v>
      </c>
      <c r="R14" s="104">
        <f t="shared" si="16"/>
        <v>7965</v>
      </c>
      <c r="S14" s="97">
        <f t="shared" si="17"/>
        <v>72</v>
      </c>
      <c r="T14" s="98">
        <f t="shared" si="18"/>
        <v>34.92</v>
      </c>
      <c r="U14" s="98">
        <f t="shared" si="19"/>
        <v>7999.92</v>
      </c>
      <c r="V14" s="111">
        <v>13</v>
      </c>
      <c r="W14" s="108"/>
    </row>
    <row r="15" spans="1:40" ht="21.75" customHeight="1" x14ac:dyDescent="0.2">
      <c r="A15" s="106">
        <v>43479</v>
      </c>
      <c r="B15" s="97">
        <v>9</v>
      </c>
      <c r="C15" s="97">
        <v>9</v>
      </c>
      <c r="D15" s="97">
        <v>9</v>
      </c>
      <c r="E15" s="97">
        <v>9</v>
      </c>
      <c r="F15" s="97">
        <v>9</v>
      </c>
      <c r="G15" s="97">
        <v>9</v>
      </c>
      <c r="H15" s="97">
        <v>9</v>
      </c>
      <c r="I15" s="97">
        <v>9</v>
      </c>
      <c r="J15" s="97">
        <v>9</v>
      </c>
      <c r="K15" s="97">
        <v>9</v>
      </c>
      <c r="L15" s="97">
        <v>9</v>
      </c>
      <c r="M15" s="97">
        <v>9</v>
      </c>
      <c r="N15" s="97">
        <v>9</v>
      </c>
      <c r="O15" s="97">
        <v>9</v>
      </c>
      <c r="P15" s="97">
        <v>9</v>
      </c>
      <c r="Q15" s="97">
        <f t="shared" si="15"/>
        <v>63</v>
      </c>
      <c r="R15" s="104">
        <f t="shared" si="16"/>
        <v>7965</v>
      </c>
      <c r="S15" s="97">
        <f t="shared" si="17"/>
        <v>72</v>
      </c>
      <c r="T15" s="98">
        <f t="shared" si="18"/>
        <v>34.92</v>
      </c>
      <c r="U15" s="98">
        <f t="shared" si="19"/>
        <v>7999.92</v>
      </c>
      <c r="V15" s="111">
        <v>14</v>
      </c>
      <c r="W15" s="108"/>
    </row>
    <row r="16" spans="1:40" ht="21.75" customHeight="1" x14ac:dyDescent="0.2">
      <c r="A16" s="106">
        <v>43480</v>
      </c>
      <c r="B16" s="97">
        <v>9</v>
      </c>
      <c r="C16" s="97">
        <v>9</v>
      </c>
      <c r="D16" s="97">
        <v>9</v>
      </c>
      <c r="E16" s="97">
        <v>9</v>
      </c>
      <c r="F16" s="97">
        <v>9</v>
      </c>
      <c r="G16" s="97">
        <v>9</v>
      </c>
      <c r="H16" s="97">
        <v>9</v>
      </c>
      <c r="I16" s="97">
        <v>9</v>
      </c>
      <c r="J16" s="97">
        <v>9</v>
      </c>
      <c r="K16" s="97">
        <v>9</v>
      </c>
      <c r="L16" s="97">
        <v>9</v>
      </c>
      <c r="M16" s="97">
        <v>9</v>
      </c>
      <c r="N16" s="97">
        <v>9</v>
      </c>
      <c r="O16" s="97">
        <v>9</v>
      </c>
      <c r="P16" s="97">
        <v>9</v>
      </c>
      <c r="Q16" s="97">
        <f t="shared" si="15"/>
        <v>63</v>
      </c>
      <c r="R16" s="104">
        <f t="shared" si="16"/>
        <v>7965</v>
      </c>
      <c r="S16" s="97">
        <f t="shared" si="17"/>
        <v>72</v>
      </c>
      <c r="T16" s="98">
        <f t="shared" si="18"/>
        <v>34.92</v>
      </c>
      <c r="U16" s="98">
        <f t="shared" si="19"/>
        <v>7999.92</v>
      </c>
      <c r="V16" s="111">
        <v>15</v>
      </c>
      <c r="W16" s="108"/>
    </row>
    <row r="17" spans="1:23" ht="21.75" customHeight="1" x14ac:dyDescent="0.2">
      <c r="A17" s="106">
        <v>43481</v>
      </c>
      <c r="B17" s="97">
        <v>9</v>
      </c>
      <c r="C17" s="97">
        <v>9</v>
      </c>
      <c r="D17" s="97">
        <v>9</v>
      </c>
      <c r="E17" s="97">
        <v>9</v>
      </c>
      <c r="F17" s="97">
        <v>9</v>
      </c>
      <c r="G17" s="97">
        <v>9</v>
      </c>
      <c r="H17" s="97">
        <v>9</v>
      </c>
      <c r="I17" s="97">
        <v>9</v>
      </c>
      <c r="J17" s="97">
        <v>9</v>
      </c>
      <c r="K17" s="97">
        <v>9</v>
      </c>
      <c r="L17" s="97">
        <v>9</v>
      </c>
      <c r="M17" s="97">
        <v>9</v>
      </c>
      <c r="N17" s="97">
        <v>9</v>
      </c>
      <c r="O17" s="97">
        <v>9</v>
      </c>
      <c r="P17" s="97">
        <v>9</v>
      </c>
      <c r="Q17" s="97">
        <f t="shared" si="15"/>
        <v>63</v>
      </c>
      <c r="R17" s="104">
        <f t="shared" si="16"/>
        <v>7965</v>
      </c>
      <c r="S17" s="97">
        <f t="shared" si="17"/>
        <v>72</v>
      </c>
      <c r="T17" s="98">
        <f t="shared" si="18"/>
        <v>34.92</v>
      </c>
      <c r="U17" s="98">
        <f t="shared" si="19"/>
        <v>7999.92</v>
      </c>
      <c r="V17" s="111">
        <v>16</v>
      </c>
      <c r="W17" s="108"/>
    </row>
    <row r="18" spans="1:23" ht="21.75" customHeight="1" x14ac:dyDescent="0.2">
      <c r="A18" s="106">
        <v>43482</v>
      </c>
      <c r="B18" s="97">
        <v>9</v>
      </c>
      <c r="C18" s="97">
        <v>9</v>
      </c>
      <c r="D18" s="97">
        <v>9</v>
      </c>
      <c r="E18" s="97">
        <v>9</v>
      </c>
      <c r="F18" s="97">
        <v>9</v>
      </c>
      <c r="G18" s="97">
        <v>9</v>
      </c>
      <c r="H18" s="97">
        <v>9</v>
      </c>
      <c r="I18" s="97">
        <v>9</v>
      </c>
      <c r="J18" s="97">
        <v>9</v>
      </c>
      <c r="K18" s="97">
        <v>9</v>
      </c>
      <c r="L18" s="97">
        <v>9</v>
      </c>
      <c r="M18" s="97">
        <v>9</v>
      </c>
      <c r="N18" s="97">
        <v>9</v>
      </c>
      <c r="O18" s="97">
        <v>9</v>
      </c>
      <c r="P18" s="97">
        <v>9</v>
      </c>
      <c r="Q18" s="97">
        <f t="shared" si="15"/>
        <v>63</v>
      </c>
      <c r="R18" s="104">
        <f t="shared" si="16"/>
        <v>7965</v>
      </c>
      <c r="S18" s="97">
        <f t="shared" si="17"/>
        <v>72</v>
      </c>
      <c r="T18" s="98">
        <f t="shared" si="18"/>
        <v>34.92</v>
      </c>
      <c r="U18" s="98">
        <f t="shared" si="19"/>
        <v>7999.92</v>
      </c>
      <c r="V18" s="111">
        <v>17</v>
      </c>
      <c r="W18" s="108"/>
    </row>
    <row r="19" spans="1:23" ht="21.75" customHeight="1" x14ac:dyDescent="0.2">
      <c r="A19" s="106">
        <v>43483</v>
      </c>
      <c r="B19" s="97">
        <v>9</v>
      </c>
      <c r="C19" s="97">
        <v>9</v>
      </c>
      <c r="D19" s="97">
        <v>9</v>
      </c>
      <c r="E19" s="97">
        <v>9</v>
      </c>
      <c r="F19" s="97">
        <v>9</v>
      </c>
      <c r="G19" s="97">
        <v>9</v>
      </c>
      <c r="H19" s="97">
        <v>9</v>
      </c>
      <c r="I19" s="97">
        <v>9</v>
      </c>
      <c r="J19" s="97">
        <v>9</v>
      </c>
      <c r="K19" s="97">
        <v>9</v>
      </c>
      <c r="L19" s="97">
        <v>9</v>
      </c>
      <c r="M19" s="97">
        <v>9</v>
      </c>
      <c r="N19" s="97">
        <v>9</v>
      </c>
      <c r="O19" s="97">
        <v>9</v>
      </c>
      <c r="P19" s="97">
        <v>9</v>
      </c>
      <c r="Q19" s="97">
        <f t="shared" si="15"/>
        <v>63</v>
      </c>
      <c r="R19" s="104">
        <f t="shared" si="16"/>
        <v>7965</v>
      </c>
      <c r="S19" s="97">
        <f t="shared" si="17"/>
        <v>72</v>
      </c>
      <c r="T19" s="98">
        <f t="shared" si="18"/>
        <v>34.92</v>
      </c>
      <c r="U19" s="98">
        <f t="shared" si="19"/>
        <v>7999.92</v>
      </c>
      <c r="V19" s="111">
        <v>18</v>
      </c>
      <c r="W19" s="108"/>
    </row>
    <row r="20" spans="1:23" ht="21.75" customHeight="1" x14ac:dyDescent="0.2">
      <c r="A20" s="106">
        <v>43484</v>
      </c>
      <c r="B20" s="97">
        <v>9</v>
      </c>
      <c r="C20" s="97">
        <v>9</v>
      </c>
      <c r="D20" s="97">
        <v>9</v>
      </c>
      <c r="E20" s="97">
        <v>9</v>
      </c>
      <c r="F20" s="97">
        <v>9</v>
      </c>
      <c r="G20" s="97">
        <v>9</v>
      </c>
      <c r="H20" s="97">
        <v>9</v>
      </c>
      <c r="I20" s="97">
        <v>9</v>
      </c>
      <c r="J20" s="97">
        <v>9</v>
      </c>
      <c r="K20" s="97">
        <v>9</v>
      </c>
      <c r="L20" s="97">
        <v>9</v>
      </c>
      <c r="M20" s="97">
        <v>9</v>
      </c>
      <c r="N20" s="97">
        <v>9</v>
      </c>
      <c r="O20" s="97">
        <v>9</v>
      </c>
      <c r="P20" s="97">
        <v>9</v>
      </c>
      <c r="Q20" s="97">
        <f t="shared" si="15"/>
        <v>63</v>
      </c>
      <c r="R20" s="104">
        <f t="shared" si="16"/>
        <v>7965</v>
      </c>
      <c r="S20" s="97">
        <f t="shared" si="17"/>
        <v>72</v>
      </c>
      <c r="T20" s="98">
        <f t="shared" si="18"/>
        <v>34.92</v>
      </c>
      <c r="U20" s="98">
        <f t="shared" si="19"/>
        <v>7999.92</v>
      </c>
      <c r="V20" s="111">
        <v>19</v>
      </c>
      <c r="W20" s="108"/>
    </row>
    <row r="21" spans="1:23" ht="21.75" customHeight="1" x14ac:dyDescent="0.2">
      <c r="A21" s="106">
        <v>43485</v>
      </c>
      <c r="B21" s="97">
        <v>9</v>
      </c>
      <c r="C21" s="97">
        <v>9</v>
      </c>
      <c r="D21" s="97">
        <v>9</v>
      </c>
      <c r="E21" s="97">
        <v>9</v>
      </c>
      <c r="F21" s="97">
        <v>9</v>
      </c>
      <c r="G21" s="97">
        <v>9</v>
      </c>
      <c r="H21" s="97">
        <v>9</v>
      </c>
      <c r="I21" s="97">
        <v>9</v>
      </c>
      <c r="J21" s="97">
        <v>9</v>
      </c>
      <c r="K21" s="97">
        <v>9</v>
      </c>
      <c r="L21" s="97">
        <v>9</v>
      </c>
      <c r="M21" s="97">
        <v>9</v>
      </c>
      <c r="N21" s="97">
        <v>9</v>
      </c>
      <c r="O21" s="97">
        <v>9</v>
      </c>
      <c r="P21" s="97">
        <v>9</v>
      </c>
      <c r="Q21" s="97">
        <f t="shared" si="15"/>
        <v>63</v>
      </c>
      <c r="R21" s="104">
        <f t="shared" si="16"/>
        <v>7965</v>
      </c>
      <c r="S21" s="97">
        <f t="shared" si="17"/>
        <v>72</v>
      </c>
      <c r="T21" s="98">
        <f t="shared" si="18"/>
        <v>34.92</v>
      </c>
      <c r="U21" s="98">
        <f t="shared" si="19"/>
        <v>7999.92</v>
      </c>
      <c r="V21" s="111">
        <v>20</v>
      </c>
      <c r="W21" s="108"/>
    </row>
    <row r="22" spans="1:23" ht="21.75" customHeight="1" x14ac:dyDescent="0.2">
      <c r="A22" s="106">
        <v>43486</v>
      </c>
      <c r="B22" s="97">
        <v>9</v>
      </c>
      <c r="C22" s="97">
        <v>9</v>
      </c>
      <c r="D22" s="97">
        <v>9</v>
      </c>
      <c r="E22" s="97">
        <v>9</v>
      </c>
      <c r="F22" s="97">
        <v>9</v>
      </c>
      <c r="G22" s="97">
        <v>9</v>
      </c>
      <c r="H22" s="97">
        <v>9</v>
      </c>
      <c r="I22" s="97">
        <v>9</v>
      </c>
      <c r="J22" s="97">
        <v>9</v>
      </c>
      <c r="K22" s="97">
        <v>9</v>
      </c>
      <c r="L22" s="97">
        <v>9</v>
      </c>
      <c r="M22" s="97">
        <v>9</v>
      </c>
      <c r="N22" s="97">
        <v>9</v>
      </c>
      <c r="O22" s="97">
        <v>9</v>
      </c>
      <c r="P22" s="97">
        <v>9</v>
      </c>
      <c r="Q22" s="97">
        <f t="shared" si="15"/>
        <v>63</v>
      </c>
      <c r="R22" s="104">
        <f t="shared" si="16"/>
        <v>7965</v>
      </c>
      <c r="S22" s="97">
        <f t="shared" si="17"/>
        <v>72</v>
      </c>
      <c r="T22" s="98">
        <f t="shared" si="18"/>
        <v>34.92</v>
      </c>
      <c r="U22" s="98">
        <f t="shared" si="19"/>
        <v>7999.92</v>
      </c>
      <c r="V22" s="111">
        <v>21</v>
      </c>
      <c r="W22" s="108"/>
    </row>
    <row r="23" spans="1:23" ht="21.75" customHeight="1" x14ac:dyDescent="0.2">
      <c r="A23" s="106">
        <v>43487</v>
      </c>
      <c r="B23" s="97">
        <v>9</v>
      </c>
      <c r="C23" s="97">
        <v>9</v>
      </c>
      <c r="D23" s="97">
        <v>9</v>
      </c>
      <c r="E23" s="97">
        <v>9</v>
      </c>
      <c r="F23" s="97">
        <v>9</v>
      </c>
      <c r="G23" s="97">
        <v>9</v>
      </c>
      <c r="H23" s="97">
        <v>9</v>
      </c>
      <c r="I23" s="97">
        <v>9</v>
      </c>
      <c r="J23" s="97">
        <v>9</v>
      </c>
      <c r="K23" s="97">
        <v>9</v>
      </c>
      <c r="L23" s="97">
        <v>9</v>
      </c>
      <c r="M23" s="97">
        <v>9</v>
      </c>
      <c r="N23" s="97">
        <v>9</v>
      </c>
      <c r="O23" s="97">
        <v>9</v>
      </c>
      <c r="P23" s="97">
        <v>9</v>
      </c>
      <c r="Q23" s="97">
        <f t="shared" si="15"/>
        <v>63</v>
      </c>
      <c r="R23" s="104">
        <f t="shared" si="16"/>
        <v>7965</v>
      </c>
      <c r="S23" s="97">
        <f t="shared" si="17"/>
        <v>72</v>
      </c>
      <c r="T23" s="98">
        <f t="shared" si="18"/>
        <v>34.92</v>
      </c>
      <c r="U23" s="98">
        <f t="shared" si="19"/>
        <v>7999.92</v>
      </c>
      <c r="V23" s="111">
        <v>22</v>
      </c>
      <c r="W23" s="108"/>
    </row>
    <row r="24" spans="1:23" ht="21.75" customHeight="1" x14ac:dyDescent="0.2">
      <c r="A24" s="106">
        <v>43488</v>
      </c>
      <c r="B24" s="97">
        <v>9</v>
      </c>
      <c r="C24" s="97">
        <v>9</v>
      </c>
      <c r="D24" s="97">
        <v>9</v>
      </c>
      <c r="E24" s="97">
        <v>9</v>
      </c>
      <c r="F24" s="97">
        <v>9</v>
      </c>
      <c r="G24" s="97">
        <v>9</v>
      </c>
      <c r="H24" s="97">
        <v>9</v>
      </c>
      <c r="I24" s="97">
        <v>9</v>
      </c>
      <c r="J24" s="97">
        <v>9</v>
      </c>
      <c r="K24" s="97">
        <v>9</v>
      </c>
      <c r="L24" s="97">
        <v>9</v>
      </c>
      <c r="M24" s="97">
        <v>9</v>
      </c>
      <c r="N24" s="97">
        <v>9</v>
      </c>
      <c r="O24" s="97">
        <v>9</v>
      </c>
      <c r="P24" s="97">
        <v>9</v>
      </c>
      <c r="Q24" s="97">
        <f t="shared" si="15"/>
        <v>63</v>
      </c>
      <c r="R24" s="104">
        <f t="shared" si="16"/>
        <v>7965</v>
      </c>
      <c r="S24" s="97">
        <f t="shared" si="17"/>
        <v>72</v>
      </c>
      <c r="T24" s="98">
        <f t="shared" si="18"/>
        <v>34.92</v>
      </c>
      <c r="U24" s="98">
        <f t="shared" si="19"/>
        <v>7999.92</v>
      </c>
      <c r="V24" s="111">
        <v>23</v>
      </c>
      <c r="W24" s="108"/>
    </row>
    <row r="25" spans="1:23" ht="21.75" customHeight="1" x14ac:dyDescent="0.2">
      <c r="A25" s="106">
        <v>43489</v>
      </c>
      <c r="B25" s="97">
        <v>9</v>
      </c>
      <c r="C25" s="97">
        <v>9</v>
      </c>
      <c r="D25" s="97">
        <v>9</v>
      </c>
      <c r="E25" s="97">
        <v>9</v>
      </c>
      <c r="F25" s="97">
        <v>9</v>
      </c>
      <c r="G25" s="97">
        <v>9</v>
      </c>
      <c r="H25" s="97">
        <v>9</v>
      </c>
      <c r="I25" s="97">
        <v>9</v>
      </c>
      <c r="J25" s="97">
        <v>9</v>
      </c>
      <c r="K25" s="97">
        <v>9</v>
      </c>
      <c r="L25" s="97">
        <v>9</v>
      </c>
      <c r="M25" s="97">
        <v>9</v>
      </c>
      <c r="N25" s="97">
        <v>9</v>
      </c>
      <c r="O25" s="97">
        <v>9</v>
      </c>
      <c r="P25" s="97">
        <v>9</v>
      </c>
      <c r="Q25" s="97">
        <f t="shared" si="15"/>
        <v>63</v>
      </c>
      <c r="R25" s="104">
        <f t="shared" si="16"/>
        <v>7965</v>
      </c>
      <c r="S25" s="97">
        <f t="shared" si="17"/>
        <v>72</v>
      </c>
      <c r="T25" s="98">
        <f t="shared" si="18"/>
        <v>34.92</v>
      </c>
      <c r="U25" s="98">
        <f t="shared" si="19"/>
        <v>7999.92</v>
      </c>
      <c r="V25" s="111">
        <v>24</v>
      </c>
      <c r="W25" s="108"/>
    </row>
    <row r="26" spans="1:23" ht="21.75" customHeight="1" x14ac:dyDescent="0.2">
      <c r="A26" s="106">
        <v>43490</v>
      </c>
      <c r="B26" s="97">
        <v>9</v>
      </c>
      <c r="C26" s="97">
        <v>9</v>
      </c>
      <c r="D26" s="97">
        <v>9</v>
      </c>
      <c r="E26" s="97">
        <v>9</v>
      </c>
      <c r="F26" s="97">
        <v>9</v>
      </c>
      <c r="G26" s="97">
        <v>9</v>
      </c>
      <c r="H26" s="97">
        <v>9</v>
      </c>
      <c r="I26" s="97">
        <v>9</v>
      </c>
      <c r="J26" s="97">
        <v>9</v>
      </c>
      <c r="K26" s="97">
        <v>9</v>
      </c>
      <c r="L26" s="97">
        <v>9</v>
      </c>
      <c r="M26" s="97">
        <v>9</v>
      </c>
      <c r="N26" s="97">
        <v>9</v>
      </c>
      <c r="O26" s="97">
        <v>9</v>
      </c>
      <c r="P26" s="97">
        <v>9</v>
      </c>
      <c r="Q26" s="97">
        <f t="shared" si="15"/>
        <v>63</v>
      </c>
      <c r="R26" s="104">
        <f t="shared" si="16"/>
        <v>7965</v>
      </c>
      <c r="S26" s="97">
        <f t="shared" si="17"/>
        <v>72</v>
      </c>
      <c r="T26" s="98">
        <f t="shared" si="18"/>
        <v>34.92</v>
      </c>
      <c r="U26" s="98">
        <f t="shared" si="19"/>
        <v>7999.92</v>
      </c>
      <c r="V26" s="111">
        <v>25</v>
      </c>
      <c r="W26" s="108"/>
    </row>
    <row r="27" spans="1:23" ht="21.75" customHeight="1" x14ac:dyDescent="0.2">
      <c r="A27" s="106">
        <v>43491</v>
      </c>
      <c r="B27" s="97">
        <v>9</v>
      </c>
      <c r="C27" s="97">
        <v>9</v>
      </c>
      <c r="D27" s="97">
        <v>9</v>
      </c>
      <c r="E27" s="97">
        <v>9</v>
      </c>
      <c r="F27" s="97">
        <v>9</v>
      </c>
      <c r="G27" s="97">
        <v>9</v>
      </c>
      <c r="H27" s="97">
        <v>9</v>
      </c>
      <c r="I27" s="97">
        <v>9</v>
      </c>
      <c r="J27" s="97">
        <v>9</v>
      </c>
      <c r="K27" s="97">
        <v>9</v>
      </c>
      <c r="L27" s="97">
        <v>9</v>
      </c>
      <c r="M27" s="97">
        <v>9</v>
      </c>
      <c r="N27" s="97">
        <v>9</v>
      </c>
      <c r="O27" s="97">
        <v>9</v>
      </c>
      <c r="P27" s="97">
        <v>9</v>
      </c>
      <c r="Q27" s="97">
        <f t="shared" si="15"/>
        <v>63</v>
      </c>
      <c r="R27" s="104">
        <f t="shared" si="16"/>
        <v>7965</v>
      </c>
      <c r="S27" s="97">
        <f t="shared" si="17"/>
        <v>72</v>
      </c>
      <c r="T27" s="98">
        <f t="shared" si="18"/>
        <v>34.92</v>
      </c>
      <c r="U27" s="98">
        <f t="shared" si="19"/>
        <v>7999.92</v>
      </c>
      <c r="V27" s="111">
        <v>26</v>
      </c>
      <c r="W27" s="108"/>
    </row>
    <row r="28" spans="1:23" ht="21.75" customHeight="1" x14ac:dyDescent="0.2">
      <c r="A28" s="106">
        <v>43492</v>
      </c>
      <c r="B28" s="97">
        <v>9</v>
      </c>
      <c r="C28" s="97">
        <v>9</v>
      </c>
      <c r="D28" s="97">
        <v>9</v>
      </c>
      <c r="E28" s="97">
        <v>9</v>
      </c>
      <c r="F28" s="97">
        <v>9</v>
      </c>
      <c r="G28" s="97">
        <v>9</v>
      </c>
      <c r="H28" s="97">
        <v>9</v>
      </c>
      <c r="I28" s="97">
        <v>9</v>
      </c>
      <c r="J28" s="97">
        <v>9</v>
      </c>
      <c r="K28" s="97">
        <v>9</v>
      </c>
      <c r="L28" s="97">
        <v>9</v>
      </c>
      <c r="M28" s="97">
        <v>9</v>
      </c>
      <c r="N28" s="97">
        <v>9</v>
      </c>
      <c r="O28" s="97">
        <v>9</v>
      </c>
      <c r="P28" s="97">
        <v>9</v>
      </c>
      <c r="Q28" s="97">
        <f t="shared" si="15"/>
        <v>63</v>
      </c>
      <c r="R28" s="104">
        <f t="shared" si="16"/>
        <v>7965</v>
      </c>
      <c r="S28" s="97">
        <f t="shared" si="17"/>
        <v>72</v>
      </c>
      <c r="T28" s="98">
        <f t="shared" si="18"/>
        <v>34.92</v>
      </c>
      <c r="U28" s="98">
        <f t="shared" si="19"/>
        <v>7999.92</v>
      </c>
      <c r="V28" s="111">
        <v>27</v>
      </c>
      <c r="W28" s="108"/>
    </row>
    <row r="29" spans="1:23" ht="21.75" customHeight="1" x14ac:dyDescent="0.2">
      <c r="A29" s="106">
        <v>43493</v>
      </c>
      <c r="B29" s="97">
        <v>9</v>
      </c>
      <c r="C29" s="97">
        <v>9</v>
      </c>
      <c r="D29" s="97">
        <v>9</v>
      </c>
      <c r="E29" s="97">
        <v>9</v>
      </c>
      <c r="F29" s="97">
        <v>9</v>
      </c>
      <c r="G29" s="97">
        <v>9</v>
      </c>
      <c r="H29" s="97">
        <v>9</v>
      </c>
      <c r="I29" s="97">
        <v>9</v>
      </c>
      <c r="J29" s="97">
        <v>9</v>
      </c>
      <c r="K29" s="97">
        <v>9</v>
      </c>
      <c r="L29" s="97">
        <v>9</v>
      </c>
      <c r="M29" s="97">
        <v>9</v>
      </c>
      <c r="N29" s="97">
        <v>9</v>
      </c>
      <c r="O29" s="97">
        <v>9</v>
      </c>
      <c r="P29" s="97">
        <v>9</v>
      </c>
      <c r="Q29" s="97">
        <f t="shared" si="15"/>
        <v>63</v>
      </c>
      <c r="R29" s="104">
        <f t="shared" si="16"/>
        <v>7965</v>
      </c>
      <c r="S29" s="97">
        <f t="shared" si="17"/>
        <v>72</v>
      </c>
      <c r="T29" s="98">
        <f t="shared" si="18"/>
        <v>34.92</v>
      </c>
      <c r="U29" s="98">
        <f t="shared" si="19"/>
        <v>7999.92</v>
      </c>
      <c r="V29" s="111">
        <v>28</v>
      </c>
      <c r="W29" s="108"/>
    </row>
    <row r="30" spans="1:23" ht="21.75" customHeight="1" x14ac:dyDescent="0.2">
      <c r="A30" s="106">
        <v>43494</v>
      </c>
      <c r="B30" s="97">
        <v>9</v>
      </c>
      <c r="C30" s="97">
        <v>9</v>
      </c>
      <c r="D30" s="97">
        <v>9</v>
      </c>
      <c r="E30" s="97">
        <v>9</v>
      </c>
      <c r="F30" s="97">
        <v>9</v>
      </c>
      <c r="G30" s="97">
        <v>9</v>
      </c>
      <c r="H30" s="97">
        <v>9</v>
      </c>
      <c r="I30" s="97">
        <v>9</v>
      </c>
      <c r="J30" s="97">
        <v>9</v>
      </c>
      <c r="K30" s="97">
        <v>9</v>
      </c>
      <c r="L30" s="97">
        <v>9</v>
      </c>
      <c r="M30" s="97">
        <v>9</v>
      </c>
      <c r="N30" s="97">
        <v>9</v>
      </c>
      <c r="O30" s="97">
        <v>9</v>
      </c>
      <c r="P30" s="97">
        <v>9</v>
      </c>
      <c r="Q30" s="97">
        <f t="shared" si="15"/>
        <v>63</v>
      </c>
      <c r="R30" s="104">
        <f t="shared" si="16"/>
        <v>7965</v>
      </c>
      <c r="S30" s="97">
        <f t="shared" si="17"/>
        <v>72</v>
      </c>
      <c r="T30" s="98">
        <f t="shared" si="18"/>
        <v>34.92</v>
      </c>
      <c r="U30" s="98">
        <f t="shared" si="19"/>
        <v>7999.92</v>
      </c>
      <c r="V30" s="111">
        <v>29</v>
      </c>
      <c r="W30" s="108"/>
    </row>
    <row r="31" spans="1:23" ht="21.75" customHeight="1" x14ac:dyDescent="0.2">
      <c r="A31" s="106">
        <v>43495</v>
      </c>
      <c r="B31" s="97">
        <v>9</v>
      </c>
      <c r="C31" s="97">
        <v>9</v>
      </c>
      <c r="D31" s="97">
        <v>9</v>
      </c>
      <c r="E31" s="97">
        <v>9</v>
      </c>
      <c r="F31" s="97">
        <v>9</v>
      </c>
      <c r="G31" s="97">
        <v>9</v>
      </c>
      <c r="H31" s="97">
        <v>9</v>
      </c>
      <c r="I31" s="97">
        <v>9</v>
      </c>
      <c r="J31" s="97">
        <v>9</v>
      </c>
      <c r="K31" s="97">
        <v>9</v>
      </c>
      <c r="L31" s="97">
        <v>9</v>
      </c>
      <c r="M31" s="97">
        <v>9</v>
      </c>
      <c r="N31" s="97">
        <v>9</v>
      </c>
      <c r="O31" s="97">
        <v>9</v>
      </c>
      <c r="P31" s="97">
        <v>9</v>
      </c>
      <c r="Q31" s="97">
        <f t="shared" si="15"/>
        <v>63</v>
      </c>
      <c r="R31" s="104">
        <f t="shared" si="16"/>
        <v>7965</v>
      </c>
      <c r="S31" s="97">
        <f t="shared" si="17"/>
        <v>72</v>
      </c>
      <c r="T31" s="98">
        <f t="shared" si="18"/>
        <v>34.92</v>
      </c>
      <c r="U31" s="98">
        <f t="shared" si="19"/>
        <v>7999.92</v>
      </c>
      <c r="V31" s="111">
        <v>30</v>
      </c>
      <c r="W31" s="108"/>
    </row>
    <row r="32" spans="1:23" ht="21.75" customHeight="1" x14ac:dyDescent="0.2">
      <c r="A32" s="106">
        <v>43496</v>
      </c>
      <c r="B32" s="97">
        <v>9</v>
      </c>
      <c r="C32" s="97">
        <v>9</v>
      </c>
      <c r="D32" s="97">
        <v>9</v>
      </c>
      <c r="E32" s="97">
        <v>9</v>
      </c>
      <c r="F32" s="97">
        <v>9</v>
      </c>
      <c r="G32" s="97">
        <v>9</v>
      </c>
      <c r="H32" s="97">
        <v>9</v>
      </c>
      <c r="I32" s="97">
        <v>9</v>
      </c>
      <c r="J32" s="97">
        <v>9</v>
      </c>
      <c r="K32" s="97">
        <v>9</v>
      </c>
      <c r="L32" s="97">
        <v>9</v>
      </c>
      <c r="M32" s="97">
        <v>9</v>
      </c>
      <c r="N32" s="97">
        <v>9</v>
      </c>
      <c r="O32" s="97">
        <v>9</v>
      </c>
      <c r="P32" s="97">
        <v>9</v>
      </c>
      <c r="Q32" s="97">
        <f t="shared" si="15"/>
        <v>63</v>
      </c>
      <c r="R32" s="104">
        <f t="shared" si="16"/>
        <v>7965</v>
      </c>
      <c r="S32" s="97">
        <f t="shared" si="17"/>
        <v>72</v>
      </c>
      <c r="T32" s="98">
        <f t="shared" si="18"/>
        <v>34.92</v>
      </c>
      <c r="U32" s="98">
        <f t="shared" si="19"/>
        <v>7999.92</v>
      </c>
      <c r="V32" s="111">
        <v>31</v>
      </c>
      <c r="W32" s="108"/>
    </row>
    <row r="33" spans="1:23" ht="21.75" customHeight="1" x14ac:dyDescent="0.2">
      <c r="A33" s="106">
        <v>43497</v>
      </c>
      <c r="B33" s="97">
        <v>9</v>
      </c>
      <c r="C33" s="97">
        <v>9</v>
      </c>
      <c r="D33" s="97">
        <v>9</v>
      </c>
      <c r="E33" s="97">
        <v>9</v>
      </c>
      <c r="F33" s="97">
        <v>9</v>
      </c>
      <c r="G33" s="97">
        <v>9</v>
      </c>
      <c r="H33" s="97">
        <v>9</v>
      </c>
      <c r="I33" s="97">
        <v>9</v>
      </c>
      <c r="J33" s="97">
        <v>9</v>
      </c>
      <c r="K33" s="97">
        <v>9</v>
      </c>
      <c r="L33" s="97">
        <v>9</v>
      </c>
      <c r="M33" s="97">
        <v>9</v>
      </c>
      <c r="N33" s="97">
        <v>9</v>
      </c>
      <c r="O33" s="97">
        <v>9</v>
      </c>
      <c r="P33" s="97">
        <v>9</v>
      </c>
      <c r="Q33" s="97">
        <f t="shared" si="15"/>
        <v>63</v>
      </c>
      <c r="R33" s="104">
        <f t="shared" si="16"/>
        <v>7965</v>
      </c>
      <c r="S33" s="97">
        <f t="shared" si="17"/>
        <v>72</v>
      </c>
      <c r="T33" s="98">
        <f t="shared" si="18"/>
        <v>34.92</v>
      </c>
      <c r="U33" s="98">
        <f t="shared" si="19"/>
        <v>7999.92</v>
      </c>
      <c r="V33" s="111">
        <v>32</v>
      </c>
      <c r="W33" s="108"/>
    </row>
    <row r="34" spans="1:23" ht="21.75" customHeight="1" x14ac:dyDescent="0.2">
      <c r="A34" s="106">
        <v>43498</v>
      </c>
      <c r="B34" s="97">
        <v>9</v>
      </c>
      <c r="C34" s="97">
        <v>9</v>
      </c>
      <c r="D34" s="97">
        <v>9</v>
      </c>
      <c r="E34" s="97">
        <v>9</v>
      </c>
      <c r="F34" s="97">
        <v>9</v>
      </c>
      <c r="G34" s="97">
        <v>9</v>
      </c>
      <c r="H34" s="97">
        <v>9</v>
      </c>
      <c r="I34" s="97">
        <v>9</v>
      </c>
      <c r="J34" s="97">
        <v>9</v>
      </c>
      <c r="K34" s="97">
        <v>9</v>
      </c>
      <c r="L34" s="97">
        <v>9</v>
      </c>
      <c r="M34" s="97">
        <v>9</v>
      </c>
      <c r="N34" s="97">
        <v>9</v>
      </c>
      <c r="O34" s="97">
        <v>9</v>
      </c>
      <c r="P34" s="97">
        <v>9</v>
      </c>
      <c r="Q34" s="97">
        <f t="shared" si="15"/>
        <v>63</v>
      </c>
      <c r="R34" s="104">
        <f t="shared" si="16"/>
        <v>7965</v>
      </c>
      <c r="S34" s="97">
        <f t="shared" si="17"/>
        <v>72</v>
      </c>
      <c r="T34" s="98">
        <f t="shared" si="18"/>
        <v>34.92</v>
      </c>
      <c r="U34" s="98">
        <f t="shared" si="19"/>
        <v>7999.92</v>
      </c>
      <c r="V34" s="111">
        <v>33</v>
      </c>
      <c r="W34" s="108"/>
    </row>
    <row r="35" spans="1:23" ht="21.75" customHeight="1" x14ac:dyDescent="0.2">
      <c r="A35" s="106">
        <v>43499</v>
      </c>
      <c r="B35" s="97">
        <v>9</v>
      </c>
      <c r="C35" s="97">
        <v>9</v>
      </c>
      <c r="D35" s="97">
        <v>9</v>
      </c>
      <c r="E35" s="97">
        <v>9</v>
      </c>
      <c r="F35" s="97">
        <v>9</v>
      </c>
      <c r="G35" s="97">
        <v>9</v>
      </c>
      <c r="H35" s="97">
        <v>9</v>
      </c>
      <c r="I35" s="97">
        <v>9</v>
      </c>
      <c r="J35" s="97">
        <v>9</v>
      </c>
      <c r="K35" s="97">
        <v>9</v>
      </c>
      <c r="L35" s="97">
        <v>9</v>
      </c>
      <c r="M35" s="97">
        <v>9</v>
      </c>
      <c r="N35" s="97">
        <v>9</v>
      </c>
      <c r="O35" s="97">
        <v>9</v>
      </c>
      <c r="P35" s="97">
        <v>9</v>
      </c>
      <c r="Q35" s="97">
        <f t="shared" si="15"/>
        <v>63</v>
      </c>
      <c r="R35" s="104">
        <f t="shared" si="16"/>
        <v>7965</v>
      </c>
      <c r="S35" s="97">
        <f t="shared" si="17"/>
        <v>72</v>
      </c>
      <c r="T35" s="98">
        <f t="shared" si="18"/>
        <v>34.92</v>
      </c>
      <c r="U35" s="98">
        <f t="shared" si="19"/>
        <v>7999.92</v>
      </c>
      <c r="V35" s="111">
        <v>34</v>
      </c>
      <c r="W35" s="108"/>
    </row>
    <row r="36" spans="1:23" ht="21.75" customHeight="1" x14ac:dyDescent="0.2">
      <c r="A36" s="106">
        <v>43500</v>
      </c>
      <c r="B36" s="97">
        <v>9</v>
      </c>
      <c r="C36" s="97">
        <v>9</v>
      </c>
      <c r="D36" s="97">
        <v>9</v>
      </c>
      <c r="E36" s="97">
        <v>9</v>
      </c>
      <c r="F36" s="97">
        <v>9</v>
      </c>
      <c r="G36" s="97">
        <v>9</v>
      </c>
      <c r="H36" s="97">
        <v>9</v>
      </c>
      <c r="I36" s="97">
        <v>9</v>
      </c>
      <c r="J36" s="97">
        <v>9</v>
      </c>
      <c r="K36" s="97">
        <v>9</v>
      </c>
      <c r="L36" s="97">
        <v>9</v>
      </c>
      <c r="M36" s="97">
        <v>9</v>
      </c>
      <c r="N36" s="97">
        <v>9</v>
      </c>
      <c r="O36" s="97">
        <v>9</v>
      </c>
      <c r="P36" s="97">
        <v>9</v>
      </c>
      <c r="Q36" s="97">
        <f t="shared" si="15"/>
        <v>63</v>
      </c>
      <c r="R36" s="104">
        <f t="shared" si="16"/>
        <v>7965</v>
      </c>
      <c r="S36" s="97">
        <f t="shared" si="17"/>
        <v>72</v>
      </c>
      <c r="T36" s="98">
        <f t="shared" si="18"/>
        <v>34.92</v>
      </c>
      <c r="U36" s="98">
        <f t="shared" si="19"/>
        <v>7999.92</v>
      </c>
      <c r="V36" s="111">
        <v>35</v>
      </c>
      <c r="W36" s="108"/>
    </row>
    <row r="37" spans="1:23" ht="21.75" customHeight="1" x14ac:dyDescent="0.2">
      <c r="A37" s="106">
        <v>43501</v>
      </c>
      <c r="B37" s="97">
        <v>9</v>
      </c>
      <c r="C37" s="97">
        <v>9</v>
      </c>
      <c r="D37" s="97">
        <v>9</v>
      </c>
      <c r="E37" s="97">
        <v>9</v>
      </c>
      <c r="F37" s="97">
        <v>9</v>
      </c>
      <c r="G37" s="97">
        <v>9</v>
      </c>
      <c r="H37" s="97">
        <v>9</v>
      </c>
      <c r="I37" s="97">
        <v>9</v>
      </c>
      <c r="J37" s="97">
        <v>9</v>
      </c>
      <c r="K37" s="97">
        <v>9</v>
      </c>
      <c r="L37" s="97">
        <v>9</v>
      </c>
      <c r="M37" s="97">
        <v>9</v>
      </c>
      <c r="N37" s="97">
        <v>9</v>
      </c>
      <c r="O37" s="97">
        <v>9</v>
      </c>
      <c r="P37" s="97">
        <v>9</v>
      </c>
      <c r="Q37" s="97">
        <f t="shared" si="15"/>
        <v>63</v>
      </c>
      <c r="R37" s="104">
        <f t="shared" si="16"/>
        <v>7965</v>
      </c>
      <c r="S37" s="97">
        <f t="shared" si="17"/>
        <v>72</v>
      </c>
      <c r="T37" s="98">
        <f t="shared" si="18"/>
        <v>34.92</v>
      </c>
      <c r="U37" s="98">
        <f t="shared" si="19"/>
        <v>7999.92</v>
      </c>
      <c r="V37" s="111">
        <v>36</v>
      </c>
      <c r="W37" s="108"/>
    </row>
    <row r="38" spans="1:23" ht="21.75" customHeight="1" x14ac:dyDescent="0.2">
      <c r="A38" s="106">
        <v>43502</v>
      </c>
      <c r="B38" s="97">
        <v>9</v>
      </c>
      <c r="C38" s="97">
        <v>9</v>
      </c>
      <c r="D38" s="97">
        <v>9</v>
      </c>
      <c r="E38" s="97">
        <v>9</v>
      </c>
      <c r="F38" s="97">
        <v>9</v>
      </c>
      <c r="G38" s="97">
        <v>9</v>
      </c>
      <c r="H38" s="97">
        <v>9</v>
      </c>
      <c r="I38" s="97">
        <v>9</v>
      </c>
      <c r="J38" s="97">
        <v>9</v>
      </c>
      <c r="K38" s="97">
        <v>9</v>
      </c>
      <c r="L38" s="97">
        <v>9</v>
      </c>
      <c r="M38" s="97">
        <v>9</v>
      </c>
      <c r="N38" s="97">
        <v>9</v>
      </c>
      <c r="O38" s="97">
        <v>9</v>
      </c>
      <c r="P38" s="97">
        <v>9</v>
      </c>
      <c r="Q38" s="97">
        <f t="shared" si="15"/>
        <v>63</v>
      </c>
      <c r="R38" s="104">
        <f t="shared" si="16"/>
        <v>7965</v>
      </c>
      <c r="S38" s="97">
        <f t="shared" si="17"/>
        <v>72</v>
      </c>
      <c r="T38" s="98">
        <f t="shared" si="18"/>
        <v>34.92</v>
      </c>
      <c r="U38" s="98">
        <f t="shared" si="19"/>
        <v>7999.92</v>
      </c>
      <c r="V38" s="111">
        <v>37</v>
      </c>
      <c r="W38" s="108"/>
    </row>
    <row r="39" spans="1:23" ht="21.75" customHeight="1" x14ac:dyDescent="0.2">
      <c r="A39" s="106">
        <v>43503</v>
      </c>
      <c r="B39" s="97">
        <v>9</v>
      </c>
      <c r="C39" s="97">
        <v>9</v>
      </c>
      <c r="D39" s="97">
        <v>9</v>
      </c>
      <c r="E39" s="97">
        <v>9</v>
      </c>
      <c r="F39" s="97">
        <v>9</v>
      </c>
      <c r="G39" s="97">
        <v>9</v>
      </c>
      <c r="H39" s="97">
        <v>9</v>
      </c>
      <c r="I39" s="97">
        <v>9</v>
      </c>
      <c r="J39" s="97">
        <v>9</v>
      </c>
      <c r="K39" s="97">
        <v>9</v>
      </c>
      <c r="L39" s="97">
        <v>9</v>
      </c>
      <c r="M39" s="97">
        <v>9</v>
      </c>
      <c r="N39" s="97">
        <v>9</v>
      </c>
      <c r="O39" s="97">
        <v>9</v>
      </c>
      <c r="P39" s="97">
        <v>9</v>
      </c>
      <c r="Q39" s="97">
        <f t="shared" si="15"/>
        <v>63</v>
      </c>
      <c r="R39" s="104">
        <f t="shared" si="16"/>
        <v>7965</v>
      </c>
      <c r="S39" s="97">
        <f t="shared" si="17"/>
        <v>72</v>
      </c>
      <c r="T39" s="98">
        <f t="shared" si="18"/>
        <v>34.92</v>
      </c>
      <c r="U39" s="98">
        <f t="shared" si="19"/>
        <v>7999.92</v>
      </c>
      <c r="V39" s="111">
        <v>38</v>
      </c>
      <c r="W39" s="108"/>
    </row>
    <row r="40" spans="1:23" ht="21.75" customHeight="1" x14ac:dyDescent="0.2">
      <c r="A40" s="106">
        <v>43504</v>
      </c>
      <c r="B40" s="97">
        <v>9</v>
      </c>
      <c r="C40" s="97">
        <v>9</v>
      </c>
      <c r="D40" s="97">
        <v>9</v>
      </c>
      <c r="E40" s="97">
        <v>9</v>
      </c>
      <c r="F40" s="97">
        <v>9</v>
      </c>
      <c r="G40" s="97">
        <v>9</v>
      </c>
      <c r="H40" s="97">
        <v>9</v>
      </c>
      <c r="I40" s="97">
        <v>9</v>
      </c>
      <c r="J40" s="97">
        <v>9</v>
      </c>
      <c r="K40" s="97">
        <v>9</v>
      </c>
      <c r="L40" s="97">
        <v>9</v>
      </c>
      <c r="M40" s="97">
        <v>9</v>
      </c>
      <c r="N40" s="97">
        <v>9</v>
      </c>
      <c r="O40" s="97">
        <v>9</v>
      </c>
      <c r="P40" s="97">
        <v>9</v>
      </c>
      <c r="Q40" s="97">
        <f t="shared" si="15"/>
        <v>63</v>
      </c>
      <c r="R40" s="104">
        <f t="shared" si="16"/>
        <v>7965</v>
      </c>
      <c r="S40" s="97">
        <f t="shared" si="17"/>
        <v>72</v>
      </c>
      <c r="T40" s="98">
        <f t="shared" si="18"/>
        <v>34.92</v>
      </c>
      <c r="U40" s="98">
        <f t="shared" si="19"/>
        <v>7999.92</v>
      </c>
      <c r="V40" s="111">
        <v>39</v>
      </c>
      <c r="W40" s="108"/>
    </row>
    <row r="41" spans="1:23" ht="21.75" customHeight="1" x14ac:dyDescent="0.2">
      <c r="A41" s="106">
        <v>43505</v>
      </c>
      <c r="B41" s="97">
        <v>9</v>
      </c>
      <c r="C41" s="97">
        <v>9</v>
      </c>
      <c r="D41" s="97">
        <v>9</v>
      </c>
      <c r="E41" s="97">
        <v>9</v>
      </c>
      <c r="F41" s="97">
        <v>9</v>
      </c>
      <c r="G41" s="97">
        <v>9</v>
      </c>
      <c r="H41" s="97">
        <v>9</v>
      </c>
      <c r="I41" s="97">
        <v>9</v>
      </c>
      <c r="J41" s="97">
        <v>9</v>
      </c>
      <c r="K41" s="97">
        <v>9</v>
      </c>
      <c r="L41" s="97">
        <v>9</v>
      </c>
      <c r="M41" s="97">
        <v>9</v>
      </c>
      <c r="N41" s="97">
        <v>9</v>
      </c>
      <c r="O41" s="97">
        <v>9</v>
      </c>
      <c r="P41" s="97">
        <v>9</v>
      </c>
      <c r="Q41" s="97">
        <f t="shared" si="15"/>
        <v>63</v>
      </c>
      <c r="R41" s="104">
        <f t="shared" si="16"/>
        <v>7965</v>
      </c>
      <c r="S41" s="97">
        <f t="shared" si="17"/>
        <v>72</v>
      </c>
      <c r="T41" s="98">
        <f t="shared" si="18"/>
        <v>34.92</v>
      </c>
      <c r="U41" s="98">
        <f t="shared" si="19"/>
        <v>7999.92</v>
      </c>
      <c r="V41" s="111">
        <v>40</v>
      </c>
      <c r="W41" s="108"/>
    </row>
    <row r="42" spans="1:23" ht="21.75" customHeight="1" x14ac:dyDescent="0.2">
      <c r="A42" s="106">
        <v>43506</v>
      </c>
      <c r="B42" s="97">
        <v>9</v>
      </c>
      <c r="C42" s="97">
        <v>9</v>
      </c>
      <c r="D42" s="97">
        <v>9</v>
      </c>
      <c r="E42" s="97">
        <v>9</v>
      </c>
      <c r="F42" s="97">
        <v>9</v>
      </c>
      <c r="G42" s="97">
        <v>9</v>
      </c>
      <c r="H42" s="97">
        <v>9</v>
      </c>
      <c r="I42" s="97">
        <v>9</v>
      </c>
      <c r="J42" s="97">
        <v>9</v>
      </c>
      <c r="K42" s="97">
        <v>9</v>
      </c>
      <c r="L42" s="97">
        <v>9</v>
      </c>
      <c r="M42" s="97">
        <v>9</v>
      </c>
      <c r="N42" s="97">
        <v>9</v>
      </c>
      <c r="O42" s="97">
        <v>9</v>
      </c>
      <c r="P42" s="97">
        <v>9</v>
      </c>
      <c r="Q42" s="97">
        <f t="shared" si="15"/>
        <v>63</v>
      </c>
      <c r="R42" s="104">
        <f t="shared" si="16"/>
        <v>7965</v>
      </c>
      <c r="S42" s="97">
        <f t="shared" si="17"/>
        <v>72</v>
      </c>
      <c r="T42" s="98">
        <f t="shared" si="18"/>
        <v>34.92</v>
      </c>
      <c r="U42" s="98">
        <f t="shared" si="19"/>
        <v>7999.92</v>
      </c>
      <c r="V42" s="111">
        <v>41</v>
      </c>
      <c r="W42" s="108"/>
    </row>
    <row r="43" spans="1:23" ht="21.75" customHeight="1" x14ac:dyDescent="0.2">
      <c r="A43" s="106">
        <v>43507</v>
      </c>
      <c r="B43" s="97">
        <v>9</v>
      </c>
      <c r="C43" s="97">
        <v>9</v>
      </c>
      <c r="D43" s="97">
        <v>9</v>
      </c>
      <c r="E43" s="97">
        <v>9</v>
      </c>
      <c r="F43" s="97">
        <v>9</v>
      </c>
      <c r="G43" s="97">
        <v>9</v>
      </c>
      <c r="H43" s="97">
        <v>9</v>
      </c>
      <c r="I43" s="97">
        <v>9</v>
      </c>
      <c r="J43" s="97">
        <v>9</v>
      </c>
      <c r="K43" s="97">
        <v>9</v>
      </c>
      <c r="L43" s="97">
        <v>9</v>
      </c>
      <c r="M43" s="97">
        <v>9</v>
      </c>
      <c r="N43" s="97">
        <v>9</v>
      </c>
      <c r="O43" s="97">
        <v>9</v>
      </c>
      <c r="P43" s="97">
        <v>9</v>
      </c>
      <c r="Q43" s="97">
        <f t="shared" si="15"/>
        <v>63</v>
      </c>
      <c r="R43" s="104">
        <f t="shared" si="16"/>
        <v>7965</v>
      </c>
      <c r="S43" s="97">
        <f t="shared" si="17"/>
        <v>72</v>
      </c>
      <c r="T43" s="98">
        <f t="shared" si="18"/>
        <v>34.92</v>
      </c>
      <c r="U43" s="98">
        <f t="shared" si="19"/>
        <v>7999.92</v>
      </c>
      <c r="V43" s="111">
        <v>42</v>
      </c>
      <c r="W43" s="108"/>
    </row>
    <row r="44" spans="1:23" ht="21.75" customHeight="1" x14ac:dyDescent="0.2">
      <c r="A44" s="106">
        <v>43508</v>
      </c>
      <c r="B44" s="97">
        <v>9</v>
      </c>
      <c r="C44" s="97">
        <v>9</v>
      </c>
      <c r="D44" s="97">
        <v>9</v>
      </c>
      <c r="E44" s="97">
        <v>9</v>
      </c>
      <c r="F44" s="97">
        <v>9</v>
      </c>
      <c r="G44" s="97">
        <v>9</v>
      </c>
      <c r="H44" s="97">
        <v>9</v>
      </c>
      <c r="I44" s="97">
        <v>9</v>
      </c>
      <c r="J44" s="97">
        <v>9</v>
      </c>
      <c r="K44" s="97">
        <v>9</v>
      </c>
      <c r="L44" s="97">
        <v>9</v>
      </c>
      <c r="M44" s="97">
        <v>9</v>
      </c>
      <c r="N44" s="97">
        <v>9</v>
      </c>
      <c r="O44" s="97">
        <v>9</v>
      </c>
      <c r="P44" s="97">
        <v>9</v>
      </c>
      <c r="Q44" s="97">
        <f t="shared" si="15"/>
        <v>63</v>
      </c>
      <c r="R44" s="104">
        <f t="shared" si="16"/>
        <v>7965</v>
      </c>
      <c r="S44" s="97">
        <f t="shared" si="17"/>
        <v>72</v>
      </c>
      <c r="T44" s="98">
        <f t="shared" si="18"/>
        <v>34.92</v>
      </c>
      <c r="U44" s="98">
        <f t="shared" si="19"/>
        <v>7999.92</v>
      </c>
      <c r="V44" s="111">
        <v>43</v>
      </c>
      <c r="W44" s="108"/>
    </row>
    <row r="45" spans="1:23" ht="21.75" customHeight="1" x14ac:dyDescent="0.2">
      <c r="A45" s="106">
        <v>43509</v>
      </c>
      <c r="B45" s="97">
        <v>9</v>
      </c>
      <c r="C45" s="97">
        <v>9</v>
      </c>
      <c r="D45" s="97">
        <v>9</v>
      </c>
      <c r="E45" s="97">
        <v>9</v>
      </c>
      <c r="F45" s="97">
        <v>9</v>
      </c>
      <c r="G45" s="97">
        <v>9</v>
      </c>
      <c r="H45" s="97">
        <v>9</v>
      </c>
      <c r="I45" s="97">
        <v>9</v>
      </c>
      <c r="J45" s="97">
        <v>9</v>
      </c>
      <c r="K45" s="97">
        <v>9</v>
      </c>
      <c r="L45" s="97">
        <v>9</v>
      </c>
      <c r="M45" s="97">
        <v>9</v>
      </c>
      <c r="N45" s="97">
        <v>9</v>
      </c>
      <c r="O45" s="97">
        <v>9</v>
      </c>
      <c r="P45" s="97">
        <v>9</v>
      </c>
      <c r="Q45" s="97">
        <f t="shared" si="15"/>
        <v>63</v>
      </c>
      <c r="R45" s="104">
        <f t="shared" si="16"/>
        <v>7965</v>
      </c>
      <c r="S45" s="97">
        <f t="shared" si="17"/>
        <v>72</v>
      </c>
      <c r="T45" s="98">
        <f t="shared" si="18"/>
        <v>34.92</v>
      </c>
      <c r="U45" s="98">
        <f t="shared" si="19"/>
        <v>7999.92</v>
      </c>
      <c r="V45" s="111">
        <v>44</v>
      </c>
      <c r="W45" s="108"/>
    </row>
    <row r="46" spans="1:23" ht="21.75" customHeight="1" x14ac:dyDescent="0.2">
      <c r="A46" s="106">
        <v>43510</v>
      </c>
      <c r="B46" s="97">
        <v>9</v>
      </c>
      <c r="C46" s="97">
        <v>9</v>
      </c>
      <c r="D46" s="97">
        <v>9</v>
      </c>
      <c r="E46" s="97">
        <v>9</v>
      </c>
      <c r="F46" s="97">
        <v>9</v>
      </c>
      <c r="G46" s="97">
        <v>9</v>
      </c>
      <c r="H46" s="97">
        <v>9</v>
      </c>
      <c r="I46" s="97">
        <v>9</v>
      </c>
      <c r="J46" s="97">
        <v>9</v>
      </c>
      <c r="K46" s="97">
        <v>9</v>
      </c>
      <c r="L46" s="97">
        <v>9</v>
      </c>
      <c r="M46" s="97">
        <v>9</v>
      </c>
      <c r="N46" s="97">
        <v>9</v>
      </c>
      <c r="O46" s="97">
        <v>9</v>
      </c>
      <c r="P46" s="97">
        <v>9</v>
      </c>
      <c r="Q46" s="97">
        <f t="shared" si="15"/>
        <v>63</v>
      </c>
      <c r="R46" s="104">
        <f t="shared" si="16"/>
        <v>7965</v>
      </c>
      <c r="S46" s="97">
        <f t="shared" si="17"/>
        <v>72</v>
      </c>
      <c r="T46" s="98">
        <f t="shared" si="18"/>
        <v>34.92</v>
      </c>
      <c r="U46" s="98">
        <f t="shared" si="19"/>
        <v>7999.92</v>
      </c>
      <c r="V46" s="111">
        <v>45</v>
      </c>
      <c r="W46" s="108"/>
    </row>
    <row r="47" spans="1:23" ht="21.75" customHeight="1" x14ac:dyDescent="0.2">
      <c r="A47" s="106">
        <v>43511</v>
      </c>
      <c r="B47" s="97">
        <v>9</v>
      </c>
      <c r="C47" s="97">
        <v>9</v>
      </c>
      <c r="D47" s="97">
        <v>9</v>
      </c>
      <c r="E47" s="97">
        <v>9</v>
      </c>
      <c r="F47" s="97">
        <v>9</v>
      </c>
      <c r="G47" s="97">
        <v>9</v>
      </c>
      <c r="H47" s="97">
        <v>9</v>
      </c>
      <c r="I47" s="97">
        <v>9</v>
      </c>
      <c r="J47" s="97">
        <v>9</v>
      </c>
      <c r="K47" s="97">
        <v>9</v>
      </c>
      <c r="L47" s="97">
        <v>9</v>
      </c>
      <c r="M47" s="97">
        <v>9</v>
      </c>
      <c r="N47" s="97">
        <v>9</v>
      </c>
      <c r="O47" s="97">
        <v>9</v>
      </c>
      <c r="P47" s="97">
        <v>9</v>
      </c>
      <c r="Q47" s="97">
        <f t="shared" si="15"/>
        <v>63</v>
      </c>
      <c r="R47" s="104">
        <f t="shared" si="16"/>
        <v>7965</v>
      </c>
      <c r="S47" s="97">
        <f t="shared" si="17"/>
        <v>72</v>
      </c>
      <c r="T47" s="98">
        <f t="shared" si="18"/>
        <v>34.92</v>
      </c>
      <c r="U47" s="98">
        <f t="shared" si="19"/>
        <v>7999.92</v>
      </c>
      <c r="V47" s="111">
        <v>46</v>
      </c>
      <c r="W47" s="108"/>
    </row>
    <row r="48" spans="1:23" ht="21.75" customHeight="1" x14ac:dyDescent="0.2">
      <c r="A48" s="106">
        <v>43512</v>
      </c>
      <c r="B48" s="97">
        <v>9</v>
      </c>
      <c r="C48" s="97">
        <v>9</v>
      </c>
      <c r="D48" s="97">
        <v>9</v>
      </c>
      <c r="E48" s="97">
        <v>9</v>
      </c>
      <c r="F48" s="97">
        <v>9</v>
      </c>
      <c r="G48" s="97">
        <v>9</v>
      </c>
      <c r="H48" s="97">
        <v>9</v>
      </c>
      <c r="I48" s="97">
        <v>9</v>
      </c>
      <c r="J48" s="97">
        <v>9</v>
      </c>
      <c r="K48" s="97">
        <v>9</v>
      </c>
      <c r="L48" s="97">
        <v>9</v>
      </c>
      <c r="M48" s="97">
        <v>9</v>
      </c>
      <c r="N48" s="97">
        <v>9</v>
      </c>
      <c r="O48" s="97">
        <v>9</v>
      </c>
      <c r="P48" s="97">
        <v>9</v>
      </c>
      <c r="Q48" s="97">
        <f t="shared" si="15"/>
        <v>63</v>
      </c>
      <c r="R48" s="104">
        <f t="shared" si="16"/>
        <v>7965</v>
      </c>
      <c r="S48" s="97">
        <f t="shared" si="17"/>
        <v>72</v>
      </c>
      <c r="T48" s="98">
        <f t="shared" si="18"/>
        <v>34.92</v>
      </c>
      <c r="U48" s="98">
        <f t="shared" si="19"/>
        <v>7999.92</v>
      </c>
      <c r="V48" s="111">
        <v>47</v>
      </c>
      <c r="W48" s="108"/>
    </row>
    <row r="49" spans="1:23" ht="21.75" customHeight="1" x14ac:dyDescent="0.2">
      <c r="A49" s="106">
        <v>43513</v>
      </c>
      <c r="B49" s="97">
        <v>9</v>
      </c>
      <c r="C49" s="97">
        <v>9</v>
      </c>
      <c r="D49" s="97">
        <v>9</v>
      </c>
      <c r="E49" s="97">
        <v>9</v>
      </c>
      <c r="F49" s="97">
        <v>9</v>
      </c>
      <c r="G49" s="97">
        <v>9</v>
      </c>
      <c r="H49" s="97">
        <v>9</v>
      </c>
      <c r="I49" s="97">
        <v>9</v>
      </c>
      <c r="J49" s="97">
        <v>9</v>
      </c>
      <c r="K49" s="97">
        <v>9</v>
      </c>
      <c r="L49" s="97">
        <v>9</v>
      </c>
      <c r="M49" s="97">
        <v>9</v>
      </c>
      <c r="N49" s="97">
        <v>9</v>
      </c>
      <c r="O49" s="97">
        <v>9</v>
      </c>
      <c r="P49" s="97">
        <v>9</v>
      </c>
      <c r="Q49" s="97">
        <f t="shared" si="15"/>
        <v>63</v>
      </c>
      <c r="R49" s="104">
        <f t="shared" si="16"/>
        <v>7965</v>
      </c>
      <c r="S49" s="97">
        <f t="shared" si="17"/>
        <v>72</v>
      </c>
      <c r="T49" s="98">
        <f t="shared" si="18"/>
        <v>34.92</v>
      </c>
      <c r="U49" s="98">
        <f t="shared" si="19"/>
        <v>7999.92</v>
      </c>
      <c r="V49" s="111">
        <v>48</v>
      </c>
      <c r="W49" s="108"/>
    </row>
    <row r="50" spans="1:23" ht="21.75" customHeight="1" x14ac:dyDescent="0.2">
      <c r="A50" s="106">
        <v>43514</v>
      </c>
      <c r="B50" s="97">
        <v>9</v>
      </c>
      <c r="C50" s="97">
        <v>9</v>
      </c>
      <c r="D50" s="97">
        <v>9</v>
      </c>
      <c r="E50" s="97">
        <v>9</v>
      </c>
      <c r="F50" s="97">
        <v>9</v>
      </c>
      <c r="G50" s="97">
        <v>9</v>
      </c>
      <c r="H50" s="97">
        <v>9</v>
      </c>
      <c r="I50" s="97">
        <v>9</v>
      </c>
      <c r="J50" s="97">
        <v>9</v>
      </c>
      <c r="K50" s="97">
        <v>9</v>
      </c>
      <c r="L50" s="97">
        <v>9</v>
      </c>
      <c r="M50" s="97">
        <v>9</v>
      </c>
      <c r="N50" s="97">
        <v>9</v>
      </c>
      <c r="O50" s="97">
        <v>9</v>
      </c>
      <c r="P50" s="97">
        <v>9</v>
      </c>
      <c r="Q50" s="97">
        <f t="shared" si="15"/>
        <v>63</v>
      </c>
      <c r="R50" s="104">
        <f t="shared" si="16"/>
        <v>7965</v>
      </c>
      <c r="S50" s="97">
        <f t="shared" si="17"/>
        <v>72</v>
      </c>
      <c r="T50" s="98">
        <f t="shared" si="18"/>
        <v>34.92</v>
      </c>
      <c r="U50" s="98">
        <f t="shared" si="19"/>
        <v>7999.92</v>
      </c>
      <c r="V50" s="111">
        <v>49</v>
      </c>
      <c r="W50" s="108"/>
    </row>
    <row r="51" spans="1:23" ht="21.75" customHeight="1" x14ac:dyDescent="0.2">
      <c r="A51" s="106">
        <v>43515</v>
      </c>
      <c r="B51" s="97">
        <v>9</v>
      </c>
      <c r="C51" s="97">
        <v>9</v>
      </c>
      <c r="D51" s="97">
        <v>9</v>
      </c>
      <c r="E51" s="97">
        <v>9</v>
      </c>
      <c r="F51" s="97">
        <v>9</v>
      </c>
      <c r="G51" s="97">
        <v>9</v>
      </c>
      <c r="H51" s="97">
        <v>9</v>
      </c>
      <c r="I51" s="97">
        <v>9</v>
      </c>
      <c r="J51" s="97">
        <v>9</v>
      </c>
      <c r="K51" s="97">
        <v>9</v>
      </c>
      <c r="L51" s="97">
        <v>9</v>
      </c>
      <c r="M51" s="97">
        <v>9</v>
      </c>
      <c r="N51" s="97">
        <v>9</v>
      </c>
      <c r="O51" s="97">
        <v>9</v>
      </c>
      <c r="P51" s="97">
        <v>9</v>
      </c>
      <c r="Q51" s="97">
        <f t="shared" si="15"/>
        <v>63</v>
      </c>
      <c r="R51" s="104">
        <f t="shared" si="16"/>
        <v>7965</v>
      </c>
      <c r="S51" s="97">
        <f t="shared" si="17"/>
        <v>72</v>
      </c>
      <c r="T51" s="98">
        <f t="shared" si="18"/>
        <v>34.92</v>
      </c>
      <c r="U51" s="98">
        <f t="shared" si="19"/>
        <v>7999.92</v>
      </c>
      <c r="V51" s="111">
        <v>50</v>
      </c>
      <c r="W51" s="108"/>
    </row>
    <row r="52" spans="1:23" ht="21.75" customHeight="1" x14ac:dyDescent="0.2">
      <c r="A52" s="106">
        <v>43516</v>
      </c>
      <c r="B52" s="97">
        <v>9</v>
      </c>
      <c r="C52" s="97">
        <v>9</v>
      </c>
      <c r="D52" s="97">
        <v>9</v>
      </c>
      <c r="E52" s="97">
        <v>9</v>
      </c>
      <c r="F52" s="97">
        <v>9</v>
      </c>
      <c r="G52" s="97">
        <v>9</v>
      </c>
      <c r="H52" s="97">
        <v>9</v>
      </c>
      <c r="I52" s="97">
        <v>9</v>
      </c>
      <c r="J52" s="97">
        <v>9</v>
      </c>
      <c r="K52" s="97">
        <v>9</v>
      </c>
      <c r="L52" s="97">
        <v>9</v>
      </c>
      <c r="M52" s="97">
        <v>9</v>
      </c>
      <c r="N52" s="97">
        <v>9</v>
      </c>
      <c r="O52" s="97">
        <v>9</v>
      </c>
      <c r="P52" s="97">
        <v>9</v>
      </c>
      <c r="Q52" s="97">
        <f t="shared" si="15"/>
        <v>63</v>
      </c>
      <c r="R52" s="104">
        <f t="shared" si="16"/>
        <v>7965</v>
      </c>
      <c r="S52" s="97">
        <f t="shared" si="17"/>
        <v>72</v>
      </c>
      <c r="T52" s="98">
        <f t="shared" si="18"/>
        <v>34.92</v>
      </c>
      <c r="U52" s="98">
        <f t="shared" si="19"/>
        <v>7999.92</v>
      </c>
      <c r="V52" s="111">
        <v>51</v>
      </c>
      <c r="W52" s="108"/>
    </row>
    <row r="53" spans="1:23" ht="21.75" customHeight="1" x14ac:dyDescent="0.2">
      <c r="A53" s="106">
        <v>43517</v>
      </c>
      <c r="B53" s="97">
        <v>9</v>
      </c>
      <c r="C53" s="97">
        <v>9</v>
      </c>
      <c r="D53" s="97">
        <v>9</v>
      </c>
      <c r="E53" s="97">
        <v>9</v>
      </c>
      <c r="F53" s="97">
        <v>9</v>
      </c>
      <c r="G53" s="97">
        <v>9</v>
      </c>
      <c r="H53" s="97">
        <v>9</v>
      </c>
      <c r="I53" s="97">
        <v>9</v>
      </c>
      <c r="J53" s="97">
        <v>9</v>
      </c>
      <c r="K53" s="97">
        <v>9</v>
      </c>
      <c r="L53" s="97">
        <v>9</v>
      </c>
      <c r="M53" s="97">
        <v>9</v>
      </c>
      <c r="N53" s="97">
        <v>9</v>
      </c>
      <c r="O53" s="97">
        <v>9</v>
      </c>
      <c r="P53" s="97">
        <v>9</v>
      </c>
      <c r="Q53" s="97">
        <f t="shared" si="15"/>
        <v>63</v>
      </c>
      <c r="R53" s="104">
        <f t="shared" si="16"/>
        <v>7965</v>
      </c>
      <c r="S53" s="97">
        <f t="shared" si="17"/>
        <v>72</v>
      </c>
      <c r="T53" s="98">
        <f t="shared" si="18"/>
        <v>34.92</v>
      </c>
      <c r="U53" s="98">
        <f t="shared" si="19"/>
        <v>7999.92</v>
      </c>
      <c r="V53" s="111">
        <v>52</v>
      </c>
      <c r="W53" s="108"/>
    </row>
    <row r="54" spans="1:23" ht="21.75" customHeight="1" x14ac:dyDescent="0.2">
      <c r="A54" s="106">
        <v>43518</v>
      </c>
      <c r="B54" s="97">
        <v>9</v>
      </c>
      <c r="C54" s="97">
        <v>9</v>
      </c>
      <c r="D54" s="97">
        <v>9</v>
      </c>
      <c r="E54" s="97">
        <v>9</v>
      </c>
      <c r="F54" s="97">
        <v>9</v>
      </c>
      <c r="G54" s="97">
        <v>9</v>
      </c>
      <c r="H54" s="97">
        <v>9</v>
      </c>
      <c r="I54" s="97">
        <v>9</v>
      </c>
      <c r="J54" s="97">
        <v>9</v>
      </c>
      <c r="K54" s="97">
        <v>9</v>
      </c>
      <c r="L54" s="97">
        <v>9</v>
      </c>
      <c r="M54" s="97">
        <v>9</v>
      </c>
      <c r="N54" s="97">
        <v>9</v>
      </c>
      <c r="O54" s="97">
        <v>9</v>
      </c>
      <c r="P54" s="97">
        <v>9</v>
      </c>
      <c r="Q54" s="97">
        <f t="shared" si="15"/>
        <v>63</v>
      </c>
      <c r="R54" s="104">
        <f t="shared" si="16"/>
        <v>7965</v>
      </c>
      <c r="S54" s="97">
        <f t="shared" si="17"/>
        <v>72</v>
      </c>
      <c r="T54" s="98">
        <f t="shared" si="18"/>
        <v>34.92</v>
      </c>
      <c r="U54" s="98">
        <f t="shared" si="19"/>
        <v>7999.92</v>
      </c>
      <c r="V54" s="111">
        <v>53</v>
      </c>
      <c r="W54" s="108"/>
    </row>
    <row r="55" spans="1:23" ht="21.75" customHeight="1" x14ac:dyDescent="0.2">
      <c r="A55" s="106">
        <v>43519</v>
      </c>
      <c r="B55" s="97">
        <v>9</v>
      </c>
      <c r="C55" s="97">
        <v>9</v>
      </c>
      <c r="D55" s="97">
        <v>9</v>
      </c>
      <c r="E55" s="97">
        <v>9</v>
      </c>
      <c r="F55" s="97">
        <v>9</v>
      </c>
      <c r="G55" s="97">
        <v>9</v>
      </c>
      <c r="H55" s="97">
        <v>9</v>
      </c>
      <c r="I55" s="97">
        <v>9</v>
      </c>
      <c r="J55" s="97">
        <v>9</v>
      </c>
      <c r="K55" s="97">
        <v>9</v>
      </c>
      <c r="L55" s="97">
        <v>9</v>
      </c>
      <c r="M55" s="97">
        <v>9</v>
      </c>
      <c r="N55" s="97">
        <v>9</v>
      </c>
      <c r="O55" s="97">
        <v>9</v>
      </c>
      <c r="P55" s="97">
        <v>9</v>
      </c>
      <c r="Q55" s="97">
        <f t="shared" si="15"/>
        <v>63</v>
      </c>
      <c r="R55" s="104">
        <f t="shared" si="16"/>
        <v>7965</v>
      </c>
      <c r="S55" s="97">
        <f t="shared" si="17"/>
        <v>72</v>
      </c>
      <c r="T55" s="98">
        <f t="shared" si="18"/>
        <v>34.92</v>
      </c>
      <c r="U55" s="98">
        <f t="shared" si="19"/>
        <v>7999.92</v>
      </c>
      <c r="V55" s="111">
        <v>54</v>
      </c>
      <c r="W55" s="108"/>
    </row>
    <row r="56" spans="1:23" ht="21.75" customHeight="1" x14ac:dyDescent="0.2">
      <c r="A56" s="106">
        <v>43520</v>
      </c>
      <c r="B56" s="97">
        <v>9</v>
      </c>
      <c r="C56" s="97">
        <v>9</v>
      </c>
      <c r="D56" s="97">
        <v>9</v>
      </c>
      <c r="E56" s="97">
        <v>9</v>
      </c>
      <c r="F56" s="97">
        <v>9</v>
      </c>
      <c r="G56" s="97">
        <v>9</v>
      </c>
      <c r="H56" s="97">
        <v>9</v>
      </c>
      <c r="I56" s="97">
        <v>9</v>
      </c>
      <c r="J56" s="97">
        <v>9</v>
      </c>
      <c r="K56" s="97">
        <v>9</v>
      </c>
      <c r="L56" s="97">
        <v>9</v>
      </c>
      <c r="M56" s="97">
        <v>9</v>
      </c>
      <c r="N56" s="97">
        <v>9</v>
      </c>
      <c r="O56" s="97">
        <v>9</v>
      </c>
      <c r="P56" s="97">
        <v>9</v>
      </c>
      <c r="Q56" s="97">
        <f t="shared" si="15"/>
        <v>63</v>
      </c>
      <c r="R56" s="104">
        <f t="shared" si="16"/>
        <v>7965</v>
      </c>
      <c r="S56" s="97">
        <f t="shared" si="17"/>
        <v>72</v>
      </c>
      <c r="T56" s="98">
        <f t="shared" si="18"/>
        <v>34.92</v>
      </c>
      <c r="U56" s="98">
        <f t="shared" si="19"/>
        <v>7999.92</v>
      </c>
      <c r="V56" s="111">
        <v>55</v>
      </c>
      <c r="W56" s="108"/>
    </row>
    <row r="57" spans="1:23" ht="21.75" customHeight="1" x14ac:dyDescent="0.2">
      <c r="A57" s="106">
        <v>43521</v>
      </c>
      <c r="B57" s="97">
        <v>9</v>
      </c>
      <c r="C57" s="97">
        <v>9</v>
      </c>
      <c r="D57" s="97">
        <v>9</v>
      </c>
      <c r="E57" s="97">
        <v>9</v>
      </c>
      <c r="F57" s="97">
        <v>9</v>
      </c>
      <c r="G57" s="97">
        <v>9</v>
      </c>
      <c r="H57" s="97">
        <v>9</v>
      </c>
      <c r="I57" s="97">
        <v>9</v>
      </c>
      <c r="J57" s="97">
        <v>9</v>
      </c>
      <c r="K57" s="97">
        <v>9</v>
      </c>
      <c r="L57" s="97">
        <v>9</v>
      </c>
      <c r="M57" s="97">
        <v>9</v>
      </c>
      <c r="N57" s="97">
        <v>9</v>
      </c>
      <c r="O57" s="97">
        <v>9</v>
      </c>
      <c r="P57" s="97">
        <v>9</v>
      </c>
      <c r="Q57" s="97">
        <f t="shared" si="15"/>
        <v>63</v>
      </c>
      <c r="R57" s="104">
        <f t="shared" si="16"/>
        <v>7965</v>
      </c>
      <c r="S57" s="97">
        <f t="shared" si="17"/>
        <v>72</v>
      </c>
      <c r="T57" s="98">
        <f t="shared" si="18"/>
        <v>34.92</v>
      </c>
      <c r="U57" s="98">
        <f t="shared" si="19"/>
        <v>7999.92</v>
      </c>
      <c r="V57" s="111">
        <v>56</v>
      </c>
      <c r="W57" s="108"/>
    </row>
    <row r="58" spans="1:23" ht="21.75" customHeight="1" x14ac:dyDescent="0.2">
      <c r="A58" s="106">
        <v>43522</v>
      </c>
      <c r="B58" s="97">
        <v>9</v>
      </c>
      <c r="C58" s="97">
        <v>9</v>
      </c>
      <c r="D58" s="97">
        <v>9</v>
      </c>
      <c r="E58" s="97">
        <v>9</v>
      </c>
      <c r="F58" s="97">
        <v>9</v>
      </c>
      <c r="G58" s="97">
        <v>9</v>
      </c>
      <c r="H58" s="97">
        <v>9</v>
      </c>
      <c r="I58" s="97">
        <v>9</v>
      </c>
      <c r="J58" s="97">
        <v>9</v>
      </c>
      <c r="K58" s="97">
        <v>9</v>
      </c>
      <c r="L58" s="97">
        <v>9</v>
      </c>
      <c r="M58" s="97">
        <v>9</v>
      </c>
      <c r="N58" s="97">
        <v>9</v>
      </c>
      <c r="O58" s="97">
        <v>9</v>
      </c>
      <c r="P58" s="97">
        <v>9</v>
      </c>
      <c r="Q58" s="97">
        <f t="shared" si="15"/>
        <v>63</v>
      </c>
      <c r="R58" s="104">
        <f t="shared" si="16"/>
        <v>7965</v>
      </c>
      <c r="S58" s="97">
        <f t="shared" si="17"/>
        <v>72</v>
      </c>
      <c r="T58" s="98">
        <f t="shared" si="18"/>
        <v>34.92</v>
      </c>
      <c r="U58" s="98">
        <f t="shared" si="19"/>
        <v>7999.92</v>
      </c>
      <c r="V58" s="111">
        <v>57</v>
      </c>
      <c r="W58" s="108"/>
    </row>
    <row r="59" spans="1:23" ht="21.75" customHeight="1" x14ac:dyDescent="0.2">
      <c r="A59" s="106">
        <v>43523</v>
      </c>
      <c r="B59" s="97">
        <v>9</v>
      </c>
      <c r="C59" s="97">
        <v>9</v>
      </c>
      <c r="D59" s="97">
        <v>9</v>
      </c>
      <c r="E59" s="97">
        <v>9</v>
      </c>
      <c r="F59" s="97">
        <v>9</v>
      </c>
      <c r="G59" s="97">
        <v>9</v>
      </c>
      <c r="H59" s="97">
        <v>9</v>
      </c>
      <c r="I59" s="97">
        <v>9</v>
      </c>
      <c r="J59" s="97">
        <v>9</v>
      </c>
      <c r="K59" s="97">
        <v>9</v>
      </c>
      <c r="L59" s="97">
        <v>9</v>
      </c>
      <c r="M59" s="97">
        <v>9</v>
      </c>
      <c r="N59" s="97">
        <v>9</v>
      </c>
      <c r="O59" s="97">
        <v>9</v>
      </c>
      <c r="P59" s="97">
        <v>9</v>
      </c>
      <c r="Q59" s="97">
        <f t="shared" si="15"/>
        <v>63</v>
      </c>
      <c r="R59" s="104">
        <f t="shared" si="16"/>
        <v>7965</v>
      </c>
      <c r="S59" s="97">
        <f t="shared" si="17"/>
        <v>72</v>
      </c>
      <c r="T59" s="98">
        <f t="shared" si="18"/>
        <v>34.92</v>
      </c>
      <c r="U59" s="98">
        <f t="shared" si="19"/>
        <v>7999.92</v>
      </c>
      <c r="V59" s="111">
        <v>58</v>
      </c>
      <c r="W59" s="108"/>
    </row>
    <row r="60" spans="1:23" ht="21.75" customHeight="1" x14ac:dyDescent="0.2">
      <c r="A60" s="106">
        <v>43524</v>
      </c>
      <c r="B60" s="97">
        <v>9</v>
      </c>
      <c r="C60" s="97">
        <v>9</v>
      </c>
      <c r="D60" s="97">
        <v>9</v>
      </c>
      <c r="E60" s="97">
        <v>9</v>
      </c>
      <c r="F60" s="97">
        <v>9</v>
      </c>
      <c r="G60" s="97">
        <v>9</v>
      </c>
      <c r="H60" s="97">
        <v>9</v>
      </c>
      <c r="I60" s="97">
        <v>9</v>
      </c>
      <c r="J60" s="97">
        <v>9</v>
      </c>
      <c r="K60" s="97">
        <v>9</v>
      </c>
      <c r="L60" s="97">
        <v>9</v>
      </c>
      <c r="M60" s="97">
        <v>9</v>
      </c>
      <c r="N60" s="97">
        <v>9</v>
      </c>
      <c r="O60" s="97">
        <v>9</v>
      </c>
      <c r="P60" s="97">
        <v>9</v>
      </c>
      <c r="Q60" s="97">
        <f t="shared" si="15"/>
        <v>63</v>
      </c>
      <c r="R60" s="104">
        <f t="shared" si="16"/>
        <v>7965</v>
      </c>
      <c r="S60" s="97">
        <f t="shared" si="17"/>
        <v>72</v>
      </c>
      <c r="T60" s="98">
        <f t="shared" si="18"/>
        <v>34.92</v>
      </c>
      <c r="U60" s="98">
        <f t="shared" si="19"/>
        <v>7999.92</v>
      </c>
      <c r="V60" s="111">
        <v>59</v>
      </c>
      <c r="W60" s="108"/>
    </row>
    <row r="61" spans="1:23" ht="21.75" customHeight="1" x14ac:dyDescent="0.2">
      <c r="A61" s="106">
        <v>43525</v>
      </c>
      <c r="B61" s="97">
        <v>9</v>
      </c>
      <c r="C61" s="97">
        <v>9</v>
      </c>
      <c r="D61" s="97">
        <v>9</v>
      </c>
      <c r="E61" s="97">
        <v>9</v>
      </c>
      <c r="F61" s="97">
        <v>9</v>
      </c>
      <c r="G61" s="97">
        <v>9</v>
      </c>
      <c r="H61" s="97">
        <v>9</v>
      </c>
      <c r="I61" s="97">
        <v>9</v>
      </c>
      <c r="J61" s="97">
        <v>9</v>
      </c>
      <c r="K61" s="97">
        <v>9</v>
      </c>
      <c r="L61" s="97">
        <v>9</v>
      </c>
      <c r="M61" s="97">
        <v>9</v>
      </c>
      <c r="N61" s="97">
        <v>9</v>
      </c>
      <c r="O61" s="97">
        <v>9</v>
      </c>
      <c r="P61" s="97">
        <v>9</v>
      </c>
      <c r="Q61" s="97">
        <f t="shared" si="15"/>
        <v>63</v>
      </c>
      <c r="R61" s="104">
        <f t="shared" si="16"/>
        <v>7965</v>
      </c>
      <c r="S61" s="97">
        <f t="shared" si="17"/>
        <v>72</v>
      </c>
      <c r="T61" s="98">
        <f t="shared" si="18"/>
        <v>34.92</v>
      </c>
      <c r="U61" s="98">
        <f t="shared" si="19"/>
        <v>7999.92</v>
      </c>
      <c r="V61" s="111">
        <v>60</v>
      </c>
      <c r="W61" s="108"/>
    </row>
    <row r="62" spans="1:23" ht="21.75" customHeight="1" x14ac:dyDescent="0.2">
      <c r="A62" s="106">
        <v>43526</v>
      </c>
      <c r="B62" s="97">
        <v>9</v>
      </c>
      <c r="C62" s="97">
        <v>9</v>
      </c>
      <c r="D62" s="97">
        <v>9</v>
      </c>
      <c r="E62" s="97">
        <v>9</v>
      </c>
      <c r="F62" s="97">
        <v>9</v>
      </c>
      <c r="G62" s="97">
        <v>9</v>
      </c>
      <c r="H62" s="97">
        <v>9</v>
      </c>
      <c r="I62" s="97">
        <v>9</v>
      </c>
      <c r="J62" s="97">
        <v>9</v>
      </c>
      <c r="K62" s="97">
        <v>9</v>
      </c>
      <c r="L62" s="97">
        <v>9</v>
      </c>
      <c r="M62" s="97">
        <v>9</v>
      </c>
      <c r="N62" s="97">
        <v>9</v>
      </c>
      <c r="O62" s="97">
        <v>9</v>
      </c>
      <c r="P62" s="97">
        <v>9</v>
      </c>
      <c r="Q62" s="97">
        <f t="shared" si="15"/>
        <v>63</v>
      </c>
      <c r="R62" s="104">
        <f t="shared" si="16"/>
        <v>7965</v>
      </c>
      <c r="S62" s="97">
        <f t="shared" si="17"/>
        <v>72</v>
      </c>
      <c r="T62" s="98">
        <f t="shared" si="18"/>
        <v>34.92</v>
      </c>
      <c r="U62" s="98">
        <f t="shared" si="19"/>
        <v>7999.92</v>
      </c>
      <c r="V62" s="111">
        <v>61</v>
      </c>
      <c r="W62" s="108"/>
    </row>
    <row r="63" spans="1:23" ht="21.75" customHeight="1" x14ac:dyDescent="0.2">
      <c r="A63" s="106">
        <v>43527</v>
      </c>
      <c r="B63" s="97">
        <v>9</v>
      </c>
      <c r="C63" s="97">
        <v>9</v>
      </c>
      <c r="D63" s="97">
        <v>9</v>
      </c>
      <c r="E63" s="97">
        <v>9</v>
      </c>
      <c r="F63" s="97">
        <v>9</v>
      </c>
      <c r="G63" s="97">
        <v>9</v>
      </c>
      <c r="H63" s="97">
        <v>9</v>
      </c>
      <c r="I63" s="97">
        <v>9</v>
      </c>
      <c r="J63" s="97">
        <v>9</v>
      </c>
      <c r="K63" s="97">
        <v>9</v>
      </c>
      <c r="L63" s="97">
        <v>9</v>
      </c>
      <c r="M63" s="97">
        <v>9</v>
      </c>
      <c r="N63" s="97">
        <v>9</v>
      </c>
      <c r="O63" s="97">
        <v>9</v>
      </c>
      <c r="P63" s="97">
        <v>9</v>
      </c>
      <c r="Q63" s="97">
        <f t="shared" si="15"/>
        <v>63</v>
      </c>
      <c r="R63" s="104">
        <f t="shared" si="16"/>
        <v>7965</v>
      </c>
      <c r="S63" s="97">
        <f t="shared" si="17"/>
        <v>72</v>
      </c>
      <c r="T63" s="98">
        <f t="shared" si="18"/>
        <v>34.92</v>
      </c>
      <c r="U63" s="98">
        <f t="shared" si="19"/>
        <v>7999.92</v>
      </c>
      <c r="V63" s="111">
        <v>62</v>
      </c>
      <c r="W63" s="108"/>
    </row>
    <row r="64" spans="1:23" ht="21.75" customHeight="1" x14ac:dyDescent="0.2">
      <c r="A64" s="106">
        <v>43528</v>
      </c>
      <c r="B64" s="97">
        <v>9</v>
      </c>
      <c r="C64" s="97">
        <v>9</v>
      </c>
      <c r="D64" s="97">
        <v>9</v>
      </c>
      <c r="E64" s="97">
        <v>9</v>
      </c>
      <c r="F64" s="97">
        <v>9</v>
      </c>
      <c r="G64" s="97">
        <v>9</v>
      </c>
      <c r="H64" s="97">
        <v>9</v>
      </c>
      <c r="I64" s="97">
        <v>9</v>
      </c>
      <c r="J64" s="97">
        <v>9</v>
      </c>
      <c r="K64" s="97">
        <v>9</v>
      </c>
      <c r="L64" s="97">
        <v>9</v>
      </c>
      <c r="M64" s="97">
        <v>9</v>
      </c>
      <c r="N64" s="97">
        <v>9</v>
      </c>
      <c r="O64" s="97">
        <v>9</v>
      </c>
      <c r="P64" s="97">
        <v>9</v>
      </c>
      <c r="Q64" s="97">
        <f t="shared" si="15"/>
        <v>63</v>
      </c>
      <c r="R64" s="104">
        <f t="shared" si="16"/>
        <v>7965</v>
      </c>
      <c r="S64" s="97">
        <f t="shared" si="17"/>
        <v>72</v>
      </c>
      <c r="T64" s="98">
        <f t="shared" si="18"/>
        <v>34.92</v>
      </c>
      <c r="U64" s="98">
        <f t="shared" si="19"/>
        <v>7999.92</v>
      </c>
      <c r="V64" s="111">
        <v>63</v>
      </c>
      <c r="W64" s="108"/>
    </row>
    <row r="65" spans="1:23" ht="21.75" customHeight="1" x14ac:dyDescent="0.2">
      <c r="A65" s="106">
        <v>43529</v>
      </c>
      <c r="B65" s="97">
        <v>9</v>
      </c>
      <c r="C65" s="97">
        <v>9</v>
      </c>
      <c r="D65" s="97">
        <v>9</v>
      </c>
      <c r="E65" s="97">
        <v>9</v>
      </c>
      <c r="F65" s="97">
        <v>9</v>
      </c>
      <c r="G65" s="97">
        <v>9</v>
      </c>
      <c r="H65" s="97">
        <v>9</v>
      </c>
      <c r="I65" s="97">
        <v>9</v>
      </c>
      <c r="J65" s="97">
        <v>9</v>
      </c>
      <c r="K65" s="97">
        <v>9</v>
      </c>
      <c r="L65" s="97">
        <v>9</v>
      </c>
      <c r="M65" s="97">
        <v>9</v>
      </c>
      <c r="N65" s="97">
        <v>9</v>
      </c>
      <c r="O65" s="97">
        <v>9</v>
      </c>
      <c r="P65" s="97">
        <v>9</v>
      </c>
      <c r="Q65" s="97">
        <f t="shared" si="15"/>
        <v>63</v>
      </c>
      <c r="R65" s="104">
        <f t="shared" si="16"/>
        <v>7965</v>
      </c>
      <c r="S65" s="97">
        <f t="shared" si="17"/>
        <v>72</v>
      </c>
      <c r="T65" s="98">
        <f t="shared" si="18"/>
        <v>34.92</v>
      </c>
      <c r="U65" s="98">
        <f t="shared" si="19"/>
        <v>7999.92</v>
      </c>
      <c r="V65" s="111">
        <v>64</v>
      </c>
      <c r="W65" s="108"/>
    </row>
    <row r="66" spans="1:23" ht="21.75" customHeight="1" x14ac:dyDescent="0.2">
      <c r="A66" s="106">
        <v>43530</v>
      </c>
      <c r="B66" s="97">
        <v>9</v>
      </c>
      <c r="C66" s="97">
        <v>9</v>
      </c>
      <c r="D66" s="97">
        <v>9</v>
      </c>
      <c r="E66" s="97">
        <v>9</v>
      </c>
      <c r="F66" s="97">
        <v>9</v>
      </c>
      <c r="G66" s="97">
        <v>9</v>
      </c>
      <c r="H66" s="97">
        <v>9</v>
      </c>
      <c r="I66" s="97">
        <v>9</v>
      </c>
      <c r="J66" s="97">
        <v>9</v>
      </c>
      <c r="K66" s="97">
        <v>9</v>
      </c>
      <c r="L66" s="97">
        <v>9</v>
      </c>
      <c r="M66" s="97">
        <v>9</v>
      </c>
      <c r="N66" s="97">
        <v>9</v>
      </c>
      <c r="O66" s="97">
        <v>9</v>
      </c>
      <c r="P66" s="97">
        <v>9</v>
      </c>
      <c r="Q66" s="97">
        <f t="shared" si="15"/>
        <v>63</v>
      </c>
      <c r="R66" s="104">
        <f t="shared" si="16"/>
        <v>7965</v>
      </c>
      <c r="S66" s="97">
        <f t="shared" si="17"/>
        <v>72</v>
      </c>
      <c r="T66" s="98">
        <f t="shared" si="18"/>
        <v>34.92</v>
      </c>
      <c r="U66" s="98">
        <f t="shared" si="19"/>
        <v>7999.92</v>
      </c>
      <c r="V66" s="111">
        <v>65</v>
      </c>
      <c r="W66" s="108"/>
    </row>
    <row r="67" spans="1:23" ht="21.75" customHeight="1" x14ac:dyDescent="0.2">
      <c r="A67" s="106">
        <v>43531</v>
      </c>
      <c r="B67" s="97">
        <v>9</v>
      </c>
      <c r="C67" s="97">
        <v>9</v>
      </c>
      <c r="D67" s="97">
        <v>9</v>
      </c>
      <c r="E67" s="97">
        <v>9</v>
      </c>
      <c r="F67" s="97">
        <v>9</v>
      </c>
      <c r="G67" s="97">
        <v>9</v>
      </c>
      <c r="H67" s="97">
        <v>9</v>
      </c>
      <c r="I67" s="97">
        <v>9</v>
      </c>
      <c r="J67" s="97">
        <v>9</v>
      </c>
      <c r="K67" s="97">
        <v>9</v>
      </c>
      <c r="L67" s="97">
        <v>9</v>
      </c>
      <c r="M67" s="97">
        <v>9</v>
      </c>
      <c r="N67" s="97">
        <v>9</v>
      </c>
      <c r="O67" s="97">
        <v>9</v>
      </c>
      <c r="P67" s="97">
        <v>9</v>
      </c>
      <c r="Q67" s="97">
        <f t="shared" si="15"/>
        <v>63</v>
      </c>
      <c r="R67" s="104">
        <f t="shared" si="16"/>
        <v>7965</v>
      </c>
      <c r="S67" s="97">
        <f t="shared" si="17"/>
        <v>72</v>
      </c>
      <c r="T67" s="98">
        <f t="shared" si="18"/>
        <v>34.92</v>
      </c>
      <c r="U67" s="98">
        <f t="shared" si="19"/>
        <v>7999.92</v>
      </c>
      <c r="V67" s="111">
        <v>66</v>
      </c>
      <c r="W67" s="108"/>
    </row>
    <row r="68" spans="1:23" ht="21.75" customHeight="1" x14ac:dyDescent="0.2">
      <c r="A68" s="106">
        <v>43532</v>
      </c>
      <c r="B68" s="97">
        <v>9</v>
      </c>
      <c r="C68" s="97">
        <v>9</v>
      </c>
      <c r="D68" s="97">
        <v>9</v>
      </c>
      <c r="E68" s="97">
        <v>9</v>
      </c>
      <c r="F68" s="97">
        <v>9</v>
      </c>
      <c r="G68" s="97">
        <v>9</v>
      </c>
      <c r="H68" s="97">
        <v>9</v>
      </c>
      <c r="I68" s="97">
        <v>9</v>
      </c>
      <c r="J68" s="97">
        <v>9</v>
      </c>
      <c r="K68" s="97">
        <v>9</v>
      </c>
      <c r="L68" s="97">
        <v>9</v>
      </c>
      <c r="M68" s="97">
        <v>9</v>
      </c>
      <c r="N68" s="97">
        <v>9</v>
      </c>
      <c r="O68" s="97">
        <v>9</v>
      </c>
      <c r="P68" s="97">
        <v>9</v>
      </c>
      <c r="Q68" s="97">
        <f t="shared" si="15"/>
        <v>63</v>
      </c>
      <c r="R68" s="104">
        <f t="shared" si="16"/>
        <v>7965</v>
      </c>
      <c r="S68" s="97">
        <f t="shared" si="17"/>
        <v>72</v>
      </c>
      <c r="T68" s="98">
        <f t="shared" si="18"/>
        <v>34.92</v>
      </c>
      <c r="U68" s="98">
        <f t="shared" si="19"/>
        <v>7999.92</v>
      </c>
      <c r="V68" s="111">
        <v>67</v>
      </c>
      <c r="W68" s="108"/>
    </row>
    <row r="69" spans="1:23" ht="21.75" customHeight="1" x14ac:dyDescent="0.2">
      <c r="A69" s="106">
        <v>43533</v>
      </c>
      <c r="B69" s="97">
        <v>9</v>
      </c>
      <c r="C69" s="97">
        <v>9</v>
      </c>
      <c r="D69" s="97">
        <v>9</v>
      </c>
      <c r="E69" s="97">
        <v>9</v>
      </c>
      <c r="F69" s="97">
        <v>9</v>
      </c>
      <c r="G69" s="97">
        <v>9</v>
      </c>
      <c r="H69" s="97">
        <v>9</v>
      </c>
      <c r="I69" s="97">
        <v>9</v>
      </c>
      <c r="J69" s="97">
        <v>9</v>
      </c>
      <c r="K69" s="97">
        <v>9</v>
      </c>
      <c r="L69" s="97">
        <v>9</v>
      </c>
      <c r="M69" s="97">
        <v>9</v>
      </c>
      <c r="N69" s="97">
        <v>9</v>
      </c>
      <c r="O69" s="97">
        <v>9</v>
      </c>
      <c r="P69" s="97">
        <v>9</v>
      </c>
      <c r="Q69" s="97">
        <f t="shared" ref="Q69:Q132" si="20">SUM(B69:H69)</f>
        <v>63</v>
      </c>
      <c r="R69" s="104">
        <f t="shared" ref="R69:R132" si="21">SUM(B69*B$1+C69*C$1+D69*D$1+E69*E$1+F69*F$1+G69*G$1+H69*H$1)</f>
        <v>7965</v>
      </c>
      <c r="S69" s="97">
        <f t="shared" ref="S69:S132" si="22">SUM(I69:P69)</f>
        <v>72</v>
      </c>
      <c r="T69" s="98">
        <f t="shared" ref="T69:T132" si="23">SUM(I69*I$1+J69*J$1+K69*K$1+L69*L$1+M69*M$1+N69*N$1+O69*O$1+P69*P$1)</f>
        <v>34.92</v>
      </c>
      <c r="U69" s="98">
        <f t="shared" ref="U69:U132" si="24">SUM(R69+T69)</f>
        <v>7999.92</v>
      </c>
      <c r="V69" s="111">
        <v>68</v>
      </c>
      <c r="W69" s="108"/>
    </row>
    <row r="70" spans="1:23" ht="21.75" customHeight="1" x14ac:dyDescent="0.2">
      <c r="A70" s="106">
        <v>43534</v>
      </c>
      <c r="B70" s="97">
        <v>9</v>
      </c>
      <c r="C70" s="97">
        <v>9</v>
      </c>
      <c r="D70" s="97">
        <v>9</v>
      </c>
      <c r="E70" s="97">
        <v>9</v>
      </c>
      <c r="F70" s="97">
        <v>9</v>
      </c>
      <c r="G70" s="97">
        <v>9</v>
      </c>
      <c r="H70" s="97">
        <v>9</v>
      </c>
      <c r="I70" s="97">
        <v>9</v>
      </c>
      <c r="J70" s="97">
        <v>9</v>
      </c>
      <c r="K70" s="97">
        <v>9</v>
      </c>
      <c r="L70" s="97">
        <v>9</v>
      </c>
      <c r="M70" s="97">
        <v>9</v>
      </c>
      <c r="N70" s="97">
        <v>9</v>
      </c>
      <c r="O70" s="97">
        <v>9</v>
      </c>
      <c r="P70" s="97">
        <v>9</v>
      </c>
      <c r="Q70" s="97">
        <f t="shared" si="20"/>
        <v>63</v>
      </c>
      <c r="R70" s="104">
        <f t="shared" si="21"/>
        <v>7965</v>
      </c>
      <c r="S70" s="97">
        <f t="shared" si="22"/>
        <v>72</v>
      </c>
      <c r="T70" s="98">
        <f t="shared" si="23"/>
        <v>34.92</v>
      </c>
      <c r="U70" s="98">
        <f t="shared" si="24"/>
        <v>7999.92</v>
      </c>
      <c r="V70" s="111">
        <v>69</v>
      </c>
      <c r="W70" s="108"/>
    </row>
    <row r="71" spans="1:23" ht="21.75" customHeight="1" x14ac:dyDescent="0.2">
      <c r="A71" s="106">
        <v>43535</v>
      </c>
      <c r="B71" s="97">
        <v>9</v>
      </c>
      <c r="C71" s="97">
        <v>9</v>
      </c>
      <c r="D71" s="97">
        <v>9</v>
      </c>
      <c r="E71" s="97">
        <v>9</v>
      </c>
      <c r="F71" s="97">
        <v>9</v>
      </c>
      <c r="G71" s="97">
        <v>9</v>
      </c>
      <c r="H71" s="97">
        <v>9</v>
      </c>
      <c r="I71" s="97">
        <v>9</v>
      </c>
      <c r="J71" s="97">
        <v>9</v>
      </c>
      <c r="K71" s="97">
        <v>9</v>
      </c>
      <c r="L71" s="97">
        <v>9</v>
      </c>
      <c r="M71" s="97">
        <v>9</v>
      </c>
      <c r="N71" s="97">
        <v>9</v>
      </c>
      <c r="O71" s="97">
        <v>9</v>
      </c>
      <c r="P71" s="97">
        <v>9</v>
      </c>
      <c r="Q71" s="97">
        <f t="shared" si="20"/>
        <v>63</v>
      </c>
      <c r="R71" s="104">
        <f t="shared" si="21"/>
        <v>7965</v>
      </c>
      <c r="S71" s="97">
        <f t="shared" si="22"/>
        <v>72</v>
      </c>
      <c r="T71" s="98">
        <f t="shared" si="23"/>
        <v>34.92</v>
      </c>
      <c r="U71" s="98">
        <f t="shared" si="24"/>
        <v>7999.92</v>
      </c>
      <c r="V71" s="111">
        <v>70</v>
      </c>
      <c r="W71" s="108"/>
    </row>
    <row r="72" spans="1:23" ht="21.75" customHeight="1" x14ac:dyDescent="0.2">
      <c r="A72" s="106">
        <v>43536</v>
      </c>
      <c r="B72" s="97">
        <v>9</v>
      </c>
      <c r="C72" s="97">
        <v>9</v>
      </c>
      <c r="D72" s="97">
        <v>9</v>
      </c>
      <c r="E72" s="97">
        <v>9</v>
      </c>
      <c r="F72" s="97">
        <v>9</v>
      </c>
      <c r="G72" s="97">
        <v>9</v>
      </c>
      <c r="H72" s="97">
        <v>9</v>
      </c>
      <c r="I72" s="97">
        <v>9</v>
      </c>
      <c r="J72" s="97">
        <v>9</v>
      </c>
      <c r="K72" s="97">
        <v>9</v>
      </c>
      <c r="L72" s="97">
        <v>9</v>
      </c>
      <c r="M72" s="97">
        <v>9</v>
      </c>
      <c r="N72" s="97">
        <v>9</v>
      </c>
      <c r="O72" s="97">
        <v>9</v>
      </c>
      <c r="P72" s="97">
        <v>9</v>
      </c>
      <c r="Q72" s="97">
        <f t="shared" si="20"/>
        <v>63</v>
      </c>
      <c r="R72" s="104">
        <f t="shared" si="21"/>
        <v>7965</v>
      </c>
      <c r="S72" s="97">
        <f t="shared" si="22"/>
        <v>72</v>
      </c>
      <c r="T72" s="98">
        <f t="shared" si="23"/>
        <v>34.92</v>
      </c>
      <c r="U72" s="98">
        <f t="shared" si="24"/>
        <v>7999.92</v>
      </c>
      <c r="V72" s="111">
        <v>71</v>
      </c>
      <c r="W72" s="108"/>
    </row>
    <row r="73" spans="1:23" ht="21.75" customHeight="1" x14ac:dyDescent="0.2">
      <c r="A73" s="106">
        <v>43537</v>
      </c>
      <c r="B73" s="97">
        <v>9</v>
      </c>
      <c r="C73" s="97">
        <v>9</v>
      </c>
      <c r="D73" s="97">
        <v>9</v>
      </c>
      <c r="E73" s="97">
        <v>9</v>
      </c>
      <c r="F73" s="97">
        <v>9</v>
      </c>
      <c r="G73" s="97">
        <v>9</v>
      </c>
      <c r="H73" s="97">
        <v>9</v>
      </c>
      <c r="I73" s="97">
        <v>9</v>
      </c>
      <c r="J73" s="97">
        <v>9</v>
      </c>
      <c r="K73" s="97">
        <v>9</v>
      </c>
      <c r="L73" s="97">
        <v>9</v>
      </c>
      <c r="M73" s="97">
        <v>9</v>
      </c>
      <c r="N73" s="97">
        <v>9</v>
      </c>
      <c r="O73" s="97">
        <v>9</v>
      </c>
      <c r="P73" s="97">
        <v>9</v>
      </c>
      <c r="Q73" s="97">
        <f t="shared" si="20"/>
        <v>63</v>
      </c>
      <c r="R73" s="104">
        <f t="shared" si="21"/>
        <v>7965</v>
      </c>
      <c r="S73" s="97">
        <f t="shared" si="22"/>
        <v>72</v>
      </c>
      <c r="T73" s="98">
        <f t="shared" si="23"/>
        <v>34.92</v>
      </c>
      <c r="U73" s="98">
        <f t="shared" si="24"/>
        <v>7999.92</v>
      </c>
      <c r="V73" s="111">
        <v>72</v>
      </c>
      <c r="W73" s="108"/>
    </row>
    <row r="74" spans="1:23" ht="21.75" customHeight="1" x14ac:dyDescent="0.2">
      <c r="A74" s="106">
        <v>43538</v>
      </c>
      <c r="B74" s="97">
        <v>9</v>
      </c>
      <c r="C74" s="97">
        <v>9</v>
      </c>
      <c r="D74" s="97">
        <v>9</v>
      </c>
      <c r="E74" s="97">
        <v>9</v>
      </c>
      <c r="F74" s="97">
        <v>9</v>
      </c>
      <c r="G74" s="97">
        <v>9</v>
      </c>
      <c r="H74" s="97">
        <v>9</v>
      </c>
      <c r="I74" s="97">
        <v>9</v>
      </c>
      <c r="J74" s="97">
        <v>9</v>
      </c>
      <c r="K74" s="97">
        <v>9</v>
      </c>
      <c r="L74" s="97">
        <v>9</v>
      </c>
      <c r="M74" s="97">
        <v>9</v>
      </c>
      <c r="N74" s="97">
        <v>9</v>
      </c>
      <c r="O74" s="97">
        <v>9</v>
      </c>
      <c r="P74" s="97">
        <v>9</v>
      </c>
      <c r="Q74" s="97">
        <f t="shared" si="20"/>
        <v>63</v>
      </c>
      <c r="R74" s="104">
        <f t="shared" si="21"/>
        <v>7965</v>
      </c>
      <c r="S74" s="97">
        <f t="shared" si="22"/>
        <v>72</v>
      </c>
      <c r="T74" s="98">
        <f t="shared" si="23"/>
        <v>34.92</v>
      </c>
      <c r="U74" s="98">
        <f t="shared" si="24"/>
        <v>7999.92</v>
      </c>
      <c r="V74" s="111">
        <v>73</v>
      </c>
      <c r="W74" s="108"/>
    </row>
    <row r="75" spans="1:23" ht="21.75" customHeight="1" x14ac:dyDescent="0.2">
      <c r="A75" s="106">
        <v>43539</v>
      </c>
      <c r="B75" s="97">
        <v>9</v>
      </c>
      <c r="C75" s="97">
        <v>9</v>
      </c>
      <c r="D75" s="97">
        <v>9</v>
      </c>
      <c r="E75" s="97">
        <v>9</v>
      </c>
      <c r="F75" s="97">
        <v>9</v>
      </c>
      <c r="G75" s="97">
        <v>9</v>
      </c>
      <c r="H75" s="97">
        <v>9</v>
      </c>
      <c r="I75" s="97">
        <v>9</v>
      </c>
      <c r="J75" s="97">
        <v>9</v>
      </c>
      <c r="K75" s="97">
        <v>9</v>
      </c>
      <c r="L75" s="97">
        <v>9</v>
      </c>
      <c r="M75" s="97">
        <v>9</v>
      </c>
      <c r="N75" s="97">
        <v>9</v>
      </c>
      <c r="O75" s="97">
        <v>9</v>
      </c>
      <c r="P75" s="97">
        <v>9</v>
      </c>
      <c r="Q75" s="97">
        <f t="shared" si="20"/>
        <v>63</v>
      </c>
      <c r="R75" s="104">
        <f t="shared" si="21"/>
        <v>7965</v>
      </c>
      <c r="S75" s="97">
        <f t="shared" si="22"/>
        <v>72</v>
      </c>
      <c r="T75" s="98">
        <f t="shared" si="23"/>
        <v>34.92</v>
      </c>
      <c r="U75" s="98">
        <f t="shared" si="24"/>
        <v>7999.92</v>
      </c>
      <c r="V75" s="111">
        <v>74</v>
      </c>
      <c r="W75" s="108"/>
    </row>
    <row r="76" spans="1:23" ht="21.75" customHeight="1" x14ac:dyDescent="0.2">
      <c r="A76" s="106">
        <v>43540</v>
      </c>
      <c r="B76" s="97">
        <v>9</v>
      </c>
      <c r="C76" s="97">
        <v>9</v>
      </c>
      <c r="D76" s="97">
        <v>9</v>
      </c>
      <c r="E76" s="97">
        <v>9</v>
      </c>
      <c r="F76" s="97">
        <v>9</v>
      </c>
      <c r="G76" s="97">
        <v>9</v>
      </c>
      <c r="H76" s="97">
        <v>9</v>
      </c>
      <c r="I76" s="97">
        <v>9</v>
      </c>
      <c r="J76" s="97">
        <v>9</v>
      </c>
      <c r="K76" s="97">
        <v>9</v>
      </c>
      <c r="L76" s="97">
        <v>9</v>
      </c>
      <c r="M76" s="97">
        <v>9</v>
      </c>
      <c r="N76" s="97">
        <v>9</v>
      </c>
      <c r="O76" s="97">
        <v>9</v>
      </c>
      <c r="P76" s="97">
        <v>9</v>
      </c>
      <c r="Q76" s="97">
        <f t="shared" si="20"/>
        <v>63</v>
      </c>
      <c r="R76" s="104">
        <f t="shared" si="21"/>
        <v>7965</v>
      </c>
      <c r="S76" s="97">
        <f t="shared" si="22"/>
        <v>72</v>
      </c>
      <c r="T76" s="98">
        <f t="shared" si="23"/>
        <v>34.92</v>
      </c>
      <c r="U76" s="98">
        <f t="shared" si="24"/>
        <v>7999.92</v>
      </c>
      <c r="V76" s="111">
        <v>75</v>
      </c>
      <c r="W76" s="108"/>
    </row>
    <row r="77" spans="1:23" ht="21.75" customHeight="1" x14ac:dyDescent="0.2">
      <c r="A77" s="106">
        <v>43541</v>
      </c>
      <c r="B77" s="97">
        <v>9</v>
      </c>
      <c r="C77" s="97">
        <v>9</v>
      </c>
      <c r="D77" s="97">
        <v>9</v>
      </c>
      <c r="E77" s="97">
        <v>9</v>
      </c>
      <c r="F77" s="97">
        <v>9</v>
      </c>
      <c r="G77" s="97">
        <v>9</v>
      </c>
      <c r="H77" s="97">
        <v>9</v>
      </c>
      <c r="I77" s="97">
        <v>9</v>
      </c>
      <c r="J77" s="97">
        <v>9</v>
      </c>
      <c r="K77" s="97">
        <v>9</v>
      </c>
      <c r="L77" s="97">
        <v>9</v>
      </c>
      <c r="M77" s="97">
        <v>9</v>
      </c>
      <c r="N77" s="97">
        <v>9</v>
      </c>
      <c r="O77" s="97">
        <v>9</v>
      </c>
      <c r="P77" s="97">
        <v>9</v>
      </c>
      <c r="Q77" s="97">
        <f t="shared" si="20"/>
        <v>63</v>
      </c>
      <c r="R77" s="104">
        <f t="shared" si="21"/>
        <v>7965</v>
      </c>
      <c r="S77" s="97">
        <f t="shared" si="22"/>
        <v>72</v>
      </c>
      <c r="T77" s="98">
        <f t="shared" si="23"/>
        <v>34.92</v>
      </c>
      <c r="U77" s="98">
        <f t="shared" si="24"/>
        <v>7999.92</v>
      </c>
      <c r="V77" s="111">
        <v>76</v>
      </c>
      <c r="W77" s="108"/>
    </row>
    <row r="78" spans="1:23" ht="21.75" customHeight="1" x14ac:dyDescent="0.2">
      <c r="A78" s="106">
        <v>43542</v>
      </c>
      <c r="B78" s="97">
        <v>9</v>
      </c>
      <c r="C78" s="97">
        <v>9</v>
      </c>
      <c r="D78" s="97">
        <v>9</v>
      </c>
      <c r="E78" s="97">
        <v>9</v>
      </c>
      <c r="F78" s="97">
        <v>9</v>
      </c>
      <c r="G78" s="97">
        <v>9</v>
      </c>
      <c r="H78" s="97">
        <v>9</v>
      </c>
      <c r="I78" s="97">
        <v>9</v>
      </c>
      <c r="J78" s="97">
        <v>9</v>
      </c>
      <c r="K78" s="97">
        <v>9</v>
      </c>
      <c r="L78" s="97">
        <v>9</v>
      </c>
      <c r="M78" s="97">
        <v>9</v>
      </c>
      <c r="N78" s="97">
        <v>9</v>
      </c>
      <c r="O78" s="97">
        <v>9</v>
      </c>
      <c r="P78" s="97">
        <v>9</v>
      </c>
      <c r="Q78" s="97">
        <f t="shared" si="20"/>
        <v>63</v>
      </c>
      <c r="R78" s="104">
        <f t="shared" si="21"/>
        <v>7965</v>
      </c>
      <c r="S78" s="97">
        <f t="shared" si="22"/>
        <v>72</v>
      </c>
      <c r="T78" s="98">
        <f t="shared" si="23"/>
        <v>34.92</v>
      </c>
      <c r="U78" s="98">
        <f t="shared" si="24"/>
        <v>7999.92</v>
      </c>
      <c r="V78" s="111">
        <v>77</v>
      </c>
      <c r="W78" s="108"/>
    </row>
    <row r="79" spans="1:23" ht="21.75" customHeight="1" x14ac:dyDescent="0.2">
      <c r="A79" s="106">
        <v>43543</v>
      </c>
      <c r="B79" s="97">
        <v>9</v>
      </c>
      <c r="C79" s="97">
        <v>9</v>
      </c>
      <c r="D79" s="97">
        <v>9</v>
      </c>
      <c r="E79" s="97">
        <v>9</v>
      </c>
      <c r="F79" s="97">
        <v>9</v>
      </c>
      <c r="G79" s="97">
        <v>9</v>
      </c>
      <c r="H79" s="97">
        <v>9</v>
      </c>
      <c r="I79" s="97">
        <v>9</v>
      </c>
      <c r="J79" s="97">
        <v>9</v>
      </c>
      <c r="K79" s="97">
        <v>9</v>
      </c>
      <c r="L79" s="97">
        <v>9</v>
      </c>
      <c r="M79" s="97">
        <v>9</v>
      </c>
      <c r="N79" s="97">
        <v>9</v>
      </c>
      <c r="O79" s="97">
        <v>9</v>
      </c>
      <c r="P79" s="97">
        <v>9</v>
      </c>
      <c r="Q79" s="97">
        <f t="shared" si="20"/>
        <v>63</v>
      </c>
      <c r="R79" s="104">
        <f t="shared" si="21"/>
        <v>7965</v>
      </c>
      <c r="S79" s="97">
        <f t="shared" si="22"/>
        <v>72</v>
      </c>
      <c r="T79" s="98">
        <f t="shared" si="23"/>
        <v>34.92</v>
      </c>
      <c r="U79" s="98">
        <f t="shared" si="24"/>
        <v>7999.92</v>
      </c>
      <c r="V79" s="111">
        <v>78</v>
      </c>
      <c r="W79" s="108"/>
    </row>
    <row r="80" spans="1:23" ht="21.75" customHeight="1" x14ac:dyDescent="0.2">
      <c r="A80" s="106">
        <v>43544</v>
      </c>
      <c r="B80" s="97">
        <v>9</v>
      </c>
      <c r="C80" s="97">
        <v>9</v>
      </c>
      <c r="D80" s="97">
        <v>9</v>
      </c>
      <c r="E80" s="97">
        <v>9</v>
      </c>
      <c r="F80" s="97">
        <v>9</v>
      </c>
      <c r="G80" s="97">
        <v>9</v>
      </c>
      <c r="H80" s="97">
        <v>9</v>
      </c>
      <c r="I80" s="97">
        <v>9</v>
      </c>
      <c r="J80" s="97">
        <v>9</v>
      </c>
      <c r="K80" s="97">
        <v>9</v>
      </c>
      <c r="L80" s="97">
        <v>9</v>
      </c>
      <c r="M80" s="97">
        <v>9</v>
      </c>
      <c r="N80" s="97">
        <v>9</v>
      </c>
      <c r="O80" s="97">
        <v>9</v>
      </c>
      <c r="P80" s="97">
        <v>9</v>
      </c>
      <c r="Q80" s="97">
        <f t="shared" si="20"/>
        <v>63</v>
      </c>
      <c r="R80" s="104">
        <f t="shared" si="21"/>
        <v>7965</v>
      </c>
      <c r="S80" s="97">
        <f t="shared" si="22"/>
        <v>72</v>
      </c>
      <c r="T80" s="98">
        <f t="shared" si="23"/>
        <v>34.92</v>
      </c>
      <c r="U80" s="98">
        <f t="shared" si="24"/>
        <v>7999.92</v>
      </c>
      <c r="V80" s="111">
        <v>79</v>
      </c>
      <c r="W80" s="108"/>
    </row>
    <row r="81" spans="1:23" ht="21.75" customHeight="1" x14ac:dyDescent="0.2">
      <c r="A81" s="106">
        <v>43545</v>
      </c>
      <c r="B81" s="97">
        <v>9</v>
      </c>
      <c r="C81" s="97">
        <v>9</v>
      </c>
      <c r="D81" s="97">
        <v>9</v>
      </c>
      <c r="E81" s="97">
        <v>9</v>
      </c>
      <c r="F81" s="97">
        <v>9</v>
      </c>
      <c r="G81" s="97">
        <v>9</v>
      </c>
      <c r="H81" s="97">
        <v>9</v>
      </c>
      <c r="I81" s="97">
        <v>9</v>
      </c>
      <c r="J81" s="97">
        <v>9</v>
      </c>
      <c r="K81" s="97">
        <v>9</v>
      </c>
      <c r="L81" s="97">
        <v>9</v>
      </c>
      <c r="M81" s="97">
        <v>9</v>
      </c>
      <c r="N81" s="97">
        <v>9</v>
      </c>
      <c r="O81" s="97">
        <v>9</v>
      </c>
      <c r="P81" s="97">
        <v>9</v>
      </c>
      <c r="Q81" s="97">
        <f t="shared" si="20"/>
        <v>63</v>
      </c>
      <c r="R81" s="104">
        <f t="shared" si="21"/>
        <v>7965</v>
      </c>
      <c r="S81" s="97">
        <f t="shared" si="22"/>
        <v>72</v>
      </c>
      <c r="T81" s="98">
        <f t="shared" si="23"/>
        <v>34.92</v>
      </c>
      <c r="U81" s="98">
        <f t="shared" si="24"/>
        <v>7999.92</v>
      </c>
      <c r="V81" s="111">
        <v>80</v>
      </c>
      <c r="W81" s="108"/>
    </row>
    <row r="82" spans="1:23" ht="21.75" customHeight="1" x14ac:dyDescent="0.2">
      <c r="A82" s="106">
        <v>43546</v>
      </c>
      <c r="B82" s="97">
        <v>9</v>
      </c>
      <c r="C82" s="97">
        <v>9</v>
      </c>
      <c r="D82" s="97">
        <v>9</v>
      </c>
      <c r="E82" s="97">
        <v>9</v>
      </c>
      <c r="F82" s="97">
        <v>9</v>
      </c>
      <c r="G82" s="97">
        <v>9</v>
      </c>
      <c r="H82" s="97">
        <v>9</v>
      </c>
      <c r="I82" s="97">
        <v>9</v>
      </c>
      <c r="J82" s="97">
        <v>9</v>
      </c>
      <c r="K82" s="97">
        <v>9</v>
      </c>
      <c r="L82" s="97">
        <v>9</v>
      </c>
      <c r="M82" s="97">
        <v>9</v>
      </c>
      <c r="N82" s="97">
        <v>9</v>
      </c>
      <c r="O82" s="97">
        <v>9</v>
      </c>
      <c r="P82" s="97">
        <v>9</v>
      </c>
      <c r="Q82" s="97">
        <f t="shared" si="20"/>
        <v>63</v>
      </c>
      <c r="R82" s="104">
        <f t="shared" si="21"/>
        <v>7965</v>
      </c>
      <c r="S82" s="97">
        <f t="shared" si="22"/>
        <v>72</v>
      </c>
      <c r="T82" s="98">
        <f t="shared" si="23"/>
        <v>34.92</v>
      </c>
      <c r="U82" s="98">
        <f t="shared" si="24"/>
        <v>7999.92</v>
      </c>
      <c r="V82" s="111">
        <v>81</v>
      </c>
      <c r="W82" s="108"/>
    </row>
    <row r="83" spans="1:23" ht="21.75" customHeight="1" x14ac:dyDescent="0.2">
      <c r="A83" s="106">
        <v>43547</v>
      </c>
      <c r="B83" s="97">
        <v>9</v>
      </c>
      <c r="C83" s="97">
        <v>9</v>
      </c>
      <c r="D83" s="97">
        <v>9</v>
      </c>
      <c r="E83" s="97">
        <v>9</v>
      </c>
      <c r="F83" s="97">
        <v>9</v>
      </c>
      <c r="G83" s="97">
        <v>9</v>
      </c>
      <c r="H83" s="97">
        <v>9</v>
      </c>
      <c r="I83" s="97">
        <v>9</v>
      </c>
      <c r="J83" s="97">
        <v>9</v>
      </c>
      <c r="K83" s="97">
        <v>9</v>
      </c>
      <c r="L83" s="97">
        <v>9</v>
      </c>
      <c r="M83" s="97">
        <v>9</v>
      </c>
      <c r="N83" s="97">
        <v>9</v>
      </c>
      <c r="O83" s="97">
        <v>9</v>
      </c>
      <c r="P83" s="97">
        <v>9</v>
      </c>
      <c r="Q83" s="97">
        <f t="shared" si="20"/>
        <v>63</v>
      </c>
      <c r="R83" s="104">
        <f t="shared" si="21"/>
        <v>7965</v>
      </c>
      <c r="S83" s="97">
        <f t="shared" si="22"/>
        <v>72</v>
      </c>
      <c r="T83" s="98">
        <f t="shared" si="23"/>
        <v>34.92</v>
      </c>
      <c r="U83" s="98">
        <f t="shared" si="24"/>
        <v>7999.92</v>
      </c>
      <c r="V83" s="111">
        <v>82</v>
      </c>
      <c r="W83" s="108"/>
    </row>
    <row r="84" spans="1:23" ht="21.75" customHeight="1" x14ac:dyDescent="0.2">
      <c r="A84" s="106">
        <v>43548</v>
      </c>
      <c r="B84" s="97">
        <v>9</v>
      </c>
      <c r="C84" s="97">
        <v>9</v>
      </c>
      <c r="D84" s="97">
        <v>9</v>
      </c>
      <c r="E84" s="97">
        <v>9</v>
      </c>
      <c r="F84" s="97">
        <v>9</v>
      </c>
      <c r="G84" s="97">
        <v>9</v>
      </c>
      <c r="H84" s="97">
        <v>9</v>
      </c>
      <c r="I84" s="97">
        <v>9</v>
      </c>
      <c r="J84" s="97">
        <v>9</v>
      </c>
      <c r="K84" s="97">
        <v>9</v>
      </c>
      <c r="L84" s="97">
        <v>9</v>
      </c>
      <c r="M84" s="97">
        <v>9</v>
      </c>
      <c r="N84" s="97">
        <v>9</v>
      </c>
      <c r="O84" s="97">
        <v>9</v>
      </c>
      <c r="P84" s="97">
        <v>9</v>
      </c>
      <c r="Q84" s="97">
        <f t="shared" si="20"/>
        <v>63</v>
      </c>
      <c r="R84" s="104">
        <f t="shared" si="21"/>
        <v>7965</v>
      </c>
      <c r="S84" s="97">
        <f t="shared" si="22"/>
        <v>72</v>
      </c>
      <c r="T84" s="98">
        <f t="shared" si="23"/>
        <v>34.92</v>
      </c>
      <c r="U84" s="98">
        <f t="shared" si="24"/>
        <v>7999.92</v>
      </c>
      <c r="V84" s="111">
        <v>83</v>
      </c>
      <c r="W84" s="108"/>
    </row>
    <row r="85" spans="1:23" ht="21.75" customHeight="1" x14ac:dyDescent="0.2">
      <c r="A85" s="106">
        <v>43549</v>
      </c>
      <c r="B85" s="97">
        <v>9</v>
      </c>
      <c r="C85" s="97">
        <v>9</v>
      </c>
      <c r="D85" s="97">
        <v>9</v>
      </c>
      <c r="E85" s="97">
        <v>9</v>
      </c>
      <c r="F85" s="97">
        <v>9</v>
      </c>
      <c r="G85" s="97">
        <v>9</v>
      </c>
      <c r="H85" s="97">
        <v>9</v>
      </c>
      <c r="I85" s="97">
        <v>9</v>
      </c>
      <c r="J85" s="97">
        <v>9</v>
      </c>
      <c r="K85" s="97">
        <v>9</v>
      </c>
      <c r="L85" s="97">
        <v>9</v>
      </c>
      <c r="M85" s="97">
        <v>9</v>
      </c>
      <c r="N85" s="97">
        <v>9</v>
      </c>
      <c r="O85" s="97">
        <v>9</v>
      </c>
      <c r="P85" s="97">
        <v>9</v>
      </c>
      <c r="Q85" s="97">
        <f t="shared" si="20"/>
        <v>63</v>
      </c>
      <c r="R85" s="104">
        <f t="shared" si="21"/>
        <v>7965</v>
      </c>
      <c r="S85" s="97">
        <f t="shared" si="22"/>
        <v>72</v>
      </c>
      <c r="T85" s="98">
        <f t="shared" si="23"/>
        <v>34.92</v>
      </c>
      <c r="U85" s="98">
        <f t="shared" si="24"/>
        <v>7999.92</v>
      </c>
      <c r="V85" s="111">
        <v>84</v>
      </c>
      <c r="W85" s="108"/>
    </row>
    <row r="86" spans="1:23" ht="21.75" customHeight="1" x14ac:dyDescent="0.2">
      <c r="A86" s="106">
        <v>43550</v>
      </c>
      <c r="B86" s="97">
        <v>9</v>
      </c>
      <c r="C86" s="97">
        <v>9</v>
      </c>
      <c r="D86" s="97">
        <v>9</v>
      </c>
      <c r="E86" s="97">
        <v>9</v>
      </c>
      <c r="F86" s="97">
        <v>9</v>
      </c>
      <c r="G86" s="97">
        <v>9</v>
      </c>
      <c r="H86" s="97">
        <v>9</v>
      </c>
      <c r="I86" s="97">
        <v>9</v>
      </c>
      <c r="J86" s="97">
        <v>9</v>
      </c>
      <c r="K86" s="97">
        <v>9</v>
      </c>
      <c r="L86" s="97">
        <v>9</v>
      </c>
      <c r="M86" s="97">
        <v>9</v>
      </c>
      <c r="N86" s="97">
        <v>9</v>
      </c>
      <c r="O86" s="97">
        <v>9</v>
      </c>
      <c r="P86" s="97">
        <v>9</v>
      </c>
      <c r="Q86" s="97">
        <f t="shared" si="20"/>
        <v>63</v>
      </c>
      <c r="R86" s="104">
        <f t="shared" si="21"/>
        <v>7965</v>
      </c>
      <c r="S86" s="97">
        <f t="shared" si="22"/>
        <v>72</v>
      </c>
      <c r="T86" s="98">
        <f t="shared" si="23"/>
        <v>34.92</v>
      </c>
      <c r="U86" s="98">
        <f t="shared" si="24"/>
        <v>7999.92</v>
      </c>
      <c r="V86" s="111">
        <v>85</v>
      </c>
      <c r="W86" s="108"/>
    </row>
    <row r="87" spans="1:23" ht="21.75" customHeight="1" x14ac:dyDescent="0.2">
      <c r="A87" s="106">
        <v>43551</v>
      </c>
      <c r="B87" s="97">
        <v>9</v>
      </c>
      <c r="C87" s="97">
        <v>9</v>
      </c>
      <c r="D87" s="97">
        <v>9</v>
      </c>
      <c r="E87" s="97">
        <v>9</v>
      </c>
      <c r="F87" s="97">
        <v>9</v>
      </c>
      <c r="G87" s="97">
        <v>9</v>
      </c>
      <c r="H87" s="97">
        <v>9</v>
      </c>
      <c r="I87" s="97">
        <v>9</v>
      </c>
      <c r="J87" s="97">
        <v>9</v>
      </c>
      <c r="K87" s="97">
        <v>9</v>
      </c>
      <c r="L87" s="97">
        <v>9</v>
      </c>
      <c r="M87" s="97">
        <v>9</v>
      </c>
      <c r="N87" s="97">
        <v>9</v>
      </c>
      <c r="O87" s="97">
        <v>9</v>
      </c>
      <c r="P87" s="97">
        <v>9</v>
      </c>
      <c r="Q87" s="97">
        <f t="shared" si="20"/>
        <v>63</v>
      </c>
      <c r="R87" s="104">
        <f t="shared" si="21"/>
        <v>7965</v>
      </c>
      <c r="S87" s="97">
        <f t="shared" si="22"/>
        <v>72</v>
      </c>
      <c r="T87" s="98">
        <f t="shared" si="23"/>
        <v>34.92</v>
      </c>
      <c r="U87" s="98">
        <f t="shared" si="24"/>
        <v>7999.92</v>
      </c>
      <c r="V87" s="111">
        <v>86</v>
      </c>
      <c r="W87" s="108"/>
    </row>
    <row r="88" spans="1:23" ht="21.75" customHeight="1" x14ac:dyDescent="0.2">
      <c r="A88" s="106">
        <v>43552</v>
      </c>
      <c r="B88" s="97">
        <v>9</v>
      </c>
      <c r="C88" s="97">
        <v>9</v>
      </c>
      <c r="D88" s="97">
        <v>9</v>
      </c>
      <c r="E88" s="97">
        <v>9</v>
      </c>
      <c r="F88" s="97">
        <v>9</v>
      </c>
      <c r="G88" s="97">
        <v>9</v>
      </c>
      <c r="H88" s="97">
        <v>9</v>
      </c>
      <c r="I88" s="97">
        <v>9</v>
      </c>
      <c r="J88" s="97">
        <v>9</v>
      </c>
      <c r="K88" s="97">
        <v>9</v>
      </c>
      <c r="L88" s="97">
        <v>9</v>
      </c>
      <c r="M88" s="97">
        <v>9</v>
      </c>
      <c r="N88" s="97">
        <v>9</v>
      </c>
      <c r="O88" s="97">
        <v>9</v>
      </c>
      <c r="P88" s="97">
        <v>9</v>
      </c>
      <c r="Q88" s="97">
        <f t="shared" si="20"/>
        <v>63</v>
      </c>
      <c r="R88" s="104">
        <f t="shared" si="21"/>
        <v>7965</v>
      </c>
      <c r="S88" s="97">
        <f t="shared" si="22"/>
        <v>72</v>
      </c>
      <c r="T88" s="98">
        <f t="shared" si="23"/>
        <v>34.92</v>
      </c>
      <c r="U88" s="98">
        <f t="shared" si="24"/>
        <v>7999.92</v>
      </c>
      <c r="V88" s="111">
        <v>87</v>
      </c>
      <c r="W88" s="108"/>
    </row>
    <row r="89" spans="1:23" ht="21.75" customHeight="1" x14ac:dyDescent="0.2">
      <c r="A89" s="106">
        <v>43553</v>
      </c>
      <c r="B89" s="97">
        <v>9</v>
      </c>
      <c r="C89" s="97">
        <v>9</v>
      </c>
      <c r="D89" s="97">
        <v>9</v>
      </c>
      <c r="E89" s="97">
        <v>9</v>
      </c>
      <c r="F89" s="97">
        <v>9</v>
      </c>
      <c r="G89" s="97">
        <v>9</v>
      </c>
      <c r="H89" s="97">
        <v>9</v>
      </c>
      <c r="I89" s="97">
        <v>9</v>
      </c>
      <c r="J89" s="97">
        <v>9</v>
      </c>
      <c r="K89" s="97">
        <v>9</v>
      </c>
      <c r="L89" s="97">
        <v>9</v>
      </c>
      <c r="M89" s="97">
        <v>9</v>
      </c>
      <c r="N89" s="97">
        <v>9</v>
      </c>
      <c r="O89" s="97">
        <v>9</v>
      </c>
      <c r="P89" s="97">
        <v>9</v>
      </c>
      <c r="Q89" s="97">
        <f t="shared" si="20"/>
        <v>63</v>
      </c>
      <c r="R89" s="104">
        <f t="shared" si="21"/>
        <v>7965</v>
      </c>
      <c r="S89" s="97">
        <f t="shared" si="22"/>
        <v>72</v>
      </c>
      <c r="T89" s="98">
        <f t="shared" si="23"/>
        <v>34.92</v>
      </c>
      <c r="U89" s="98">
        <f t="shared" si="24"/>
        <v>7999.92</v>
      </c>
      <c r="V89" s="111">
        <v>88</v>
      </c>
      <c r="W89" s="108"/>
    </row>
    <row r="90" spans="1:23" ht="21.75" customHeight="1" x14ac:dyDescent="0.2">
      <c r="A90" s="106">
        <v>43554</v>
      </c>
      <c r="B90" s="97">
        <v>9</v>
      </c>
      <c r="C90" s="97">
        <v>9</v>
      </c>
      <c r="D90" s="97">
        <v>9</v>
      </c>
      <c r="E90" s="97">
        <v>9</v>
      </c>
      <c r="F90" s="97">
        <v>9</v>
      </c>
      <c r="G90" s="97">
        <v>9</v>
      </c>
      <c r="H90" s="97">
        <v>9</v>
      </c>
      <c r="I90" s="97">
        <v>9</v>
      </c>
      <c r="J90" s="97">
        <v>9</v>
      </c>
      <c r="K90" s="97">
        <v>9</v>
      </c>
      <c r="L90" s="97">
        <v>9</v>
      </c>
      <c r="M90" s="97">
        <v>9</v>
      </c>
      <c r="N90" s="97">
        <v>9</v>
      </c>
      <c r="O90" s="97">
        <v>9</v>
      </c>
      <c r="P90" s="97">
        <v>9</v>
      </c>
      <c r="Q90" s="97">
        <f t="shared" si="20"/>
        <v>63</v>
      </c>
      <c r="R90" s="104">
        <f t="shared" si="21"/>
        <v>7965</v>
      </c>
      <c r="S90" s="97">
        <f t="shared" si="22"/>
        <v>72</v>
      </c>
      <c r="T90" s="98">
        <f t="shared" si="23"/>
        <v>34.92</v>
      </c>
      <c r="U90" s="98">
        <f t="shared" si="24"/>
        <v>7999.92</v>
      </c>
      <c r="V90" s="111">
        <v>89</v>
      </c>
      <c r="W90" s="108"/>
    </row>
    <row r="91" spans="1:23" ht="21.75" customHeight="1" x14ac:dyDescent="0.2">
      <c r="A91" s="106">
        <v>43555</v>
      </c>
      <c r="B91" s="97">
        <v>9</v>
      </c>
      <c r="C91" s="97">
        <v>9</v>
      </c>
      <c r="D91" s="97">
        <v>9</v>
      </c>
      <c r="E91" s="97">
        <v>9</v>
      </c>
      <c r="F91" s="97">
        <v>9</v>
      </c>
      <c r="G91" s="97">
        <v>9</v>
      </c>
      <c r="H91" s="97">
        <v>9</v>
      </c>
      <c r="I91" s="97">
        <v>9</v>
      </c>
      <c r="J91" s="97">
        <v>9</v>
      </c>
      <c r="K91" s="97">
        <v>9</v>
      </c>
      <c r="L91" s="97">
        <v>9</v>
      </c>
      <c r="M91" s="97">
        <v>9</v>
      </c>
      <c r="N91" s="97">
        <v>9</v>
      </c>
      <c r="O91" s="97">
        <v>9</v>
      </c>
      <c r="P91" s="97">
        <v>9</v>
      </c>
      <c r="Q91" s="97">
        <f t="shared" si="20"/>
        <v>63</v>
      </c>
      <c r="R91" s="104">
        <f t="shared" si="21"/>
        <v>7965</v>
      </c>
      <c r="S91" s="97">
        <f t="shared" si="22"/>
        <v>72</v>
      </c>
      <c r="T91" s="98">
        <f t="shared" si="23"/>
        <v>34.92</v>
      </c>
      <c r="U91" s="98">
        <f t="shared" si="24"/>
        <v>7999.92</v>
      </c>
      <c r="V91" s="111">
        <v>90</v>
      </c>
      <c r="W91" s="108"/>
    </row>
    <row r="92" spans="1:23" ht="21.75" customHeight="1" x14ac:dyDescent="0.2">
      <c r="A92" s="106">
        <v>43556</v>
      </c>
      <c r="B92" s="97">
        <v>9</v>
      </c>
      <c r="C92" s="97">
        <v>9</v>
      </c>
      <c r="D92" s="97">
        <v>9</v>
      </c>
      <c r="E92" s="97">
        <v>9</v>
      </c>
      <c r="F92" s="97">
        <v>9</v>
      </c>
      <c r="G92" s="97">
        <v>9</v>
      </c>
      <c r="H92" s="97">
        <v>9</v>
      </c>
      <c r="I92" s="97">
        <v>9</v>
      </c>
      <c r="J92" s="97">
        <v>9</v>
      </c>
      <c r="K92" s="97">
        <v>9</v>
      </c>
      <c r="L92" s="97">
        <v>9</v>
      </c>
      <c r="M92" s="97">
        <v>9</v>
      </c>
      <c r="N92" s="97">
        <v>9</v>
      </c>
      <c r="O92" s="97">
        <v>9</v>
      </c>
      <c r="P92" s="97">
        <v>9</v>
      </c>
      <c r="Q92" s="97">
        <f t="shared" si="20"/>
        <v>63</v>
      </c>
      <c r="R92" s="104">
        <f t="shared" si="21"/>
        <v>7965</v>
      </c>
      <c r="S92" s="97">
        <f t="shared" si="22"/>
        <v>72</v>
      </c>
      <c r="T92" s="98">
        <f t="shared" si="23"/>
        <v>34.92</v>
      </c>
      <c r="U92" s="98">
        <f t="shared" si="24"/>
        <v>7999.92</v>
      </c>
      <c r="V92" s="111">
        <v>91</v>
      </c>
      <c r="W92" s="108"/>
    </row>
    <row r="93" spans="1:23" ht="21.75" customHeight="1" x14ac:dyDescent="0.2">
      <c r="A93" s="106">
        <v>43557</v>
      </c>
      <c r="B93" s="97">
        <v>9</v>
      </c>
      <c r="C93" s="97">
        <v>9</v>
      </c>
      <c r="D93" s="97">
        <v>9</v>
      </c>
      <c r="E93" s="97">
        <v>9</v>
      </c>
      <c r="F93" s="97">
        <v>9</v>
      </c>
      <c r="G93" s="97">
        <v>9</v>
      </c>
      <c r="H93" s="97">
        <v>9</v>
      </c>
      <c r="I93" s="97">
        <v>9</v>
      </c>
      <c r="J93" s="97">
        <v>9</v>
      </c>
      <c r="K93" s="97">
        <v>9</v>
      </c>
      <c r="L93" s="97">
        <v>9</v>
      </c>
      <c r="M93" s="97">
        <v>9</v>
      </c>
      <c r="N93" s="97">
        <v>9</v>
      </c>
      <c r="O93" s="97">
        <v>9</v>
      </c>
      <c r="P93" s="97">
        <v>9</v>
      </c>
      <c r="Q93" s="97">
        <f t="shared" si="20"/>
        <v>63</v>
      </c>
      <c r="R93" s="104">
        <f t="shared" si="21"/>
        <v>7965</v>
      </c>
      <c r="S93" s="97">
        <f t="shared" si="22"/>
        <v>72</v>
      </c>
      <c r="T93" s="98">
        <f t="shared" si="23"/>
        <v>34.92</v>
      </c>
      <c r="U93" s="98">
        <f t="shared" si="24"/>
        <v>7999.92</v>
      </c>
      <c r="V93" s="111">
        <v>92</v>
      </c>
      <c r="W93" s="108"/>
    </row>
    <row r="94" spans="1:23" ht="21.75" customHeight="1" x14ac:dyDescent="0.2">
      <c r="A94" s="106">
        <v>43558</v>
      </c>
      <c r="B94" s="97">
        <v>9</v>
      </c>
      <c r="C94" s="97">
        <v>9</v>
      </c>
      <c r="D94" s="97">
        <v>9</v>
      </c>
      <c r="E94" s="97">
        <v>9</v>
      </c>
      <c r="F94" s="97">
        <v>9</v>
      </c>
      <c r="G94" s="97">
        <v>9</v>
      </c>
      <c r="H94" s="97">
        <v>9</v>
      </c>
      <c r="I94" s="97">
        <v>9</v>
      </c>
      <c r="J94" s="97">
        <v>9</v>
      </c>
      <c r="K94" s="97">
        <v>9</v>
      </c>
      <c r="L94" s="97">
        <v>9</v>
      </c>
      <c r="M94" s="97">
        <v>9</v>
      </c>
      <c r="N94" s="97">
        <v>9</v>
      </c>
      <c r="O94" s="97">
        <v>9</v>
      </c>
      <c r="P94" s="97">
        <v>9</v>
      </c>
      <c r="Q94" s="97">
        <f t="shared" si="20"/>
        <v>63</v>
      </c>
      <c r="R94" s="104">
        <f t="shared" si="21"/>
        <v>7965</v>
      </c>
      <c r="S94" s="97">
        <f t="shared" si="22"/>
        <v>72</v>
      </c>
      <c r="T94" s="98">
        <f t="shared" si="23"/>
        <v>34.92</v>
      </c>
      <c r="U94" s="98">
        <f t="shared" si="24"/>
        <v>7999.92</v>
      </c>
      <c r="V94" s="111">
        <v>93</v>
      </c>
      <c r="W94" s="108"/>
    </row>
    <row r="95" spans="1:23" ht="21.75" customHeight="1" x14ac:dyDescent="0.2">
      <c r="A95" s="106">
        <v>43559</v>
      </c>
      <c r="B95" s="97">
        <v>9</v>
      </c>
      <c r="C95" s="97">
        <v>9</v>
      </c>
      <c r="D95" s="97">
        <v>9</v>
      </c>
      <c r="E95" s="97">
        <v>9</v>
      </c>
      <c r="F95" s="97">
        <v>9</v>
      </c>
      <c r="G95" s="97">
        <v>9</v>
      </c>
      <c r="H95" s="97">
        <v>9</v>
      </c>
      <c r="I95" s="97">
        <v>9</v>
      </c>
      <c r="J95" s="97">
        <v>9</v>
      </c>
      <c r="K95" s="97">
        <v>9</v>
      </c>
      <c r="L95" s="97">
        <v>9</v>
      </c>
      <c r="M95" s="97">
        <v>9</v>
      </c>
      <c r="N95" s="97">
        <v>9</v>
      </c>
      <c r="O95" s="97">
        <v>9</v>
      </c>
      <c r="P95" s="97">
        <v>9</v>
      </c>
      <c r="Q95" s="97">
        <f t="shared" si="20"/>
        <v>63</v>
      </c>
      <c r="R95" s="104">
        <f t="shared" si="21"/>
        <v>7965</v>
      </c>
      <c r="S95" s="97">
        <f t="shared" si="22"/>
        <v>72</v>
      </c>
      <c r="T95" s="98">
        <f t="shared" si="23"/>
        <v>34.92</v>
      </c>
      <c r="U95" s="98">
        <f t="shared" si="24"/>
        <v>7999.92</v>
      </c>
      <c r="V95" s="111">
        <v>94</v>
      </c>
      <c r="W95" s="108"/>
    </row>
    <row r="96" spans="1:23" ht="21.75" customHeight="1" x14ac:dyDescent="0.2">
      <c r="A96" s="106">
        <v>43560</v>
      </c>
      <c r="B96" s="97">
        <v>9</v>
      </c>
      <c r="C96" s="97">
        <v>9</v>
      </c>
      <c r="D96" s="97">
        <v>9</v>
      </c>
      <c r="E96" s="97">
        <v>9</v>
      </c>
      <c r="F96" s="97">
        <v>9</v>
      </c>
      <c r="G96" s="97">
        <v>9</v>
      </c>
      <c r="H96" s="97">
        <v>9</v>
      </c>
      <c r="I96" s="97">
        <v>9</v>
      </c>
      <c r="J96" s="97">
        <v>9</v>
      </c>
      <c r="K96" s="97">
        <v>9</v>
      </c>
      <c r="L96" s="97">
        <v>9</v>
      </c>
      <c r="M96" s="97">
        <v>9</v>
      </c>
      <c r="N96" s="97">
        <v>9</v>
      </c>
      <c r="O96" s="97">
        <v>9</v>
      </c>
      <c r="P96" s="97">
        <v>9</v>
      </c>
      <c r="Q96" s="97">
        <f t="shared" si="20"/>
        <v>63</v>
      </c>
      <c r="R96" s="104">
        <f t="shared" si="21"/>
        <v>7965</v>
      </c>
      <c r="S96" s="97">
        <f t="shared" si="22"/>
        <v>72</v>
      </c>
      <c r="T96" s="98">
        <f t="shared" si="23"/>
        <v>34.92</v>
      </c>
      <c r="U96" s="98">
        <f t="shared" si="24"/>
        <v>7999.92</v>
      </c>
      <c r="V96" s="111">
        <v>95</v>
      </c>
      <c r="W96" s="108"/>
    </row>
    <row r="97" spans="1:23" ht="21.75" customHeight="1" x14ac:dyDescent="0.2">
      <c r="A97" s="106">
        <v>43561</v>
      </c>
      <c r="B97" s="97">
        <v>9</v>
      </c>
      <c r="C97" s="97">
        <v>9</v>
      </c>
      <c r="D97" s="97">
        <v>9</v>
      </c>
      <c r="E97" s="97">
        <v>9</v>
      </c>
      <c r="F97" s="97">
        <v>9</v>
      </c>
      <c r="G97" s="97">
        <v>9</v>
      </c>
      <c r="H97" s="97">
        <v>9</v>
      </c>
      <c r="I97" s="97">
        <v>9</v>
      </c>
      <c r="J97" s="97">
        <v>9</v>
      </c>
      <c r="K97" s="97">
        <v>9</v>
      </c>
      <c r="L97" s="97">
        <v>9</v>
      </c>
      <c r="M97" s="97">
        <v>9</v>
      </c>
      <c r="N97" s="97">
        <v>9</v>
      </c>
      <c r="O97" s="97">
        <v>9</v>
      </c>
      <c r="P97" s="97">
        <v>9</v>
      </c>
      <c r="Q97" s="97">
        <f t="shared" si="20"/>
        <v>63</v>
      </c>
      <c r="R97" s="104">
        <f t="shared" si="21"/>
        <v>7965</v>
      </c>
      <c r="S97" s="97">
        <f t="shared" si="22"/>
        <v>72</v>
      </c>
      <c r="T97" s="98">
        <f t="shared" si="23"/>
        <v>34.92</v>
      </c>
      <c r="U97" s="98">
        <f t="shared" si="24"/>
        <v>7999.92</v>
      </c>
      <c r="V97" s="111">
        <v>96</v>
      </c>
      <c r="W97" s="108"/>
    </row>
    <row r="98" spans="1:23" ht="21.75" customHeight="1" x14ac:dyDescent="0.2">
      <c r="A98" s="106">
        <v>43562</v>
      </c>
      <c r="B98" s="97">
        <v>9</v>
      </c>
      <c r="C98" s="97">
        <v>9</v>
      </c>
      <c r="D98" s="97">
        <v>9</v>
      </c>
      <c r="E98" s="97">
        <v>9</v>
      </c>
      <c r="F98" s="97">
        <v>9</v>
      </c>
      <c r="G98" s="97">
        <v>9</v>
      </c>
      <c r="H98" s="97">
        <v>9</v>
      </c>
      <c r="I98" s="97">
        <v>9</v>
      </c>
      <c r="J98" s="97">
        <v>9</v>
      </c>
      <c r="K98" s="97">
        <v>9</v>
      </c>
      <c r="L98" s="97">
        <v>9</v>
      </c>
      <c r="M98" s="97">
        <v>9</v>
      </c>
      <c r="N98" s="97">
        <v>9</v>
      </c>
      <c r="O98" s="97">
        <v>9</v>
      </c>
      <c r="P98" s="97">
        <v>9</v>
      </c>
      <c r="Q98" s="97">
        <f t="shared" si="20"/>
        <v>63</v>
      </c>
      <c r="R98" s="104">
        <f t="shared" si="21"/>
        <v>7965</v>
      </c>
      <c r="S98" s="97">
        <f t="shared" si="22"/>
        <v>72</v>
      </c>
      <c r="T98" s="98">
        <f t="shared" si="23"/>
        <v>34.92</v>
      </c>
      <c r="U98" s="98">
        <f t="shared" si="24"/>
        <v>7999.92</v>
      </c>
      <c r="V98" s="111">
        <v>97</v>
      </c>
      <c r="W98" s="108"/>
    </row>
    <row r="99" spans="1:23" ht="21.75" customHeight="1" x14ac:dyDescent="0.2">
      <c r="A99" s="106">
        <v>43563</v>
      </c>
      <c r="B99" s="97">
        <v>9</v>
      </c>
      <c r="C99" s="97">
        <v>9</v>
      </c>
      <c r="D99" s="97">
        <v>9</v>
      </c>
      <c r="E99" s="97">
        <v>9</v>
      </c>
      <c r="F99" s="97">
        <v>9</v>
      </c>
      <c r="G99" s="97">
        <v>9</v>
      </c>
      <c r="H99" s="97">
        <v>9</v>
      </c>
      <c r="I99" s="97">
        <v>9</v>
      </c>
      <c r="J99" s="97">
        <v>9</v>
      </c>
      <c r="K99" s="97">
        <v>9</v>
      </c>
      <c r="L99" s="97">
        <v>9</v>
      </c>
      <c r="M99" s="97">
        <v>9</v>
      </c>
      <c r="N99" s="97">
        <v>9</v>
      </c>
      <c r="O99" s="97">
        <v>9</v>
      </c>
      <c r="P99" s="97">
        <v>9</v>
      </c>
      <c r="Q99" s="97">
        <f t="shared" si="20"/>
        <v>63</v>
      </c>
      <c r="R99" s="104">
        <f t="shared" si="21"/>
        <v>7965</v>
      </c>
      <c r="S99" s="97">
        <f t="shared" si="22"/>
        <v>72</v>
      </c>
      <c r="T99" s="98">
        <f t="shared" si="23"/>
        <v>34.92</v>
      </c>
      <c r="U99" s="98">
        <f t="shared" si="24"/>
        <v>7999.92</v>
      </c>
      <c r="V99" s="111">
        <v>98</v>
      </c>
      <c r="W99" s="108"/>
    </row>
    <row r="100" spans="1:23" ht="21.75" customHeight="1" x14ac:dyDescent="0.2">
      <c r="A100" s="106">
        <v>43564</v>
      </c>
      <c r="B100" s="97">
        <v>9</v>
      </c>
      <c r="C100" s="97">
        <v>9</v>
      </c>
      <c r="D100" s="97">
        <v>9</v>
      </c>
      <c r="E100" s="97">
        <v>9</v>
      </c>
      <c r="F100" s="97">
        <v>9</v>
      </c>
      <c r="G100" s="97">
        <v>9</v>
      </c>
      <c r="H100" s="97">
        <v>9</v>
      </c>
      <c r="I100" s="97">
        <v>9</v>
      </c>
      <c r="J100" s="97">
        <v>9</v>
      </c>
      <c r="K100" s="97">
        <v>9</v>
      </c>
      <c r="L100" s="97">
        <v>9</v>
      </c>
      <c r="M100" s="97">
        <v>9</v>
      </c>
      <c r="N100" s="97">
        <v>9</v>
      </c>
      <c r="O100" s="97">
        <v>9</v>
      </c>
      <c r="P100" s="97">
        <v>9</v>
      </c>
      <c r="Q100" s="97">
        <f t="shared" si="20"/>
        <v>63</v>
      </c>
      <c r="R100" s="104">
        <f t="shared" si="21"/>
        <v>7965</v>
      </c>
      <c r="S100" s="97">
        <f t="shared" si="22"/>
        <v>72</v>
      </c>
      <c r="T100" s="98">
        <f t="shared" si="23"/>
        <v>34.92</v>
      </c>
      <c r="U100" s="98">
        <f t="shared" si="24"/>
        <v>7999.92</v>
      </c>
      <c r="V100" s="111">
        <v>99</v>
      </c>
      <c r="W100" s="108"/>
    </row>
    <row r="101" spans="1:23" ht="21.75" customHeight="1" x14ac:dyDescent="0.2">
      <c r="A101" s="106">
        <v>43565</v>
      </c>
      <c r="B101" s="97">
        <v>9</v>
      </c>
      <c r="C101" s="97">
        <v>9</v>
      </c>
      <c r="D101" s="97">
        <v>9</v>
      </c>
      <c r="E101" s="97">
        <v>9</v>
      </c>
      <c r="F101" s="97">
        <v>9</v>
      </c>
      <c r="G101" s="97">
        <v>9</v>
      </c>
      <c r="H101" s="97">
        <v>9</v>
      </c>
      <c r="I101" s="97">
        <v>9</v>
      </c>
      <c r="J101" s="97">
        <v>9</v>
      </c>
      <c r="K101" s="97">
        <v>9</v>
      </c>
      <c r="L101" s="97">
        <v>9</v>
      </c>
      <c r="M101" s="97">
        <v>9</v>
      </c>
      <c r="N101" s="97">
        <v>9</v>
      </c>
      <c r="O101" s="97">
        <v>9</v>
      </c>
      <c r="P101" s="97">
        <v>9</v>
      </c>
      <c r="Q101" s="97">
        <f t="shared" si="20"/>
        <v>63</v>
      </c>
      <c r="R101" s="104">
        <f t="shared" si="21"/>
        <v>7965</v>
      </c>
      <c r="S101" s="97">
        <f t="shared" si="22"/>
        <v>72</v>
      </c>
      <c r="T101" s="98">
        <f t="shared" si="23"/>
        <v>34.92</v>
      </c>
      <c r="U101" s="98">
        <f t="shared" si="24"/>
        <v>7999.92</v>
      </c>
      <c r="V101" s="111">
        <v>100</v>
      </c>
      <c r="W101" s="108"/>
    </row>
    <row r="102" spans="1:23" ht="21.75" customHeight="1" x14ac:dyDescent="0.2">
      <c r="A102" s="106">
        <v>43566</v>
      </c>
      <c r="B102" s="97">
        <v>9</v>
      </c>
      <c r="C102" s="97">
        <v>9</v>
      </c>
      <c r="D102" s="97">
        <v>9</v>
      </c>
      <c r="E102" s="97">
        <v>9</v>
      </c>
      <c r="F102" s="97">
        <v>9</v>
      </c>
      <c r="G102" s="97">
        <v>9</v>
      </c>
      <c r="H102" s="97">
        <v>9</v>
      </c>
      <c r="I102" s="97">
        <v>9</v>
      </c>
      <c r="J102" s="97">
        <v>9</v>
      </c>
      <c r="K102" s="97">
        <v>9</v>
      </c>
      <c r="L102" s="97">
        <v>9</v>
      </c>
      <c r="M102" s="97">
        <v>9</v>
      </c>
      <c r="N102" s="97">
        <v>9</v>
      </c>
      <c r="O102" s="97">
        <v>9</v>
      </c>
      <c r="P102" s="97">
        <v>9</v>
      </c>
      <c r="Q102" s="97">
        <f t="shared" si="20"/>
        <v>63</v>
      </c>
      <c r="R102" s="104">
        <f t="shared" si="21"/>
        <v>7965</v>
      </c>
      <c r="S102" s="97">
        <f t="shared" si="22"/>
        <v>72</v>
      </c>
      <c r="T102" s="98">
        <f t="shared" si="23"/>
        <v>34.92</v>
      </c>
      <c r="U102" s="98">
        <f t="shared" si="24"/>
        <v>7999.92</v>
      </c>
      <c r="V102" s="111">
        <v>101</v>
      </c>
      <c r="W102" s="108"/>
    </row>
    <row r="103" spans="1:23" ht="21.75" customHeight="1" x14ac:dyDescent="0.2">
      <c r="A103" s="106">
        <v>43567</v>
      </c>
      <c r="B103" s="97">
        <v>9</v>
      </c>
      <c r="C103" s="97">
        <v>9</v>
      </c>
      <c r="D103" s="97">
        <v>9</v>
      </c>
      <c r="E103" s="97">
        <v>9</v>
      </c>
      <c r="F103" s="97">
        <v>9</v>
      </c>
      <c r="G103" s="97">
        <v>9</v>
      </c>
      <c r="H103" s="97">
        <v>9</v>
      </c>
      <c r="I103" s="97">
        <v>9</v>
      </c>
      <c r="J103" s="97">
        <v>9</v>
      </c>
      <c r="K103" s="97">
        <v>9</v>
      </c>
      <c r="L103" s="97">
        <v>9</v>
      </c>
      <c r="M103" s="97">
        <v>9</v>
      </c>
      <c r="N103" s="97">
        <v>9</v>
      </c>
      <c r="O103" s="97">
        <v>9</v>
      </c>
      <c r="P103" s="97">
        <v>9</v>
      </c>
      <c r="Q103" s="97">
        <f t="shared" si="20"/>
        <v>63</v>
      </c>
      <c r="R103" s="104">
        <f t="shared" si="21"/>
        <v>7965</v>
      </c>
      <c r="S103" s="97">
        <f t="shared" si="22"/>
        <v>72</v>
      </c>
      <c r="T103" s="98">
        <f t="shared" si="23"/>
        <v>34.92</v>
      </c>
      <c r="U103" s="98">
        <f t="shared" si="24"/>
        <v>7999.92</v>
      </c>
      <c r="V103" s="111">
        <v>102</v>
      </c>
      <c r="W103" s="108"/>
    </row>
    <row r="104" spans="1:23" ht="21.75" customHeight="1" x14ac:dyDescent="0.2">
      <c r="A104" s="106">
        <v>43568</v>
      </c>
      <c r="B104" s="97">
        <v>9</v>
      </c>
      <c r="C104" s="97">
        <v>9</v>
      </c>
      <c r="D104" s="97">
        <v>9</v>
      </c>
      <c r="E104" s="97">
        <v>9</v>
      </c>
      <c r="F104" s="97">
        <v>9</v>
      </c>
      <c r="G104" s="97">
        <v>9</v>
      </c>
      <c r="H104" s="97">
        <v>9</v>
      </c>
      <c r="I104" s="97">
        <v>9</v>
      </c>
      <c r="J104" s="97">
        <v>9</v>
      </c>
      <c r="K104" s="97">
        <v>9</v>
      </c>
      <c r="L104" s="97">
        <v>9</v>
      </c>
      <c r="M104" s="97">
        <v>9</v>
      </c>
      <c r="N104" s="97">
        <v>9</v>
      </c>
      <c r="O104" s="97">
        <v>9</v>
      </c>
      <c r="P104" s="97">
        <v>9</v>
      </c>
      <c r="Q104" s="97">
        <f t="shared" si="20"/>
        <v>63</v>
      </c>
      <c r="R104" s="104">
        <f t="shared" si="21"/>
        <v>7965</v>
      </c>
      <c r="S104" s="97">
        <f t="shared" si="22"/>
        <v>72</v>
      </c>
      <c r="T104" s="98">
        <f t="shared" si="23"/>
        <v>34.92</v>
      </c>
      <c r="U104" s="98">
        <f t="shared" si="24"/>
        <v>7999.92</v>
      </c>
      <c r="V104" s="111">
        <v>103</v>
      </c>
      <c r="W104" s="108"/>
    </row>
    <row r="105" spans="1:23" ht="21.75" customHeight="1" x14ac:dyDescent="0.2">
      <c r="A105" s="106">
        <v>43569</v>
      </c>
      <c r="B105" s="97">
        <v>9</v>
      </c>
      <c r="C105" s="97">
        <v>9</v>
      </c>
      <c r="D105" s="97">
        <v>9</v>
      </c>
      <c r="E105" s="97">
        <v>9</v>
      </c>
      <c r="F105" s="97">
        <v>9</v>
      </c>
      <c r="G105" s="97">
        <v>9</v>
      </c>
      <c r="H105" s="97">
        <v>9</v>
      </c>
      <c r="I105" s="97">
        <v>9</v>
      </c>
      <c r="J105" s="97">
        <v>9</v>
      </c>
      <c r="K105" s="97">
        <v>9</v>
      </c>
      <c r="L105" s="97">
        <v>9</v>
      </c>
      <c r="M105" s="97">
        <v>9</v>
      </c>
      <c r="N105" s="97">
        <v>9</v>
      </c>
      <c r="O105" s="97">
        <v>9</v>
      </c>
      <c r="P105" s="97">
        <v>9</v>
      </c>
      <c r="Q105" s="97">
        <f t="shared" si="20"/>
        <v>63</v>
      </c>
      <c r="R105" s="104">
        <f t="shared" si="21"/>
        <v>7965</v>
      </c>
      <c r="S105" s="97">
        <f t="shared" si="22"/>
        <v>72</v>
      </c>
      <c r="T105" s="98">
        <f t="shared" si="23"/>
        <v>34.92</v>
      </c>
      <c r="U105" s="98">
        <f t="shared" si="24"/>
        <v>7999.92</v>
      </c>
      <c r="V105" s="111">
        <v>104</v>
      </c>
      <c r="W105" s="108"/>
    </row>
    <row r="106" spans="1:23" ht="21.75" customHeight="1" x14ac:dyDescent="0.2">
      <c r="A106" s="106">
        <v>43570</v>
      </c>
      <c r="B106" s="97">
        <v>9</v>
      </c>
      <c r="C106" s="97">
        <v>9</v>
      </c>
      <c r="D106" s="97">
        <v>9</v>
      </c>
      <c r="E106" s="97">
        <v>9</v>
      </c>
      <c r="F106" s="97">
        <v>9</v>
      </c>
      <c r="G106" s="97">
        <v>9</v>
      </c>
      <c r="H106" s="97">
        <v>9</v>
      </c>
      <c r="I106" s="97">
        <v>9</v>
      </c>
      <c r="J106" s="97">
        <v>9</v>
      </c>
      <c r="K106" s="97">
        <v>9</v>
      </c>
      <c r="L106" s="97">
        <v>9</v>
      </c>
      <c r="M106" s="97">
        <v>9</v>
      </c>
      <c r="N106" s="97">
        <v>9</v>
      </c>
      <c r="O106" s="97">
        <v>9</v>
      </c>
      <c r="P106" s="97">
        <v>9</v>
      </c>
      <c r="Q106" s="97">
        <f t="shared" si="20"/>
        <v>63</v>
      </c>
      <c r="R106" s="104">
        <f t="shared" si="21"/>
        <v>7965</v>
      </c>
      <c r="S106" s="97">
        <f t="shared" si="22"/>
        <v>72</v>
      </c>
      <c r="T106" s="98">
        <f t="shared" si="23"/>
        <v>34.92</v>
      </c>
      <c r="U106" s="98">
        <f t="shared" si="24"/>
        <v>7999.92</v>
      </c>
      <c r="V106" s="111">
        <v>105</v>
      </c>
      <c r="W106" s="108"/>
    </row>
    <row r="107" spans="1:23" ht="21.75" customHeight="1" x14ac:dyDescent="0.2">
      <c r="A107" s="106">
        <v>43571</v>
      </c>
      <c r="B107" s="97">
        <v>9</v>
      </c>
      <c r="C107" s="97">
        <v>9</v>
      </c>
      <c r="D107" s="97">
        <v>9</v>
      </c>
      <c r="E107" s="97">
        <v>9</v>
      </c>
      <c r="F107" s="97">
        <v>9</v>
      </c>
      <c r="G107" s="97">
        <v>9</v>
      </c>
      <c r="H107" s="97">
        <v>9</v>
      </c>
      <c r="I107" s="97">
        <v>9</v>
      </c>
      <c r="J107" s="97">
        <v>9</v>
      </c>
      <c r="K107" s="97">
        <v>9</v>
      </c>
      <c r="L107" s="97">
        <v>9</v>
      </c>
      <c r="M107" s="97">
        <v>9</v>
      </c>
      <c r="N107" s="97">
        <v>9</v>
      </c>
      <c r="O107" s="97">
        <v>9</v>
      </c>
      <c r="P107" s="97">
        <v>9</v>
      </c>
      <c r="Q107" s="97">
        <f t="shared" si="20"/>
        <v>63</v>
      </c>
      <c r="R107" s="104">
        <f t="shared" si="21"/>
        <v>7965</v>
      </c>
      <c r="S107" s="97">
        <f t="shared" si="22"/>
        <v>72</v>
      </c>
      <c r="T107" s="98">
        <f t="shared" si="23"/>
        <v>34.92</v>
      </c>
      <c r="U107" s="98">
        <f t="shared" si="24"/>
        <v>7999.92</v>
      </c>
      <c r="V107" s="111">
        <v>106</v>
      </c>
      <c r="W107" s="108"/>
    </row>
    <row r="108" spans="1:23" ht="21.75" customHeight="1" x14ac:dyDescent="0.2">
      <c r="A108" s="106">
        <v>43572</v>
      </c>
      <c r="B108" s="97">
        <v>9</v>
      </c>
      <c r="C108" s="97">
        <v>9</v>
      </c>
      <c r="D108" s="97">
        <v>9</v>
      </c>
      <c r="E108" s="97">
        <v>9</v>
      </c>
      <c r="F108" s="97">
        <v>9</v>
      </c>
      <c r="G108" s="97">
        <v>9</v>
      </c>
      <c r="H108" s="97">
        <v>9</v>
      </c>
      <c r="I108" s="97">
        <v>9</v>
      </c>
      <c r="J108" s="97">
        <v>9</v>
      </c>
      <c r="K108" s="97">
        <v>9</v>
      </c>
      <c r="L108" s="97">
        <v>9</v>
      </c>
      <c r="M108" s="97">
        <v>9</v>
      </c>
      <c r="N108" s="97">
        <v>9</v>
      </c>
      <c r="O108" s="97">
        <v>9</v>
      </c>
      <c r="P108" s="97">
        <v>9</v>
      </c>
      <c r="Q108" s="97">
        <f t="shared" si="20"/>
        <v>63</v>
      </c>
      <c r="R108" s="104">
        <f t="shared" si="21"/>
        <v>7965</v>
      </c>
      <c r="S108" s="97">
        <f t="shared" si="22"/>
        <v>72</v>
      </c>
      <c r="T108" s="98">
        <f t="shared" si="23"/>
        <v>34.92</v>
      </c>
      <c r="U108" s="98">
        <f t="shared" si="24"/>
        <v>7999.92</v>
      </c>
      <c r="V108" s="111">
        <v>107</v>
      </c>
      <c r="W108" s="108"/>
    </row>
    <row r="109" spans="1:23" ht="21.75" customHeight="1" x14ac:dyDescent="0.2">
      <c r="A109" s="106">
        <v>43573</v>
      </c>
      <c r="B109" s="97">
        <v>9</v>
      </c>
      <c r="C109" s="97">
        <v>9</v>
      </c>
      <c r="D109" s="97">
        <v>9</v>
      </c>
      <c r="E109" s="97">
        <v>9</v>
      </c>
      <c r="F109" s="97">
        <v>9</v>
      </c>
      <c r="G109" s="97">
        <v>9</v>
      </c>
      <c r="H109" s="97">
        <v>9</v>
      </c>
      <c r="I109" s="97">
        <v>9</v>
      </c>
      <c r="J109" s="97">
        <v>9</v>
      </c>
      <c r="K109" s="97">
        <v>9</v>
      </c>
      <c r="L109" s="97">
        <v>9</v>
      </c>
      <c r="M109" s="97">
        <v>9</v>
      </c>
      <c r="N109" s="97">
        <v>9</v>
      </c>
      <c r="O109" s="97">
        <v>9</v>
      </c>
      <c r="P109" s="97">
        <v>9</v>
      </c>
      <c r="Q109" s="97">
        <f t="shared" si="20"/>
        <v>63</v>
      </c>
      <c r="R109" s="104">
        <f t="shared" si="21"/>
        <v>7965</v>
      </c>
      <c r="S109" s="97">
        <f t="shared" si="22"/>
        <v>72</v>
      </c>
      <c r="T109" s="98">
        <f t="shared" si="23"/>
        <v>34.92</v>
      </c>
      <c r="U109" s="98">
        <f t="shared" si="24"/>
        <v>7999.92</v>
      </c>
      <c r="V109" s="111">
        <v>108</v>
      </c>
      <c r="W109" s="108"/>
    </row>
    <row r="110" spans="1:23" ht="21.75" customHeight="1" x14ac:dyDescent="0.2">
      <c r="A110" s="106">
        <v>43574</v>
      </c>
      <c r="B110" s="97">
        <v>9</v>
      </c>
      <c r="C110" s="97">
        <v>9</v>
      </c>
      <c r="D110" s="97">
        <v>9</v>
      </c>
      <c r="E110" s="97">
        <v>9</v>
      </c>
      <c r="F110" s="97">
        <v>9</v>
      </c>
      <c r="G110" s="97">
        <v>9</v>
      </c>
      <c r="H110" s="97">
        <v>9</v>
      </c>
      <c r="I110" s="97">
        <v>9</v>
      </c>
      <c r="J110" s="97">
        <v>9</v>
      </c>
      <c r="K110" s="97">
        <v>9</v>
      </c>
      <c r="L110" s="97">
        <v>9</v>
      </c>
      <c r="M110" s="97">
        <v>9</v>
      </c>
      <c r="N110" s="97">
        <v>9</v>
      </c>
      <c r="O110" s="97">
        <v>9</v>
      </c>
      <c r="P110" s="97">
        <v>9</v>
      </c>
      <c r="Q110" s="97">
        <f t="shared" si="20"/>
        <v>63</v>
      </c>
      <c r="R110" s="104">
        <f t="shared" si="21"/>
        <v>7965</v>
      </c>
      <c r="S110" s="97">
        <f t="shared" si="22"/>
        <v>72</v>
      </c>
      <c r="T110" s="98">
        <f t="shared" si="23"/>
        <v>34.92</v>
      </c>
      <c r="U110" s="98">
        <f t="shared" si="24"/>
        <v>7999.92</v>
      </c>
      <c r="V110" s="111">
        <v>109</v>
      </c>
      <c r="W110" s="108"/>
    </row>
    <row r="111" spans="1:23" ht="21.75" customHeight="1" x14ac:dyDescent="0.2">
      <c r="A111" s="106">
        <v>43575</v>
      </c>
      <c r="B111" s="97">
        <v>9</v>
      </c>
      <c r="C111" s="97">
        <v>9</v>
      </c>
      <c r="D111" s="97">
        <v>9</v>
      </c>
      <c r="E111" s="97">
        <v>9</v>
      </c>
      <c r="F111" s="97">
        <v>9</v>
      </c>
      <c r="G111" s="97">
        <v>9</v>
      </c>
      <c r="H111" s="97">
        <v>9</v>
      </c>
      <c r="I111" s="97">
        <v>9</v>
      </c>
      <c r="J111" s="97">
        <v>9</v>
      </c>
      <c r="K111" s="97">
        <v>9</v>
      </c>
      <c r="L111" s="97">
        <v>9</v>
      </c>
      <c r="M111" s="97">
        <v>9</v>
      </c>
      <c r="N111" s="97">
        <v>9</v>
      </c>
      <c r="O111" s="97">
        <v>9</v>
      </c>
      <c r="P111" s="97">
        <v>9</v>
      </c>
      <c r="Q111" s="97">
        <f t="shared" si="20"/>
        <v>63</v>
      </c>
      <c r="R111" s="104">
        <f t="shared" si="21"/>
        <v>7965</v>
      </c>
      <c r="S111" s="97">
        <f t="shared" si="22"/>
        <v>72</v>
      </c>
      <c r="T111" s="98">
        <f t="shared" si="23"/>
        <v>34.92</v>
      </c>
      <c r="U111" s="98">
        <f t="shared" si="24"/>
        <v>7999.92</v>
      </c>
      <c r="V111" s="111">
        <v>110</v>
      </c>
      <c r="W111" s="108"/>
    </row>
    <row r="112" spans="1:23" ht="21.75" customHeight="1" x14ac:dyDescent="0.2">
      <c r="A112" s="106">
        <v>43576</v>
      </c>
      <c r="B112" s="97">
        <v>9</v>
      </c>
      <c r="C112" s="97">
        <v>9</v>
      </c>
      <c r="D112" s="97">
        <v>9</v>
      </c>
      <c r="E112" s="97">
        <v>9</v>
      </c>
      <c r="F112" s="97">
        <v>9</v>
      </c>
      <c r="G112" s="97">
        <v>9</v>
      </c>
      <c r="H112" s="97">
        <v>9</v>
      </c>
      <c r="I112" s="97">
        <v>9</v>
      </c>
      <c r="J112" s="97">
        <v>9</v>
      </c>
      <c r="K112" s="97">
        <v>9</v>
      </c>
      <c r="L112" s="97">
        <v>9</v>
      </c>
      <c r="M112" s="97">
        <v>9</v>
      </c>
      <c r="N112" s="97">
        <v>9</v>
      </c>
      <c r="O112" s="97">
        <v>9</v>
      </c>
      <c r="P112" s="97">
        <v>9</v>
      </c>
      <c r="Q112" s="97">
        <f t="shared" si="20"/>
        <v>63</v>
      </c>
      <c r="R112" s="104">
        <f t="shared" si="21"/>
        <v>7965</v>
      </c>
      <c r="S112" s="97">
        <f t="shared" si="22"/>
        <v>72</v>
      </c>
      <c r="T112" s="98">
        <f t="shared" si="23"/>
        <v>34.92</v>
      </c>
      <c r="U112" s="98">
        <f t="shared" si="24"/>
        <v>7999.92</v>
      </c>
      <c r="V112" s="111">
        <v>111</v>
      </c>
      <c r="W112" s="108"/>
    </row>
    <row r="113" spans="1:23" ht="21.75" customHeight="1" x14ac:dyDescent="0.2">
      <c r="A113" s="106">
        <v>43577</v>
      </c>
      <c r="B113" s="97">
        <v>9</v>
      </c>
      <c r="C113" s="97">
        <v>9</v>
      </c>
      <c r="D113" s="97">
        <v>9</v>
      </c>
      <c r="E113" s="97">
        <v>9</v>
      </c>
      <c r="F113" s="97">
        <v>9</v>
      </c>
      <c r="G113" s="97">
        <v>9</v>
      </c>
      <c r="H113" s="97">
        <v>9</v>
      </c>
      <c r="I113" s="97">
        <v>9</v>
      </c>
      <c r="J113" s="97">
        <v>9</v>
      </c>
      <c r="K113" s="97">
        <v>9</v>
      </c>
      <c r="L113" s="97">
        <v>9</v>
      </c>
      <c r="M113" s="97">
        <v>9</v>
      </c>
      <c r="N113" s="97">
        <v>9</v>
      </c>
      <c r="O113" s="97">
        <v>9</v>
      </c>
      <c r="P113" s="97">
        <v>9</v>
      </c>
      <c r="Q113" s="97">
        <f t="shared" si="20"/>
        <v>63</v>
      </c>
      <c r="R113" s="104">
        <f t="shared" si="21"/>
        <v>7965</v>
      </c>
      <c r="S113" s="97">
        <f t="shared" si="22"/>
        <v>72</v>
      </c>
      <c r="T113" s="98">
        <f t="shared" si="23"/>
        <v>34.92</v>
      </c>
      <c r="U113" s="98">
        <f t="shared" si="24"/>
        <v>7999.92</v>
      </c>
      <c r="V113" s="111">
        <v>112</v>
      </c>
      <c r="W113" s="108"/>
    </row>
    <row r="114" spans="1:23" ht="21.75" customHeight="1" x14ac:dyDescent="0.2">
      <c r="A114" s="106">
        <v>43578</v>
      </c>
      <c r="B114" s="97">
        <v>9</v>
      </c>
      <c r="C114" s="97">
        <v>9</v>
      </c>
      <c r="D114" s="97">
        <v>9</v>
      </c>
      <c r="E114" s="97">
        <v>9</v>
      </c>
      <c r="F114" s="97">
        <v>9</v>
      </c>
      <c r="G114" s="97">
        <v>9</v>
      </c>
      <c r="H114" s="97">
        <v>9</v>
      </c>
      <c r="I114" s="97">
        <v>9</v>
      </c>
      <c r="J114" s="97">
        <v>9</v>
      </c>
      <c r="K114" s="97">
        <v>9</v>
      </c>
      <c r="L114" s="97">
        <v>9</v>
      </c>
      <c r="M114" s="97">
        <v>9</v>
      </c>
      <c r="N114" s="97">
        <v>9</v>
      </c>
      <c r="O114" s="97">
        <v>9</v>
      </c>
      <c r="P114" s="97">
        <v>9</v>
      </c>
      <c r="Q114" s="97">
        <f t="shared" si="20"/>
        <v>63</v>
      </c>
      <c r="R114" s="104">
        <f t="shared" si="21"/>
        <v>7965</v>
      </c>
      <c r="S114" s="97">
        <f t="shared" si="22"/>
        <v>72</v>
      </c>
      <c r="T114" s="98">
        <f t="shared" si="23"/>
        <v>34.92</v>
      </c>
      <c r="U114" s="98">
        <f t="shared" si="24"/>
        <v>7999.92</v>
      </c>
      <c r="V114" s="111">
        <v>113</v>
      </c>
      <c r="W114" s="108"/>
    </row>
    <row r="115" spans="1:23" ht="21.75" customHeight="1" x14ac:dyDescent="0.2">
      <c r="A115" s="106">
        <v>43579</v>
      </c>
      <c r="B115" s="97">
        <v>9</v>
      </c>
      <c r="C115" s="97">
        <v>9</v>
      </c>
      <c r="D115" s="97">
        <v>9</v>
      </c>
      <c r="E115" s="97">
        <v>9</v>
      </c>
      <c r="F115" s="97">
        <v>9</v>
      </c>
      <c r="G115" s="97">
        <v>9</v>
      </c>
      <c r="H115" s="97">
        <v>9</v>
      </c>
      <c r="I115" s="97">
        <v>9</v>
      </c>
      <c r="J115" s="97">
        <v>9</v>
      </c>
      <c r="K115" s="97">
        <v>9</v>
      </c>
      <c r="L115" s="97">
        <v>9</v>
      </c>
      <c r="M115" s="97">
        <v>9</v>
      </c>
      <c r="N115" s="97">
        <v>9</v>
      </c>
      <c r="O115" s="97">
        <v>9</v>
      </c>
      <c r="P115" s="97">
        <v>9</v>
      </c>
      <c r="Q115" s="97">
        <f t="shared" si="20"/>
        <v>63</v>
      </c>
      <c r="R115" s="104">
        <f t="shared" si="21"/>
        <v>7965</v>
      </c>
      <c r="S115" s="97">
        <f t="shared" si="22"/>
        <v>72</v>
      </c>
      <c r="T115" s="98">
        <f t="shared" si="23"/>
        <v>34.92</v>
      </c>
      <c r="U115" s="98">
        <f t="shared" si="24"/>
        <v>7999.92</v>
      </c>
      <c r="V115" s="111">
        <v>114</v>
      </c>
      <c r="W115" s="108"/>
    </row>
    <row r="116" spans="1:23" ht="21.75" customHeight="1" x14ac:dyDescent="0.2">
      <c r="A116" s="106">
        <v>43580</v>
      </c>
      <c r="B116" s="97">
        <v>9</v>
      </c>
      <c r="C116" s="97">
        <v>9</v>
      </c>
      <c r="D116" s="97">
        <v>9</v>
      </c>
      <c r="E116" s="97">
        <v>9</v>
      </c>
      <c r="F116" s="97">
        <v>9</v>
      </c>
      <c r="G116" s="97">
        <v>9</v>
      </c>
      <c r="H116" s="97">
        <v>9</v>
      </c>
      <c r="I116" s="97">
        <v>9</v>
      </c>
      <c r="J116" s="97">
        <v>9</v>
      </c>
      <c r="K116" s="97">
        <v>9</v>
      </c>
      <c r="L116" s="97">
        <v>9</v>
      </c>
      <c r="M116" s="97">
        <v>9</v>
      </c>
      <c r="N116" s="97">
        <v>9</v>
      </c>
      <c r="O116" s="97">
        <v>9</v>
      </c>
      <c r="P116" s="97">
        <v>9</v>
      </c>
      <c r="Q116" s="97">
        <f t="shared" si="20"/>
        <v>63</v>
      </c>
      <c r="R116" s="104">
        <f t="shared" si="21"/>
        <v>7965</v>
      </c>
      <c r="S116" s="97">
        <f t="shared" si="22"/>
        <v>72</v>
      </c>
      <c r="T116" s="98">
        <f t="shared" si="23"/>
        <v>34.92</v>
      </c>
      <c r="U116" s="98">
        <f t="shared" si="24"/>
        <v>7999.92</v>
      </c>
      <c r="V116" s="111">
        <v>115</v>
      </c>
      <c r="W116" s="108"/>
    </row>
    <row r="117" spans="1:23" ht="21.75" customHeight="1" x14ac:dyDescent="0.2">
      <c r="A117" s="106">
        <v>43581</v>
      </c>
      <c r="B117" s="97">
        <v>9</v>
      </c>
      <c r="C117" s="97">
        <v>9</v>
      </c>
      <c r="D117" s="97">
        <v>9</v>
      </c>
      <c r="E117" s="97">
        <v>9</v>
      </c>
      <c r="F117" s="97">
        <v>9</v>
      </c>
      <c r="G117" s="97">
        <v>9</v>
      </c>
      <c r="H117" s="97">
        <v>9</v>
      </c>
      <c r="I117" s="97">
        <v>9</v>
      </c>
      <c r="J117" s="97">
        <v>9</v>
      </c>
      <c r="K117" s="97">
        <v>9</v>
      </c>
      <c r="L117" s="97">
        <v>9</v>
      </c>
      <c r="M117" s="97">
        <v>9</v>
      </c>
      <c r="N117" s="97">
        <v>9</v>
      </c>
      <c r="O117" s="97">
        <v>9</v>
      </c>
      <c r="P117" s="97">
        <v>9</v>
      </c>
      <c r="Q117" s="97">
        <f t="shared" si="20"/>
        <v>63</v>
      </c>
      <c r="R117" s="104">
        <f t="shared" si="21"/>
        <v>7965</v>
      </c>
      <c r="S117" s="97">
        <f t="shared" si="22"/>
        <v>72</v>
      </c>
      <c r="T117" s="98">
        <f t="shared" si="23"/>
        <v>34.92</v>
      </c>
      <c r="U117" s="98">
        <f t="shared" si="24"/>
        <v>7999.92</v>
      </c>
      <c r="V117" s="111">
        <v>116</v>
      </c>
      <c r="W117" s="108"/>
    </row>
    <row r="118" spans="1:23" ht="21.75" customHeight="1" x14ac:dyDescent="0.2">
      <c r="A118" s="106">
        <v>43582</v>
      </c>
      <c r="B118" s="97">
        <v>9</v>
      </c>
      <c r="C118" s="97">
        <v>9</v>
      </c>
      <c r="D118" s="97">
        <v>9</v>
      </c>
      <c r="E118" s="97">
        <v>9</v>
      </c>
      <c r="F118" s="97">
        <v>9</v>
      </c>
      <c r="G118" s="97">
        <v>9</v>
      </c>
      <c r="H118" s="97">
        <v>9</v>
      </c>
      <c r="I118" s="97">
        <v>9</v>
      </c>
      <c r="J118" s="97">
        <v>9</v>
      </c>
      <c r="K118" s="97">
        <v>9</v>
      </c>
      <c r="L118" s="97">
        <v>9</v>
      </c>
      <c r="M118" s="97">
        <v>9</v>
      </c>
      <c r="N118" s="97">
        <v>9</v>
      </c>
      <c r="O118" s="97">
        <v>9</v>
      </c>
      <c r="P118" s="97">
        <v>9</v>
      </c>
      <c r="Q118" s="97">
        <f t="shared" si="20"/>
        <v>63</v>
      </c>
      <c r="R118" s="104">
        <f t="shared" si="21"/>
        <v>7965</v>
      </c>
      <c r="S118" s="97">
        <f t="shared" si="22"/>
        <v>72</v>
      </c>
      <c r="T118" s="98">
        <f t="shared" si="23"/>
        <v>34.92</v>
      </c>
      <c r="U118" s="98">
        <f t="shared" si="24"/>
        <v>7999.92</v>
      </c>
      <c r="V118" s="111">
        <v>117</v>
      </c>
      <c r="W118" s="108"/>
    </row>
    <row r="119" spans="1:23" ht="21.75" customHeight="1" x14ac:dyDescent="0.2">
      <c r="A119" s="106">
        <v>43583</v>
      </c>
      <c r="B119" s="97">
        <v>9</v>
      </c>
      <c r="C119" s="97">
        <v>9</v>
      </c>
      <c r="D119" s="97">
        <v>9</v>
      </c>
      <c r="E119" s="97">
        <v>9</v>
      </c>
      <c r="F119" s="97">
        <v>9</v>
      </c>
      <c r="G119" s="97">
        <v>9</v>
      </c>
      <c r="H119" s="97">
        <v>9</v>
      </c>
      <c r="I119" s="97">
        <v>9</v>
      </c>
      <c r="J119" s="97">
        <v>9</v>
      </c>
      <c r="K119" s="97">
        <v>9</v>
      </c>
      <c r="L119" s="97">
        <v>9</v>
      </c>
      <c r="M119" s="97">
        <v>9</v>
      </c>
      <c r="N119" s="97">
        <v>9</v>
      </c>
      <c r="O119" s="97">
        <v>9</v>
      </c>
      <c r="P119" s="97">
        <v>9</v>
      </c>
      <c r="Q119" s="97">
        <f t="shared" si="20"/>
        <v>63</v>
      </c>
      <c r="R119" s="104">
        <f t="shared" si="21"/>
        <v>7965</v>
      </c>
      <c r="S119" s="97">
        <f t="shared" si="22"/>
        <v>72</v>
      </c>
      <c r="T119" s="98">
        <f t="shared" si="23"/>
        <v>34.92</v>
      </c>
      <c r="U119" s="98">
        <f t="shared" si="24"/>
        <v>7999.92</v>
      </c>
      <c r="V119" s="111">
        <v>118</v>
      </c>
      <c r="W119" s="108"/>
    </row>
    <row r="120" spans="1:23" ht="21.75" customHeight="1" x14ac:dyDescent="0.2">
      <c r="A120" s="106">
        <v>43584</v>
      </c>
      <c r="B120" s="97">
        <v>9</v>
      </c>
      <c r="C120" s="97">
        <v>9</v>
      </c>
      <c r="D120" s="97">
        <v>9</v>
      </c>
      <c r="E120" s="97">
        <v>9</v>
      </c>
      <c r="F120" s="97">
        <v>9</v>
      </c>
      <c r="G120" s="97">
        <v>9</v>
      </c>
      <c r="H120" s="97">
        <v>9</v>
      </c>
      <c r="I120" s="97">
        <v>9</v>
      </c>
      <c r="J120" s="97">
        <v>9</v>
      </c>
      <c r="K120" s="97">
        <v>9</v>
      </c>
      <c r="L120" s="97">
        <v>9</v>
      </c>
      <c r="M120" s="97">
        <v>9</v>
      </c>
      <c r="N120" s="97">
        <v>9</v>
      </c>
      <c r="O120" s="97">
        <v>9</v>
      </c>
      <c r="P120" s="97">
        <v>9</v>
      </c>
      <c r="Q120" s="97">
        <f t="shared" si="20"/>
        <v>63</v>
      </c>
      <c r="R120" s="104">
        <f t="shared" si="21"/>
        <v>7965</v>
      </c>
      <c r="S120" s="97">
        <f t="shared" si="22"/>
        <v>72</v>
      </c>
      <c r="T120" s="98">
        <f t="shared" si="23"/>
        <v>34.92</v>
      </c>
      <c r="U120" s="98">
        <f t="shared" si="24"/>
        <v>7999.92</v>
      </c>
      <c r="V120" s="111">
        <v>119</v>
      </c>
      <c r="W120" s="108"/>
    </row>
    <row r="121" spans="1:23" ht="21.75" customHeight="1" x14ac:dyDescent="0.2">
      <c r="A121" s="106">
        <v>43585</v>
      </c>
      <c r="B121" s="97">
        <v>9</v>
      </c>
      <c r="C121" s="97">
        <v>9</v>
      </c>
      <c r="D121" s="97">
        <v>9</v>
      </c>
      <c r="E121" s="97">
        <v>9</v>
      </c>
      <c r="F121" s="97">
        <v>9</v>
      </c>
      <c r="G121" s="97">
        <v>9</v>
      </c>
      <c r="H121" s="97">
        <v>9</v>
      </c>
      <c r="I121" s="97">
        <v>9</v>
      </c>
      <c r="J121" s="97">
        <v>9</v>
      </c>
      <c r="K121" s="97">
        <v>9</v>
      </c>
      <c r="L121" s="97">
        <v>9</v>
      </c>
      <c r="M121" s="97">
        <v>9</v>
      </c>
      <c r="N121" s="97">
        <v>9</v>
      </c>
      <c r="O121" s="97">
        <v>9</v>
      </c>
      <c r="P121" s="97">
        <v>9</v>
      </c>
      <c r="Q121" s="97">
        <f t="shared" si="20"/>
        <v>63</v>
      </c>
      <c r="R121" s="104">
        <f t="shared" si="21"/>
        <v>7965</v>
      </c>
      <c r="S121" s="97">
        <f t="shared" si="22"/>
        <v>72</v>
      </c>
      <c r="T121" s="98">
        <f t="shared" si="23"/>
        <v>34.92</v>
      </c>
      <c r="U121" s="98">
        <f t="shared" si="24"/>
        <v>7999.92</v>
      </c>
      <c r="V121" s="111">
        <v>120</v>
      </c>
      <c r="W121" s="108"/>
    </row>
    <row r="122" spans="1:23" ht="21.75" customHeight="1" x14ac:dyDescent="0.2">
      <c r="A122" s="106">
        <v>43586</v>
      </c>
      <c r="B122" s="97">
        <v>9</v>
      </c>
      <c r="C122" s="97">
        <v>9</v>
      </c>
      <c r="D122" s="97">
        <v>9</v>
      </c>
      <c r="E122" s="97">
        <v>9</v>
      </c>
      <c r="F122" s="97">
        <v>9</v>
      </c>
      <c r="G122" s="97">
        <v>9</v>
      </c>
      <c r="H122" s="97">
        <v>9</v>
      </c>
      <c r="I122" s="97">
        <v>9</v>
      </c>
      <c r="J122" s="97">
        <v>9</v>
      </c>
      <c r="K122" s="97">
        <v>9</v>
      </c>
      <c r="L122" s="97">
        <v>9</v>
      </c>
      <c r="M122" s="97">
        <v>9</v>
      </c>
      <c r="N122" s="97">
        <v>9</v>
      </c>
      <c r="O122" s="97">
        <v>9</v>
      </c>
      <c r="P122" s="97">
        <v>9</v>
      </c>
      <c r="Q122" s="97">
        <f t="shared" si="20"/>
        <v>63</v>
      </c>
      <c r="R122" s="104">
        <f t="shared" si="21"/>
        <v>7965</v>
      </c>
      <c r="S122" s="97">
        <f t="shared" si="22"/>
        <v>72</v>
      </c>
      <c r="T122" s="98">
        <f t="shared" si="23"/>
        <v>34.92</v>
      </c>
      <c r="U122" s="98">
        <f t="shared" si="24"/>
        <v>7999.92</v>
      </c>
      <c r="V122" s="111">
        <v>121</v>
      </c>
      <c r="W122" s="108"/>
    </row>
    <row r="123" spans="1:23" ht="21.75" customHeight="1" x14ac:dyDescent="0.2">
      <c r="A123" s="106">
        <v>43587</v>
      </c>
      <c r="B123" s="97">
        <v>9</v>
      </c>
      <c r="C123" s="97">
        <v>9</v>
      </c>
      <c r="D123" s="97">
        <v>9</v>
      </c>
      <c r="E123" s="97">
        <v>9</v>
      </c>
      <c r="F123" s="97">
        <v>9</v>
      </c>
      <c r="G123" s="97">
        <v>9</v>
      </c>
      <c r="H123" s="97">
        <v>9</v>
      </c>
      <c r="I123" s="97">
        <v>9</v>
      </c>
      <c r="J123" s="97">
        <v>9</v>
      </c>
      <c r="K123" s="97">
        <v>9</v>
      </c>
      <c r="L123" s="97">
        <v>9</v>
      </c>
      <c r="M123" s="97">
        <v>9</v>
      </c>
      <c r="N123" s="97">
        <v>9</v>
      </c>
      <c r="O123" s="97">
        <v>9</v>
      </c>
      <c r="P123" s="97">
        <v>9</v>
      </c>
      <c r="Q123" s="97">
        <f t="shared" si="20"/>
        <v>63</v>
      </c>
      <c r="R123" s="104">
        <f t="shared" si="21"/>
        <v>7965</v>
      </c>
      <c r="S123" s="97">
        <f t="shared" si="22"/>
        <v>72</v>
      </c>
      <c r="T123" s="98">
        <f t="shared" si="23"/>
        <v>34.92</v>
      </c>
      <c r="U123" s="98">
        <f t="shared" si="24"/>
        <v>7999.92</v>
      </c>
      <c r="V123" s="111">
        <v>122</v>
      </c>
      <c r="W123" s="108"/>
    </row>
    <row r="124" spans="1:23" ht="21.75" customHeight="1" x14ac:dyDescent="0.2">
      <c r="A124" s="106">
        <v>43588</v>
      </c>
      <c r="B124" s="97">
        <v>9</v>
      </c>
      <c r="C124" s="97">
        <v>9</v>
      </c>
      <c r="D124" s="97">
        <v>9</v>
      </c>
      <c r="E124" s="97">
        <v>9</v>
      </c>
      <c r="F124" s="97">
        <v>9</v>
      </c>
      <c r="G124" s="97">
        <v>9</v>
      </c>
      <c r="H124" s="97">
        <v>9</v>
      </c>
      <c r="I124" s="97">
        <v>9</v>
      </c>
      <c r="J124" s="97">
        <v>9</v>
      </c>
      <c r="K124" s="97">
        <v>9</v>
      </c>
      <c r="L124" s="97">
        <v>9</v>
      </c>
      <c r="M124" s="97">
        <v>9</v>
      </c>
      <c r="N124" s="97">
        <v>9</v>
      </c>
      <c r="O124" s="97">
        <v>9</v>
      </c>
      <c r="P124" s="97">
        <v>9</v>
      </c>
      <c r="Q124" s="97">
        <f t="shared" si="20"/>
        <v>63</v>
      </c>
      <c r="R124" s="104">
        <f t="shared" si="21"/>
        <v>7965</v>
      </c>
      <c r="S124" s="97">
        <f t="shared" si="22"/>
        <v>72</v>
      </c>
      <c r="T124" s="98">
        <f t="shared" si="23"/>
        <v>34.92</v>
      </c>
      <c r="U124" s="98">
        <f t="shared" si="24"/>
        <v>7999.92</v>
      </c>
      <c r="V124" s="111">
        <v>123</v>
      </c>
      <c r="W124" s="108"/>
    </row>
    <row r="125" spans="1:23" ht="21.75" customHeight="1" x14ac:dyDescent="0.2">
      <c r="A125" s="106">
        <v>43589</v>
      </c>
      <c r="B125" s="97">
        <v>9</v>
      </c>
      <c r="C125" s="97">
        <v>9</v>
      </c>
      <c r="D125" s="97">
        <v>9</v>
      </c>
      <c r="E125" s="97">
        <v>9</v>
      </c>
      <c r="F125" s="97">
        <v>9</v>
      </c>
      <c r="G125" s="97">
        <v>9</v>
      </c>
      <c r="H125" s="97">
        <v>9</v>
      </c>
      <c r="I125" s="97">
        <v>9</v>
      </c>
      <c r="J125" s="97">
        <v>9</v>
      </c>
      <c r="K125" s="97">
        <v>9</v>
      </c>
      <c r="L125" s="97">
        <v>9</v>
      </c>
      <c r="M125" s="97">
        <v>9</v>
      </c>
      <c r="N125" s="97">
        <v>9</v>
      </c>
      <c r="O125" s="97">
        <v>9</v>
      </c>
      <c r="P125" s="97">
        <v>9</v>
      </c>
      <c r="Q125" s="97">
        <f t="shared" si="20"/>
        <v>63</v>
      </c>
      <c r="R125" s="104">
        <f t="shared" si="21"/>
        <v>7965</v>
      </c>
      <c r="S125" s="97">
        <f t="shared" si="22"/>
        <v>72</v>
      </c>
      <c r="T125" s="98">
        <f t="shared" si="23"/>
        <v>34.92</v>
      </c>
      <c r="U125" s="98">
        <f t="shared" si="24"/>
        <v>7999.92</v>
      </c>
      <c r="V125" s="111">
        <v>124</v>
      </c>
      <c r="W125" s="108"/>
    </row>
    <row r="126" spans="1:23" ht="21.75" customHeight="1" x14ac:dyDescent="0.2">
      <c r="A126" s="106">
        <v>43590</v>
      </c>
      <c r="B126" s="97">
        <v>9</v>
      </c>
      <c r="C126" s="97">
        <v>9</v>
      </c>
      <c r="D126" s="97">
        <v>9</v>
      </c>
      <c r="E126" s="97">
        <v>9</v>
      </c>
      <c r="F126" s="97">
        <v>9</v>
      </c>
      <c r="G126" s="97">
        <v>9</v>
      </c>
      <c r="H126" s="97">
        <v>9</v>
      </c>
      <c r="I126" s="97">
        <v>9</v>
      </c>
      <c r="J126" s="97">
        <v>9</v>
      </c>
      <c r="K126" s="97">
        <v>9</v>
      </c>
      <c r="L126" s="97">
        <v>9</v>
      </c>
      <c r="M126" s="97">
        <v>9</v>
      </c>
      <c r="N126" s="97">
        <v>9</v>
      </c>
      <c r="O126" s="97">
        <v>9</v>
      </c>
      <c r="P126" s="97">
        <v>9</v>
      </c>
      <c r="Q126" s="97">
        <f t="shared" si="20"/>
        <v>63</v>
      </c>
      <c r="R126" s="104">
        <f t="shared" si="21"/>
        <v>7965</v>
      </c>
      <c r="S126" s="97">
        <f t="shared" si="22"/>
        <v>72</v>
      </c>
      <c r="T126" s="98">
        <f t="shared" si="23"/>
        <v>34.92</v>
      </c>
      <c r="U126" s="98">
        <f t="shared" si="24"/>
        <v>7999.92</v>
      </c>
      <c r="V126" s="111">
        <v>125</v>
      </c>
      <c r="W126" s="108"/>
    </row>
    <row r="127" spans="1:23" ht="21.75" customHeight="1" x14ac:dyDescent="0.2">
      <c r="A127" s="106">
        <v>43591</v>
      </c>
      <c r="B127" s="97">
        <v>9</v>
      </c>
      <c r="C127" s="97">
        <v>9</v>
      </c>
      <c r="D127" s="97">
        <v>9</v>
      </c>
      <c r="E127" s="97">
        <v>9</v>
      </c>
      <c r="F127" s="97">
        <v>9</v>
      </c>
      <c r="G127" s="97">
        <v>9</v>
      </c>
      <c r="H127" s="97">
        <v>9</v>
      </c>
      <c r="I127" s="97">
        <v>9</v>
      </c>
      <c r="J127" s="97">
        <v>9</v>
      </c>
      <c r="K127" s="97">
        <v>9</v>
      </c>
      <c r="L127" s="97">
        <v>9</v>
      </c>
      <c r="M127" s="97">
        <v>9</v>
      </c>
      <c r="N127" s="97">
        <v>9</v>
      </c>
      <c r="O127" s="97">
        <v>9</v>
      </c>
      <c r="P127" s="97">
        <v>9</v>
      </c>
      <c r="Q127" s="97">
        <f t="shared" si="20"/>
        <v>63</v>
      </c>
      <c r="R127" s="104">
        <f t="shared" si="21"/>
        <v>7965</v>
      </c>
      <c r="S127" s="97">
        <f t="shared" si="22"/>
        <v>72</v>
      </c>
      <c r="T127" s="98">
        <f t="shared" si="23"/>
        <v>34.92</v>
      </c>
      <c r="U127" s="98">
        <f t="shared" si="24"/>
        <v>7999.92</v>
      </c>
      <c r="V127" s="111">
        <v>126</v>
      </c>
      <c r="W127" s="108"/>
    </row>
    <row r="128" spans="1:23" ht="21.75" customHeight="1" x14ac:dyDescent="0.2">
      <c r="A128" s="106">
        <v>43592</v>
      </c>
      <c r="B128" s="97">
        <v>9</v>
      </c>
      <c r="C128" s="97">
        <v>9</v>
      </c>
      <c r="D128" s="97">
        <v>9</v>
      </c>
      <c r="E128" s="97">
        <v>9</v>
      </c>
      <c r="F128" s="97">
        <v>9</v>
      </c>
      <c r="G128" s="97">
        <v>9</v>
      </c>
      <c r="H128" s="97">
        <v>9</v>
      </c>
      <c r="I128" s="97">
        <v>9</v>
      </c>
      <c r="J128" s="97">
        <v>9</v>
      </c>
      <c r="K128" s="97">
        <v>9</v>
      </c>
      <c r="L128" s="97">
        <v>9</v>
      </c>
      <c r="M128" s="97">
        <v>9</v>
      </c>
      <c r="N128" s="97">
        <v>9</v>
      </c>
      <c r="O128" s="97">
        <v>9</v>
      </c>
      <c r="P128" s="97">
        <v>9</v>
      </c>
      <c r="Q128" s="97">
        <f t="shared" si="20"/>
        <v>63</v>
      </c>
      <c r="R128" s="104">
        <f t="shared" si="21"/>
        <v>7965</v>
      </c>
      <c r="S128" s="97">
        <f t="shared" si="22"/>
        <v>72</v>
      </c>
      <c r="T128" s="98">
        <f t="shared" si="23"/>
        <v>34.92</v>
      </c>
      <c r="U128" s="98">
        <f t="shared" si="24"/>
        <v>7999.92</v>
      </c>
      <c r="V128" s="111">
        <v>127</v>
      </c>
      <c r="W128" s="108"/>
    </row>
    <row r="129" spans="1:23" ht="21.75" customHeight="1" x14ac:dyDescent="0.2">
      <c r="A129" s="106">
        <v>43593</v>
      </c>
      <c r="B129" s="97">
        <v>9</v>
      </c>
      <c r="C129" s="97">
        <v>9</v>
      </c>
      <c r="D129" s="97">
        <v>9</v>
      </c>
      <c r="E129" s="97">
        <v>9</v>
      </c>
      <c r="F129" s="97">
        <v>9</v>
      </c>
      <c r="G129" s="97">
        <v>9</v>
      </c>
      <c r="H129" s="97">
        <v>9</v>
      </c>
      <c r="I129" s="97">
        <v>9</v>
      </c>
      <c r="J129" s="97">
        <v>9</v>
      </c>
      <c r="K129" s="97">
        <v>9</v>
      </c>
      <c r="L129" s="97">
        <v>9</v>
      </c>
      <c r="M129" s="97">
        <v>9</v>
      </c>
      <c r="N129" s="97">
        <v>9</v>
      </c>
      <c r="O129" s="97">
        <v>9</v>
      </c>
      <c r="P129" s="97">
        <v>9</v>
      </c>
      <c r="Q129" s="97">
        <f t="shared" si="20"/>
        <v>63</v>
      </c>
      <c r="R129" s="104">
        <f t="shared" si="21"/>
        <v>7965</v>
      </c>
      <c r="S129" s="97">
        <f t="shared" si="22"/>
        <v>72</v>
      </c>
      <c r="T129" s="98">
        <f t="shared" si="23"/>
        <v>34.92</v>
      </c>
      <c r="U129" s="98">
        <f t="shared" si="24"/>
        <v>7999.92</v>
      </c>
      <c r="V129" s="111">
        <v>128</v>
      </c>
      <c r="W129" s="108"/>
    </row>
    <row r="130" spans="1:23" ht="21.75" customHeight="1" x14ac:dyDescent="0.2">
      <c r="A130" s="106">
        <v>43594</v>
      </c>
      <c r="B130" s="97">
        <v>9</v>
      </c>
      <c r="C130" s="97">
        <v>9</v>
      </c>
      <c r="D130" s="97">
        <v>9</v>
      </c>
      <c r="E130" s="97">
        <v>9</v>
      </c>
      <c r="F130" s="97">
        <v>9</v>
      </c>
      <c r="G130" s="97">
        <v>9</v>
      </c>
      <c r="H130" s="97">
        <v>9</v>
      </c>
      <c r="I130" s="97">
        <v>9</v>
      </c>
      <c r="J130" s="97">
        <v>9</v>
      </c>
      <c r="K130" s="97">
        <v>9</v>
      </c>
      <c r="L130" s="97">
        <v>9</v>
      </c>
      <c r="M130" s="97">
        <v>9</v>
      </c>
      <c r="N130" s="97">
        <v>9</v>
      </c>
      <c r="O130" s="97">
        <v>9</v>
      </c>
      <c r="P130" s="97">
        <v>9</v>
      </c>
      <c r="Q130" s="97">
        <f t="shared" si="20"/>
        <v>63</v>
      </c>
      <c r="R130" s="104">
        <f t="shared" si="21"/>
        <v>7965</v>
      </c>
      <c r="S130" s="97">
        <f t="shared" si="22"/>
        <v>72</v>
      </c>
      <c r="T130" s="98">
        <f t="shared" si="23"/>
        <v>34.92</v>
      </c>
      <c r="U130" s="98">
        <f t="shared" si="24"/>
        <v>7999.92</v>
      </c>
      <c r="V130" s="111">
        <v>129</v>
      </c>
      <c r="W130" s="108"/>
    </row>
    <row r="131" spans="1:23" ht="21.75" customHeight="1" x14ac:dyDescent="0.2">
      <c r="A131" s="106">
        <v>43595</v>
      </c>
      <c r="B131" s="97">
        <v>9</v>
      </c>
      <c r="C131" s="97">
        <v>9</v>
      </c>
      <c r="D131" s="97">
        <v>9</v>
      </c>
      <c r="E131" s="97">
        <v>9</v>
      </c>
      <c r="F131" s="97">
        <v>9</v>
      </c>
      <c r="G131" s="97">
        <v>9</v>
      </c>
      <c r="H131" s="97">
        <v>9</v>
      </c>
      <c r="I131" s="97">
        <v>9</v>
      </c>
      <c r="J131" s="97">
        <v>9</v>
      </c>
      <c r="K131" s="97">
        <v>9</v>
      </c>
      <c r="L131" s="97">
        <v>9</v>
      </c>
      <c r="M131" s="97">
        <v>9</v>
      </c>
      <c r="N131" s="97">
        <v>9</v>
      </c>
      <c r="O131" s="97">
        <v>9</v>
      </c>
      <c r="P131" s="97">
        <v>9</v>
      </c>
      <c r="Q131" s="97">
        <f t="shared" si="20"/>
        <v>63</v>
      </c>
      <c r="R131" s="104">
        <f t="shared" si="21"/>
        <v>7965</v>
      </c>
      <c r="S131" s="97">
        <f t="shared" si="22"/>
        <v>72</v>
      </c>
      <c r="T131" s="98">
        <f t="shared" si="23"/>
        <v>34.92</v>
      </c>
      <c r="U131" s="98">
        <f t="shared" si="24"/>
        <v>7999.92</v>
      </c>
      <c r="V131" s="111">
        <v>130</v>
      </c>
      <c r="W131" s="108"/>
    </row>
    <row r="132" spans="1:23" ht="21.75" customHeight="1" x14ac:dyDescent="0.2">
      <c r="A132" s="106">
        <v>43596</v>
      </c>
      <c r="B132" s="97">
        <v>9</v>
      </c>
      <c r="C132" s="97">
        <v>9</v>
      </c>
      <c r="D132" s="97">
        <v>9</v>
      </c>
      <c r="E132" s="97">
        <v>9</v>
      </c>
      <c r="F132" s="97">
        <v>9</v>
      </c>
      <c r="G132" s="97">
        <v>9</v>
      </c>
      <c r="H132" s="97">
        <v>9</v>
      </c>
      <c r="I132" s="97">
        <v>9</v>
      </c>
      <c r="J132" s="97">
        <v>9</v>
      </c>
      <c r="K132" s="97">
        <v>9</v>
      </c>
      <c r="L132" s="97">
        <v>9</v>
      </c>
      <c r="M132" s="97">
        <v>9</v>
      </c>
      <c r="N132" s="97">
        <v>9</v>
      </c>
      <c r="O132" s="97">
        <v>9</v>
      </c>
      <c r="P132" s="97">
        <v>9</v>
      </c>
      <c r="Q132" s="97">
        <f t="shared" si="20"/>
        <v>63</v>
      </c>
      <c r="R132" s="104">
        <f t="shared" si="21"/>
        <v>7965</v>
      </c>
      <c r="S132" s="97">
        <f t="shared" si="22"/>
        <v>72</v>
      </c>
      <c r="T132" s="98">
        <f t="shared" si="23"/>
        <v>34.92</v>
      </c>
      <c r="U132" s="98">
        <f t="shared" si="24"/>
        <v>7999.92</v>
      </c>
      <c r="V132" s="111">
        <v>131</v>
      </c>
      <c r="W132" s="108"/>
    </row>
    <row r="133" spans="1:23" ht="21.75" customHeight="1" x14ac:dyDescent="0.2">
      <c r="A133" s="106">
        <v>43597</v>
      </c>
      <c r="B133" s="97">
        <v>9</v>
      </c>
      <c r="C133" s="97">
        <v>9</v>
      </c>
      <c r="D133" s="97">
        <v>9</v>
      </c>
      <c r="E133" s="97">
        <v>9</v>
      </c>
      <c r="F133" s="97">
        <v>9</v>
      </c>
      <c r="G133" s="97">
        <v>9</v>
      </c>
      <c r="H133" s="97">
        <v>9</v>
      </c>
      <c r="I133" s="97">
        <v>9</v>
      </c>
      <c r="J133" s="97">
        <v>9</v>
      </c>
      <c r="K133" s="97">
        <v>9</v>
      </c>
      <c r="L133" s="97">
        <v>9</v>
      </c>
      <c r="M133" s="97">
        <v>9</v>
      </c>
      <c r="N133" s="97">
        <v>9</v>
      </c>
      <c r="O133" s="97">
        <v>9</v>
      </c>
      <c r="P133" s="97">
        <v>9</v>
      </c>
      <c r="Q133" s="97">
        <f t="shared" ref="Q133:Q196" si="25">SUM(B133:H133)</f>
        <v>63</v>
      </c>
      <c r="R133" s="104">
        <f t="shared" ref="R133:R196" si="26">SUM(B133*B$1+C133*C$1+D133*D$1+E133*E$1+F133*F$1+G133*G$1+H133*H$1)</f>
        <v>7965</v>
      </c>
      <c r="S133" s="97">
        <f t="shared" ref="S133:S196" si="27">SUM(I133:P133)</f>
        <v>72</v>
      </c>
      <c r="T133" s="98">
        <f t="shared" ref="T133:T196" si="28">SUM(I133*I$1+J133*J$1+K133*K$1+L133*L$1+M133*M$1+N133*N$1+O133*O$1+P133*P$1)</f>
        <v>34.92</v>
      </c>
      <c r="U133" s="98">
        <f t="shared" ref="U133:U196" si="29">SUM(R133+T133)</f>
        <v>7999.92</v>
      </c>
      <c r="V133" s="111">
        <v>132</v>
      </c>
      <c r="W133" s="108"/>
    </row>
    <row r="134" spans="1:23" ht="21.75" customHeight="1" x14ac:dyDescent="0.2">
      <c r="A134" s="106">
        <v>43598</v>
      </c>
      <c r="B134" s="97">
        <v>9</v>
      </c>
      <c r="C134" s="97">
        <v>9</v>
      </c>
      <c r="D134" s="97">
        <v>9</v>
      </c>
      <c r="E134" s="97">
        <v>9</v>
      </c>
      <c r="F134" s="97">
        <v>9</v>
      </c>
      <c r="G134" s="97">
        <v>9</v>
      </c>
      <c r="H134" s="97">
        <v>9</v>
      </c>
      <c r="I134" s="97">
        <v>9</v>
      </c>
      <c r="J134" s="97">
        <v>9</v>
      </c>
      <c r="K134" s="97">
        <v>9</v>
      </c>
      <c r="L134" s="97">
        <v>9</v>
      </c>
      <c r="M134" s="97">
        <v>9</v>
      </c>
      <c r="N134" s="97">
        <v>9</v>
      </c>
      <c r="O134" s="97">
        <v>9</v>
      </c>
      <c r="P134" s="97">
        <v>9</v>
      </c>
      <c r="Q134" s="97">
        <f t="shared" si="25"/>
        <v>63</v>
      </c>
      <c r="R134" s="104">
        <f t="shared" si="26"/>
        <v>7965</v>
      </c>
      <c r="S134" s="97">
        <f t="shared" si="27"/>
        <v>72</v>
      </c>
      <c r="T134" s="98">
        <f t="shared" si="28"/>
        <v>34.92</v>
      </c>
      <c r="U134" s="98">
        <f t="shared" si="29"/>
        <v>7999.92</v>
      </c>
      <c r="V134" s="111">
        <v>133</v>
      </c>
      <c r="W134" s="108"/>
    </row>
    <row r="135" spans="1:23" ht="21.75" customHeight="1" x14ac:dyDescent="0.2">
      <c r="A135" s="106">
        <v>43599</v>
      </c>
      <c r="B135" s="97">
        <v>9</v>
      </c>
      <c r="C135" s="97">
        <v>9</v>
      </c>
      <c r="D135" s="97">
        <v>9</v>
      </c>
      <c r="E135" s="97">
        <v>9</v>
      </c>
      <c r="F135" s="97">
        <v>9</v>
      </c>
      <c r="G135" s="97">
        <v>9</v>
      </c>
      <c r="H135" s="97">
        <v>9</v>
      </c>
      <c r="I135" s="97">
        <v>9</v>
      </c>
      <c r="J135" s="97">
        <v>9</v>
      </c>
      <c r="K135" s="97">
        <v>9</v>
      </c>
      <c r="L135" s="97">
        <v>9</v>
      </c>
      <c r="M135" s="97">
        <v>9</v>
      </c>
      <c r="N135" s="97">
        <v>9</v>
      </c>
      <c r="O135" s="97">
        <v>9</v>
      </c>
      <c r="P135" s="97">
        <v>9</v>
      </c>
      <c r="Q135" s="97">
        <f t="shared" si="25"/>
        <v>63</v>
      </c>
      <c r="R135" s="104">
        <f t="shared" si="26"/>
        <v>7965</v>
      </c>
      <c r="S135" s="97">
        <f t="shared" si="27"/>
        <v>72</v>
      </c>
      <c r="T135" s="98">
        <f t="shared" si="28"/>
        <v>34.92</v>
      </c>
      <c r="U135" s="98">
        <f t="shared" si="29"/>
        <v>7999.92</v>
      </c>
      <c r="V135" s="111">
        <v>134</v>
      </c>
      <c r="W135" s="108"/>
    </row>
    <row r="136" spans="1:23" ht="21.75" customHeight="1" x14ac:dyDescent="0.2">
      <c r="A136" s="106">
        <v>43600</v>
      </c>
      <c r="B136" s="97">
        <v>9</v>
      </c>
      <c r="C136" s="97">
        <v>9</v>
      </c>
      <c r="D136" s="97">
        <v>9</v>
      </c>
      <c r="E136" s="97">
        <v>9</v>
      </c>
      <c r="F136" s="97">
        <v>9</v>
      </c>
      <c r="G136" s="97">
        <v>9</v>
      </c>
      <c r="H136" s="97">
        <v>9</v>
      </c>
      <c r="I136" s="97">
        <v>9</v>
      </c>
      <c r="J136" s="97">
        <v>9</v>
      </c>
      <c r="K136" s="97">
        <v>9</v>
      </c>
      <c r="L136" s="97">
        <v>9</v>
      </c>
      <c r="M136" s="97">
        <v>9</v>
      </c>
      <c r="N136" s="97">
        <v>9</v>
      </c>
      <c r="O136" s="97">
        <v>9</v>
      </c>
      <c r="P136" s="97">
        <v>9</v>
      </c>
      <c r="Q136" s="97">
        <f t="shared" si="25"/>
        <v>63</v>
      </c>
      <c r="R136" s="104">
        <f t="shared" si="26"/>
        <v>7965</v>
      </c>
      <c r="S136" s="97">
        <f t="shared" si="27"/>
        <v>72</v>
      </c>
      <c r="T136" s="98">
        <f t="shared" si="28"/>
        <v>34.92</v>
      </c>
      <c r="U136" s="98">
        <f t="shared" si="29"/>
        <v>7999.92</v>
      </c>
      <c r="V136" s="111">
        <v>135</v>
      </c>
      <c r="W136" s="108"/>
    </row>
    <row r="137" spans="1:23" ht="21.75" customHeight="1" x14ac:dyDescent="0.2">
      <c r="A137" s="106">
        <v>43601</v>
      </c>
      <c r="B137" s="97">
        <v>9</v>
      </c>
      <c r="C137" s="97">
        <v>9</v>
      </c>
      <c r="D137" s="97">
        <v>9</v>
      </c>
      <c r="E137" s="97">
        <v>9</v>
      </c>
      <c r="F137" s="97">
        <v>9</v>
      </c>
      <c r="G137" s="97">
        <v>9</v>
      </c>
      <c r="H137" s="97">
        <v>9</v>
      </c>
      <c r="I137" s="97">
        <v>9</v>
      </c>
      <c r="J137" s="97">
        <v>9</v>
      </c>
      <c r="K137" s="97">
        <v>9</v>
      </c>
      <c r="L137" s="97">
        <v>9</v>
      </c>
      <c r="M137" s="97">
        <v>9</v>
      </c>
      <c r="N137" s="97">
        <v>9</v>
      </c>
      <c r="O137" s="97">
        <v>9</v>
      </c>
      <c r="P137" s="97">
        <v>9</v>
      </c>
      <c r="Q137" s="97">
        <f t="shared" si="25"/>
        <v>63</v>
      </c>
      <c r="R137" s="104">
        <f t="shared" si="26"/>
        <v>7965</v>
      </c>
      <c r="S137" s="97">
        <f t="shared" si="27"/>
        <v>72</v>
      </c>
      <c r="T137" s="98">
        <f t="shared" si="28"/>
        <v>34.92</v>
      </c>
      <c r="U137" s="98">
        <f t="shared" si="29"/>
        <v>7999.92</v>
      </c>
      <c r="V137" s="111">
        <v>136</v>
      </c>
      <c r="W137" s="108"/>
    </row>
    <row r="138" spans="1:23" ht="21.75" customHeight="1" x14ac:dyDescent="0.2">
      <c r="A138" s="106">
        <v>43602</v>
      </c>
      <c r="B138" s="97">
        <v>9</v>
      </c>
      <c r="C138" s="97">
        <v>9</v>
      </c>
      <c r="D138" s="97">
        <v>9</v>
      </c>
      <c r="E138" s="97">
        <v>9</v>
      </c>
      <c r="F138" s="97">
        <v>9</v>
      </c>
      <c r="G138" s="97">
        <v>9</v>
      </c>
      <c r="H138" s="97">
        <v>9</v>
      </c>
      <c r="I138" s="97">
        <v>9</v>
      </c>
      <c r="J138" s="97">
        <v>9</v>
      </c>
      <c r="K138" s="97">
        <v>9</v>
      </c>
      <c r="L138" s="97">
        <v>9</v>
      </c>
      <c r="M138" s="97">
        <v>9</v>
      </c>
      <c r="N138" s="97">
        <v>9</v>
      </c>
      <c r="O138" s="97">
        <v>9</v>
      </c>
      <c r="P138" s="97">
        <v>9</v>
      </c>
      <c r="Q138" s="97">
        <f t="shared" si="25"/>
        <v>63</v>
      </c>
      <c r="R138" s="104">
        <f t="shared" si="26"/>
        <v>7965</v>
      </c>
      <c r="S138" s="97">
        <f t="shared" si="27"/>
        <v>72</v>
      </c>
      <c r="T138" s="98">
        <f t="shared" si="28"/>
        <v>34.92</v>
      </c>
      <c r="U138" s="98">
        <f t="shared" si="29"/>
        <v>7999.92</v>
      </c>
      <c r="V138" s="111">
        <v>137</v>
      </c>
      <c r="W138" s="108"/>
    </row>
    <row r="139" spans="1:23" ht="21.75" customHeight="1" x14ac:dyDescent="0.2">
      <c r="A139" s="106">
        <v>43603</v>
      </c>
      <c r="B139" s="97">
        <v>9</v>
      </c>
      <c r="C139" s="97">
        <v>9</v>
      </c>
      <c r="D139" s="97">
        <v>9</v>
      </c>
      <c r="E139" s="97">
        <v>9</v>
      </c>
      <c r="F139" s="97">
        <v>9</v>
      </c>
      <c r="G139" s="97">
        <v>9</v>
      </c>
      <c r="H139" s="97">
        <v>9</v>
      </c>
      <c r="I139" s="97">
        <v>9</v>
      </c>
      <c r="J139" s="97">
        <v>9</v>
      </c>
      <c r="K139" s="97">
        <v>9</v>
      </c>
      <c r="L139" s="97">
        <v>9</v>
      </c>
      <c r="M139" s="97">
        <v>9</v>
      </c>
      <c r="N139" s="97">
        <v>9</v>
      </c>
      <c r="O139" s="97">
        <v>9</v>
      </c>
      <c r="P139" s="97">
        <v>9</v>
      </c>
      <c r="Q139" s="97">
        <f t="shared" si="25"/>
        <v>63</v>
      </c>
      <c r="R139" s="104">
        <f t="shared" si="26"/>
        <v>7965</v>
      </c>
      <c r="S139" s="97">
        <f t="shared" si="27"/>
        <v>72</v>
      </c>
      <c r="T139" s="98">
        <f t="shared" si="28"/>
        <v>34.92</v>
      </c>
      <c r="U139" s="98">
        <f t="shared" si="29"/>
        <v>7999.92</v>
      </c>
      <c r="V139" s="111">
        <v>138</v>
      </c>
      <c r="W139" s="108"/>
    </row>
    <row r="140" spans="1:23" ht="21.75" customHeight="1" x14ac:dyDescent="0.2">
      <c r="A140" s="106">
        <v>43604</v>
      </c>
      <c r="B140" s="97">
        <v>9</v>
      </c>
      <c r="C140" s="97">
        <v>9</v>
      </c>
      <c r="D140" s="97">
        <v>9</v>
      </c>
      <c r="E140" s="97">
        <v>9</v>
      </c>
      <c r="F140" s="97">
        <v>9</v>
      </c>
      <c r="G140" s="97">
        <v>9</v>
      </c>
      <c r="H140" s="97">
        <v>9</v>
      </c>
      <c r="I140" s="97">
        <v>9</v>
      </c>
      <c r="J140" s="97">
        <v>9</v>
      </c>
      <c r="K140" s="97">
        <v>9</v>
      </c>
      <c r="L140" s="97">
        <v>9</v>
      </c>
      <c r="M140" s="97">
        <v>9</v>
      </c>
      <c r="N140" s="97">
        <v>9</v>
      </c>
      <c r="O140" s="97">
        <v>9</v>
      </c>
      <c r="P140" s="97">
        <v>9</v>
      </c>
      <c r="Q140" s="97">
        <f t="shared" si="25"/>
        <v>63</v>
      </c>
      <c r="R140" s="104">
        <f t="shared" si="26"/>
        <v>7965</v>
      </c>
      <c r="S140" s="97">
        <f t="shared" si="27"/>
        <v>72</v>
      </c>
      <c r="T140" s="98">
        <f t="shared" si="28"/>
        <v>34.92</v>
      </c>
      <c r="U140" s="98">
        <f t="shared" si="29"/>
        <v>7999.92</v>
      </c>
      <c r="V140" s="111">
        <v>139</v>
      </c>
      <c r="W140" s="108"/>
    </row>
    <row r="141" spans="1:23" ht="21.75" customHeight="1" x14ac:dyDescent="0.2">
      <c r="A141" s="106">
        <v>43605</v>
      </c>
      <c r="B141" s="97">
        <v>9</v>
      </c>
      <c r="C141" s="97">
        <v>9</v>
      </c>
      <c r="D141" s="97">
        <v>9</v>
      </c>
      <c r="E141" s="97">
        <v>9</v>
      </c>
      <c r="F141" s="97">
        <v>9</v>
      </c>
      <c r="G141" s="97">
        <v>9</v>
      </c>
      <c r="H141" s="97">
        <v>9</v>
      </c>
      <c r="I141" s="97">
        <v>9</v>
      </c>
      <c r="J141" s="97">
        <v>9</v>
      </c>
      <c r="K141" s="97">
        <v>9</v>
      </c>
      <c r="L141" s="97">
        <v>9</v>
      </c>
      <c r="M141" s="97">
        <v>9</v>
      </c>
      <c r="N141" s="97">
        <v>9</v>
      </c>
      <c r="O141" s="97">
        <v>9</v>
      </c>
      <c r="P141" s="97">
        <v>9</v>
      </c>
      <c r="Q141" s="97">
        <f t="shared" si="25"/>
        <v>63</v>
      </c>
      <c r="R141" s="104">
        <f t="shared" si="26"/>
        <v>7965</v>
      </c>
      <c r="S141" s="97">
        <f t="shared" si="27"/>
        <v>72</v>
      </c>
      <c r="T141" s="98">
        <f t="shared" si="28"/>
        <v>34.92</v>
      </c>
      <c r="U141" s="98">
        <f t="shared" si="29"/>
        <v>7999.92</v>
      </c>
      <c r="V141" s="111">
        <v>140</v>
      </c>
      <c r="W141" s="108"/>
    </row>
    <row r="142" spans="1:23" ht="21.75" customHeight="1" x14ac:dyDescent="0.2">
      <c r="A142" s="106">
        <v>43606</v>
      </c>
      <c r="B142" s="97">
        <v>9</v>
      </c>
      <c r="C142" s="97">
        <v>9</v>
      </c>
      <c r="D142" s="97">
        <v>9</v>
      </c>
      <c r="E142" s="97">
        <v>9</v>
      </c>
      <c r="F142" s="97">
        <v>9</v>
      </c>
      <c r="G142" s="97">
        <v>9</v>
      </c>
      <c r="H142" s="97">
        <v>9</v>
      </c>
      <c r="I142" s="97">
        <v>9</v>
      </c>
      <c r="J142" s="97">
        <v>9</v>
      </c>
      <c r="K142" s="97">
        <v>9</v>
      </c>
      <c r="L142" s="97">
        <v>9</v>
      </c>
      <c r="M142" s="97">
        <v>9</v>
      </c>
      <c r="N142" s="97">
        <v>9</v>
      </c>
      <c r="O142" s="97">
        <v>9</v>
      </c>
      <c r="P142" s="97">
        <v>9</v>
      </c>
      <c r="Q142" s="97">
        <f t="shared" si="25"/>
        <v>63</v>
      </c>
      <c r="R142" s="104">
        <f t="shared" si="26"/>
        <v>7965</v>
      </c>
      <c r="S142" s="97">
        <f t="shared" si="27"/>
        <v>72</v>
      </c>
      <c r="T142" s="98">
        <f t="shared" si="28"/>
        <v>34.92</v>
      </c>
      <c r="U142" s="98">
        <f t="shared" si="29"/>
        <v>7999.92</v>
      </c>
      <c r="V142" s="111">
        <v>141</v>
      </c>
      <c r="W142" s="108"/>
    </row>
    <row r="143" spans="1:23" ht="21.75" customHeight="1" x14ac:dyDescent="0.2">
      <c r="A143" s="106">
        <v>43607</v>
      </c>
      <c r="B143" s="97">
        <v>9</v>
      </c>
      <c r="C143" s="97">
        <v>9</v>
      </c>
      <c r="D143" s="97">
        <v>9</v>
      </c>
      <c r="E143" s="97">
        <v>9</v>
      </c>
      <c r="F143" s="97">
        <v>9</v>
      </c>
      <c r="G143" s="97">
        <v>9</v>
      </c>
      <c r="H143" s="97">
        <v>9</v>
      </c>
      <c r="I143" s="97">
        <v>9</v>
      </c>
      <c r="J143" s="97">
        <v>9</v>
      </c>
      <c r="K143" s="97">
        <v>9</v>
      </c>
      <c r="L143" s="97">
        <v>9</v>
      </c>
      <c r="M143" s="97">
        <v>9</v>
      </c>
      <c r="N143" s="97">
        <v>9</v>
      </c>
      <c r="O143" s="97">
        <v>9</v>
      </c>
      <c r="P143" s="97">
        <v>9</v>
      </c>
      <c r="Q143" s="97">
        <f t="shared" si="25"/>
        <v>63</v>
      </c>
      <c r="R143" s="104">
        <f t="shared" si="26"/>
        <v>7965</v>
      </c>
      <c r="S143" s="97">
        <f t="shared" si="27"/>
        <v>72</v>
      </c>
      <c r="T143" s="98">
        <f t="shared" si="28"/>
        <v>34.92</v>
      </c>
      <c r="U143" s="98">
        <f t="shared" si="29"/>
        <v>7999.92</v>
      </c>
      <c r="V143" s="111">
        <v>142</v>
      </c>
      <c r="W143" s="108"/>
    </row>
    <row r="144" spans="1:23" ht="21.75" customHeight="1" x14ac:dyDescent="0.2">
      <c r="A144" s="106">
        <v>43608</v>
      </c>
      <c r="B144" s="97">
        <v>9</v>
      </c>
      <c r="C144" s="97">
        <v>9</v>
      </c>
      <c r="D144" s="97">
        <v>9</v>
      </c>
      <c r="E144" s="97">
        <v>9</v>
      </c>
      <c r="F144" s="97">
        <v>9</v>
      </c>
      <c r="G144" s="97">
        <v>9</v>
      </c>
      <c r="H144" s="97">
        <v>9</v>
      </c>
      <c r="I144" s="97">
        <v>9</v>
      </c>
      <c r="J144" s="97">
        <v>9</v>
      </c>
      <c r="K144" s="97">
        <v>9</v>
      </c>
      <c r="L144" s="97">
        <v>9</v>
      </c>
      <c r="M144" s="97">
        <v>9</v>
      </c>
      <c r="N144" s="97">
        <v>9</v>
      </c>
      <c r="O144" s="97">
        <v>9</v>
      </c>
      <c r="P144" s="97">
        <v>9</v>
      </c>
      <c r="Q144" s="97">
        <f t="shared" si="25"/>
        <v>63</v>
      </c>
      <c r="R144" s="104">
        <f t="shared" si="26"/>
        <v>7965</v>
      </c>
      <c r="S144" s="97">
        <f t="shared" si="27"/>
        <v>72</v>
      </c>
      <c r="T144" s="98">
        <f t="shared" si="28"/>
        <v>34.92</v>
      </c>
      <c r="U144" s="98">
        <f t="shared" si="29"/>
        <v>7999.92</v>
      </c>
      <c r="V144" s="111">
        <v>143</v>
      </c>
      <c r="W144" s="108"/>
    </row>
    <row r="145" spans="1:23" ht="21.75" customHeight="1" x14ac:dyDescent="0.2">
      <c r="A145" s="106">
        <v>43609</v>
      </c>
      <c r="B145" s="97">
        <v>9</v>
      </c>
      <c r="C145" s="97">
        <v>9</v>
      </c>
      <c r="D145" s="97">
        <v>9</v>
      </c>
      <c r="E145" s="97">
        <v>9</v>
      </c>
      <c r="F145" s="97">
        <v>9</v>
      </c>
      <c r="G145" s="97">
        <v>9</v>
      </c>
      <c r="H145" s="97">
        <v>9</v>
      </c>
      <c r="I145" s="97">
        <v>9</v>
      </c>
      <c r="J145" s="97">
        <v>9</v>
      </c>
      <c r="K145" s="97">
        <v>9</v>
      </c>
      <c r="L145" s="97">
        <v>9</v>
      </c>
      <c r="M145" s="97">
        <v>9</v>
      </c>
      <c r="N145" s="97">
        <v>9</v>
      </c>
      <c r="O145" s="97">
        <v>9</v>
      </c>
      <c r="P145" s="97">
        <v>9</v>
      </c>
      <c r="Q145" s="97">
        <f t="shared" si="25"/>
        <v>63</v>
      </c>
      <c r="R145" s="104">
        <f t="shared" si="26"/>
        <v>7965</v>
      </c>
      <c r="S145" s="97">
        <f t="shared" si="27"/>
        <v>72</v>
      </c>
      <c r="T145" s="98">
        <f t="shared" si="28"/>
        <v>34.92</v>
      </c>
      <c r="U145" s="98">
        <f t="shared" si="29"/>
        <v>7999.92</v>
      </c>
      <c r="V145" s="111">
        <v>144</v>
      </c>
      <c r="W145" s="108"/>
    </row>
    <row r="146" spans="1:23" ht="21.75" customHeight="1" x14ac:dyDescent="0.2">
      <c r="A146" s="106">
        <v>43610</v>
      </c>
      <c r="B146" s="97">
        <v>9</v>
      </c>
      <c r="C146" s="97">
        <v>9</v>
      </c>
      <c r="D146" s="97">
        <v>9</v>
      </c>
      <c r="E146" s="97">
        <v>9</v>
      </c>
      <c r="F146" s="97">
        <v>9</v>
      </c>
      <c r="G146" s="97">
        <v>9</v>
      </c>
      <c r="H146" s="97">
        <v>9</v>
      </c>
      <c r="I146" s="97">
        <v>9</v>
      </c>
      <c r="J146" s="97">
        <v>9</v>
      </c>
      <c r="K146" s="97">
        <v>9</v>
      </c>
      <c r="L146" s="97">
        <v>9</v>
      </c>
      <c r="M146" s="97">
        <v>9</v>
      </c>
      <c r="N146" s="97">
        <v>9</v>
      </c>
      <c r="O146" s="97">
        <v>9</v>
      </c>
      <c r="P146" s="97">
        <v>9</v>
      </c>
      <c r="Q146" s="97">
        <f t="shared" si="25"/>
        <v>63</v>
      </c>
      <c r="R146" s="104">
        <f t="shared" si="26"/>
        <v>7965</v>
      </c>
      <c r="S146" s="97">
        <f t="shared" si="27"/>
        <v>72</v>
      </c>
      <c r="T146" s="98">
        <f t="shared" si="28"/>
        <v>34.92</v>
      </c>
      <c r="U146" s="98">
        <f t="shared" si="29"/>
        <v>7999.92</v>
      </c>
      <c r="V146" s="111">
        <v>145</v>
      </c>
      <c r="W146" s="108"/>
    </row>
    <row r="147" spans="1:23" ht="21.75" customHeight="1" x14ac:dyDescent="0.2">
      <c r="A147" s="106">
        <v>43611</v>
      </c>
      <c r="B147" s="97">
        <v>9</v>
      </c>
      <c r="C147" s="97">
        <v>9</v>
      </c>
      <c r="D147" s="97">
        <v>9</v>
      </c>
      <c r="E147" s="97">
        <v>9</v>
      </c>
      <c r="F147" s="97">
        <v>9</v>
      </c>
      <c r="G147" s="97">
        <v>9</v>
      </c>
      <c r="H147" s="97">
        <v>9</v>
      </c>
      <c r="I147" s="97">
        <v>9</v>
      </c>
      <c r="J147" s="97">
        <v>9</v>
      </c>
      <c r="K147" s="97">
        <v>9</v>
      </c>
      <c r="L147" s="97">
        <v>9</v>
      </c>
      <c r="M147" s="97">
        <v>9</v>
      </c>
      <c r="N147" s="97">
        <v>9</v>
      </c>
      <c r="O147" s="97">
        <v>9</v>
      </c>
      <c r="P147" s="97">
        <v>9</v>
      </c>
      <c r="Q147" s="97">
        <f t="shared" si="25"/>
        <v>63</v>
      </c>
      <c r="R147" s="104">
        <f t="shared" si="26"/>
        <v>7965</v>
      </c>
      <c r="S147" s="97">
        <f t="shared" si="27"/>
        <v>72</v>
      </c>
      <c r="T147" s="98">
        <f t="shared" si="28"/>
        <v>34.92</v>
      </c>
      <c r="U147" s="98">
        <f t="shared" si="29"/>
        <v>7999.92</v>
      </c>
      <c r="V147" s="111">
        <v>146</v>
      </c>
      <c r="W147" s="108"/>
    </row>
    <row r="148" spans="1:23" ht="21.75" customHeight="1" x14ac:dyDescent="0.2">
      <c r="A148" s="106">
        <v>43612</v>
      </c>
      <c r="B148" s="97">
        <v>9</v>
      </c>
      <c r="C148" s="97">
        <v>9</v>
      </c>
      <c r="D148" s="97">
        <v>9</v>
      </c>
      <c r="E148" s="97">
        <v>9</v>
      </c>
      <c r="F148" s="97">
        <v>9</v>
      </c>
      <c r="G148" s="97">
        <v>9</v>
      </c>
      <c r="H148" s="97">
        <v>9</v>
      </c>
      <c r="I148" s="97">
        <v>9</v>
      </c>
      <c r="J148" s="97">
        <v>9</v>
      </c>
      <c r="K148" s="97">
        <v>9</v>
      </c>
      <c r="L148" s="97">
        <v>9</v>
      </c>
      <c r="M148" s="97">
        <v>9</v>
      </c>
      <c r="N148" s="97">
        <v>9</v>
      </c>
      <c r="O148" s="97">
        <v>9</v>
      </c>
      <c r="P148" s="97">
        <v>9</v>
      </c>
      <c r="Q148" s="97">
        <f t="shared" si="25"/>
        <v>63</v>
      </c>
      <c r="R148" s="104">
        <f t="shared" si="26"/>
        <v>7965</v>
      </c>
      <c r="S148" s="97">
        <f t="shared" si="27"/>
        <v>72</v>
      </c>
      <c r="T148" s="98">
        <f t="shared" si="28"/>
        <v>34.92</v>
      </c>
      <c r="U148" s="98">
        <f t="shared" si="29"/>
        <v>7999.92</v>
      </c>
      <c r="V148" s="111">
        <v>147</v>
      </c>
      <c r="W148" s="108"/>
    </row>
    <row r="149" spans="1:23" ht="21.75" customHeight="1" x14ac:dyDescent="0.2">
      <c r="A149" s="106">
        <v>43613</v>
      </c>
      <c r="B149" s="97">
        <v>9</v>
      </c>
      <c r="C149" s="97">
        <v>9</v>
      </c>
      <c r="D149" s="97">
        <v>9</v>
      </c>
      <c r="E149" s="97">
        <v>9</v>
      </c>
      <c r="F149" s="97">
        <v>9</v>
      </c>
      <c r="G149" s="97">
        <v>9</v>
      </c>
      <c r="H149" s="97">
        <v>9</v>
      </c>
      <c r="I149" s="97">
        <v>9</v>
      </c>
      <c r="J149" s="97">
        <v>9</v>
      </c>
      <c r="K149" s="97">
        <v>9</v>
      </c>
      <c r="L149" s="97">
        <v>9</v>
      </c>
      <c r="M149" s="97">
        <v>9</v>
      </c>
      <c r="N149" s="97">
        <v>9</v>
      </c>
      <c r="O149" s="97">
        <v>9</v>
      </c>
      <c r="P149" s="97">
        <v>9</v>
      </c>
      <c r="Q149" s="97">
        <f t="shared" si="25"/>
        <v>63</v>
      </c>
      <c r="R149" s="104">
        <f t="shared" si="26"/>
        <v>7965</v>
      </c>
      <c r="S149" s="97">
        <f t="shared" si="27"/>
        <v>72</v>
      </c>
      <c r="T149" s="98">
        <f t="shared" si="28"/>
        <v>34.92</v>
      </c>
      <c r="U149" s="98">
        <f t="shared" si="29"/>
        <v>7999.92</v>
      </c>
      <c r="V149" s="111">
        <v>148</v>
      </c>
      <c r="W149" s="108"/>
    </row>
    <row r="150" spans="1:23" ht="21.75" customHeight="1" x14ac:dyDescent="0.2">
      <c r="A150" s="106">
        <v>43614</v>
      </c>
      <c r="B150" s="97">
        <v>9</v>
      </c>
      <c r="C150" s="97">
        <v>9</v>
      </c>
      <c r="D150" s="97">
        <v>9</v>
      </c>
      <c r="E150" s="97">
        <v>9</v>
      </c>
      <c r="F150" s="97">
        <v>9</v>
      </c>
      <c r="G150" s="97">
        <v>9</v>
      </c>
      <c r="H150" s="97">
        <v>9</v>
      </c>
      <c r="I150" s="97">
        <v>9</v>
      </c>
      <c r="J150" s="97">
        <v>9</v>
      </c>
      <c r="K150" s="97">
        <v>9</v>
      </c>
      <c r="L150" s="97">
        <v>9</v>
      </c>
      <c r="M150" s="97">
        <v>9</v>
      </c>
      <c r="N150" s="97">
        <v>9</v>
      </c>
      <c r="O150" s="97">
        <v>9</v>
      </c>
      <c r="P150" s="97">
        <v>9</v>
      </c>
      <c r="Q150" s="97">
        <f t="shared" si="25"/>
        <v>63</v>
      </c>
      <c r="R150" s="104">
        <f t="shared" si="26"/>
        <v>7965</v>
      </c>
      <c r="S150" s="97">
        <f t="shared" si="27"/>
        <v>72</v>
      </c>
      <c r="T150" s="98">
        <f t="shared" si="28"/>
        <v>34.92</v>
      </c>
      <c r="U150" s="98">
        <f t="shared" si="29"/>
        <v>7999.92</v>
      </c>
      <c r="V150" s="111">
        <v>149</v>
      </c>
      <c r="W150" s="108"/>
    </row>
    <row r="151" spans="1:23" ht="21.75" customHeight="1" x14ac:dyDescent="0.2">
      <c r="A151" s="106">
        <v>43615</v>
      </c>
      <c r="B151" s="97">
        <v>9</v>
      </c>
      <c r="C151" s="97">
        <v>9</v>
      </c>
      <c r="D151" s="97">
        <v>9</v>
      </c>
      <c r="E151" s="97">
        <v>9</v>
      </c>
      <c r="F151" s="97">
        <v>9</v>
      </c>
      <c r="G151" s="97">
        <v>9</v>
      </c>
      <c r="H151" s="97">
        <v>9</v>
      </c>
      <c r="I151" s="97">
        <v>9</v>
      </c>
      <c r="J151" s="97">
        <v>9</v>
      </c>
      <c r="K151" s="97">
        <v>9</v>
      </c>
      <c r="L151" s="97">
        <v>9</v>
      </c>
      <c r="M151" s="97">
        <v>9</v>
      </c>
      <c r="N151" s="97">
        <v>9</v>
      </c>
      <c r="O151" s="97">
        <v>9</v>
      </c>
      <c r="P151" s="97">
        <v>9</v>
      </c>
      <c r="Q151" s="97">
        <f t="shared" si="25"/>
        <v>63</v>
      </c>
      <c r="R151" s="104">
        <f t="shared" si="26"/>
        <v>7965</v>
      </c>
      <c r="S151" s="97">
        <f t="shared" si="27"/>
        <v>72</v>
      </c>
      <c r="T151" s="98">
        <f t="shared" si="28"/>
        <v>34.92</v>
      </c>
      <c r="U151" s="98">
        <f t="shared" si="29"/>
        <v>7999.92</v>
      </c>
      <c r="V151" s="111">
        <v>150</v>
      </c>
      <c r="W151" s="108"/>
    </row>
    <row r="152" spans="1:23" ht="21.75" customHeight="1" x14ac:dyDescent="0.2">
      <c r="A152" s="106">
        <v>43616</v>
      </c>
      <c r="B152" s="97">
        <v>9</v>
      </c>
      <c r="C152" s="97">
        <v>9</v>
      </c>
      <c r="D152" s="97">
        <v>9</v>
      </c>
      <c r="E152" s="97">
        <v>9</v>
      </c>
      <c r="F152" s="97">
        <v>9</v>
      </c>
      <c r="G152" s="97">
        <v>9</v>
      </c>
      <c r="H152" s="97">
        <v>9</v>
      </c>
      <c r="I152" s="97">
        <v>9</v>
      </c>
      <c r="J152" s="97">
        <v>9</v>
      </c>
      <c r="K152" s="97">
        <v>9</v>
      </c>
      <c r="L152" s="97">
        <v>9</v>
      </c>
      <c r="M152" s="97">
        <v>9</v>
      </c>
      <c r="N152" s="97">
        <v>9</v>
      </c>
      <c r="O152" s="97">
        <v>9</v>
      </c>
      <c r="P152" s="97">
        <v>9</v>
      </c>
      <c r="Q152" s="97">
        <f t="shared" si="25"/>
        <v>63</v>
      </c>
      <c r="R152" s="104">
        <f t="shared" si="26"/>
        <v>7965</v>
      </c>
      <c r="S152" s="97">
        <f t="shared" si="27"/>
        <v>72</v>
      </c>
      <c r="T152" s="98">
        <f t="shared" si="28"/>
        <v>34.92</v>
      </c>
      <c r="U152" s="98">
        <f t="shared" si="29"/>
        <v>7999.92</v>
      </c>
      <c r="V152" s="111">
        <v>151</v>
      </c>
      <c r="W152" s="108"/>
    </row>
    <row r="153" spans="1:23" ht="21.75" customHeight="1" x14ac:dyDescent="0.2">
      <c r="A153" s="106">
        <v>43617</v>
      </c>
      <c r="B153" s="97">
        <v>9</v>
      </c>
      <c r="C153" s="97">
        <v>9</v>
      </c>
      <c r="D153" s="97">
        <v>9</v>
      </c>
      <c r="E153" s="97">
        <v>9</v>
      </c>
      <c r="F153" s="97">
        <v>9</v>
      </c>
      <c r="G153" s="97">
        <v>9</v>
      </c>
      <c r="H153" s="97">
        <v>9</v>
      </c>
      <c r="I153" s="97">
        <v>9</v>
      </c>
      <c r="J153" s="97">
        <v>9</v>
      </c>
      <c r="K153" s="97">
        <v>9</v>
      </c>
      <c r="L153" s="97">
        <v>9</v>
      </c>
      <c r="M153" s="97">
        <v>9</v>
      </c>
      <c r="N153" s="97">
        <v>9</v>
      </c>
      <c r="O153" s="97">
        <v>9</v>
      </c>
      <c r="P153" s="97">
        <v>9</v>
      </c>
      <c r="Q153" s="97">
        <f t="shared" si="25"/>
        <v>63</v>
      </c>
      <c r="R153" s="104">
        <f t="shared" si="26"/>
        <v>7965</v>
      </c>
      <c r="S153" s="97">
        <f t="shared" si="27"/>
        <v>72</v>
      </c>
      <c r="T153" s="98">
        <f t="shared" si="28"/>
        <v>34.92</v>
      </c>
      <c r="U153" s="98">
        <f t="shared" si="29"/>
        <v>7999.92</v>
      </c>
      <c r="V153" s="111">
        <v>152</v>
      </c>
      <c r="W153" s="108"/>
    </row>
    <row r="154" spans="1:23" ht="21.75" customHeight="1" x14ac:dyDescent="0.2">
      <c r="A154" s="106">
        <v>43618</v>
      </c>
      <c r="B154" s="97">
        <v>9</v>
      </c>
      <c r="C154" s="97">
        <v>9</v>
      </c>
      <c r="D154" s="97">
        <v>9</v>
      </c>
      <c r="E154" s="97">
        <v>9</v>
      </c>
      <c r="F154" s="97">
        <v>9</v>
      </c>
      <c r="G154" s="97">
        <v>9</v>
      </c>
      <c r="H154" s="97">
        <v>9</v>
      </c>
      <c r="I154" s="97">
        <v>9</v>
      </c>
      <c r="J154" s="97">
        <v>9</v>
      </c>
      <c r="K154" s="97">
        <v>9</v>
      </c>
      <c r="L154" s="97">
        <v>9</v>
      </c>
      <c r="M154" s="97">
        <v>9</v>
      </c>
      <c r="N154" s="97">
        <v>9</v>
      </c>
      <c r="O154" s="97">
        <v>9</v>
      </c>
      <c r="P154" s="97">
        <v>9</v>
      </c>
      <c r="Q154" s="97">
        <f t="shared" si="25"/>
        <v>63</v>
      </c>
      <c r="R154" s="104">
        <f t="shared" si="26"/>
        <v>7965</v>
      </c>
      <c r="S154" s="97">
        <f t="shared" si="27"/>
        <v>72</v>
      </c>
      <c r="T154" s="98">
        <f t="shared" si="28"/>
        <v>34.92</v>
      </c>
      <c r="U154" s="98">
        <f t="shared" si="29"/>
        <v>7999.92</v>
      </c>
      <c r="V154" s="111">
        <v>153</v>
      </c>
      <c r="W154" s="108"/>
    </row>
    <row r="155" spans="1:23" ht="21.75" customHeight="1" x14ac:dyDescent="0.2">
      <c r="A155" s="106">
        <v>43619</v>
      </c>
      <c r="B155" s="97">
        <v>9</v>
      </c>
      <c r="C155" s="97">
        <v>9</v>
      </c>
      <c r="D155" s="97">
        <v>9</v>
      </c>
      <c r="E155" s="97">
        <v>9</v>
      </c>
      <c r="F155" s="97">
        <v>9</v>
      </c>
      <c r="G155" s="97">
        <v>9</v>
      </c>
      <c r="H155" s="97">
        <v>9</v>
      </c>
      <c r="I155" s="97">
        <v>9</v>
      </c>
      <c r="J155" s="97">
        <v>9</v>
      </c>
      <c r="K155" s="97">
        <v>9</v>
      </c>
      <c r="L155" s="97">
        <v>9</v>
      </c>
      <c r="M155" s="97">
        <v>9</v>
      </c>
      <c r="N155" s="97">
        <v>9</v>
      </c>
      <c r="O155" s="97">
        <v>9</v>
      </c>
      <c r="P155" s="97">
        <v>9</v>
      </c>
      <c r="Q155" s="97">
        <f t="shared" si="25"/>
        <v>63</v>
      </c>
      <c r="R155" s="104">
        <f t="shared" si="26"/>
        <v>7965</v>
      </c>
      <c r="S155" s="97">
        <f t="shared" si="27"/>
        <v>72</v>
      </c>
      <c r="T155" s="98">
        <f t="shared" si="28"/>
        <v>34.92</v>
      </c>
      <c r="U155" s="98">
        <f t="shared" si="29"/>
        <v>7999.92</v>
      </c>
      <c r="V155" s="111">
        <v>154</v>
      </c>
      <c r="W155" s="108"/>
    </row>
    <row r="156" spans="1:23" ht="21.75" customHeight="1" x14ac:dyDescent="0.2">
      <c r="A156" s="106">
        <v>43620</v>
      </c>
      <c r="B156" s="97">
        <v>9</v>
      </c>
      <c r="C156" s="97">
        <v>9</v>
      </c>
      <c r="D156" s="97">
        <v>9</v>
      </c>
      <c r="E156" s="97">
        <v>9</v>
      </c>
      <c r="F156" s="97">
        <v>9</v>
      </c>
      <c r="G156" s="97">
        <v>9</v>
      </c>
      <c r="H156" s="97">
        <v>9</v>
      </c>
      <c r="I156" s="97">
        <v>9</v>
      </c>
      <c r="J156" s="97">
        <v>9</v>
      </c>
      <c r="K156" s="97">
        <v>9</v>
      </c>
      <c r="L156" s="97">
        <v>9</v>
      </c>
      <c r="M156" s="97">
        <v>9</v>
      </c>
      <c r="N156" s="97">
        <v>9</v>
      </c>
      <c r="O156" s="97">
        <v>9</v>
      </c>
      <c r="P156" s="97">
        <v>9</v>
      </c>
      <c r="Q156" s="97">
        <f t="shared" si="25"/>
        <v>63</v>
      </c>
      <c r="R156" s="104">
        <f t="shared" si="26"/>
        <v>7965</v>
      </c>
      <c r="S156" s="97">
        <f t="shared" si="27"/>
        <v>72</v>
      </c>
      <c r="T156" s="98">
        <f t="shared" si="28"/>
        <v>34.92</v>
      </c>
      <c r="U156" s="98">
        <f t="shared" si="29"/>
        <v>7999.92</v>
      </c>
      <c r="V156" s="111">
        <v>155</v>
      </c>
      <c r="W156" s="108"/>
    </row>
    <row r="157" spans="1:23" ht="21.75" customHeight="1" x14ac:dyDescent="0.2">
      <c r="A157" s="106">
        <v>43621</v>
      </c>
      <c r="B157" s="97">
        <v>9</v>
      </c>
      <c r="C157" s="97">
        <v>9</v>
      </c>
      <c r="D157" s="97">
        <v>9</v>
      </c>
      <c r="E157" s="97">
        <v>9</v>
      </c>
      <c r="F157" s="97">
        <v>9</v>
      </c>
      <c r="G157" s="97">
        <v>9</v>
      </c>
      <c r="H157" s="97">
        <v>9</v>
      </c>
      <c r="I157" s="97">
        <v>9</v>
      </c>
      <c r="J157" s="97">
        <v>9</v>
      </c>
      <c r="K157" s="97">
        <v>9</v>
      </c>
      <c r="L157" s="97">
        <v>9</v>
      </c>
      <c r="M157" s="97">
        <v>9</v>
      </c>
      <c r="N157" s="97">
        <v>9</v>
      </c>
      <c r="O157" s="97">
        <v>9</v>
      </c>
      <c r="P157" s="97">
        <v>9</v>
      </c>
      <c r="Q157" s="97">
        <f t="shared" si="25"/>
        <v>63</v>
      </c>
      <c r="R157" s="104">
        <f t="shared" si="26"/>
        <v>7965</v>
      </c>
      <c r="S157" s="97">
        <f t="shared" si="27"/>
        <v>72</v>
      </c>
      <c r="T157" s="98">
        <f t="shared" si="28"/>
        <v>34.92</v>
      </c>
      <c r="U157" s="98">
        <f t="shared" si="29"/>
        <v>7999.92</v>
      </c>
      <c r="V157" s="111">
        <v>156</v>
      </c>
      <c r="W157" s="108"/>
    </row>
    <row r="158" spans="1:23" ht="21.75" customHeight="1" x14ac:dyDescent="0.2">
      <c r="A158" s="106">
        <v>43622</v>
      </c>
      <c r="B158" s="97">
        <v>9</v>
      </c>
      <c r="C158" s="97">
        <v>9</v>
      </c>
      <c r="D158" s="97">
        <v>9</v>
      </c>
      <c r="E158" s="97">
        <v>9</v>
      </c>
      <c r="F158" s="97">
        <v>9</v>
      </c>
      <c r="G158" s="97">
        <v>9</v>
      </c>
      <c r="H158" s="97">
        <v>9</v>
      </c>
      <c r="I158" s="97">
        <v>9</v>
      </c>
      <c r="J158" s="97">
        <v>9</v>
      </c>
      <c r="K158" s="97">
        <v>9</v>
      </c>
      <c r="L158" s="97">
        <v>9</v>
      </c>
      <c r="M158" s="97">
        <v>9</v>
      </c>
      <c r="N158" s="97">
        <v>9</v>
      </c>
      <c r="O158" s="97">
        <v>9</v>
      </c>
      <c r="P158" s="97">
        <v>9</v>
      </c>
      <c r="Q158" s="97">
        <f t="shared" si="25"/>
        <v>63</v>
      </c>
      <c r="R158" s="104">
        <f t="shared" si="26"/>
        <v>7965</v>
      </c>
      <c r="S158" s="97">
        <f t="shared" si="27"/>
        <v>72</v>
      </c>
      <c r="T158" s="98">
        <f t="shared" si="28"/>
        <v>34.92</v>
      </c>
      <c r="U158" s="98">
        <f t="shared" si="29"/>
        <v>7999.92</v>
      </c>
      <c r="V158" s="111">
        <v>157</v>
      </c>
      <c r="W158" s="108"/>
    </row>
    <row r="159" spans="1:23" ht="21.75" customHeight="1" x14ac:dyDescent="0.2">
      <c r="A159" s="106">
        <v>43623</v>
      </c>
      <c r="B159" s="97">
        <v>9</v>
      </c>
      <c r="C159" s="97">
        <v>9</v>
      </c>
      <c r="D159" s="97">
        <v>9</v>
      </c>
      <c r="E159" s="97">
        <v>9</v>
      </c>
      <c r="F159" s="97">
        <v>9</v>
      </c>
      <c r="G159" s="97">
        <v>9</v>
      </c>
      <c r="H159" s="97">
        <v>9</v>
      </c>
      <c r="I159" s="97">
        <v>9</v>
      </c>
      <c r="J159" s="97">
        <v>9</v>
      </c>
      <c r="K159" s="97">
        <v>9</v>
      </c>
      <c r="L159" s="97">
        <v>9</v>
      </c>
      <c r="M159" s="97">
        <v>9</v>
      </c>
      <c r="N159" s="97">
        <v>9</v>
      </c>
      <c r="O159" s="97">
        <v>9</v>
      </c>
      <c r="P159" s="97">
        <v>9</v>
      </c>
      <c r="Q159" s="97">
        <f t="shared" si="25"/>
        <v>63</v>
      </c>
      <c r="R159" s="104">
        <f t="shared" si="26"/>
        <v>7965</v>
      </c>
      <c r="S159" s="97">
        <f t="shared" si="27"/>
        <v>72</v>
      </c>
      <c r="T159" s="98">
        <f t="shared" si="28"/>
        <v>34.92</v>
      </c>
      <c r="U159" s="98">
        <f t="shared" si="29"/>
        <v>7999.92</v>
      </c>
      <c r="V159" s="111">
        <v>158</v>
      </c>
      <c r="W159" s="108"/>
    </row>
    <row r="160" spans="1:23" ht="21.75" customHeight="1" x14ac:dyDescent="0.2">
      <c r="A160" s="106">
        <v>43624</v>
      </c>
      <c r="B160" s="97">
        <v>9</v>
      </c>
      <c r="C160" s="97">
        <v>9</v>
      </c>
      <c r="D160" s="97">
        <v>9</v>
      </c>
      <c r="E160" s="97">
        <v>9</v>
      </c>
      <c r="F160" s="97">
        <v>9</v>
      </c>
      <c r="G160" s="97">
        <v>9</v>
      </c>
      <c r="H160" s="97">
        <v>9</v>
      </c>
      <c r="I160" s="97">
        <v>9</v>
      </c>
      <c r="J160" s="97">
        <v>9</v>
      </c>
      <c r="K160" s="97">
        <v>9</v>
      </c>
      <c r="L160" s="97">
        <v>9</v>
      </c>
      <c r="M160" s="97">
        <v>9</v>
      </c>
      <c r="N160" s="97">
        <v>9</v>
      </c>
      <c r="O160" s="97">
        <v>9</v>
      </c>
      <c r="P160" s="97">
        <v>9</v>
      </c>
      <c r="Q160" s="97">
        <f t="shared" si="25"/>
        <v>63</v>
      </c>
      <c r="R160" s="104">
        <f t="shared" si="26"/>
        <v>7965</v>
      </c>
      <c r="S160" s="97">
        <f t="shared" si="27"/>
        <v>72</v>
      </c>
      <c r="T160" s="98">
        <f t="shared" si="28"/>
        <v>34.92</v>
      </c>
      <c r="U160" s="98">
        <f t="shared" si="29"/>
        <v>7999.92</v>
      </c>
      <c r="V160" s="111">
        <v>159</v>
      </c>
      <c r="W160" s="108"/>
    </row>
    <row r="161" spans="1:23" ht="21.75" customHeight="1" x14ac:dyDescent="0.2">
      <c r="A161" s="106">
        <v>43625</v>
      </c>
      <c r="B161" s="97">
        <v>9</v>
      </c>
      <c r="C161" s="97">
        <v>9</v>
      </c>
      <c r="D161" s="97">
        <v>9</v>
      </c>
      <c r="E161" s="97">
        <v>9</v>
      </c>
      <c r="F161" s="97">
        <v>9</v>
      </c>
      <c r="G161" s="97">
        <v>9</v>
      </c>
      <c r="H161" s="97">
        <v>9</v>
      </c>
      <c r="I161" s="97">
        <v>9</v>
      </c>
      <c r="J161" s="97">
        <v>9</v>
      </c>
      <c r="K161" s="97">
        <v>9</v>
      </c>
      <c r="L161" s="97">
        <v>9</v>
      </c>
      <c r="M161" s="97">
        <v>9</v>
      </c>
      <c r="N161" s="97">
        <v>9</v>
      </c>
      <c r="O161" s="97">
        <v>9</v>
      </c>
      <c r="P161" s="97">
        <v>9</v>
      </c>
      <c r="Q161" s="97">
        <f t="shared" si="25"/>
        <v>63</v>
      </c>
      <c r="R161" s="104">
        <f t="shared" si="26"/>
        <v>7965</v>
      </c>
      <c r="S161" s="97">
        <f t="shared" si="27"/>
        <v>72</v>
      </c>
      <c r="T161" s="98">
        <f t="shared" si="28"/>
        <v>34.92</v>
      </c>
      <c r="U161" s="98">
        <f t="shared" si="29"/>
        <v>7999.92</v>
      </c>
      <c r="V161" s="111">
        <v>160</v>
      </c>
      <c r="W161" s="108"/>
    </row>
    <row r="162" spans="1:23" ht="21.75" customHeight="1" x14ac:dyDescent="0.2">
      <c r="A162" s="106">
        <v>43626</v>
      </c>
      <c r="B162" s="97">
        <v>9</v>
      </c>
      <c r="C162" s="97">
        <v>9</v>
      </c>
      <c r="D162" s="97">
        <v>9</v>
      </c>
      <c r="E162" s="97">
        <v>9</v>
      </c>
      <c r="F162" s="97">
        <v>9</v>
      </c>
      <c r="G162" s="97">
        <v>9</v>
      </c>
      <c r="H162" s="97">
        <v>9</v>
      </c>
      <c r="I162" s="97">
        <v>9</v>
      </c>
      <c r="J162" s="97">
        <v>9</v>
      </c>
      <c r="K162" s="97">
        <v>9</v>
      </c>
      <c r="L162" s="97">
        <v>9</v>
      </c>
      <c r="M162" s="97">
        <v>9</v>
      </c>
      <c r="N162" s="97">
        <v>9</v>
      </c>
      <c r="O162" s="97">
        <v>9</v>
      </c>
      <c r="P162" s="97">
        <v>9</v>
      </c>
      <c r="Q162" s="97">
        <f t="shared" si="25"/>
        <v>63</v>
      </c>
      <c r="R162" s="104">
        <f t="shared" si="26"/>
        <v>7965</v>
      </c>
      <c r="S162" s="97">
        <f t="shared" si="27"/>
        <v>72</v>
      </c>
      <c r="T162" s="98">
        <f t="shared" si="28"/>
        <v>34.92</v>
      </c>
      <c r="U162" s="98">
        <f t="shared" si="29"/>
        <v>7999.92</v>
      </c>
      <c r="V162" s="111">
        <v>161</v>
      </c>
      <c r="W162" s="108"/>
    </row>
    <row r="163" spans="1:23" ht="21.75" customHeight="1" x14ac:dyDescent="0.2">
      <c r="A163" s="106">
        <v>43627</v>
      </c>
      <c r="B163" s="97">
        <v>9</v>
      </c>
      <c r="C163" s="97">
        <v>9</v>
      </c>
      <c r="D163" s="97">
        <v>9</v>
      </c>
      <c r="E163" s="97">
        <v>9</v>
      </c>
      <c r="F163" s="97">
        <v>9</v>
      </c>
      <c r="G163" s="97">
        <v>9</v>
      </c>
      <c r="H163" s="97">
        <v>9</v>
      </c>
      <c r="I163" s="97">
        <v>9</v>
      </c>
      <c r="J163" s="97">
        <v>9</v>
      </c>
      <c r="K163" s="97">
        <v>9</v>
      </c>
      <c r="L163" s="97">
        <v>9</v>
      </c>
      <c r="M163" s="97">
        <v>9</v>
      </c>
      <c r="N163" s="97">
        <v>9</v>
      </c>
      <c r="O163" s="97">
        <v>9</v>
      </c>
      <c r="P163" s="97">
        <v>9</v>
      </c>
      <c r="Q163" s="97">
        <f t="shared" si="25"/>
        <v>63</v>
      </c>
      <c r="R163" s="104">
        <f t="shared" si="26"/>
        <v>7965</v>
      </c>
      <c r="S163" s="97">
        <f t="shared" si="27"/>
        <v>72</v>
      </c>
      <c r="T163" s="98">
        <f t="shared" si="28"/>
        <v>34.92</v>
      </c>
      <c r="U163" s="98">
        <f t="shared" si="29"/>
        <v>7999.92</v>
      </c>
      <c r="V163" s="111">
        <v>162</v>
      </c>
      <c r="W163" s="108"/>
    </row>
    <row r="164" spans="1:23" ht="21.75" customHeight="1" x14ac:dyDescent="0.2">
      <c r="A164" s="106">
        <v>43628</v>
      </c>
      <c r="B164" s="97">
        <v>9</v>
      </c>
      <c r="C164" s="97">
        <v>9</v>
      </c>
      <c r="D164" s="97">
        <v>9</v>
      </c>
      <c r="E164" s="97">
        <v>9</v>
      </c>
      <c r="F164" s="97">
        <v>9</v>
      </c>
      <c r="G164" s="97">
        <v>9</v>
      </c>
      <c r="H164" s="97">
        <v>9</v>
      </c>
      <c r="I164" s="97">
        <v>9</v>
      </c>
      <c r="J164" s="97">
        <v>9</v>
      </c>
      <c r="K164" s="97">
        <v>9</v>
      </c>
      <c r="L164" s="97">
        <v>9</v>
      </c>
      <c r="M164" s="97">
        <v>9</v>
      </c>
      <c r="N164" s="97">
        <v>9</v>
      </c>
      <c r="O164" s="97">
        <v>9</v>
      </c>
      <c r="P164" s="97">
        <v>9</v>
      </c>
      <c r="Q164" s="97">
        <f t="shared" si="25"/>
        <v>63</v>
      </c>
      <c r="R164" s="104">
        <f t="shared" si="26"/>
        <v>7965</v>
      </c>
      <c r="S164" s="97">
        <f t="shared" si="27"/>
        <v>72</v>
      </c>
      <c r="T164" s="98">
        <f t="shared" si="28"/>
        <v>34.92</v>
      </c>
      <c r="U164" s="98">
        <f t="shared" si="29"/>
        <v>7999.92</v>
      </c>
      <c r="V164" s="111">
        <v>163</v>
      </c>
      <c r="W164" s="108"/>
    </row>
    <row r="165" spans="1:23" ht="21.75" customHeight="1" x14ac:dyDescent="0.2">
      <c r="A165" s="106">
        <v>43629</v>
      </c>
      <c r="B165" s="97">
        <v>9</v>
      </c>
      <c r="C165" s="97">
        <v>9</v>
      </c>
      <c r="D165" s="97">
        <v>9</v>
      </c>
      <c r="E165" s="97">
        <v>9</v>
      </c>
      <c r="F165" s="97">
        <v>9</v>
      </c>
      <c r="G165" s="97">
        <v>9</v>
      </c>
      <c r="H165" s="97">
        <v>9</v>
      </c>
      <c r="I165" s="97">
        <v>9</v>
      </c>
      <c r="J165" s="97">
        <v>9</v>
      </c>
      <c r="K165" s="97">
        <v>9</v>
      </c>
      <c r="L165" s="97">
        <v>9</v>
      </c>
      <c r="M165" s="97">
        <v>9</v>
      </c>
      <c r="N165" s="97">
        <v>9</v>
      </c>
      <c r="O165" s="97">
        <v>9</v>
      </c>
      <c r="P165" s="97">
        <v>9</v>
      </c>
      <c r="Q165" s="97">
        <f t="shared" si="25"/>
        <v>63</v>
      </c>
      <c r="R165" s="104">
        <f t="shared" si="26"/>
        <v>7965</v>
      </c>
      <c r="S165" s="97">
        <f t="shared" si="27"/>
        <v>72</v>
      </c>
      <c r="T165" s="98">
        <f t="shared" si="28"/>
        <v>34.92</v>
      </c>
      <c r="U165" s="98">
        <f t="shared" si="29"/>
        <v>7999.92</v>
      </c>
      <c r="V165" s="111">
        <v>164</v>
      </c>
      <c r="W165" s="108"/>
    </row>
    <row r="166" spans="1:23" ht="21.75" customHeight="1" x14ac:dyDescent="0.2">
      <c r="A166" s="106">
        <v>43630</v>
      </c>
      <c r="B166" s="97">
        <v>9</v>
      </c>
      <c r="C166" s="97">
        <v>9</v>
      </c>
      <c r="D166" s="97">
        <v>9</v>
      </c>
      <c r="E166" s="97">
        <v>9</v>
      </c>
      <c r="F166" s="97">
        <v>9</v>
      </c>
      <c r="G166" s="97">
        <v>9</v>
      </c>
      <c r="H166" s="97">
        <v>9</v>
      </c>
      <c r="I166" s="97">
        <v>9</v>
      </c>
      <c r="J166" s="97">
        <v>9</v>
      </c>
      <c r="K166" s="97">
        <v>9</v>
      </c>
      <c r="L166" s="97">
        <v>9</v>
      </c>
      <c r="M166" s="97">
        <v>9</v>
      </c>
      <c r="N166" s="97">
        <v>9</v>
      </c>
      <c r="O166" s="97">
        <v>9</v>
      </c>
      <c r="P166" s="97">
        <v>9</v>
      </c>
      <c r="Q166" s="97">
        <f t="shared" si="25"/>
        <v>63</v>
      </c>
      <c r="R166" s="104">
        <f t="shared" si="26"/>
        <v>7965</v>
      </c>
      <c r="S166" s="97">
        <f t="shared" si="27"/>
        <v>72</v>
      </c>
      <c r="T166" s="98">
        <f t="shared" si="28"/>
        <v>34.92</v>
      </c>
      <c r="U166" s="98">
        <f t="shared" si="29"/>
        <v>7999.92</v>
      </c>
      <c r="V166" s="111">
        <v>165</v>
      </c>
      <c r="W166" s="108"/>
    </row>
    <row r="167" spans="1:23" ht="21.75" customHeight="1" x14ac:dyDescent="0.2">
      <c r="A167" s="106">
        <v>43631</v>
      </c>
      <c r="B167" s="97">
        <v>9</v>
      </c>
      <c r="C167" s="97">
        <v>9</v>
      </c>
      <c r="D167" s="97">
        <v>9</v>
      </c>
      <c r="E167" s="97">
        <v>9</v>
      </c>
      <c r="F167" s="97">
        <v>9</v>
      </c>
      <c r="G167" s="97">
        <v>9</v>
      </c>
      <c r="H167" s="97">
        <v>9</v>
      </c>
      <c r="I167" s="97">
        <v>9</v>
      </c>
      <c r="J167" s="97">
        <v>9</v>
      </c>
      <c r="K167" s="97">
        <v>9</v>
      </c>
      <c r="L167" s="97">
        <v>9</v>
      </c>
      <c r="M167" s="97">
        <v>9</v>
      </c>
      <c r="N167" s="97">
        <v>9</v>
      </c>
      <c r="O167" s="97">
        <v>9</v>
      </c>
      <c r="P167" s="97">
        <v>9</v>
      </c>
      <c r="Q167" s="97">
        <f t="shared" si="25"/>
        <v>63</v>
      </c>
      <c r="R167" s="104">
        <f t="shared" si="26"/>
        <v>7965</v>
      </c>
      <c r="S167" s="97">
        <f t="shared" si="27"/>
        <v>72</v>
      </c>
      <c r="T167" s="98">
        <f t="shared" si="28"/>
        <v>34.92</v>
      </c>
      <c r="U167" s="98">
        <f t="shared" si="29"/>
        <v>7999.92</v>
      </c>
      <c r="V167" s="111">
        <v>166</v>
      </c>
      <c r="W167" s="108"/>
    </row>
    <row r="168" spans="1:23" ht="21.75" customHeight="1" x14ac:dyDescent="0.2">
      <c r="A168" s="106">
        <v>43632</v>
      </c>
      <c r="B168" s="97">
        <v>9</v>
      </c>
      <c r="C168" s="97">
        <v>9</v>
      </c>
      <c r="D168" s="97">
        <v>9</v>
      </c>
      <c r="E168" s="97">
        <v>9</v>
      </c>
      <c r="F168" s="97">
        <v>9</v>
      </c>
      <c r="G168" s="97">
        <v>9</v>
      </c>
      <c r="H168" s="97">
        <v>9</v>
      </c>
      <c r="I168" s="97">
        <v>9</v>
      </c>
      <c r="J168" s="97">
        <v>9</v>
      </c>
      <c r="K168" s="97">
        <v>9</v>
      </c>
      <c r="L168" s="97">
        <v>9</v>
      </c>
      <c r="M168" s="97">
        <v>9</v>
      </c>
      <c r="N168" s="97">
        <v>9</v>
      </c>
      <c r="O168" s="97">
        <v>9</v>
      </c>
      <c r="P168" s="97">
        <v>9</v>
      </c>
      <c r="Q168" s="97">
        <f t="shared" si="25"/>
        <v>63</v>
      </c>
      <c r="R168" s="104">
        <f t="shared" si="26"/>
        <v>7965</v>
      </c>
      <c r="S168" s="97">
        <f t="shared" si="27"/>
        <v>72</v>
      </c>
      <c r="T168" s="98">
        <f t="shared" si="28"/>
        <v>34.92</v>
      </c>
      <c r="U168" s="98">
        <f t="shared" si="29"/>
        <v>7999.92</v>
      </c>
      <c r="V168" s="111">
        <v>167</v>
      </c>
      <c r="W168" s="108"/>
    </row>
    <row r="169" spans="1:23" ht="21.75" customHeight="1" x14ac:dyDescent="0.2">
      <c r="A169" s="106">
        <v>43633</v>
      </c>
      <c r="B169" s="97">
        <v>9</v>
      </c>
      <c r="C169" s="97">
        <v>9</v>
      </c>
      <c r="D169" s="97">
        <v>9</v>
      </c>
      <c r="E169" s="97">
        <v>9</v>
      </c>
      <c r="F169" s="97">
        <v>9</v>
      </c>
      <c r="G169" s="97">
        <v>9</v>
      </c>
      <c r="H169" s="97">
        <v>9</v>
      </c>
      <c r="I169" s="97">
        <v>9</v>
      </c>
      <c r="J169" s="97">
        <v>9</v>
      </c>
      <c r="K169" s="97">
        <v>9</v>
      </c>
      <c r="L169" s="97">
        <v>9</v>
      </c>
      <c r="M169" s="97">
        <v>9</v>
      </c>
      <c r="N169" s="97">
        <v>9</v>
      </c>
      <c r="O169" s="97">
        <v>9</v>
      </c>
      <c r="P169" s="97">
        <v>9</v>
      </c>
      <c r="Q169" s="97">
        <f t="shared" si="25"/>
        <v>63</v>
      </c>
      <c r="R169" s="104">
        <f t="shared" si="26"/>
        <v>7965</v>
      </c>
      <c r="S169" s="97">
        <f t="shared" si="27"/>
        <v>72</v>
      </c>
      <c r="T169" s="98">
        <f t="shared" si="28"/>
        <v>34.92</v>
      </c>
      <c r="U169" s="98">
        <f t="shared" si="29"/>
        <v>7999.92</v>
      </c>
      <c r="V169" s="111">
        <v>168</v>
      </c>
      <c r="W169" s="108"/>
    </row>
    <row r="170" spans="1:23" ht="21.75" customHeight="1" x14ac:dyDescent="0.2">
      <c r="A170" s="106">
        <v>43634</v>
      </c>
      <c r="B170" s="97">
        <v>9</v>
      </c>
      <c r="C170" s="97">
        <v>9</v>
      </c>
      <c r="D170" s="97">
        <v>9</v>
      </c>
      <c r="E170" s="97">
        <v>9</v>
      </c>
      <c r="F170" s="97">
        <v>9</v>
      </c>
      <c r="G170" s="97">
        <v>9</v>
      </c>
      <c r="H170" s="97">
        <v>9</v>
      </c>
      <c r="I170" s="97">
        <v>9</v>
      </c>
      <c r="J170" s="97">
        <v>9</v>
      </c>
      <c r="K170" s="97">
        <v>9</v>
      </c>
      <c r="L170" s="97">
        <v>9</v>
      </c>
      <c r="M170" s="97">
        <v>9</v>
      </c>
      <c r="N170" s="97">
        <v>9</v>
      </c>
      <c r="O170" s="97">
        <v>9</v>
      </c>
      <c r="P170" s="97">
        <v>9</v>
      </c>
      <c r="Q170" s="97">
        <f t="shared" si="25"/>
        <v>63</v>
      </c>
      <c r="R170" s="104">
        <f t="shared" si="26"/>
        <v>7965</v>
      </c>
      <c r="S170" s="97">
        <f t="shared" si="27"/>
        <v>72</v>
      </c>
      <c r="T170" s="98">
        <f t="shared" si="28"/>
        <v>34.92</v>
      </c>
      <c r="U170" s="98">
        <f t="shared" si="29"/>
        <v>7999.92</v>
      </c>
      <c r="V170" s="111">
        <v>169</v>
      </c>
      <c r="W170" s="108"/>
    </row>
    <row r="171" spans="1:23" ht="21.75" customHeight="1" x14ac:dyDescent="0.2">
      <c r="A171" s="106">
        <v>43635</v>
      </c>
      <c r="B171" s="97">
        <v>9</v>
      </c>
      <c r="C171" s="97">
        <v>9</v>
      </c>
      <c r="D171" s="97">
        <v>9</v>
      </c>
      <c r="E171" s="97">
        <v>9</v>
      </c>
      <c r="F171" s="97">
        <v>9</v>
      </c>
      <c r="G171" s="97">
        <v>9</v>
      </c>
      <c r="H171" s="97">
        <v>9</v>
      </c>
      <c r="I171" s="97">
        <v>9</v>
      </c>
      <c r="J171" s="97">
        <v>9</v>
      </c>
      <c r="K171" s="97">
        <v>9</v>
      </c>
      <c r="L171" s="97">
        <v>9</v>
      </c>
      <c r="M171" s="97">
        <v>9</v>
      </c>
      <c r="N171" s="97">
        <v>9</v>
      </c>
      <c r="O171" s="97">
        <v>9</v>
      </c>
      <c r="P171" s="97">
        <v>9</v>
      </c>
      <c r="Q171" s="97">
        <f t="shared" si="25"/>
        <v>63</v>
      </c>
      <c r="R171" s="104">
        <f t="shared" si="26"/>
        <v>7965</v>
      </c>
      <c r="S171" s="97">
        <f t="shared" si="27"/>
        <v>72</v>
      </c>
      <c r="T171" s="98">
        <f t="shared" si="28"/>
        <v>34.92</v>
      </c>
      <c r="U171" s="98">
        <f t="shared" si="29"/>
        <v>7999.92</v>
      </c>
      <c r="V171" s="111">
        <v>170</v>
      </c>
      <c r="W171" s="108"/>
    </row>
    <row r="172" spans="1:23" ht="21.75" customHeight="1" x14ac:dyDescent="0.2">
      <c r="A172" s="106">
        <v>43636</v>
      </c>
      <c r="B172" s="97">
        <v>9</v>
      </c>
      <c r="C172" s="97">
        <v>9</v>
      </c>
      <c r="D172" s="97">
        <v>9</v>
      </c>
      <c r="E172" s="97">
        <v>9</v>
      </c>
      <c r="F172" s="97">
        <v>9</v>
      </c>
      <c r="G172" s="97">
        <v>9</v>
      </c>
      <c r="H172" s="97">
        <v>9</v>
      </c>
      <c r="I172" s="97">
        <v>9</v>
      </c>
      <c r="J172" s="97">
        <v>9</v>
      </c>
      <c r="K172" s="97">
        <v>9</v>
      </c>
      <c r="L172" s="97">
        <v>9</v>
      </c>
      <c r="M172" s="97">
        <v>9</v>
      </c>
      <c r="N172" s="97">
        <v>9</v>
      </c>
      <c r="O172" s="97">
        <v>9</v>
      </c>
      <c r="P172" s="97">
        <v>9</v>
      </c>
      <c r="Q172" s="97">
        <f t="shared" si="25"/>
        <v>63</v>
      </c>
      <c r="R172" s="104">
        <f t="shared" si="26"/>
        <v>7965</v>
      </c>
      <c r="S172" s="97">
        <f t="shared" si="27"/>
        <v>72</v>
      </c>
      <c r="T172" s="98">
        <f t="shared" si="28"/>
        <v>34.92</v>
      </c>
      <c r="U172" s="98">
        <f t="shared" si="29"/>
        <v>7999.92</v>
      </c>
      <c r="V172" s="111">
        <v>171</v>
      </c>
      <c r="W172" s="108"/>
    </row>
    <row r="173" spans="1:23" ht="21.75" customHeight="1" x14ac:dyDescent="0.2">
      <c r="A173" s="106">
        <v>43637</v>
      </c>
      <c r="B173" s="97">
        <v>9</v>
      </c>
      <c r="C173" s="97">
        <v>9</v>
      </c>
      <c r="D173" s="97">
        <v>9</v>
      </c>
      <c r="E173" s="97">
        <v>9</v>
      </c>
      <c r="F173" s="97">
        <v>9</v>
      </c>
      <c r="G173" s="97">
        <v>9</v>
      </c>
      <c r="H173" s="97">
        <v>9</v>
      </c>
      <c r="I173" s="97">
        <v>9</v>
      </c>
      <c r="J173" s="97">
        <v>9</v>
      </c>
      <c r="K173" s="97">
        <v>9</v>
      </c>
      <c r="L173" s="97">
        <v>9</v>
      </c>
      <c r="M173" s="97">
        <v>9</v>
      </c>
      <c r="N173" s="97">
        <v>9</v>
      </c>
      <c r="O173" s="97">
        <v>9</v>
      </c>
      <c r="P173" s="97">
        <v>9</v>
      </c>
      <c r="Q173" s="97">
        <f t="shared" si="25"/>
        <v>63</v>
      </c>
      <c r="R173" s="104">
        <f t="shared" si="26"/>
        <v>7965</v>
      </c>
      <c r="S173" s="97">
        <f t="shared" si="27"/>
        <v>72</v>
      </c>
      <c r="T173" s="98">
        <f t="shared" si="28"/>
        <v>34.92</v>
      </c>
      <c r="U173" s="98">
        <f t="shared" si="29"/>
        <v>7999.92</v>
      </c>
      <c r="V173" s="111">
        <v>172</v>
      </c>
      <c r="W173" s="108"/>
    </row>
    <row r="174" spans="1:23" ht="21.75" customHeight="1" x14ac:dyDescent="0.2">
      <c r="A174" s="106">
        <v>43638</v>
      </c>
      <c r="B174" s="97">
        <v>9</v>
      </c>
      <c r="C174" s="97">
        <v>9</v>
      </c>
      <c r="D174" s="97">
        <v>9</v>
      </c>
      <c r="E174" s="97">
        <v>9</v>
      </c>
      <c r="F174" s="97">
        <v>9</v>
      </c>
      <c r="G174" s="97">
        <v>9</v>
      </c>
      <c r="H174" s="97">
        <v>9</v>
      </c>
      <c r="I174" s="97">
        <v>9</v>
      </c>
      <c r="J174" s="97">
        <v>9</v>
      </c>
      <c r="K174" s="97">
        <v>9</v>
      </c>
      <c r="L174" s="97">
        <v>9</v>
      </c>
      <c r="M174" s="97">
        <v>9</v>
      </c>
      <c r="N174" s="97">
        <v>9</v>
      </c>
      <c r="O174" s="97">
        <v>9</v>
      </c>
      <c r="P174" s="97">
        <v>9</v>
      </c>
      <c r="Q174" s="97">
        <f t="shared" si="25"/>
        <v>63</v>
      </c>
      <c r="R174" s="104">
        <f t="shared" si="26"/>
        <v>7965</v>
      </c>
      <c r="S174" s="97">
        <f t="shared" si="27"/>
        <v>72</v>
      </c>
      <c r="T174" s="98">
        <f t="shared" si="28"/>
        <v>34.92</v>
      </c>
      <c r="U174" s="98">
        <f t="shared" si="29"/>
        <v>7999.92</v>
      </c>
      <c r="V174" s="111">
        <v>173</v>
      </c>
      <c r="W174" s="108"/>
    </row>
    <row r="175" spans="1:23" ht="21.75" customHeight="1" x14ac:dyDescent="0.2">
      <c r="A175" s="106">
        <v>43639</v>
      </c>
      <c r="B175" s="97">
        <v>9</v>
      </c>
      <c r="C175" s="97">
        <v>9</v>
      </c>
      <c r="D175" s="97">
        <v>9</v>
      </c>
      <c r="E175" s="97">
        <v>9</v>
      </c>
      <c r="F175" s="97">
        <v>9</v>
      </c>
      <c r="G175" s="97">
        <v>9</v>
      </c>
      <c r="H175" s="97">
        <v>9</v>
      </c>
      <c r="I175" s="97">
        <v>9</v>
      </c>
      <c r="J175" s="97">
        <v>9</v>
      </c>
      <c r="K175" s="97">
        <v>9</v>
      </c>
      <c r="L175" s="97">
        <v>9</v>
      </c>
      <c r="M175" s="97">
        <v>9</v>
      </c>
      <c r="N175" s="97">
        <v>9</v>
      </c>
      <c r="O175" s="97">
        <v>9</v>
      </c>
      <c r="P175" s="97">
        <v>9</v>
      </c>
      <c r="Q175" s="97">
        <f t="shared" si="25"/>
        <v>63</v>
      </c>
      <c r="R175" s="104">
        <f t="shared" si="26"/>
        <v>7965</v>
      </c>
      <c r="S175" s="97">
        <f t="shared" si="27"/>
        <v>72</v>
      </c>
      <c r="T175" s="98">
        <f t="shared" si="28"/>
        <v>34.92</v>
      </c>
      <c r="U175" s="98">
        <f t="shared" si="29"/>
        <v>7999.92</v>
      </c>
      <c r="V175" s="111">
        <v>174</v>
      </c>
      <c r="W175" s="108"/>
    </row>
    <row r="176" spans="1:23" ht="21.75" customHeight="1" x14ac:dyDescent="0.2">
      <c r="A176" s="106">
        <v>43640</v>
      </c>
      <c r="B176" s="97">
        <v>9</v>
      </c>
      <c r="C176" s="97">
        <v>9</v>
      </c>
      <c r="D176" s="97">
        <v>9</v>
      </c>
      <c r="E176" s="97">
        <v>9</v>
      </c>
      <c r="F176" s="97">
        <v>9</v>
      </c>
      <c r="G176" s="97">
        <v>9</v>
      </c>
      <c r="H176" s="97">
        <v>9</v>
      </c>
      <c r="I176" s="97">
        <v>9</v>
      </c>
      <c r="J176" s="97">
        <v>9</v>
      </c>
      <c r="K176" s="97">
        <v>9</v>
      </c>
      <c r="L176" s="97">
        <v>9</v>
      </c>
      <c r="M176" s="97">
        <v>9</v>
      </c>
      <c r="N176" s="97">
        <v>9</v>
      </c>
      <c r="O176" s="97">
        <v>9</v>
      </c>
      <c r="P176" s="97">
        <v>9</v>
      </c>
      <c r="Q176" s="97">
        <f t="shared" si="25"/>
        <v>63</v>
      </c>
      <c r="R176" s="104">
        <f t="shared" si="26"/>
        <v>7965</v>
      </c>
      <c r="S176" s="97">
        <f t="shared" si="27"/>
        <v>72</v>
      </c>
      <c r="T176" s="98">
        <f t="shared" si="28"/>
        <v>34.92</v>
      </c>
      <c r="U176" s="98">
        <f t="shared" si="29"/>
        <v>7999.92</v>
      </c>
      <c r="V176" s="111">
        <v>175</v>
      </c>
      <c r="W176" s="108"/>
    </row>
    <row r="177" spans="1:23" ht="21.75" customHeight="1" x14ac:dyDescent="0.2">
      <c r="A177" s="106">
        <v>43641</v>
      </c>
      <c r="B177" s="97">
        <v>9</v>
      </c>
      <c r="C177" s="97">
        <v>9</v>
      </c>
      <c r="D177" s="97">
        <v>9</v>
      </c>
      <c r="E177" s="97">
        <v>9</v>
      </c>
      <c r="F177" s="97">
        <v>9</v>
      </c>
      <c r="G177" s="97">
        <v>9</v>
      </c>
      <c r="H177" s="97">
        <v>9</v>
      </c>
      <c r="I177" s="97">
        <v>9</v>
      </c>
      <c r="J177" s="97">
        <v>9</v>
      </c>
      <c r="K177" s="97">
        <v>9</v>
      </c>
      <c r="L177" s="97">
        <v>9</v>
      </c>
      <c r="M177" s="97">
        <v>9</v>
      </c>
      <c r="N177" s="97">
        <v>9</v>
      </c>
      <c r="O177" s="97">
        <v>9</v>
      </c>
      <c r="P177" s="97">
        <v>9</v>
      </c>
      <c r="Q177" s="97">
        <f t="shared" si="25"/>
        <v>63</v>
      </c>
      <c r="R177" s="104">
        <f t="shared" si="26"/>
        <v>7965</v>
      </c>
      <c r="S177" s="97">
        <f t="shared" si="27"/>
        <v>72</v>
      </c>
      <c r="T177" s="98">
        <f t="shared" si="28"/>
        <v>34.92</v>
      </c>
      <c r="U177" s="98">
        <f t="shared" si="29"/>
        <v>7999.92</v>
      </c>
      <c r="V177" s="111">
        <v>176</v>
      </c>
      <c r="W177" s="108"/>
    </row>
    <row r="178" spans="1:23" ht="21.75" customHeight="1" x14ac:dyDescent="0.2">
      <c r="A178" s="106">
        <v>43642</v>
      </c>
      <c r="B178" s="97">
        <v>9</v>
      </c>
      <c r="C178" s="97">
        <v>9</v>
      </c>
      <c r="D178" s="97">
        <v>9</v>
      </c>
      <c r="E178" s="97">
        <v>9</v>
      </c>
      <c r="F178" s="97">
        <v>9</v>
      </c>
      <c r="G178" s="97">
        <v>9</v>
      </c>
      <c r="H178" s="97">
        <v>9</v>
      </c>
      <c r="I178" s="97">
        <v>9</v>
      </c>
      <c r="J178" s="97">
        <v>9</v>
      </c>
      <c r="K178" s="97">
        <v>9</v>
      </c>
      <c r="L178" s="97">
        <v>9</v>
      </c>
      <c r="M178" s="97">
        <v>9</v>
      </c>
      <c r="N178" s="97">
        <v>9</v>
      </c>
      <c r="O178" s="97">
        <v>9</v>
      </c>
      <c r="P178" s="97">
        <v>9</v>
      </c>
      <c r="Q178" s="97">
        <f t="shared" si="25"/>
        <v>63</v>
      </c>
      <c r="R178" s="104">
        <f t="shared" si="26"/>
        <v>7965</v>
      </c>
      <c r="S178" s="97">
        <f t="shared" si="27"/>
        <v>72</v>
      </c>
      <c r="T178" s="98">
        <f t="shared" si="28"/>
        <v>34.92</v>
      </c>
      <c r="U178" s="98">
        <f t="shared" si="29"/>
        <v>7999.92</v>
      </c>
      <c r="V178" s="111">
        <v>177</v>
      </c>
      <c r="W178" s="108"/>
    </row>
    <row r="179" spans="1:23" ht="21.75" customHeight="1" x14ac:dyDescent="0.2">
      <c r="A179" s="106">
        <v>43643</v>
      </c>
      <c r="B179" s="97">
        <v>9</v>
      </c>
      <c r="C179" s="97">
        <v>9</v>
      </c>
      <c r="D179" s="97">
        <v>9</v>
      </c>
      <c r="E179" s="97">
        <v>9</v>
      </c>
      <c r="F179" s="97">
        <v>9</v>
      </c>
      <c r="G179" s="97">
        <v>9</v>
      </c>
      <c r="H179" s="97">
        <v>9</v>
      </c>
      <c r="I179" s="97">
        <v>9</v>
      </c>
      <c r="J179" s="97">
        <v>9</v>
      </c>
      <c r="K179" s="97">
        <v>9</v>
      </c>
      <c r="L179" s="97">
        <v>9</v>
      </c>
      <c r="M179" s="97">
        <v>9</v>
      </c>
      <c r="N179" s="97">
        <v>9</v>
      </c>
      <c r="O179" s="97">
        <v>9</v>
      </c>
      <c r="P179" s="97">
        <v>9</v>
      </c>
      <c r="Q179" s="97">
        <f t="shared" si="25"/>
        <v>63</v>
      </c>
      <c r="R179" s="104">
        <f t="shared" si="26"/>
        <v>7965</v>
      </c>
      <c r="S179" s="97">
        <f t="shared" si="27"/>
        <v>72</v>
      </c>
      <c r="T179" s="98">
        <f t="shared" si="28"/>
        <v>34.92</v>
      </c>
      <c r="U179" s="98">
        <f t="shared" si="29"/>
        <v>7999.92</v>
      </c>
      <c r="V179" s="111">
        <v>178</v>
      </c>
      <c r="W179" s="108"/>
    </row>
    <row r="180" spans="1:23" ht="21.75" customHeight="1" x14ac:dyDescent="0.2">
      <c r="A180" s="106">
        <v>43644</v>
      </c>
      <c r="B180" s="97">
        <v>9</v>
      </c>
      <c r="C180" s="97">
        <v>9</v>
      </c>
      <c r="D180" s="97">
        <v>9</v>
      </c>
      <c r="E180" s="97">
        <v>9</v>
      </c>
      <c r="F180" s="97">
        <v>9</v>
      </c>
      <c r="G180" s="97">
        <v>9</v>
      </c>
      <c r="H180" s="97">
        <v>9</v>
      </c>
      <c r="I180" s="97">
        <v>9</v>
      </c>
      <c r="J180" s="97">
        <v>9</v>
      </c>
      <c r="K180" s="97">
        <v>9</v>
      </c>
      <c r="L180" s="97">
        <v>9</v>
      </c>
      <c r="M180" s="97">
        <v>9</v>
      </c>
      <c r="N180" s="97">
        <v>9</v>
      </c>
      <c r="O180" s="97">
        <v>9</v>
      </c>
      <c r="P180" s="97">
        <v>9</v>
      </c>
      <c r="Q180" s="97">
        <f t="shared" si="25"/>
        <v>63</v>
      </c>
      <c r="R180" s="104">
        <f t="shared" si="26"/>
        <v>7965</v>
      </c>
      <c r="S180" s="97">
        <f t="shared" si="27"/>
        <v>72</v>
      </c>
      <c r="T180" s="98">
        <f t="shared" si="28"/>
        <v>34.92</v>
      </c>
      <c r="U180" s="98">
        <f t="shared" si="29"/>
        <v>7999.92</v>
      </c>
      <c r="V180" s="111">
        <v>179</v>
      </c>
      <c r="W180" s="108"/>
    </row>
    <row r="181" spans="1:23" ht="21.75" customHeight="1" x14ac:dyDescent="0.2">
      <c r="A181" s="106">
        <v>43645</v>
      </c>
      <c r="B181" s="97">
        <v>9</v>
      </c>
      <c r="C181" s="97">
        <v>9</v>
      </c>
      <c r="D181" s="97">
        <v>9</v>
      </c>
      <c r="E181" s="97">
        <v>9</v>
      </c>
      <c r="F181" s="97">
        <v>9</v>
      </c>
      <c r="G181" s="97">
        <v>9</v>
      </c>
      <c r="H181" s="97">
        <v>9</v>
      </c>
      <c r="I181" s="97">
        <v>9</v>
      </c>
      <c r="J181" s="97">
        <v>9</v>
      </c>
      <c r="K181" s="97">
        <v>9</v>
      </c>
      <c r="L181" s="97">
        <v>9</v>
      </c>
      <c r="M181" s="97">
        <v>9</v>
      </c>
      <c r="N181" s="97">
        <v>9</v>
      </c>
      <c r="O181" s="97">
        <v>9</v>
      </c>
      <c r="P181" s="97">
        <v>9</v>
      </c>
      <c r="Q181" s="97">
        <f t="shared" si="25"/>
        <v>63</v>
      </c>
      <c r="R181" s="104">
        <f t="shared" si="26"/>
        <v>7965</v>
      </c>
      <c r="S181" s="97">
        <f t="shared" si="27"/>
        <v>72</v>
      </c>
      <c r="T181" s="98">
        <f t="shared" si="28"/>
        <v>34.92</v>
      </c>
      <c r="U181" s="98">
        <f t="shared" si="29"/>
        <v>7999.92</v>
      </c>
      <c r="V181" s="111">
        <v>180</v>
      </c>
      <c r="W181" s="108"/>
    </row>
    <row r="182" spans="1:23" ht="21.75" customHeight="1" x14ac:dyDescent="0.2">
      <c r="A182" s="106">
        <v>43646</v>
      </c>
      <c r="B182" s="97">
        <v>9</v>
      </c>
      <c r="C182" s="97">
        <v>9</v>
      </c>
      <c r="D182" s="97">
        <v>9</v>
      </c>
      <c r="E182" s="97">
        <v>9</v>
      </c>
      <c r="F182" s="97">
        <v>9</v>
      </c>
      <c r="G182" s="97">
        <v>9</v>
      </c>
      <c r="H182" s="97">
        <v>9</v>
      </c>
      <c r="I182" s="97">
        <v>9</v>
      </c>
      <c r="J182" s="97">
        <v>9</v>
      </c>
      <c r="K182" s="97">
        <v>9</v>
      </c>
      <c r="L182" s="97">
        <v>9</v>
      </c>
      <c r="M182" s="97">
        <v>9</v>
      </c>
      <c r="N182" s="97">
        <v>9</v>
      </c>
      <c r="O182" s="97">
        <v>9</v>
      </c>
      <c r="P182" s="97">
        <v>9</v>
      </c>
      <c r="Q182" s="97">
        <f t="shared" si="25"/>
        <v>63</v>
      </c>
      <c r="R182" s="104">
        <f t="shared" si="26"/>
        <v>7965</v>
      </c>
      <c r="S182" s="97">
        <f t="shared" si="27"/>
        <v>72</v>
      </c>
      <c r="T182" s="98">
        <f t="shared" si="28"/>
        <v>34.92</v>
      </c>
      <c r="U182" s="98">
        <f t="shared" si="29"/>
        <v>7999.92</v>
      </c>
      <c r="V182" s="111">
        <v>181</v>
      </c>
      <c r="W182" s="108"/>
    </row>
    <row r="183" spans="1:23" ht="21.75" customHeight="1" x14ac:dyDescent="0.2">
      <c r="A183" s="106">
        <v>43647</v>
      </c>
      <c r="B183" s="97">
        <v>9</v>
      </c>
      <c r="C183" s="97">
        <v>9</v>
      </c>
      <c r="D183" s="97">
        <v>9</v>
      </c>
      <c r="E183" s="97">
        <v>9</v>
      </c>
      <c r="F183" s="97">
        <v>9</v>
      </c>
      <c r="G183" s="97">
        <v>9</v>
      </c>
      <c r="H183" s="97">
        <v>9</v>
      </c>
      <c r="I183" s="97">
        <v>9</v>
      </c>
      <c r="J183" s="97">
        <v>9</v>
      </c>
      <c r="K183" s="97">
        <v>9</v>
      </c>
      <c r="L183" s="97">
        <v>9</v>
      </c>
      <c r="M183" s="97">
        <v>9</v>
      </c>
      <c r="N183" s="97">
        <v>9</v>
      </c>
      <c r="O183" s="97">
        <v>9</v>
      </c>
      <c r="P183" s="97">
        <v>9</v>
      </c>
      <c r="Q183" s="97">
        <f t="shared" si="25"/>
        <v>63</v>
      </c>
      <c r="R183" s="104">
        <f t="shared" si="26"/>
        <v>7965</v>
      </c>
      <c r="S183" s="97">
        <f t="shared" si="27"/>
        <v>72</v>
      </c>
      <c r="T183" s="98">
        <f t="shared" si="28"/>
        <v>34.92</v>
      </c>
      <c r="U183" s="98">
        <f t="shared" si="29"/>
        <v>7999.92</v>
      </c>
      <c r="V183" s="111">
        <v>182</v>
      </c>
      <c r="W183" s="108"/>
    </row>
    <row r="184" spans="1:23" ht="21.75" customHeight="1" x14ac:dyDescent="0.2">
      <c r="A184" s="106">
        <v>43648</v>
      </c>
      <c r="B184" s="97">
        <v>9</v>
      </c>
      <c r="C184" s="97">
        <v>9</v>
      </c>
      <c r="D184" s="97">
        <v>9</v>
      </c>
      <c r="E184" s="97">
        <v>9</v>
      </c>
      <c r="F184" s="97">
        <v>9</v>
      </c>
      <c r="G184" s="97">
        <v>9</v>
      </c>
      <c r="H184" s="97">
        <v>9</v>
      </c>
      <c r="I184" s="97">
        <v>9</v>
      </c>
      <c r="J184" s="97">
        <v>9</v>
      </c>
      <c r="K184" s="97">
        <v>9</v>
      </c>
      <c r="L184" s="97">
        <v>9</v>
      </c>
      <c r="M184" s="97">
        <v>9</v>
      </c>
      <c r="N184" s="97">
        <v>9</v>
      </c>
      <c r="O184" s="97">
        <v>9</v>
      </c>
      <c r="P184" s="97">
        <v>9</v>
      </c>
      <c r="Q184" s="97">
        <f t="shared" si="25"/>
        <v>63</v>
      </c>
      <c r="R184" s="104">
        <f t="shared" si="26"/>
        <v>7965</v>
      </c>
      <c r="S184" s="97">
        <f t="shared" si="27"/>
        <v>72</v>
      </c>
      <c r="T184" s="98">
        <f t="shared" si="28"/>
        <v>34.92</v>
      </c>
      <c r="U184" s="98">
        <f t="shared" si="29"/>
        <v>7999.92</v>
      </c>
      <c r="V184" s="111">
        <v>183</v>
      </c>
      <c r="W184" s="108"/>
    </row>
    <row r="185" spans="1:23" ht="21.75" customHeight="1" x14ac:dyDescent="0.2">
      <c r="A185" s="106">
        <v>43649</v>
      </c>
      <c r="B185" s="97">
        <v>9</v>
      </c>
      <c r="C185" s="97">
        <v>9</v>
      </c>
      <c r="D185" s="97">
        <v>9</v>
      </c>
      <c r="E185" s="97">
        <v>9</v>
      </c>
      <c r="F185" s="97">
        <v>9</v>
      </c>
      <c r="G185" s="97">
        <v>9</v>
      </c>
      <c r="H185" s="97">
        <v>9</v>
      </c>
      <c r="I185" s="97">
        <v>9</v>
      </c>
      <c r="J185" s="97">
        <v>9</v>
      </c>
      <c r="K185" s="97">
        <v>9</v>
      </c>
      <c r="L185" s="97">
        <v>9</v>
      </c>
      <c r="M185" s="97">
        <v>9</v>
      </c>
      <c r="N185" s="97">
        <v>9</v>
      </c>
      <c r="O185" s="97">
        <v>9</v>
      </c>
      <c r="P185" s="97">
        <v>9</v>
      </c>
      <c r="Q185" s="97">
        <f t="shared" si="25"/>
        <v>63</v>
      </c>
      <c r="R185" s="104">
        <f t="shared" si="26"/>
        <v>7965</v>
      </c>
      <c r="S185" s="97">
        <f t="shared" si="27"/>
        <v>72</v>
      </c>
      <c r="T185" s="98">
        <f t="shared" si="28"/>
        <v>34.92</v>
      </c>
      <c r="U185" s="98">
        <f t="shared" si="29"/>
        <v>7999.92</v>
      </c>
      <c r="V185" s="111">
        <v>184</v>
      </c>
      <c r="W185" s="108"/>
    </row>
    <row r="186" spans="1:23" ht="21.75" customHeight="1" x14ac:dyDescent="0.2">
      <c r="A186" s="106">
        <v>43650</v>
      </c>
      <c r="B186" s="97">
        <v>9</v>
      </c>
      <c r="C186" s="97">
        <v>9</v>
      </c>
      <c r="D186" s="97">
        <v>9</v>
      </c>
      <c r="E186" s="97">
        <v>9</v>
      </c>
      <c r="F186" s="97">
        <v>9</v>
      </c>
      <c r="G186" s="97">
        <v>9</v>
      </c>
      <c r="H186" s="97">
        <v>9</v>
      </c>
      <c r="I186" s="97">
        <v>9</v>
      </c>
      <c r="J186" s="97">
        <v>9</v>
      </c>
      <c r="K186" s="97">
        <v>9</v>
      </c>
      <c r="L186" s="97">
        <v>9</v>
      </c>
      <c r="M186" s="97">
        <v>9</v>
      </c>
      <c r="N186" s="97">
        <v>9</v>
      </c>
      <c r="O186" s="97">
        <v>9</v>
      </c>
      <c r="P186" s="97">
        <v>9</v>
      </c>
      <c r="Q186" s="97">
        <f t="shared" si="25"/>
        <v>63</v>
      </c>
      <c r="R186" s="104">
        <f t="shared" si="26"/>
        <v>7965</v>
      </c>
      <c r="S186" s="97">
        <f t="shared" si="27"/>
        <v>72</v>
      </c>
      <c r="T186" s="98">
        <f t="shared" si="28"/>
        <v>34.92</v>
      </c>
      <c r="U186" s="98">
        <f t="shared" si="29"/>
        <v>7999.92</v>
      </c>
      <c r="V186" s="111">
        <v>185</v>
      </c>
      <c r="W186" s="108"/>
    </row>
    <row r="187" spans="1:23" ht="21.75" customHeight="1" x14ac:dyDescent="0.2">
      <c r="A187" s="106">
        <v>43651</v>
      </c>
      <c r="B187" s="97">
        <v>9</v>
      </c>
      <c r="C187" s="97">
        <v>9</v>
      </c>
      <c r="D187" s="97">
        <v>9</v>
      </c>
      <c r="E187" s="97">
        <v>9</v>
      </c>
      <c r="F187" s="97">
        <v>9</v>
      </c>
      <c r="G187" s="97">
        <v>9</v>
      </c>
      <c r="H187" s="97">
        <v>9</v>
      </c>
      <c r="I187" s="97">
        <v>9</v>
      </c>
      <c r="J187" s="97">
        <v>9</v>
      </c>
      <c r="K187" s="97">
        <v>9</v>
      </c>
      <c r="L187" s="97">
        <v>9</v>
      </c>
      <c r="M187" s="97">
        <v>9</v>
      </c>
      <c r="N187" s="97">
        <v>9</v>
      </c>
      <c r="O187" s="97">
        <v>9</v>
      </c>
      <c r="P187" s="97">
        <v>9</v>
      </c>
      <c r="Q187" s="97">
        <f t="shared" si="25"/>
        <v>63</v>
      </c>
      <c r="R187" s="104">
        <f t="shared" si="26"/>
        <v>7965</v>
      </c>
      <c r="S187" s="97">
        <f t="shared" si="27"/>
        <v>72</v>
      </c>
      <c r="T187" s="98">
        <f t="shared" si="28"/>
        <v>34.92</v>
      </c>
      <c r="U187" s="98">
        <f t="shared" si="29"/>
        <v>7999.92</v>
      </c>
      <c r="V187" s="111">
        <v>186</v>
      </c>
      <c r="W187" s="108"/>
    </row>
    <row r="188" spans="1:23" ht="21.75" customHeight="1" x14ac:dyDescent="0.2">
      <c r="A188" s="106">
        <v>43652</v>
      </c>
      <c r="B188" s="97">
        <v>9</v>
      </c>
      <c r="C188" s="97">
        <v>9</v>
      </c>
      <c r="D188" s="97">
        <v>9</v>
      </c>
      <c r="E188" s="97">
        <v>9</v>
      </c>
      <c r="F188" s="97">
        <v>9</v>
      </c>
      <c r="G188" s="97">
        <v>9</v>
      </c>
      <c r="H188" s="97">
        <v>9</v>
      </c>
      <c r="I188" s="97">
        <v>9</v>
      </c>
      <c r="J188" s="97">
        <v>9</v>
      </c>
      <c r="K188" s="97">
        <v>9</v>
      </c>
      <c r="L188" s="97">
        <v>9</v>
      </c>
      <c r="M188" s="97">
        <v>9</v>
      </c>
      <c r="N188" s="97">
        <v>9</v>
      </c>
      <c r="O188" s="97">
        <v>9</v>
      </c>
      <c r="P188" s="97">
        <v>9</v>
      </c>
      <c r="Q188" s="97">
        <f t="shared" si="25"/>
        <v>63</v>
      </c>
      <c r="R188" s="104">
        <f t="shared" si="26"/>
        <v>7965</v>
      </c>
      <c r="S188" s="97">
        <f t="shared" si="27"/>
        <v>72</v>
      </c>
      <c r="T188" s="98">
        <f t="shared" si="28"/>
        <v>34.92</v>
      </c>
      <c r="U188" s="98">
        <f t="shared" si="29"/>
        <v>7999.92</v>
      </c>
      <c r="V188" s="111">
        <v>187</v>
      </c>
      <c r="W188" s="108"/>
    </row>
    <row r="189" spans="1:23" ht="21.75" customHeight="1" x14ac:dyDescent="0.2">
      <c r="A189" s="106">
        <v>43653</v>
      </c>
      <c r="B189" s="97">
        <v>9</v>
      </c>
      <c r="C189" s="97">
        <v>9</v>
      </c>
      <c r="D189" s="97">
        <v>9</v>
      </c>
      <c r="E189" s="97">
        <v>9</v>
      </c>
      <c r="F189" s="97">
        <v>9</v>
      </c>
      <c r="G189" s="97">
        <v>9</v>
      </c>
      <c r="H189" s="97">
        <v>9</v>
      </c>
      <c r="I189" s="97">
        <v>9</v>
      </c>
      <c r="J189" s="97">
        <v>9</v>
      </c>
      <c r="K189" s="97">
        <v>9</v>
      </c>
      <c r="L189" s="97">
        <v>9</v>
      </c>
      <c r="M189" s="97">
        <v>9</v>
      </c>
      <c r="N189" s="97">
        <v>9</v>
      </c>
      <c r="O189" s="97">
        <v>9</v>
      </c>
      <c r="P189" s="97">
        <v>9</v>
      </c>
      <c r="Q189" s="97">
        <f t="shared" si="25"/>
        <v>63</v>
      </c>
      <c r="R189" s="104">
        <f t="shared" si="26"/>
        <v>7965</v>
      </c>
      <c r="S189" s="97">
        <f t="shared" si="27"/>
        <v>72</v>
      </c>
      <c r="T189" s="98">
        <f t="shared" si="28"/>
        <v>34.92</v>
      </c>
      <c r="U189" s="98">
        <f t="shared" si="29"/>
        <v>7999.92</v>
      </c>
      <c r="V189" s="111">
        <v>188</v>
      </c>
      <c r="W189" s="108"/>
    </row>
    <row r="190" spans="1:23" ht="21.75" customHeight="1" x14ac:dyDescent="0.2">
      <c r="A190" s="106">
        <v>43654</v>
      </c>
      <c r="B190" s="97">
        <v>9</v>
      </c>
      <c r="C190" s="97">
        <v>9</v>
      </c>
      <c r="D190" s="97">
        <v>9</v>
      </c>
      <c r="E190" s="97">
        <v>9</v>
      </c>
      <c r="F190" s="97">
        <v>9</v>
      </c>
      <c r="G190" s="97">
        <v>9</v>
      </c>
      <c r="H190" s="97">
        <v>9</v>
      </c>
      <c r="I190" s="97">
        <v>9</v>
      </c>
      <c r="J190" s="97">
        <v>9</v>
      </c>
      <c r="K190" s="97">
        <v>9</v>
      </c>
      <c r="L190" s="97">
        <v>9</v>
      </c>
      <c r="M190" s="97">
        <v>9</v>
      </c>
      <c r="N190" s="97">
        <v>9</v>
      </c>
      <c r="O190" s="97">
        <v>9</v>
      </c>
      <c r="P190" s="97">
        <v>9</v>
      </c>
      <c r="Q190" s="97">
        <f t="shared" si="25"/>
        <v>63</v>
      </c>
      <c r="R190" s="104">
        <f t="shared" si="26"/>
        <v>7965</v>
      </c>
      <c r="S190" s="97">
        <f t="shared" si="27"/>
        <v>72</v>
      </c>
      <c r="T190" s="98">
        <f t="shared" si="28"/>
        <v>34.92</v>
      </c>
      <c r="U190" s="98">
        <f t="shared" si="29"/>
        <v>7999.92</v>
      </c>
      <c r="V190" s="111">
        <v>189</v>
      </c>
      <c r="W190" s="108"/>
    </row>
    <row r="191" spans="1:23" ht="21.75" customHeight="1" x14ac:dyDescent="0.2">
      <c r="A191" s="106">
        <v>43655</v>
      </c>
      <c r="B191" s="97">
        <v>9</v>
      </c>
      <c r="C191" s="97">
        <v>9</v>
      </c>
      <c r="D191" s="97">
        <v>9</v>
      </c>
      <c r="E191" s="97">
        <v>9</v>
      </c>
      <c r="F191" s="97">
        <v>9</v>
      </c>
      <c r="G191" s="97">
        <v>9</v>
      </c>
      <c r="H191" s="97">
        <v>9</v>
      </c>
      <c r="I191" s="97">
        <v>9</v>
      </c>
      <c r="J191" s="97">
        <v>9</v>
      </c>
      <c r="K191" s="97">
        <v>9</v>
      </c>
      <c r="L191" s="97">
        <v>9</v>
      </c>
      <c r="M191" s="97">
        <v>9</v>
      </c>
      <c r="N191" s="97">
        <v>9</v>
      </c>
      <c r="O191" s="97">
        <v>9</v>
      </c>
      <c r="P191" s="97">
        <v>9</v>
      </c>
      <c r="Q191" s="97">
        <f t="shared" si="25"/>
        <v>63</v>
      </c>
      <c r="R191" s="104">
        <f t="shared" si="26"/>
        <v>7965</v>
      </c>
      <c r="S191" s="97">
        <f t="shared" si="27"/>
        <v>72</v>
      </c>
      <c r="T191" s="98">
        <f t="shared" si="28"/>
        <v>34.92</v>
      </c>
      <c r="U191" s="98">
        <f t="shared" si="29"/>
        <v>7999.92</v>
      </c>
      <c r="V191" s="111">
        <v>190</v>
      </c>
      <c r="W191" s="108"/>
    </row>
    <row r="192" spans="1:23" ht="21.75" customHeight="1" x14ac:dyDescent="0.2">
      <c r="A192" s="106">
        <v>43656</v>
      </c>
      <c r="B192" s="97">
        <v>9</v>
      </c>
      <c r="C192" s="97">
        <v>9</v>
      </c>
      <c r="D192" s="97">
        <v>9</v>
      </c>
      <c r="E192" s="97">
        <v>9</v>
      </c>
      <c r="F192" s="97">
        <v>9</v>
      </c>
      <c r="G192" s="97">
        <v>9</v>
      </c>
      <c r="H192" s="97">
        <v>9</v>
      </c>
      <c r="I192" s="97">
        <v>9</v>
      </c>
      <c r="J192" s="97">
        <v>9</v>
      </c>
      <c r="K192" s="97">
        <v>9</v>
      </c>
      <c r="L192" s="97">
        <v>9</v>
      </c>
      <c r="M192" s="97">
        <v>9</v>
      </c>
      <c r="N192" s="97">
        <v>9</v>
      </c>
      <c r="O192" s="97">
        <v>9</v>
      </c>
      <c r="P192" s="97">
        <v>9</v>
      </c>
      <c r="Q192" s="97">
        <f t="shared" si="25"/>
        <v>63</v>
      </c>
      <c r="R192" s="104">
        <f t="shared" si="26"/>
        <v>7965</v>
      </c>
      <c r="S192" s="97">
        <f t="shared" si="27"/>
        <v>72</v>
      </c>
      <c r="T192" s="98">
        <f t="shared" si="28"/>
        <v>34.92</v>
      </c>
      <c r="U192" s="98">
        <f t="shared" si="29"/>
        <v>7999.92</v>
      </c>
      <c r="V192" s="111">
        <v>191</v>
      </c>
      <c r="W192" s="108"/>
    </row>
    <row r="193" spans="1:23" ht="21.75" customHeight="1" x14ac:dyDescent="0.2">
      <c r="A193" s="106">
        <v>43657</v>
      </c>
      <c r="B193" s="97">
        <v>9</v>
      </c>
      <c r="C193" s="97">
        <v>9</v>
      </c>
      <c r="D193" s="97">
        <v>9</v>
      </c>
      <c r="E193" s="97">
        <v>9</v>
      </c>
      <c r="F193" s="97">
        <v>9</v>
      </c>
      <c r="G193" s="97">
        <v>9</v>
      </c>
      <c r="H193" s="97">
        <v>9</v>
      </c>
      <c r="I193" s="97">
        <v>9</v>
      </c>
      <c r="J193" s="97">
        <v>9</v>
      </c>
      <c r="K193" s="97">
        <v>9</v>
      </c>
      <c r="L193" s="97">
        <v>9</v>
      </c>
      <c r="M193" s="97">
        <v>9</v>
      </c>
      <c r="N193" s="97">
        <v>9</v>
      </c>
      <c r="O193" s="97">
        <v>9</v>
      </c>
      <c r="P193" s="97">
        <v>9</v>
      </c>
      <c r="Q193" s="97">
        <f t="shared" si="25"/>
        <v>63</v>
      </c>
      <c r="R193" s="104">
        <f t="shared" si="26"/>
        <v>7965</v>
      </c>
      <c r="S193" s="97">
        <f t="shared" si="27"/>
        <v>72</v>
      </c>
      <c r="T193" s="98">
        <f t="shared" si="28"/>
        <v>34.92</v>
      </c>
      <c r="U193" s="98">
        <f t="shared" si="29"/>
        <v>7999.92</v>
      </c>
      <c r="V193" s="111">
        <v>192</v>
      </c>
      <c r="W193" s="108"/>
    </row>
    <row r="194" spans="1:23" ht="21.75" customHeight="1" x14ac:dyDescent="0.2">
      <c r="A194" s="106">
        <v>43658</v>
      </c>
      <c r="B194" s="97">
        <v>9</v>
      </c>
      <c r="C194" s="97">
        <v>9</v>
      </c>
      <c r="D194" s="97">
        <v>9</v>
      </c>
      <c r="E194" s="97">
        <v>9</v>
      </c>
      <c r="F194" s="97">
        <v>9</v>
      </c>
      <c r="G194" s="97">
        <v>9</v>
      </c>
      <c r="H194" s="97">
        <v>9</v>
      </c>
      <c r="I194" s="97">
        <v>9</v>
      </c>
      <c r="J194" s="97">
        <v>9</v>
      </c>
      <c r="K194" s="97">
        <v>9</v>
      </c>
      <c r="L194" s="97">
        <v>9</v>
      </c>
      <c r="M194" s="97">
        <v>9</v>
      </c>
      <c r="N194" s="97">
        <v>9</v>
      </c>
      <c r="O194" s="97">
        <v>9</v>
      </c>
      <c r="P194" s="97">
        <v>9</v>
      </c>
      <c r="Q194" s="97">
        <f t="shared" si="25"/>
        <v>63</v>
      </c>
      <c r="R194" s="104">
        <f t="shared" si="26"/>
        <v>7965</v>
      </c>
      <c r="S194" s="97">
        <f t="shared" si="27"/>
        <v>72</v>
      </c>
      <c r="T194" s="98">
        <f t="shared" si="28"/>
        <v>34.92</v>
      </c>
      <c r="U194" s="98">
        <f t="shared" si="29"/>
        <v>7999.92</v>
      </c>
      <c r="V194" s="111">
        <v>193</v>
      </c>
      <c r="W194" s="108"/>
    </row>
    <row r="195" spans="1:23" ht="21.75" customHeight="1" x14ac:dyDescent="0.2">
      <c r="A195" s="106">
        <v>43659</v>
      </c>
      <c r="B195" s="97">
        <v>9</v>
      </c>
      <c r="C195" s="97">
        <v>9</v>
      </c>
      <c r="D195" s="97">
        <v>9</v>
      </c>
      <c r="E195" s="97">
        <v>9</v>
      </c>
      <c r="F195" s="97">
        <v>9</v>
      </c>
      <c r="G195" s="97">
        <v>9</v>
      </c>
      <c r="H195" s="97">
        <v>9</v>
      </c>
      <c r="I195" s="97">
        <v>9</v>
      </c>
      <c r="J195" s="97">
        <v>9</v>
      </c>
      <c r="K195" s="97">
        <v>9</v>
      </c>
      <c r="L195" s="97">
        <v>9</v>
      </c>
      <c r="M195" s="97">
        <v>9</v>
      </c>
      <c r="N195" s="97">
        <v>9</v>
      </c>
      <c r="O195" s="97">
        <v>9</v>
      </c>
      <c r="P195" s="97">
        <v>9</v>
      </c>
      <c r="Q195" s="97">
        <f t="shared" si="25"/>
        <v>63</v>
      </c>
      <c r="R195" s="104">
        <f t="shared" si="26"/>
        <v>7965</v>
      </c>
      <c r="S195" s="97">
        <f t="shared" si="27"/>
        <v>72</v>
      </c>
      <c r="T195" s="98">
        <f t="shared" si="28"/>
        <v>34.92</v>
      </c>
      <c r="U195" s="98">
        <f t="shared" si="29"/>
        <v>7999.92</v>
      </c>
      <c r="V195" s="111">
        <v>194</v>
      </c>
      <c r="W195" s="108"/>
    </row>
    <row r="196" spans="1:23" ht="21.75" customHeight="1" x14ac:dyDescent="0.2">
      <c r="A196" s="106">
        <v>43660</v>
      </c>
      <c r="B196" s="97">
        <v>9</v>
      </c>
      <c r="C196" s="97">
        <v>9</v>
      </c>
      <c r="D196" s="97">
        <v>9</v>
      </c>
      <c r="E196" s="97">
        <v>9</v>
      </c>
      <c r="F196" s="97">
        <v>9</v>
      </c>
      <c r="G196" s="97">
        <v>9</v>
      </c>
      <c r="H196" s="97">
        <v>9</v>
      </c>
      <c r="I196" s="97">
        <v>9</v>
      </c>
      <c r="J196" s="97">
        <v>9</v>
      </c>
      <c r="K196" s="97">
        <v>9</v>
      </c>
      <c r="L196" s="97">
        <v>9</v>
      </c>
      <c r="M196" s="97">
        <v>9</v>
      </c>
      <c r="N196" s="97">
        <v>9</v>
      </c>
      <c r="O196" s="97">
        <v>9</v>
      </c>
      <c r="P196" s="97">
        <v>9</v>
      </c>
      <c r="Q196" s="97">
        <f t="shared" si="25"/>
        <v>63</v>
      </c>
      <c r="R196" s="104">
        <f t="shared" si="26"/>
        <v>7965</v>
      </c>
      <c r="S196" s="97">
        <f t="shared" si="27"/>
        <v>72</v>
      </c>
      <c r="T196" s="98">
        <f t="shared" si="28"/>
        <v>34.92</v>
      </c>
      <c r="U196" s="98">
        <f t="shared" si="29"/>
        <v>7999.92</v>
      </c>
      <c r="V196" s="111">
        <v>195</v>
      </c>
      <c r="W196" s="108"/>
    </row>
    <row r="197" spans="1:23" ht="21.75" customHeight="1" x14ac:dyDescent="0.2">
      <c r="A197" s="106">
        <v>43661</v>
      </c>
      <c r="B197" s="97">
        <v>9</v>
      </c>
      <c r="C197" s="97">
        <v>9</v>
      </c>
      <c r="D197" s="97">
        <v>9</v>
      </c>
      <c r="E197" s="97">
        <v>9</v>
      </c>
      <c r="F197" s="97">
        <v>9</v>
      </c>
      <c r="G197" s="97">
        <v>9</v>
      </c>
      <c r="H197" s="97">
        <v>9</v>
      </c>
      <c r="I197" s="97">
        <v>9</v>
      </c>
      <c r="J197" s="97">
        <v>9</v>
      </c>
      <c r="K197" s="97">
        <v>9</v>
      </c>
      <c r="L197" s="97">
        <v>9</v>
      </c>
      <c r="M197" s="97">
        <v>9</v>
      </c>
      <c r="N197" s="97">
        <v>9</v>
      </c>
      <c r="O197" s="97">
        <v>9</v>
      </c>
      <c r="P197" s="97">
        <v>9</v>
      </c>
      <c r="Q197" s="97">
        <f t="shared" ref="Q197:Q260" si="30">SUM(B197:H197)</f>
        <v>63</v>
      </c>
      <c r="R197" s="104">
        <f t="shared" ref="R197:R260" si="31">SUM(B197*B$1+C197*C$1+D197*D$1+E197*E$1+F197*F$1+G197*G$1+H197*H$1)</f>
        <v>7965</v>
      </c>
      <c r="S197" s="97">
        <f t="shared" ref="S197:S260" si="32">SUM(I197:P197)</f>
        <v>72</v>
      </c>
      <c r="T197" s="98">
        <f t="shared" ref="T197:T260" si="33">SUM(I197*I$1+J197*J$1+K197*K$1+L197*L$1+M197*M$1+N197*N$1+O197*O$1+P197*P$1)</f>
        <v>34.92</v>
      </c>
      <c r="U197" s="98">
        <f t="shared" ref="U197:U260" si="34">SUM(R197+T197)</f>
        <v>7999.92</v>
      </c>
      <c r="V197" s="111">
        <v>196</v>
      </c>
      <c r="W197" s="108"/>
    </row>
    <row r="198" spans="1:23" ht="21.75" customHeight="1" x14ac:dyDescent="0.2">
      <c r="A198" s="106">
        <v>43662</v>
      </c>
      <c r="B198" s="97">
        <v>9</v>
      </c>
      <c r="C198" s="97">
        <v>9</v>
      </c>
      <c r="D198" s="97">
        <v>9</v>
      </c>
      <c r="E198" s="97">
        <v>9</v>
      </c>
      <c r="F198" s="97">
        <v>9</v>
      </c>
      <c r="G198" s="97">
        <v>9</v>
      </c>
      <c r="H198" s="97">
        <v>9</v>
      </c>
      <c r="I198" s="97">
        <v>9</v>
      </c>
      <c r="J198" s="97">
        <v>9</v>
      </c>
      <c r="K198" s="97">
        <v>9</v>
      </c>
      <c r="L198" s="97">
        <v>9</v>
      </c>
      <c r="M198" s="97">
        <v>9</v>
      </c>
      <c r="N198" s="97">
        <v>9</v>
      </c>
      <c r="O198" s="97">
        <v>9</v>
      </c>
      <c r="P198" s="97">
        <v>9</v>
      </c>
      <c r="Q198" s="97">
        <f t="shared" si="30"/>
        <v>63</v>
      </c>
      <c r="R198" s="104">
        <f t="shared" si="31"/>
        <v>7965</v>
      </c>
      <c r="S198" s="97">
        <f t="shared" si="32"/>
        <v>72</v>
      </c>
      <c r="T198" s="98">
        <f t="shared" si="33"/>
        <v>34.92</v>
      </c>
      <c r="U198" s="98">
        <f t="shared" si="34"/>
        <v>7999.92</v>
      </c>
      <c r="V198" s="111">
        <v>197</v>
      </c>
      <c r="W198" s="108"/>
    </row>
    <row r="199" spans="1:23" ht="21.75" customHeight="1" x14ac:dyDescent="0.2">
      <c r="A199" s="106">
        <v>43663</v>
      </c>
      <c r="B199" s="97">
        <v>9</v>
      </c>
      <c r="C199" s="97">
        <v>9</v>
      </c>
      <c r="D199" s="97">
        <v>9</v>
      </c>
      <c r="E199" s="97">
        <v>9</v>
      </c>
      <c r="F199" s="97">
        <v>9</v>
      </c>
      <c r="G199" s="97">
        <v>9</v>
      </c>
      <c r="H199" s="97">
        <v>9</v>
      </c>
      <c r="I199" s="97">
        <v>9</v>
      </c>
      <c r="J199" s="97">
        <v>9</v>
      </c>
      <c r="K199" s="97">
        <v>9</v>
      </c>
      <c r="L199" s="97">
        <v>9</v>
      </c>
      <c r="M199" s="97">
        <v>9</v>
      </c>
      <c r="N199" s="97">
        <v>9</v>
      </c>
      <c r="O199" s="97">
        <v>9</v>
      </c>
      <c r="P199" s="97">
        <v>9</v>
      </c>
      <c r="Q199" s="97">
        <f t="shared" si="30"/>
        <v>63</v>
      </c>
      <c r="R199" s="104">
        <f t="shared" si="31"/>
        <v>7965</v>
      </c>
      <c r="S199" s="97">
        <f t="shared" si="32"/>
        <v>72</v>
      </c>
      <c r="T199" s="98">
        <f t="shared" si="33"/>
        <v>34.92</v>
      </c>
      <c r="U199" s="98">
        <f t="shared" si="34"/>
        <v>7999.92</v>
      </c>
      <c r="V199" s="111">
        <v>198</v>
      </c>
      <c r="W199" s="108"/>
    </row>
    <row r="200" spans="1:23" ht="21.75" customHeight="1" x14ac:dyDescent="0.2">
      <c r="A200" s="106">
        <v>43664</v>
      </c>
      <c r="B200" s="97">
        <v>9</v>
      </c>
      <c r="C200" s="97">
        <v>9</v>
      </c>
      <c r="D200" s="97">
        <v>9</v>
      </c>
      <c r="E200" s="97">
        <v>9</v>
      </c>
      <c r="F200" s="97">
        <v>9</v>
      </c>
      <c r="G200" s="97">
        <v>9</v>
      </c>
      <c r="H200" s="97">
        <v>9</v>
      </c>
      <c r="I200" s="97">
        <v>9</v>
      </c>
      <c r="J200" s="97">
        <v>9</v>
      </c>
      <c r="K200" s="97">
        <v>9</v>
      </c>
      <c r="L200" s="97">
        <v>9</v>
      </c>
      <c r="M200" s="97">
        <v>9</v>
      </c>
      <c r="N200" s="97">
        <v>9</v>
      </c>
      <c r="O200" s="97">
        <v>9</v>
      </c>
      <c r="P200" s="97">
        <v>9</v>
      </c>
      <c r="Q200" s="97">
        <f t="shared" si="30"/>
        <v>63</v>
      </c>
      <c r="R200" s="104">
        <f t="shared" si="31"/>
        <v>7965</v>
      </c>
      <c r="S200" s="97">
        <f t="shared" si="32"/>
        <v>72</v>
      </c>
      <c r="T200" s="98">
        <f t="shared" si="33"/>
        <v>34.92</v>
      </c>
      <c r="U200" s="98">
        <f t="shared" si="34"/>
        <v>7999.92</v>
      </c>
      <c r="V200" s="111">
        <v>199</v>
      </c>
      <c r="W200" s="108"/>
    </row>
    <row r="201" spans="1:23" ht="21.75" customHeight="1" x14ac:dyDescent="0.2">
      <c r="A201" s="106">
        <v>43665</v>
      </c>
      <c r="B201" s="97">
        <v>9</v>
      </c>
      <c r="C201" s="97">
        <v>9</v>
      </c>
      <c r="D201" s="97">
        <v>9</v>
      </c>
      <c r="E201" s="97">
        <v>9</v>
      </c>
      <c r="F201" s="97">
        <v>9</v>
      </c>
      <c r="G201" s="97">
        <v>9</v>
      </c>
      <c r="H201" s="97">
        <v>9</v>
      </c>
      <c r="I201" s="97">
        <v>9</v>
      </c>
      <c r="J201" s="97">
        <v>9</v>
      </c>
      <c r="K201" s="97">
        <v>9</v>
      </c>
      <c r="L201" s="97">
        <v>9</v>
      </c>
      <c r="M201" s="97">
        <v>9</v>
      </c>
      <c r="N201" s="97">
        <v>9</v>
      </c>
      <c r="O201" s="97">
        <v>9</v>
      </c>
      <c r="P201" s="97">
        <v>9</v>
      </c>
      <c r="Q201" s="97">
        <f t="shared" si="30"/>
        <v>63</v>
      </c>
      <c r="R201" s="104">
        <f t="shared" si="31"/>
        <v>7965</v>
      </c>
      <c r="S201" s="97">
        <f t="shared" si="32"/>
        <v>72</v>
      </c>
      <c r="T201" s="98">
        <f t="shared" si="33"/>
        <v>34.92</v>
      </c>
      <c r="U201" s="98">
        <f t="shared" si="34"/>
        <v>7999.92</v>
      </c>
      <c r="V201" s="111">
        <v>200</v>
      </c>
      <c r="W201" s="108"/>
    </row>
    <row r="202" spans="1:23" ht="21.75" customHeight="1" x14ac:dyDescent="0.2">
      <c r="A202" s="106">
        <v>43666</v>
      </c>
      <c r="B202" s="97">
        <v>9</v>
      </c>
      <c r="C202" s="97">
        <v>9</v>
      </c>
      <c r="D202" s="97">
        <v>9</v>
      </c>
      <c r="E202" s="97">
        <v>9</v>
      </c>
      <c r="F202" s="97">
        <v>9</v>
      </c>
      <c r="G202" s="97">
        <v>9</v>
      </c>
      <c r="H202" s="97">
        <v>9</v>
      </c>
      <c r="I202" s="97">
        <v>9</v>
      </c>
      <c r="J202" s="97">
        <v>9</v>
      </c>
      <c r="K202" s="97">
        <v>9</v>
      </c>
      <c r="L202" s="97">
        <v>9</v>
      </c>
      <c r="M202" s="97">
        <v>9</v>
      </c>
      <c r="N202" s="97">
        <v>9</v>
      </c>
      <c r="O202" s="97">
        <v>9</v>
      </c>
      <c r="P202" s="97">
        <v>9</v>
      </c>
      <c r="Q202" s="97">
        <f t="shared" si="30"/>
        <v>63</v>
      </c>
      <c r="R202" s="104">
        <f t="shared" si="31"/>
        <v>7965</v>
      </c>
      <c r="S202" s="97">
        <f t="shared" si="32"/>
        <v>72</v>
      </c>
      <c r="T202" s="98">
        <f t="shared" si="33"/>
        <v>34.92</v>
      </c>
      <c r="U202" s="98">
        <f t="shared" si="34"/>
        <v>7999.92</v>
      </c>
      <c r="V202" s="111">
        <v>201</v>
      </c>
      <c r="W202" s="108"/>
    </row>
    <row r="203" spans="1:23" ht="21.75" customHeight="1" x14ac:dyDescent="0.2">
      <c r="A203" s="106">
        <v>43667</v>
      </c>
      <c r="B203" s="97">
        <v>9</v>
      </c>
      <c r="C203" s="97">
        <v>9</v>
      </c>
      <c r="D203" s="97">
        <v>9</v>
      </c>
      <c r="E203" s="97">
        <v>9</v>
      </c>
      <c r="F203" s="97">
        <v>9</v>
      </c>
      <c r="G203" s="97">
        <v>9</v>
      </c>
      <c r="H203" s="97">
        <v>9</v>
      </c>
      <c r="I203" s="97">
        <v>9</v>
      </c>
      <c r="J203" s="97">
        <v>9</v>
      </c>
      <c r="K203" s="97">
        <v>9</v>
      </c>
      <c r="L203" s="97">
        <v>9</v>
      </c>
      <c r="M203" s="97">
        <v>9</v>
      </c>
      <c r="N203" s="97">
        <v>9</v>
      </c>
      <c r="O203" s="97">
        <v>9</v>
      </c>
      <c r="P203" s="97">
        <v>9</v>
      </c>
      <c r="Q203" s="97">
        <f t="shared" si="30"/>
        <v>63</v>
      </c>
      <c r="R203" s="104">
        <f t="shared" si="31"/>
        <v>7965</v>
      </c>
      <c r="S203" s="97">
        <f t="shared" si="32"/>
        <v>72</v>
      </c>
      <c r="T203" s="98">
        <f t="shared" si="33"/>
        <v>34.92</v>
      </c>
      <c r="U203" s="98">
        <f t="shared" si="34"/>
        <v>7999.92</v>
      </c>
      <c r="V203" s="111">
        <v>202</v>
      </c>
      <c r="W203" s="108"/>
    </row>
    <row r="204" spans="1:23" ht="21.75" customHeight="1" x14ac:dyDescent="0.2">
      <c r="A204" s="106">
        <v>43668</v>
      </c>
      <c r="B204" s="97">
        <v>9</v>
      </c>
      <c r="C204" s="97">
        <v>9</v>
      </c>
      <c r="D204" s="97">
        <v>9</v>
      </c>
      <c r="E204" s="97">
        <v>9</v>
      </c>
      <c r="F204" s="97">
        <v>9</v>
      </c>
      <c r="G204" s="97">
        <v>9</v>
      </c>
      <c r="H204" s="97">
        <v>9</v>
      </c>
      <c r="I204" s="97">
        <v>9</v>
      </c>
      <c r="J204" s="97">
        <v>9</v>
      </c>
      <c r="K204" s="97">
        <v>9</v>
      </c>
      <c r="L204" s="97">
        <v>9</v>
      </c>
      <c r="M204" s="97">
        <v>9</v>
      </c>
      <c r="N204" s="97">
        <v>9</v>
      </c>
      <c r="O204" s="97">
        <v>9</v>
      </c>
      <c r="P204" s="97">
        <v>9</v>
      </c>
      <c r="Q204" s="97">
        <f t="shared" si="30"/>
        <v>63</v>
      </c>
      <c r="R204" s="104">
        <f t="shared" si="31"/>
        <v>7965</v>
      </c>
      <c r="S204" s="97">
        <f t="shared" si="32"/>
        <v>72</v>
      </c>
      <c r="T204" s="98">
        <f t="shared" si="33"/>
        <v>34.92</v>
      </c>
      <c r="U204" s="98">
        <f t="shared" si="34"/>
        <v>7999.92</v>
      </c>
      <c r="V204" s="111">
        <v>203</v>
      </c>
      <c r="W204" s="108"/>
    </row>
    <row r="205" spans="1:23" ht="21.75" customHeight="1" x14ac:dyDescent="0.2">
      <c r="A205" s="106">
        <v>43669</v>
      </c>
      <c r="B205" s="97">
        <v>9</v>
      </c>
      <c r="C205" s="97">
        <v>9</v>
      </c>
      <c r="D205" s="97">
        <v>9</v>
      </c>
      <c r="E205" s="97">
        <v>9</v>
      </c>
      <c r="F205" s="97">
        <v>9</v>
      </c>
      <c r="G205" s="97">
        <v>9</v>
      </c>
      <c r="H205" s="97">
        <v>9</v>
      </c>
      <c r="I205" s="97">
        <v>9</v>
      </c>
      <c r="J205" s="97">
        <v>9</v>
      </c>
      <c r="K205" s="97">
        <v>9</v>
      </c>
      <c r="L205" s="97">
        <v>9</v>
      </c>
      <c r="M205" s="97">
        <v>9</v>
      </c>
      <c r="N205" s="97">
        <v>9</v>
      </c>
      <c r="O205" s="97">
        <v>9</v>
      </c>
      <c r="P205" s="97">
        <v>9</v>
      </c>
      <c r="Q205" s="97">
        <f t="shared" si="30"/>
        <v>63</v>
      </c>
      <c r="R205" s="104">
        <f t="shared" si="31"/>
        <v>7965</v>
      </c>
      <c r="S205" s="97">
        <f t="shared" si="32"/>
        <v>72</v>
      </c>
      <c r="T205" s="98">
        <f t="shared" si="33"/>
        <v>34.92</v>
      </c>
      <c r="U205" s="98">
        <f t="shared" si="34"/>
        <v>7999.92</v>
      </c>
      <c r="V205" s="111">
        <v>204</v>
      </c>
      <c r="W205" s="108"/>
    </row>
    <row r="206" spans="1:23" ht="21.75" customHeight="1" x14ac:dyDescent="0.2">
      <c r="A206" s="106">
        <v>43670</v>
      </c>
      <c r="B206" s="97">
        <v>9</v>
      </c>
      <c r="C206" s="97">
        <v>9</v>
      </c>
      <c r="D206" s="97">
        <v>9</v>
      </c>
      <c r="E206" s="97">
        <v>9</v>
      </c>
      <c r="F206" s="97">
        <v>9</v>
      </c>
      <c r="G206" s="97">
        <v>9</v>
      </c>
      <c r="H206" s="97">
        <v>9</v>
      </c>
      <c r="I206" s="97">
        <v>9</v>
      </c>
      <c r="J206" s="97">
        <v>9</v>
      </c>
      <c r="K206" s="97">
        <v>9</v>
      </c>
      <c r="L206" s="97">
        <v>9</v>
      </c>
      <c r="M206" s="97">
        <v>9</v>
      </c>
      <c r="N206" s="97">
        <v>9</v>
      </c>
      <c r="O206" s="97">
        <v>9</v>
      </c>
      <c r="P206" s="97">
        <v>9</v>
      </c>
      <c r="Q206" s="97">
        <f t="shared" si="30"/>
        <v>63</v>
      </c>
      <c r="R206" s="104">
        <f t="shared" si="31"/>
        <v>7965</v>
      </c>
      <c r="S206" s="97">
        <f t="shared" si="32"/>
        <v>72</v>
      </c>
      <c r="T206" s="98">
        <f t="shared" si="33"/>
        <v>34.92</v>
      </c>
      <c r="U206" s="98">
        <f t="shared" si="34"/>
        <v>7999.92</v>
      </c>
      <c r="V206" s="111">
        <v>205</v>
      </c>
      <c r="W206" s="108"/>
    </row>
    <row r="207" spans="1:23" ht="21.75" customHeight="1" x14ac:dyDescent="0.2">
      <c r="A207" s="106">
        <v>43671</v>
      </c>
      <c r="B207" s="97">
        <v>9</v>
      </c>
      <c r="C207" s="97">
        <v>9</v>
      </c>
      <c r="D207" s="97">
        <v>9</v>
      </c>
      <c r="E207" s="97">
        <v>9</v>
      </c>
      <c r="F207" s="97">
        <v>9</v>
      </c>
      <c r="G207" s="97">
        <v>9</v>
      </c>
      <c r="H207" s="97">
        <v>9</v>
      </c>
      <c r="I207" s="97">
        <v>9</v>
      </c>
      <c r="J207" s="97">
        <v>9</v>
      </c>
      <c r="K207" s="97">
        <v>9</v>
      </c>
      <c r="L207" s="97">
        <v>9</v>
      </c>
      <c r="M207" s="97">
        <v>9</v>
      </c>
      <c r="N207" s="97">
        <v>9</v>
      </c>
      <c r="O207" s="97">
        <v>9</v>
      </c>
      <c r="P207" s="97">
        <v>9</v>
      </c>
      <c r="Q207" s="97">
        <f t="shared" si="30"/>
        <v>63</v>
      </c>
      <c r="R207" s="104">
        <f t="shared" si="31"/>
        <v>7965</v>
      </c>
      <c r="S207" s="97">
        <f t="shared" si="32"/>
        <v>72</v>
      </c>
      <c r="T207" s="98">
        <f t="shared" si="33"/>
        <v>34.92</v>
      </c>
      <c r="U207" s="98">
        <f t="shared" si="34"/>
        <v>7999.92</v>
      </c>
      <c r="V207" s="111">
        <v>206</v>
      </c>
      <c r="W207" s="108"/>
    </row>
    <row r="208" spans="1:23" ht="21.75" customHeight="1" x14ac:dyDescent="0.2">
      <c r="A208" s="106">
        <v>43672</v>
      </c>
      <c r="B208" s="97">
        <v>9</v>
      </c>
      <c r="C208" s="97">
        <v>9</v>
      </c>
      <c r="D208" s="97">
        <v>9</v>
      </c>
      <c r="E208" s="97">
        <v>9</v>
      </c>
      <c r="F208" s="97">
        <v>9</v>
      </c>
      <c r="G208" s="97">
        <v>9</v>
      </c>
      <c r="H208" s="97">
        <v>9</v>
      </c>
      <c r="I208" s="97">
        <v>9</v>
      </c>
      <c r="J208" s="97">
        <v>9</v>
      </c>
      <c r="K208" s="97">
        <v>9</v>
      </c>
      <c r="L208" s="97">
        <v>9</v>
      </c>
      <c r="M208" s="97">
        <v>9</v>
      </c>
      <c r="N208" s="97">
        <v>9</v>
      </c>
      <c r="O208" s="97">
        <v>9</v>
      </c>
      <c r="P208" s="97">
        <v>9</v>
      </c>
      <c r="Q208" s="97">
        <f t="shared" si="30"/>
        <v>63</v>
      </c>
      <c r="R208" s="104">
        <f t="shared" si="31"/>
        <v>7965</v>
      </c>
      <c r="S208" s="97">
        <f t="shared" si="32"/>
        <v>72</v>
      </c>
      <c r="T208" s="98">
        <f t="shared" si="33"/>
        <v>34.92</v>
      </c>
      <c r="U208" s="98">
        <f t="shared" si="34"/>
        <v>7999.92</v>
      </c>
      <c r="V208" s="111">
        <v>207</v>
      </c>
      <c r="W208" s="108"/>
    </row>
    <row r="209" spans="1:23" ht="21.75" customHeight="1" x14ac:dyDescent="0.2">
      <c r="A209" s="106">
        <v>43673</v>
      </c>
      <c r="B209" s="97">
        <v>9</v>
      </c>
      <c r="C209" s="97">
        <v>9</v>
      </c>
      <c r="D209" s="97">
        <v>9</v>
      </c>
      <c r="E209" s="97">
        <v>9</v>
      </c>
      <c r="F209" s="97">
        <v>9</v>
      </c>
      <c r="G209" s="97">
        <v>9</v>
      </c>
      <c r="H209" s="97">
        <v>9</v>
      </c>
      <c r="I209" s="97">
        <v>9</v>
      </c>
      <c r="J209" s="97">
        <v>9</v>
      </c>
      <c r="K209" s="97">
        <v>9</v>
      </c>
      <c r="L209" s="97">
        <v>9</v>
      </c>
      <c r="M209" s="97">
        <v>9</v>
      </c>
      <c r="N209" s="97">
        <v>9</v>
      </c>
      <c r="O209" s="97">
        <v>9</v>
      </c>
      <c r="P209" s="97">
        <v>9</v>
      </c>
      <c r="Q209" s="97">
        <f t="shared" si="30"/>
        <v>63</v>
      </c>
      <c r="R209" s="104">
        <f t="shared" si="31"/>
        <v>7965</v>
      </c>
      <c r="S209" s="97">
        <f t="shared" si="32"/>
        <v>72</v>
      </c>
      <c r="T209" s="98">
        <f t="shared" si="33"/>
        <v>34.92</v>
      </c>
      <c r="U209" s="98">
        <f t="shared" si="34"/>
        <v>7999.92</v>
      </c>
      <c r="V209" s="111">
        <v>208</v>
      </c>
      <c r="W209" s="108"/>
    </row>
    <row r="210" spans="1:23" ht="21.75" customHeight="1" x14ac:dyDescent="0.2">
      <c r="A210" s="106">
        <v>43674</v>
      </c>
      <c r="B210" s="97">
        <v>9</v>
      </c>
      <c r="C210" s="97">
        <v>9</v>
      </c>
      <c r="D210" s="97">
        <v>9</v>
      </c>
      <c r="E210" s="97">
        <v>9</v>
      </c>
      <c r="F210" s="97">
        <v>9</v>
      </c>
      <c r="G210" s="97">
        <v>9</v>
      </c>
      <c r="H210" s="97">
        <v>9</v>
      </c>
      <c r="I210" s="97">
        <v>9</v>
      </c>
      <c r="J210" s="97">
        <v>9</v>
      </c>
      <c r="K210" s="97">
        <v>9</v>
      </c>
      <c r="L210" s="97">
        <v>9</v>
      </c>
      <c r="M210" s="97">
        <v>9</v>
      </c>
      <c r="N210" s="97">
        <v>9</v>
      </c>
      <c r="O210" s="97">
        <v>9</v>
      </c>
      <c r="P210" s="97">
        <v>9</v>
      </c>
      <c r="Q210" s="97">
        <f t="shared" si="30"/>
        <v>63</v>
      </c>
      <c r="R210" s="104">
        <f t="shared" si="31"/>
        <v>7965</v>
      </c>
      <c r="S210" s="97">
        <f t="shared" si="32"/>
        <v>72</v>
      </c>
      <c r="T210" s="98">
        <f t="shared" si="33"/>
        <v>34.92</v>
      </c>
      <c r="U210" s="98">
        <f t="shared" si="34"/>
        <v>7999.92</v>
      </c>
      <c r="V210" s="111">
        <v>209</v>
      </c>
      <c r="W210" s="108"/>
    </row>
    <row r="211" spans="1:23" ht="21.75" customHeight="1" x14ac:dyDescent="0.2">
      <c r="A211" s="106">
        <v>43675</v>
      </c>
      <c r="B211" s="97">
        <v>9</v>
      </c>
      <c r="C211" s="97">
        <v>9</v>
      </c>
      <c r="D211" s="97">
        <v>9</v>
      </c>
      <c r="E211" s="97">
        <v>9</v>
      </c>
      <c r="F211" s="97">
        <v>9</v>
      </c>
      <c r="G211" s="97">
        <v>9</v>
      </c>
      <c r="H211" s="97">
        <v>9</v>
      </c>
      <c r="I211" s="97">
        <v>9</v>
      </c>
      <c r="J211" s="97">
        <v>9</v>
      </c>
      <c r="K211" s="97">
        <v>9</v>
      </c>
      <c r="L211" s="97">
        <v>9</v>
      </c>
      <c r="M211" s="97">
        <v>9</v>
      </c>
      <c r="N211" s="97">
        <v>9</v>
      </c>
      <c r="O211" s="97">
        <v>9</v>
      </c>
      <c r="P211" s="97">
        <v>9</v>
      </c>
      <c r="Q211" s="97">
        <f t="shared" si="30"/>
        <v>63</v>
      </c>
      <c r="R211" s="104">
        <f t="shared" si="31"/>
        <v>7965</v>
      </c>
      <c r="S211" s="97">
        <f t="shared" si="32"/>
        <v>72</v>
      </c>
      <c r="T211" s="98">
        <f t="shared" si="33"/>
        <v>34.92</v>
      </c>
      <c r="U211" s="98">
        <f t="shared" si="34"/>
        <v>7999.92</v>
      </c>
      <c r="V211" s="111">
        <v>210</v>
      </c>
      <c r="W211" s="108"/>
    </row>
    <row r="212" spans="1:23" ht="21.75" customHeight="1" x14ac:dyDescent="0.2">
      <c r="A212" s="106">
        <v>43676</v>
      </c>
      <c r="B212" s="97">
        <v>9</v>
      </c>
      <c r="C212" s="97">
        <v>9</v>
      </c>
      <c r="D212" s="97">
        <v>9</v>
      </c>
      <c r="E212" s="97">
        <v>9</v>
      </c>
      <c r="F212" s="97">
        <v>9</v>
      </c>
      <c r="G212" s="97">
        <v>9</v>
      </c>
      <c r="H212" s="97">
        <v>9</v>
      </c>
      <c r="I212" s="97">
        <v>9</v>
      </c>
      <c r="J212" s="97">
        <v>9</v>
      </c>
      <c r="K212" s="97">
        <v>9</v>
      </c>
      <c r="L212" s="97">
        <v>9</v>
      </c>
      <c r="M212" s="97">
        <v>9</v>
      </c>
      <c r="N212" s="97">
        <v>9</v>
      </c>
      <c r="O212" s="97">
        <v>9</v>
      </c>
      <c r="P212" s="97">
        <v>9</v>
      </c>
      <c r="Q212" s="97">
        <f t="shared" si="30"/>
        <v>63</v>
      </c>
      <c r="R212" s="104">
        <f t="shared" si="31"/>
        <v>7965</v>
      </c>
      <c r="S212" s="97">
        <f t="shared" si="32"/>
        <v>72</v>
      </c>
      <c r="T212" s="98">
        <f t="shared" si="33"/>
        <v>34.92</v>
      </c>
      <c r="U212" s="98">
        <f t="shared" si="34"/>
        <v>7999.92</v>
      </c>
      <c r="V212" s="111">
        <v>211</v>
      </c>
      <c r="W212" s="108"/>
    </row>
    <row r="213" spans="1:23" ht="21.75" customHeight="1" x14ac:dyDescent="0.2">
      <c r="A213" s="106">
        <v>43677</v>
      </c>
      <c r="B213" s="97">
        <v>9</v>
      </c>
      <c r="C213" s="97">
        <v>9</v>
      </c>
      <c r="D213" s="97">
        <v>9</v>
      </c>
      <c r="E213" s="97">
        <v>9</v>
      </c>
      <c r="F213" s="97">
        <v>9</v>
      </c>
      <c r="G213" s="97">
        <v>9</v>
      </c>
      <c r="H213" s="97">
        <v>9</v>
      </c>
      <c r="I213" s="97">
        <v>9</v>
      </c>
      <c r="J213" s="97">
        <v>9</v>
      </c>
      <c r="K213" s="97">
        <v>9</v>
      </c>
      <c r="L213" s="97">
        <v>9</v>
      </c>
      <c r="M213" s="97">
        <v>9</v>
      </c>
      <c r="N213" s="97">
        <v>9</v>
      </c>
      <c r="O213" s="97">
        <v>9</v>
      </c>
      <c r="P213" s="97">
        <v>9</v>
      </c>
      <c r="Q213" s="97">
        <f t="shared" si="30"/>
        <v>63</v>
      </c>
      <c r="R213" s="104">
        <f t="shared" si="31"/>
        <v>7965</v>
      </c>
      <c r="S213" s="97">
        <f t="shared" si="32"/>
        <v>72</v>
      </c>
      <c r="T213" s="98">
        <f t="shared" si="33"/>
        <v>34.92</v>
      </c>
      <c r="U213" s="98">
        <f t="shared" si="34"/>
        <v>7999.92</v>
      </c>
      <c r="V213" s="111">
        <v>212</v>
      </c>
      <c r="W213" s="108"/>
    </row>
    <row r="214" spans="1:23" ht="21.75" customHeight="1" x14ac:dyDescent="0.2">
      <c r="A214" s="106">
        <v>43678</v>
      </c>
      <c r="B214" s="97">
        <v>9</v>
      </c>
      <c r="C214" s="97">
        <v>9</v>
      </c>
      <c r="D214" s="97">
        <v>9</v>
      </c>
      <c r="E214" s="97">
        <v>9</v>
      </c>
      <c r="F214" s="97">
        <v>9</v>
      </c>
      <c r="G214" s="97">
        <v>9</v>
      </c>
      <c r="H214" s="97">
        <v>9</v>
      </c>
      <c r="I214" s="97">
        <v>9</v>
      </c>
      <c r="J214" s="97">
        <v>9</v>
      </c>
      <c r="K214" s="97">
        <v>9</v>
      </c>
      <c r="L214" s="97">
        <v>9</v>
      </c>
      <c r="M214" s="97">
        <v>9</v>
      </c>
      <c r="N214" s="97">
        <v>9</v>
      </c>
      <c r="O214" s="97">
        <v>9</v>
      </c>
      <c r="P214" s="97">
        <v>9</v>
      </c>
      <c r="Q214" s="97">
        <f t="shared" si="30"/>
        <v>63</v>
      </c>
      <c r="R214" s="104">
        <f t="shared" si="31"/>
        <v>7965</v>
      </c>
      <c r="S214" s="97">
        <f t="shared" si="32"/>
        <v>72</v>
      </c>
      <c r="T214" s="98">
        <f t="shared" si="33"/>
        <v>34.92</v>
      </c>
      <c r="U214" s="98">
        <f t="shared" si="34"/>
        <v>7999.92</v>
      </c>
      <c r="V214" s="111">
        <v>213</v>
      </c>
      <c r="W214" s="108"/>
    </row>
    <row r="215" spans="1:23" ht="21.75" customHeight="1" x14ac:dyDescent="0.2">
      <c r="A215" s="106">
        <v>43679</v>
      </c>
      <c r="B215" s="97">
        <v>9</v>
      </c>
      <c r="C215" s="97">
        <v>9</v>
      </c>
      <c r="D215" s="97">
        <v>9</v>
      </c>
      <c r="E215" s="97">
        <v>9</v>
      </c>
      <c r="F215" s="97">
        <v>9</v>
      </c>
      <c r="G215" s="97">
        <v>9</v>
      </c>
      <c r="H215" s="97">
        <v>9</v>
      </c>
      <c r="I215" s="97">
        <v>9</v>
      </c>
      <c r="J215" s="97">
        <v>9</v>
      </c>
      <c r="K215" s="97">
        <v>9</v>
      </c>
      <c r="L215" s="97">
        <v>9</v>
      </c>
      <c r="M215" s="97">
        <v>9</v>
      </c>
      <c r="N215" s="97">
        <v>9</v>
      </c>
      <c r="O215" s="97">
        <v>9</v>
      </c>
      <c r="P215" s="97">
        <v>9</v>
      </c>
      <c r="Q215" s="97">
        <f t="shared" si="30"/>
        <v>63</v>
      </c>
      <c r="R215" s="104">
        <f t="shared" si="31"/>
        <v>7965</v>
      </c>
      <c r="S215" s="97">
        <f t="shared" si="32"/>
        <v>72</v>
      </c>
      <c r="T215" s="98">
        <f t="shared" si="33"/>
        <v>34.92</v>
      </c>
      <c r="U215" s="98">
        <f t="shared" si="34"/>
        <v>7999.92</v>
      </c>
      <c r="V215" s="111">
        <v>214</v>
      </c>
      <c r="W215" s="108"/>
    </row>
    <row r="216" spans="1:23" ht="21.75" customHeight="1" x14ac:dyDescent="0.2">
      <c r="A216" s="106">
        <v>43680</v>
      </c>
      <c r="B216" s="97">
        <v>9</v>
      </c>
      <c r="C216" s="97">
        <v>9</v>
      </c>
      <c r="D216" s="97">
        <v>9</v>
      </c>
      <c r="E216" s="97">
        <v>9</v>
      </c>
      <c r="F216" s="97">
        <v>9</v>
      </c>
      <c r="G216" s="97">
        <v>9</v>
      </c>
      <c r="H216" s="97">
        <v>9</v>
      </c>
      <c r="I216" s="97">
        <v>9</v>
      </c>
      <c r="J216" s="97">
        <v>9</v>
      </c>
      <c r="K216" s="97">
        <v>9</v>
      </c>
      <c r="L216" s="97">
        <v>9</v>
      </c>
      <c r="M216" s="97">
        <v>9</v>
      </c>
      <c r="N216" s="97">
        <v>9</v>
      </c>
      <c r="O216" s="97">
        <v>9</v>
      </c>
      <c r="P216" s="97">
        <v>9</v>
      </c>
      <c r="Q216" s="97">
        <f t="shared" si="30"/>
        <v>63</v>
      </c>
      <c r="R216" s="104">
        <f t="shared" si="31"/>
        <v>7965</v>
      </c>
      <c r="S216" s="97">
        <f t="shared" si="32"/>
        <v>72</v>
      </c>
      <c r="T216" s="98">
        <f t="shared" si="33"/>
        <v>34.92</v>
      </c>
      <c r="U216" s="98">
        <f t="shared" si="34"/>
        <v>7999.92</v>
      </c>
      <c r="V216" s="111">
        <v>215</v>
      </c>
      <c r="W216" s="108"/>
    </row>
    <row r="217" spans="1:23" ht="21.75" customHeight="1" x14ac:dyDescent="0.2">
      <c r="A217" s="106">
        <v>43681</v>
      </c>
      <c r="B217" s="97">
        <v>9</v>
      </c>
      <c r="C217" s="97">
        <v>9</v>
      </c>
      <c r="D217" s="97">
        <v>9</v>
      </c>
      <c r="E217" s="97">
        <v>9</v>
      </c>
      <c r="F217" s="97">
        <v>9</v>
      </c>
      <c r="G217" s="97">
        <v>9</v>
      </c>
      <c r="H217" s="97">
        <v>9</v>
      </c>
      <c r="I217" s="97">
        <v>9</v>
      </c>
      <c r="J217" s="97">
        <v>9</v>
      </c>
      <c r="K217" s="97">
        <v>9</v>
      </c>
      <c r="L217" s="97">
        <v>9</v>
      </c>
      <c r="M217" s="97">
        <v>9</v>
      </c>
      <c r="N217" s="97">
        <v>9</v>
      </c>
      <c r="O217" s="97">
        <v>9</v>
      </c>
      <c r="P217" s="97">
        <v>9</v>
      </c>
      <c r="Q217" s="97">
        <f t="shared" si="30"/>
        <v>63</v>
      </c>
      <c r="R217" s="104">
        <f t="shared" si="31"/>
        <v>7965</v>
      </c>
      <c r="S217" s="97">
        <f t="shared" si="32"/>
        <v>72</v>
      </c>
      <c r="T217" s="98">
        <f t="shared" si="33"/>
        <v>34.92</v>
      </c>
      <c r="U217" s="98">
        <f t="shared" si="34"/>
        <v>7999.92</v>
      </c>
      <c r="V217" s="111">
        <v>216</v>
      </c>
      <c r="W217" s="108"/>
    </row>
    <row r="218" spans="1:23" ht="21.75" customHeight="1" x14ac:dyDescent="0.2">
      <c r="A218" s="106">
        <v>43682</v>
      </c>
      <c r="B218" s="97">
        <v>9</v>
      </c>
      <c r="C218" s="97">
        <v>9</v>
      </c>
      <c r="D218" s="97">
        <v>9</v>
      </c>
      <c r="E218" s="97">
        <v>9</v>
      </c>
      <c r="F218" s="97">
        <v>9</v>
      </c>
      <c r="G218" s="97">
        <v>9</v>
      </c>
      <c r="H218" s="97">
        <v>9</v>
      </c>
      <c r="I218" s="97">
        <v>9</v>
      </c>
      <c r="J218" s="97">
        <v>9</v>
      </c>
      <c r="K218" s="97">
        <v>9</v>
      </c>
      <c r="L218" s="97">
        <v>9</v>
      </c>
      <c r="M218" s="97">
        <v>9</v>
      </c>
      <c r="N218" s="97">
        <v>9</v>
      </c>
      <c r="O218" s="97">
        <v>9</v>
      </c>
      <c r="P218" s="97">
        <v>9</v>
      </c>
      <c r="Q218" s="97">
        <f t="shared" si="30"/>
        <v>63</v>
      </c>
      <c r="R218" s="104">
        <f t="shared" si="31"/>
        <v>7965</v>
      </c>
      <c r="S218" s="97">
        <f t="shared" si="32"/>
        <v>72</v>
      </c>
      <c r="T218" s="98">
        <f t="shared" si="33"/>
        <v>34.92</v>
      </c>
      <c r="U218" s="98">
        <f t="shared" si="34"/>
        <v>7999.92</v>
      </c>
      <c r="V218" s="111">
        <v>217</v>
      </c>
      <c r="W218" s="108"/>
    </row>
    <row r="219" spans="1:23" ht="21.75" customHeight="1" x14ac:dyDescent="0.2">
      <c r="A219" s="106">
        <v>43683</v>
      </c>
      <c r="B219" s="97">
        <v>9</v>
      </c>
      <c r="C219" s="97">
        <v>9</v>
      </c>
      <c r="D219" s="97">
        <v>9</v>
      </c>
      <c r="E219" s="97">
        <v>9</v>
      </c>
      <c r="F219" s="97">
        <v>9</v>
      </c>
      <c r="G219" s="97">
        <v>9</v>
      </c>
      <c r="H219" s="97">
        <v>9</v>
      </c>
      <c r="I219" s="97">
        <v>9</v>
      </c>
      <c r="J219" s="97">
        <v>9</v>
      </c>
      <c r="K219" s="97">
        <v>9</v>
      </c>
      <c r="L219" s="97">
        <v>9</v>
      </c>
      <c r="M219" s="97">
        <v>9</v>
      </c>
      <c r="N219" s="97">
        <v>9</v>
      </c>
      <c r="O219" s="97">
        <v>9</v>
      </c>
      <c r="P219" s="97">
        <v>9</v>
      </c>
      <c r="Q219" s="97">
        <f t="shared" si="30"/>
        <v>63</v>
      </c>
      <c r="R219" s="104">
        <f t="shared" si="31"/>
        <v>7965</v>
      </c>
      <c r="S219" s="97">
        <f t="shared" si="32"/>
        <v>72</v>
      </c>
      <c r="T219" s="98">
        <f t="shared" si="33"/>
        <v>34.92</v>
      </c>
      <c r="U219" s="98">
        <f t="shared" si="34"/>
        <v>7999.92</v>
      </c>
      <c r="V219" s="111">
        <v>218</v>
      </c>
      <c r="W219" s="108"/>
    </row>
    <row r="220" spans="1:23" ht="21.75" customHeight="1" x14ac:dyDescent="0.2">
      <c r="A220" s="106">
        <v>43684</v>
      </c>
      <c r="B220" s="97">
        <v>9</v>
      </c>
      <c r="C220" s="97">
        <v>9</v>
      </c>
      <c r="D220" s="97">
        <v>9</v>
      </c>
      <c r="E220" s="97">
        <v>9</v>
      </c>
      <c r="F220" s="97">
        <v>9</v>
      </c>
      <c r="G220" s="97">
        <v>9</v>
      </c>
      <c r="H220" s="97">
        <v>9</v>
      </c>
      <c r="I220" s="97">
        <v>9</v>
      </c>
      <c r="J220" s="97">
        <v>9</v>
      </c>
      <c r="K220" s="97">
        <v>9</v>
      </c>
      <c r="L220" s="97">
        <v>9</v>
      </c>
      <c r="M220" s="97">
        <v>9</v>
      </c>
      <c r="N220" s="97">
        <v>9</v>
      </c>
      <c r="O220" s="97">
        <v>9</v>
      </c>
      <c r="P220" s="97">
        <v>9</v>
      </c>
      <c r="Q220" s="97">
        <f t="shared" si="30"/>
        <v>63</v>
      </c>
      <c r="R220" s="104">
        <f t="shared" si="31"/>
        <v>7965</v>
      </c>
      <c r="S220" s="97">
        <f t="shared" si="32"/>
        <v>72</v>
      </c>
      <c r="T220" s="98">
        <f t="shared" si="33"/>
        <v>34.92</v>
      </c>
      <c r="U220" s="98">
        <f t="shared" si="34"/>
        <v>7999.92</v>
      </c>
      <c r="V220" s="111">
        <v>219</v>
      </c>
      <c r="W220" s="108"/>
    </row>
    <row r="221" spans="1:23" ht="21.75" customHeight="1" x14ac:dyDescent="0.2">
      <c r="A221" s="106">
        <v>43685</v>
      </c>
      <c r="B221" s="97">
        <v>9</v>
      </c>
      <c r="C221" s="97">
        <v>9</v>
      </c>
      <c r="D221" s="97">
        <v>9</v>
      </c>
      <c r="E221" s="97">
        <v>9</v>
      </c>
      <c r="F221" s="97">
        <v>9</v>
      </c>
      <c r="G221" s="97">
        <v>9</v>
      </c>
      <c r="H221" s="97">
        <v>9</v>
      </c>
      <c r="I221" s="97">
        <v>9</v>
      </c>
      <c r="J221" s="97">
        <v>9</v>
      </c>
      <c r="K221" s="97">
        <v>9</v>
      </c>
      <c r="L221" s="97">
        <v>9</v>
      </c>
      <c r="M221" s="97">
        <v>9</v>
      </c>
      <c r="N221" s="97">
        <v>9</v>
      </c>
      <c r="O221" s="97">
        <v>9</v>
      </c>
      <c r="P221" s="97">
        <v>9</v>
      </c>
      <c r="Q221" s="97">
        <f t="shared" si="30"/>
        <v>63</v>
      </c>
      <c r="R221" s="104">
        <f t="shared" si="31"/>
        <v>7965</v>
      </c>
      <c r="S221" s="97">
        <f t="shared" si="32"/>
        <v>72</v>
      </c>
      <c r="T221" s="98">
        <f t="shared" si="33"/>
        <v>34.92</v>
      </c>
      <c r="U221" s="98">
        <f t="shared" si="34"/>
        <v>7999.92</v>
      </c>
      <c r="V221" s="111">
        <v>220</v>
      </c>
      <c r="W221" s="108"/>
    </row>
    <row r="222" spans="1:23" ht="21.75" customHeight="1" x14ac:dyDescent="0.2">
      <c r="A222" s="106">
        <v>43686</v>
      </c>
      <c r="B222" s="97">
        <v>9</v>
      </c>
      <c r="C222" s="97">
        <v>9</v>
      </c>
      <c r="D222" s="97">
        <v>9</v>
      </c>
      <c r="E222" s="97">
        <v>9</v>
      </c>
      <c r="F222" s="97">
        <v>9</v>
      </c>
      <c r="G222" s="97">
        <v>9</v>
      </c>
      <c r="H222" s="97">
        <v>9</v>
      </c>
      <c r="I222" s="97">
        <v>9</v>
      </c>
      <c r="J222" s="97">
        <v>9</v>
      </c>
      <c r="K222" s="97">
        <v>9</v>
      </c>
      <c r="L222" s="97">
        <v>9</v>
      </c>
      <c r="M222" s="97">
        <v>9</v>
      </c>
      <c r="N222" s="97">
        <v>9</v>
      </c>
      <c r="O222" s="97">
        <v>9</v>
      </c>
      <c r="P222" s="97">
        <v>9</v>
      </c>
      <c r="Q222" s="97">
        <f t="shared" si="30"/>
        <v>63</v>
      </c>
      <c r="R222" s="104">
        <f t="shared" si="31"/>
        <v>7965</v>
      </c>
      <c r="S222" s="97">
        <f t="shared" si="32"/>
        <v>72</v>
      </c>
      <c r="T222" s="98">
        <f t="shared" si="33"/>
        <v>34.92</v>
      </c>
      <c r="U222" s="98">
        <f t="shared" si="34"/>
        <v>7999.92</v>
      </c>
      <c r="V222" s="111">
        <v>221</v>
      </c>
      <c r="W222" s="108"/>
    </row>
    <row r="223" spans="1:23" ht="21.75" customHeight="1" x14ac:dyDescent="0.2">
      <c r="A223" s="106">
        <v>43687</v>
      </c>
      <c r="B223" s="97">
        <v>9</v>
      </c>
      <c r="C223" s="97">
        <v>9</v>
      </c>
      <c r="D223" s="97">
        <v>9</v>
      </c>
      <c r="E223" s="97">
        <v>9</v>
      </c>
      <c r="F223" s="97">
        <v>9</v>
      </c>
      <c r="G223" s="97">
        <v>9</v>
      </c>
      <c r="H223" s="97">
        <v>9</v>
      </c>
      <c r="I223" s="97">
        <v>9</v>
      </c>
      <c r="J223" s="97">
        <v>9</v>
      </c>
      <c r="K223" s="97">
        <v>9</v>
      </c>
      <c r="L223" s="97">
        <v>9</v>
      </c>
      <c r="M223" s="97">
        <v>9</v>
      </c>
      <c r="N223" s="97">
        <v>9</v>
      </c>
      <c r="O223" s="97">
        <v>9</v>
      </c>
      <c r="P223" s="97">
        <v>9</v>
      </c>
      <c r="Q223" s="97">
        <f t="shared" si="30"/>
        <v>63</v>
      </c>
      <c r="R223" s="104">
        <f t="shared" si="31"/>
        <v>7965</v>
      </c>
      <c r="S223" s="97">
        <f t="shared" si="32"/>
        <v>72</v>
      </c>
      <c r="T223" s="98">
        <f t="shared" si="33"/>
        <v>34.92</v>
      </c>
      <c r="U223" s="98">
        <f t="shared" si="34"/>
        <v>7999.92</v>
      </c>
      <c r="V223" s="111">
        <v>222</v>
      </c>
      <c r="W223" s="108"/>
    </row>
    <row r="224" spans="1:23" ht="21.75" customHeight="1" x14ac:dyDescent="0.2">
      <c r="A224" s="106">
        <v>43688</v>
      </c>
      <c r="B224" s="97">
        <v>9</v>
      </c>
      <c r="C224" s="97">
        <v>9</v>
      </c>
      <c r="D224" s="97">
        <v>9</v>
      </c>
      <c r="E224" s="97">
        <v>9</v>
      </c>
      <c r="F224" s="97">
        <v>9</v>
      </c>
      <c r="G224" s="97">
        <v>9</v>
      </c>
      <c r="H224" s="97">
        <v>9</v>
      </c>
      <c r="I224" s="97">
        <v>9</v>
      </c>
      <c r="J224" s="97">
        <v>9</v>
      </c>
      <c r="K224" s="97">
        <v>9</v>
      </c>
      <c r="L224" s="97">
        <v>9</v>
      </c>
      <c r="M224" s="97">
        <v>9</v>
      </c>
      <c r="N224" s="97">
        <v>9</v>
      </c>
      <c r="O224" s="97">
        <v>9</v>
      </c>
      <c r="P224" s="97">
        <v>9</v>
      </c>
      <c r="Q224" s="97">
        <f t="shared" si="30"/>
        <v>63</v>
      </c>
      <c r="R224" s="104">
        <f t="shared" si="31"/>
        <v>7965</v>
      </c>
      <c r="S224" s="97">
        <f t="shared" si="32"/>
        <v>72</v>
      </c>
      <c r="T224" s="98">
        <f t="shared" si="33"/>
        <v>34.92</v>
      </c>
      <c r="U224" s="98">
        <f t="shared" si="34"/>
        <v>7999.92</v>
      </c>
      <c r="V224" s="111">
        <v>223</v>
      </c>
      <c r="W224" s="108"/>
    </row>
    <row r="225" spans="1:23" ht="21.75" customHeight="1" x14ac:dyDescent="0.2">
      <c r="A225" s="106">
        <v>43689</v>
      </c>
      <c r="B225" s="97">
        <v>9</v>
      </c>
      <c r="C225" s="97">
        <v>9</v>
      </c>
      <c r="D225" s="97">
        <v>9</v>
      </c>
      <c r="E225" s="97">
        <v>9</v>
      </c>
      <c r="F225" s="97">
        <v>9</v>
      </c>
      <c r="G225" s="97">
        <v>9</v>
      </c>
      <c r="H225" s="97">
        <v>9</v>
      </c>
      <c r="I225" s="97">
        <v>9</v>
      </c>
      <c r="J225" s="97">
        <v>9</v>
      </c>
      <c r="K225" s="97">
        <v>9</v>
      </c>
      <c r="L225" s="97">
        <v>9</v>
      </c>
      <c r="M225" s="97">
        <v>9</v>
      </c>
      <c r="N225" s="97">
        <v>9</v>
      </c>
      <c r="O225" s="97">
        <v>9</v>
      </c>
      <c r="P225" s="97">
        <v>9</v>
      </c>
      <c r="Q225" s="97">
        <f t="shared" si="30"/>
        <v>63</v>
      </c>
      <c r="R225" s="104">
        <f t="shared" si="31"/>
        <v>7965</v>
      </c>
      <c r="S225" s="97">
        <f t="shared" si="32"/>
        <v>72</v>
      </c>
      <c r="T225" s="98">
        <f t="shared" si="33"/>
        <v>34.92</v>
      </c>
      <c r="U225" s="98">
        <f t="shared" si="34"/>
        <v>7999.92</v>
      </c>
      <c r="V225" s="111">
        <v>224</v>
      </c>
      <c r="W225" s="108"/>
    </row>
    <row r="226" spans="1:23" ht="21.75" customHeight="1" x14ac:dyDescent="0.2">
      <c r="A226" s="106">
        <v>43690</v>
      </c>
      <c r="B226" s="97">
        <v>9</v>
      </c>
      <c r="C226" s="97">
        <v>9</v>
      </c>
      <c r="D226" s="97">
        <v>9</v>
      </c>
      <c r="E226" s="97">
        <v>9</v>
      </c>
      <c r="F226" s="97">
        <v>9</v>
      </c>
      <c r="G226" s="97">
        <v>9</v>
      </c>
      <c r="H226" s="97">
        <v>9</v>
      </c>
      <c r="I226" s="97">
        <v>9</v>
      </c>
      <c r="J226" s="97">
        <v>9</v>
      </c>
      <c r="K226" s="97">
        <v>9</v>
      </c>
      <c r="L226" s="97">
        <v>9</v>
      </c>
      <c r="M226" s="97">
        <v>9</v>
      </c>
      <c r="N226" s="97">
        <v>9</v>
      </c>
      <c r="O226" s="97">
        <v>9</v>
      </c>
      <c r="P226" s="97">
        <v>9</v>
      </c>
      <c r="Q226" s="97">
        <f t="shared" si="30"/>
        <v>63</v>
      </c>
      <c r="R226" s="104">
        <f t="shared" si="31"/>
        <v>7965</v>
      </c>
      <c r="S226" s="97">
        <f t="shared" si="32"/>
        <v>72</v>
      </c>
      <c r="T226" s="98">
        <f t="shared" si="33"/>
        <v>34.92</v>
      </c>
      <c r="U226" s="98">
        <f t="shared" si="34"/>
        <v>7999.92</v>
      </c>
      <c r="V226" s="111">
        <v>225</v>
      </c>
      <c r="W226" s="108"/>
    </row>
    <row r="227" spans="1:23" ht="21.75" customHeight="1" x14ac:dyDescent="0.2">
      <c r="A227" s="106">
        <v>43691</v>
      </c>
      <c r="B227" s="97">
        <v>9</v>
      </c>
      <c r="C227" s="97">
        <v>9</v>
      </c>
      <c r="D227" s="97">
        <v>9</v>
      </c>
      <c r="E227" s="97">
        <v>9</v>
      </c>
      <c r="F227" s="97">
        <v>9</v>
      </c>
      <c r="G227" s="97">
        <v>9</v>
      </c>
      <c r="H227" s="97">
        <v>9</v>
      </c>
      <c r="I227" s="97">
        <v>9</v>
      </c>
      <c r="J227" s="97">
        <v>9</v>
      </c>
      <c r="K227" s="97">
        <v>9</v>
      </c>
      <c r="L227" s="97">
        <v>9</v>
      </c>
      <c r="M227" s="97">
        <v>9</v>
      </c>
      <c r="N227" s="97">
        <v>9</v>
      </c>
      <c r="O227" s="97">
        <v>9</v>
      </c>
      <c r="P227" s="97">
        <v>9</v>
      </c>
      <c r="Q227" s="97">
        <f t="shared" si="30"/>
        <v>63</v>
      </c>
      <c r="R227" s="104">
        <f t="shared" si="31"/>
        <v>7965</v>
      </c>
      <c r="S227" s="97">
        <f t="shared" si="32"/>
        <v>72</v>
      </c>
      <c r="T227" s="98">
        <f t="shared" si="33"/>
        <v>34.92</v>
      </c>
      <c r="U227" s="98">
        <f t="shared" si="34"/>
        <v>7999.92</v>
      </c>
      <c r="V227" s="111">
        <v>226</v>
      </c>
      <c r="W227" s="108"/>
    </row>
    <row r="228" spans="1:23" ht="21.75" customHeight="1" x14ac:dyDescent="0.2">
      <c r="A228" s="106">
        <v>43692</v>
      </c>
      <c r="B228" s="97">
        <v>9</v>
      </c>
      <c r="C228" s="97">
        <v>9</v>
      </c>
      <c r="D228" s="97">
        <v>9</v>
      </c>
      <c r="E228" s="97">
        <v>9</v>
      </c>
      <c r="F228" s="97">
        <v>9</v>
      </c>
      <c r="G228" s="97">
        <v>9</v>
      </c>
      <c r="H228" s="97">
        <v>9</v>
      </c>
      <c r="I228" s="97">
        <v>9</v>
      </c>
      <c r="J228" s="97">
        <v>9</v>
      </c>
      <c r="K228" s="97">
        <v>9</v>
      </c>
      <c r="L228" s="97">
        <v>9</v>
      </c>
      <c r="M228" s="97">
        <v>9</v>
      </c>
      <c r="N228" s="97">
        <v>9</v>
      </c>
      <c r="O228" s="97">
        <v>9</v>
      </c>
      <c r="P228" s="97">
        <v>9</v>
      </c>
      <c r="Q228" s="97">
        <f t="shared" si="30"/>
        <v>63</v>
      </c>
      <c r="R228" s="104">
        <f t="shared" si="31"/>
        <v>7965</v>
      </c>
      <c r="S228" s="97">
        <f t="shared" si="32"/>
        <v>72</v>
      </c>
      <c r="T228" s="98">
        <f t="shared" si="33"/>
        <v>34.92</v>
      </c>
      <c r="U228" s="98">
        <f t="shared" si="34"/>
        <v>7999.92</v>
      </c>
      <c r="V228" s="111">
        <v>227</v>
      </c>
      <c r="W228" s="108"/>
    </row>
    <row r="229" spans="1:23" ht="21.75" customHeight="1" x14ac:dyDescent="0.2">
      <c r="A229" s="106">
        <v>43693</v>
      </c>
      <c r="B229" s="97">
        <v>9</v>
      </c>
      <c r="C229" s="97">
        <v>9</v>
      </c>
      <c r="D229" s="97">
        <v>9</v>
      </c>
      <c r="E229" s="97">
        <v>9</v>
      </c>
      <c r="F229" s="97">
        <v>9</v>
      </c>
      <c r="G229" s="97">
        <v>9</v>
      </c>
      <c r="H229" s="97">
        <v>9</v>
      </c>
      <c r="I229" s="97">
        <v>9</v>
      </c>
      <c r="J229" s="97">
        <v>9</v>
      </c>
      <c r="K229" s="97">
        <v>9</v>
      </c>
      <c r="L229" s="97">
        <v>9</v>
      </c>
      <c r="M229" s="97">
        <v>9</v>
      </c>
      <c r="N229" s="97">
        <v>9</v>
      </c>
      <c r="O229" s="97">
        <v>9</v>
      </c>
      <c r="P229" s="97">
        <v>9</v>
      </c>
      <c r="Q229" s="97">
        <f t="shared" si="30"/>
        <v>63</v>
      </c>
      <c r="R229" s="104">
        <f t="shared" si="31"/>
        <v>7965</v>
      </c>
      <c r="S229" s="97">
        <f t="shared" si="32"/>
        <v>72</v>
      </c>
      <c r="T229" s="98">
        <f t="shared" si="33"/>
        <v>34.92</v>
      </c>
      <c r="U229" s="98">
        <f t="shared" si="34"/>
        <v>7999.92</v>
      </c>
      <c r="V229" s="111">
        <v>228</v>
      </c>
      <c r="W229" s="108"/>
    </row>
    <row r="230" spans="1:23" ht="21.75" customHeight="1" x14ac:dyDescent="0.2">
      <c r="A230" s="106">
        <v>43694</v>
      </c>
      <c r="B230" s="97">
        <v>9</v>
      </c>
      <c r="C230" s="97">
        <v>9</v>
      </c>
      <c r="D230" s="97">
        <v>9</v>
      </c>
      <c r="E230" s="97">
        <v>9</v>
      </c>
      <c r="F230" s="97">
        <v>9</v>
      </c>
      <c r="G230" s="97">
        <v>9</v>
      </c>
      <c r="H230" s="97">
        <v>9</v>
      </c>
      <c r="I230" s="97">
        <v>9</v>
      </c>
      <c r="J230" s="97">
        <v>9</v>
      </c>
      <c r="K230" s="97">
        <v>9</v>
      </c>
      <c r="L230" s="97">
        <v>9</v>
      </c>
      <c r="M230" s="97">
        <v>9</v>
      </c>
      <c r="N230" s="97">
        <v>9</v>
      </c>
      <c r="O230" s="97">
        <v>9</v>
      </c>
      <c r="P230" s="97">
        <v>9</v>
      </c>
      <c r="Q230" s="97">
        <f t="shared" si="30"/>
        <v>63</v>
      </c>
      <c r="R230" s="104">
        <f t="shared" si="31"/>
        <v>7965</v>
      </c>
      <c r="S230" s="97">
        <f t="shared" si="32"/>
        <v>72</v>
      </c>
      <c r="T230" s="98">
        <f t="shared" si="33"/>
        <v>34.92</v>
      </c>
      <c r="U230" s="98">
        <f t="shared" si="34"/>
        <v>7999.92</v>
      </c>
      <c r="V230" s="111">
        <v>229</v>
      </c>
      <c r="W230" s="108"/>
    </row>
    <row r="231" spans="1:23" ht="21.75" customHeight="1" x14ac:dyDescent="0.2">
      <c r="A231" s="106">
        <v>43695</v>
      </c>
      <c r="B231" s="97">
        <v>9</v>
      </c>
      <c r="C231" s="97">
        <v>9</v>
      </c>
      <c r="D231" s="97">
        <v>9</v>
      </c>
      <c r="E231" s="97">
        <v>9</v>
      </c>
      <c r="F231" s="97">
        <v>9</v>
      </c>
      <c r="G231" s="97">
        <v>9</v>
      </c>
      <c r="H231" s="97">
        <v>9</v>
      </c>
      <c r="I231" s="97">
        <v>9</v>
      </c>
      <c r="J231" s="97">
        <v>9</v>
      </c>
      <c r="K231" s="97">
        <v>9</v>
      </c>
      <c r="L231" s="97">
        <v>9</v>
      </c>
      <c r="M231" s="97">
        <v>9</v>
      </c>
      <c r="N231" s="97">
        <v>9</v>
      </c>
      <c r="O231" s="97">
        <v>9</v>
      </c>
      <c r="P231" s="97">
        <v>9</v>
      </c>
      <c r="Q231" s="97">
        <f t="shared" si="30"/>
        <v>63</v>
      </c>
      <c r="R231" s="104">
        <f t="shared" si="31"/>
        <v>7965</v>
      </c>
      <c r="S231" s="97">
        <f t="shared" si="32"/>
        <v>72</v>
      </c>
      <c r="T231" s="98">
        <f t="shared" si="33"/>
        <v>34.92</v>
      </c>
      <c r="U231" s="98">
        <f t="shared" si="34"/>
        <v>7999.92</v>
      </c>
      <c r="V231" s="111">
        <v>230</v>
      </c>
      <c r="W231" s="108"/>
    </row>
    <row r="232" spans="1:23" ht="21.75" customHeight="1" x14ac:dyDescent="0.2">
      <c r="A232" s="106">
        <v>43696</v>
      </c>
      <c r="B232" s="97">
        <v>9</v>
      </c>
      <c r="C232" s="97">
        <v>9</v>
      </c>
      <c r="D232" s="97">
        <v>9</v>
      </c>
      <c r="E232" s="97">
        <v>9</v>
      </c>
      <c r="F232" s="97">
        <v>9</v>
      </c>
      <c r="G232" s="97">
        <v>9</v>
      </c>
      <c r="H232" s="97">
        <v>9</v>
      </c>
      <c r="I232" s="97">
        <v>9</v>
      </c>
      <c r="J232" s="97">
        <v>9</v>
      </c>
      <c r="K232" s="97">
        <v>9</v>
      </c>
      <c r="L232" s="97">
        <v>9</v>
      </c>
      <c r="M232" s="97">
        <v>9</v>
      </c>
      <c r="N232" s="97">
        <v>9</v>
      </c>
      <c r="O232" s="97">
        <v>9</v>
      </c>
      <c r="P232" s="97">
        <v>9</v>
      </c>
      <c r="Q232" s="97">
        <f t="shared" si="30"/>
        <v>63</v>
      </c>
      <c r="R232" s="104">
        <f t="shared" si="31"/>
        <v>7965</v>
      </c>
      <c r="S232" s="97">
        <f t="shared" si="32"/>
        <v>72</v>
      </c>
      <c r="T232" s="98">
        <f t="shared" si="33"/>
        <v>34.92</v>
      </c>
      <c r="U232" s="98">
        <f t="shared" si="34"/>
        <v>7999.92</v>
      </c>
      <c r="V232" s="111">
        <v>231</v>
      </c>
      <c r="W232" s="108"/>
    </row>
    <row r="233" spans="1:23" ht="21.75" customHeight="1" x14ac:dyDescent="0.2">
      <c r="A233" s="106">
        <v>43697</v>
      </c>
      <c r="B233" s="97">
        <v>9</v>
      </c>
      <c r="C233" s="97">
        <v>9</v>
      </c>
      <c r="D233" s="97">
        <v>9</v>
      </c>
      <c r="E233" s="97">
        <v>9</v>
      </c>
      <c r="F233" s="97">
        <v>9</v>
      </c>
      <c r="G233" s="97">
        <v>9</v>
      </c>
      <c r="H233" s="97">
        <v>9</v>
      </c>
      <c r="I233" s="97">
        <v>9</v>
      </c>
      <c r="J233" s="97">
        <v>9</v>
      </c>
      <c r="K233" s="97">
        <v>9</v>
      </c>
      <c r="L233" s="97">
        <v>9</v>
      </c>
      <c r="M233" s="97">
        <v>9</v>
      </c>
      <c r="N233" s="97">
        <v>9</v>
      </c>
      <c r="O233" s="97">
        <v>9</v>
      </c>
      <c r="P233" s="97">
        <v>9</v>
      </c>
      <c r="Q233" s="97">
        <f t="shared" si="30"/>
        <v>63</v>
      </c>
      <c r="R233" s="104">
        <f t="shared" si="31"/>
        <v>7965</v>
      </c>
      <c r="S233" s="97">
        <f t="shared" si="32"/>
        <v>72</v>
      </c>
      <c r="T233" s="98">
        <f t="shared" si="33"/>
        <v>34.92</v>
      </c>
      <c r="U233" s="98">
        <f t="shared" si="34"/>
        <v>7999.92</v>
      </c>
      <c r="V233" s="111">
        <v>232</v>
      </c>
      <c r="W233" s="108"/>
    </row>
    <row r="234" spans="1:23" ht="21.75" customHeight="1" x14ac:dyDescent="0.2">
      <c r="A234" s="106">
        <v>43698</v>
      </c>
      <c r="B234" s="97">
        <v>9</v>
      </c>
      <c r="C234" s="97">
        <v>9</v>
      </c>
      <c r="D234" s="97">
        <v>9</v>
      </c>
      <c r="E234" s="97">
        <v>9</v>
      </c>
      <c r="F234" s="97">
        <v>9</v>
      </c>
      <c r="G234" s="97">
        <v>9</v>
      </c>
      <c r="H234" s="97">
        <v>9</v>
      </c>
      <c r="I234" s="97">
        <v>9</v>
      </c>
      <c r="J234" s="97">
        <v>9</v>
      </c>
      <c r="K234" s="97">
        <v>9</v>
      </c>
      <c r="L234" s="97">
        <v>9</v>
      </c>
      <c r="M234" s="97">
        <v>9</v>
      </c>
      <c r="N234" s="97">
        <v>9</v>
      </c>
      <c r="O234" s="97">
        <v>9</v>
      </c>
      <c r="P234" s="97">
        <v>9</v>
      </c>
      <c r="Q234" s="97">
        <f t="shared" si="30"/>
        <v>63</v>
      </c>
      <c r="R234" s="104">
        <f t="shared" si="31"/>
        <v>7965</v>
      </c>
      <c r="S234" s="97">
        <f t="shared" si="32"/>
        <v>72</v>
      </c>
      <c r="T234" s="98">
        <f t="shared" si="33"/>
        <v>34.92</v>
      </c>
      <c r="U234" s="98">
        <f t="shared" si="34"/>
        <v>7999.92</v>
      </c>
      <c r="V234" s="111">
        <v>233</v>
      </c>
      <c r="W234" s="108"/>
    </row>
    <row r="235" spans="1:23" ht="21.75" customHeight="1" x14ac:dyDescent="0.2">
      <c r="A235" s="106">
        <v>43699</v>
      </c>
      <c r="B235" s="97">
        <v>9</v>
      </c>
      <c r="C235" s="97">
        <v>9</v>
      </c>
      <c r="D235" s="97">
        <v>9</v>
      </c>
      <c r="E235" s="97">
        <v>9</v>
      </c>
      <c r="F235" s="97">
        <v>9</v>
      </c>
      <c r="G235" s="97">
        <v>9</v>
      </c>
      <c r="H235" s="97">
        <v>9</v>
      </c>
      <c r="I235" s="97">
        <v>9</v>
      </c>
      <c r="J235" s="97">
        <v>9</v>
      </c>
      <c r="K235" s="97">
        <v>9</v>
      </c>
      <c r="L235" s="97">
        <v>9</v>
      </c>
      <c r="M235" s="97">
        <v>9</v>
      </c>
      <c r="N235" s="97">
        <v>9</v>
      </c>
      <c r="O235" s="97">
        <v>9</v>
      </c>
      <c r="P235" s="97">
        <v>9</v>
      </c>
      <c r="Q235" s="97">
        <f t="shared" si="30"/>
        <v>63</v>
      </c>
      <c r="R235" s="104">
        <f t="shared" si="31"/>
        <v>7965</v>
      </c>
      <c r="S235" s="97">
        <f t="shared" si="32"/>
        <v>72</v>
      </c>
      <c r="T235" s="98">
        <f t="shared" si="33"/>
        <v>34.92</v>
      </c>
      <c r="U235" s="98">
        <f t="shared" si="34"/>
        <v>7999.92</v>
      </c>
      <c r="V235" s="111">
        <v>234</v>
      </c>
      <c r="W235" s="108"/>
    </row>
    <row r="236" spans="1:23" ht="21.75" customHeight="1" x14ac:dyDescent="0.2">
      <c r="A236" s="106">
        <v>43700</v>
      </c>
      <c r="B236" s="97">
        <v>9</v>
      </c>
      <c r="C236" s="97">
        <v>9</v>
      </c>
      <c r="D236" s="97">
        <v>9</v>
      </c>
      <c r="E236" s="97">
        <v>9</v>
      </c>
      <c r="F236" s="97">
        <v>9</v>
      </c>
      <c r="G236" s="97">
        <v>9</v>
      </c>
      <c r="H236" s="97">
        <v>9</v>
      </c>
      <c r="I236" s="97">
        <v>9</v>
      </c>
      <c r="J236" s="97">
        <v>9</v>
      </c>
      <c r="K236" s="97">
        <v>9</v>
      </c>
      <c r="L236" s="97">
        <v>9</v>
      </c>
      <c r="M236" s="97">
        <v>9</v>
      </c>
      <c r="N236" s="97">
        <v>9</v>
      </c>
      <c r="O236" s="97">
        <v>9</v>
      </c>
      <c r="P236" s="97">
        <v>9</v>
      </c>
      <c r="Q236" s="97">
        <f t="shared" si="30"/>
        <v>63</v>
      </c>
      <c r="R236" s="104">
        <f t="shared" si="31"/>
        <v>7965</v>
      </c>
      <c r="S236" s="97">
        <f t="shared" si="32"/>
        <v>72</v>
      </c>
      <c r="T236" s="98">
        <f t="shared" si="33"/>
        <v>34.92</v>
      </c>
      <c r="U236" s="98">
        <f t="shared" si="34"/>
        <v>7999.92</v>
      </c>
      <c r="V236" s="111">
        <v>235</v>
      </c>
      <c r="W236" s="108"/>
    </row>
    <row r="237" spans="1:23" ht="21.75" customHeight="1" x14ac:dyDescent="0.2">
      <c r="A237" s="106">
        <v>43701</v>
      </c>
      <c r="B237" s="97">
        <v>9</v>
      </c>
      <c r="C237" s="97">
        <v>9</v>
      </c>
      <c r="D237" s="97">
        <v>9</v>
      </c>
      <c r="E237" s="97">
        <v>9</v>
      </c>
      <c r="F237" s="97">
        <v>9</v>
      </c>
      <c r="G237" s="97">
        <v>9</v>
      </c>
      <c r="H237" s="97">
        <v>9</v>
      </c>
      <c r="I237" s="97">
        <v>9</v>
      </c>
      <c r="J237" s="97">
        <v>9</v>
      </c>
      <c r="K237" s="97">
        <v>9</v>
      </c>
      <c r="L237" s="97">
        <v>9</v>
      </c>
      <c r="M237" s="97">
        <v>9</v>
      </c>
      <c r="N237" s="97">
        <v>9</v>
      </c>
      <c r="O237" s="97">
        <v>9</v>
      </c>
      <c r="P237" s="97">
        <v>9</v>
      </c>
      <c r="Q237" s="97">
        <f t="shared" si="30"/>
        <v>63</v>
      </c>
      <c r="R237" s="104">
        <f t="shared" si="31"/>
        <v>7965</v>
      </c>
      <c r="S237" s="97">
        <f t="shared" si="32"/>
        <v>72</v>
      </c>
      <c r="T237" s="98">
        <f t="shared" si="33"/>
        <v>34.92</v>
      </c>
      <c r="U237" s="98">
        <f t="shared" si="34"/>
        <v>7999.92</v>
      </c>
      <c r="V237" s="111">
        <v>236</v>
      </c>
      <c r="W237" s="108"/>
    </row>
    <row r="238" spans="1:23" ht="21.75" customHeight="1" x14ac:dyDescent="0.2">
      <c r="A238" s="106">
        <v>43702</v>
      </c>
      <c r="B238" s="97">
        <v>9</v>
      </c>
      <c r="C238" s="97">
        <v>9</v>
      </c>
      <c r="D238" s="97">
        <v>9</v>
      </c>
      <c r="E238" s="97">
        <v>9</v>
      </c>
      <c r="F238" s="97">
        <v>9</v>
      </c>
      <c r="G238" s="97">
        <v>9</v>
      </c>
      <c r="H238" s="97">
        <v>9</v>
      </c>
      <c r="I238" s="97">
        <v>9</v>
      </c>
      <c r="J238" s="97">
        <v>9</v>
      </c>
      <c r="K238" s="97">
        <v>9</v>
      </c>
      <c r="L238" s="97">
        <v>9</v>
      </c>
      <c r="M238" s="97">
        <v>9</v>
      </c>
      <c r="N238" s="97">
        <v>9</v>
      </c>
      <c r="O238" s="97">
        <v>9</v>
      </c>
      <c r="P238" s="97">
        <v>9</v>
      </c>
      <c r="Q238" s="97">
        <f t="shared" si="30"/>
        <v>63</v>
      </c>
      <c r="R238" s="104">
        <f t="shared" si="31"/>
        <v>7965</v>
      </c>
      <c r="S238" s="97">
        <f t="shared" si="32"/>
        <v>72</v>
      </c>
      <c r="T238" s="98">
        <f t="shared" si="33"/>
        <v>34.92</v>
      </c>
      <c r="U238" s="98">
        <f t="shared" si="34"/>
        <v>7999.92</v>
      </c>
      <c r="V238" s="111">
        <v>237</v>
      </c>
      <c r="W238" s="108"/>
    </row>
    <row r="239" spans="1:23" ht="21.75" customHeight="1" x14ac:dyDescent="0.2">
      <c r="A239" s="106">
        <v>43703</v>
      </c>
      <c r="B239" s="97">
        <v>9</v>
      </c>
      <c r="C239" s="97">
        <v>9</v>
      </c>
      <c r="D239" s="97">
        <v>9</v>
      </c>
      <c r="E239" s="97">
        <v>9</v>
      </c>
      <c r="F239" s="97">
        <v>9</v>
      </c>
      <c r="G239" s="97">
        <v>9</v>
      </c>
      <c r="H239" s="97">
        <v>9</v>
      </c>
      <c r="I239" s="97">
        <v>9</v>
      </c>
      <c r="J239" s="97">
        <v>9</v>
      </c>
      <c r="K239" s="97">
        <v>9</v>
      </c>
      <c r="L239" s="97">
        <v>9</v>
      </c>
      <c r="M239" s="97">
        <v>9</v>
      </c>
      <c r="N239" s="97">
        <v>9</v>
      </c>
      <c r="O239" s="97">
        <v>9</v>
      </c>
      <c r="P239" s="97">
        <v>9</v>
      </c>
      <c r="Q239" s="97">
        <f t="shared" si="30"/>
        <v>63</v>
      </c>
      <c r="R239" s="104">
        <f t="shared" si="31"/>
        <v>7965</v>
      </c>
      <c r="S239" s="97">
        <f t="shared" si="32"/>
        <v>72</v>
      </c>
      <c r="T239" s="98">
        <f t="shared" si="33"/>
        <v>34.92</v>
      </c>
      <c r="U239" s="98">
        <f t="shared" si="34"/>
        <v>7999.92</v>
      </c>
      <c r="V239" s="111">
        <v>238</v>
      </c>
      <c r="W239" s="108"/>
    </row>
    <row r="240" spans="1:23" ht="21.75" customHeight="1" x14ac:dyDescent="0.2">
      <c r="A240" s="106">
        <v>43704</v>
      </c>
      <c r="B240" s="97">
        <v>9</v>
      </c>
      <c r="C240" s="97">
        <v>9</v>
      </c>
      <c r="D240" s="97">
        <v>9</v>
      </c>
      <c r="E240" s="97">
        <v>9</v>
      </c>
      <c r="F240" s="97">
        <v>9</v>
      </c>
      <c r="G240" s="97">
        <v>9</v>
      </c>
      <c r="H240" s="97">
        <v>9</v>
      </c>
      <c r="I240" s="97">
        <v>9</v>
      </c>
      <c r="J240" s="97">
        <v>9</v>
      </c>
      <c r="K240" s="97">
        <v>9</v>
      </c>
      <c r="L240" s="97">
        <v>9</v>
      </c>
      <c r="M240" s="97">
        <v>9</v>
      </c>
      <c r="N240" s="97">
        <v>9</v>
      </c>
      <c r="O240" s="97">
        <v>9</v>
      </c>
      <c r="P240" s="97">
        <v>9</v>
      </c>
      <c r="Q240" s="97">
        <f t="shared" si="30"/>
        <v>63</v>
      </c>
      <c r="R240" s="104">
        <f t="shared" si="31"/>
        <v>7965</v>
      </c>
      <c r="S240" s="97">
        <f t="shared" si="32"/>
        <v>72</v>
      </c>
      <c r="T240" s="98">
        <f t="shared" si="33"/>
        <v>34.92</v>
      </c>
      <c r="U240" s="98">
        <f t="shared" si="34"/>
        <v>7999.92</v>
      </c>
      <c r="V240" s="111">
        <v>239</v>
      </c>
      <c r="W240" s="108"/>
    </row>
    <row r="241" spans="1:23" ht="21.75" customHeight="1" x14ac:dyDescent="0.2">
      <c r="A241" s="106">
        <v>43705</v>
      </c>
      <c r="B241" s="97">
        <v>9</v>
      </c>
      <c r="C241" s="97">
        <v>9</v>
      </c>
      <c r="D241" s="97">
        <v>9</v>
      </c>
      <c r="E241" s="97">
        <v>9</v>
      </c>
      <c r="F241" s="97">
        <v>9</v>
      </c>
      <c r="G241" s="97">
        <v>9</v>
      </c>
      <c r="H241" s="97">
        <v>9</v>
      </c>
      <c r="I241" s="97">
        <v>9</v>
      </c>
      <c r="J241" s="97">
        <v>9</v>
      </c>
      <c r="K241" s="97">
        <v>9</v>
      </c>
      <c r="L241" s="97">
        <v>9</v>
      </c>
      <c r="M241" s="97">
        <v>9</v>
      </c>
      <c r="N241" s="97">
        <v>9</v>
      </c>
      <c r="O241" s="97">
        <v>9</v>
      </c>
      <c r="P241" s="97">
        <v>9</v>
      </c>
      <c r="Q241" s="97">
        <f t="shared" si="30"/>
        <v>63</v>
      </c>
      <c r="R241" s="104">
        <f t="shared" si="31"/>
        <v>7965</v>
      </c>
      <c r="S241" s="97">
        <f t="shared" si="32"/>
        <v>72</v>
      </c>
      <c r="T241" s="98">
        <f t="shared" si="33"/>
        <v>34.92</v>
      </c>
      <c r="U241" s="98">
        <f t="shared" si="34"/>
        <v>7999.92</v>
      </c>
      <c r="V241" s="111">
        <v>240</v>
      </c>
      <c r="W241" s="108"/>
    </row>
    <row r="242" spans="1:23" ht="21.75" customHeight="1" x14ac:dyDescent="0.2">
      <c r="A242" s="106">
        <v>43706</v>
      </c>
      <c r="B242" s="97">
        <v>9</v>
      </c>
      <c r="C242" s="97">
        <v>9</v>
      </c>
      <c r="D242" s="97">
        <v>9</v>
      </c>
      <c r="E242" s="97">
        <v>9</v>
      </c>
      <c r="F242" s="97">
        <v>9</v>
      </c>
      <c r="G242" s="97">
        <v>9</v>
      </c>
      <c r="H242" s="97">
        <v>9</v>
      </c>
      <c r="I242" s="97">
        <v>9</v>
      </c>
      <c r="J242" s="97">
        <v>9</v>
      </c>
      <c r="K242" s="97">
        <v>9</v>
      </c>
      <c r="L242" s="97">
        <v>9</v>
      </c>
      <c r="M242" s="97">
        <v>9</v>
      </c>
      <c r="N242" s="97">
        <v>9</v>
      </c>
      <c r="O242" s="97">
        <v>9</v>
      </c>
      <c r="P242" s="97">
        <v>9</v>
      </c>
      <c r="Q242" s="97">
        <f t="shared" si="30"/>
        <v>63</v>
      </c>
      <c r="R242" s="104">
        <f t="shared" si="31"/>
        <v>7965</v>
      </c>
      <c r="S242" s="97">
        <f t="shared" si="32"/>
        <v>72</v>
      </c>
      <c r="T242" s="98">
        <f t="shared" si="33"/>
        <v>34.92</v>
      </c>
      <c r="U242" s="98">
        <f t="shared" si="34"/>
        <v>7999.92</v>
      </c>
      <c r="V242" s="111">
        <v>241</v>
      </c>
      <c r="W242" s="108"/>
    </row>
    <row r="243" spans="1:23" ht="21.75" customHeight="1" x14ac:dyDescent="0.2">
      <c r="A243" s="106">
        <v>43707</v>
      </c>
      <c r="B243" s="97">
        <v>9</v>
      </c>
      <c r="C243" s="97">
        <v>9</v>
      </c>
      <c r="D243" s="97">
        <v>9</v>
      </c>
      <c r="E243" s="97">
        <v>9</v>
      </c>
      <c r="F243" s="97">
        <v>9</v>
      </c>
      <c r="G243" s="97">
        <v>9</v>
      </c>
      <c r="H243" s="97">
        <v>9</v>
      </c>
      <c r="I243" s="97">
        <v>9</v>
      </c>
      <c r="J243" s="97">
        <v>9</v>
      </c>
      <c r="K243" s="97">
        <v>9</v>
      </c>
      <c r="L243" s="97">
        <v>9</v>
      </c>
      <c r="M243" s="97">
        <v>9</v>
      </c>
      <c r="N243" s="97">
        <v>9</v>
      </c>
      <c r="O243" s="97">
        <v>9</v>
      </c>
      <c r="P243" s="97">
        <v>9</v>
      </c>
      <c r="Q243" s="97">
        <f t="shared" si="30"/>
        <v>63</v>
      </c>
      <c r="R243" s="104">
        <f t="shared" si="31"/>
        <v>7965</v>
      </c>
      <c r="S243" s="97">
        <f t="shared" si="32"/>
        <v>72</v>
      </c>
      <c r="T243" s="98">
        <f t="shared" si="33"/>
        <v>34.92</v>
      </c>
      <c r="U243" s="98">
        <f t="shared" si="34"/>
        <v>7999.92</v>
      </c>
      <c r="V243" s="111">
        <v>242</v>
      </c>
      <c r="W243" s="108"/>
    </row>
    <row r="244" spans="1:23" ht="21.75" customHeight="1" x14ac:dyDescent="0.2">
      <c r="A244" s="106">
        <v>43708</v>
      </c>
      <c r="B244" s="97">
        <v>9</v>
      </c>
      <c r="C244" s="97">
        <v>9</v>
      </c>
      <c r="D244" s="97">
        <v>9</v>
      </c>
      <c r="E244" s="97">
        <v>9</v>
      </c>
      <c r="F244" s="97">
        <v>9</v>
      </c>
      <c r="G244" s="97">
        <v>9</v>
      </c>
      <c r="H244" s="97">
        <v>9</v>
      </c>
      <c r="I244" s="97">
        <v>9</v>
      </c>
      <c r="J244" s="97">
        <v>9</v>
      </c>
      <c r="K244" s="97">
        <v>9</v>
      </c>
      <c r="L244" s="97">
        <v>9</v>
      </c>
      <c r="M244" s="97">
        <v>9</v>
      </c>
      <c r="N244" s="97">
        <v>9</v>
      </c>
      <c r="O244" s="97">
        <v>9</v>
      </c>
      <c r="P244" s="97">
        <v>9</v>
      </c>
      <c r="Q244" s="97">
        <f t="shared" si="30"/>
        <v>63</v>
      </c>
      <c r="R244" s="104">
        <f t="shared" si="31"/>
        <v>7965</v>
      </c>
      <c r="S244" s="97">
        <f t="shared" si="32"/>
        <v>72</v>
      </c>
      <c r="T244" s="98">
        <f t="shared" si="33"/>
        <v>34.92</v>
      </c>
      <c r="U244" s="98">
        <f t="shared" si="34"/>
        <v>7999.92</v>
      </c>
      <c r="V244" s="111">
        <v>243</v>
      </c>
      <c r="W244" s="108"/>
    </row>
    <row r="245" spans="1:23" ht="21.75" customHeight="1" x14ac:dyDescent="0.2">
      <c r="A245" s="106">
        <v>43709</v>
      </c>
      <c r="B245" s="97">
        <v>9</v>
      </c>
      <c r="C245" s="97">
        <v>9</v>
      </c>
      <c r="D245" s="97">
        <v>9</v>
      </c>
      <c r="E245" s="97">
        <v>9</v>
      </c>
      <c r="F245" s="97">
        <v>9</v>
      </c>
      <c r="G245" s="97">
        <v>9</v>
      </c>
      <c r="H245" s="97">
        <v>9</v>
      </c>
      <c r="I245" s="97">
        <v>9</v>
      </c>
      <c r="J245" s="97">
        <v>9</v>
      </c>
      <c r="K245" s="97">
        <v>9</v>
      </c>
      <c r="L245" s="97">
        <v>9</v>
      </c>
      <c r="M245" s="97">
        <v>9</v>
      </c>
      <c r="N245" s="97">
        <v>9</v>
      </c>
      <c r="O245" s="97">
        <v>9</v>
      </c>
      <c r="P245" s="97">
        <v>9</v>
      </c>
      <c r="Q245" s="97">
        <f t="shared" si="30"/>
        <v>63</v>
      </c>
      <c r="R245" s="104">
        <f t="shared" si="31"/>
        <v>7965</v>
      </c>
      <c r="S245" s="97">
        <f t="shared" si="32"/>
        <v>72</v>
      </c>
      <c r="T245" s="98">
        <f t="shared" si="33"/>
        <v>34.92</v>
      </c>
      <c r="U245" s="98">
        <f t="shared" si="34"/>
        <v>7999.92</v>
      </c>
      <c r="V245" s="111">
        <v>244</v>
      </c>
      <c r="W245" s="108"/>
    </row>
    <row r="246" spans="1:23" ht="21.75" customHeight="1" x14ac:dyDescent="0.2">
      <c r="A246" s="106">
        <v>43710</v>
      </c>
      <c r="B246" s="97">
        <v>9</v>
      </c>
      <c r="C246" s="97">
        <v>9</v>
      </c>
      <c r="D246" s="97">
        <v>9</v>
      </c>
      <c r="E246" s="97">
        <v>9</v>
      </c>
      <c r="F246" s="97">
        <v>9</v>
      </c>
      <c r="G246" s="97">
        <v>9</v>
      </c>
      <c r="H246" s="97">
        <v>9</v>
      </c>
      <c r="I246" s="97">
        <v>9</v>
      </c>
      <c r="J246" s="97">
        <v>9</v>
      </c>
      <c r="K246" s="97">
        <v>9</v>
      </c>
      <c r="L246" s="97">
        <v>9</v>
      </c>
      <c r="M246" s="97">
        <v>9</v>
      </c>
      <c r="N246" s="97">
        <v>9</v>
      </c>
      <c r="O246" s="97">
        <v>9</v>
      </c>
      <c r="P246" s="97">
        <v>9</v>
      </c>
      <c r="Q246" s="97">
        <f t="shared" si="30"/>
        <v>63</v>
      </c>
      <c r="R246" s="104">
        <f t="shared" si="31"/>
        <v>7965</v>
      </c>
      <c r="S246" s="97">
        <f t="shared" si="32"/>
        <v>72</v>
      </c>
      <c r="T246" s="98">
        <f t="shared" si="33"/>
        <v>34.92</v>
      </c>
      <c r="U246" s="98">
        <f t="shared" si="34"/>
        <v>7999.92</v>
      </c>
      <c r="V246" s="111">
        <v>245</v>
      </c>
      <c r="W246" s="108"/>
    </row>
    <row r="247" spans="1:23" ht="21.75" customHeight="1" x14ac:dyDescent="0.2">
      <c r="A247" s="106">
        <v>43711</v>
      </c>
      <c r="B247" s="97">
        <v>9</v>
      </c>
      <c r="C247" s="97">
        <v>9</v>
      </c>
      <c r="D247" s="97">
        <v>9</v>
      </c>
      <c r="E247" s="97">
        <v>9</v>
      </c>
      <c r="F247" s="97">
        <v>9</v>
      </c>
      <c r="G247" s="97">
        <v>9</v>
      </c>
      <c r="H247" s="97">
        <v>9</v>
      </c>
      <c r="I247" s="97">
        <v>9</v>
      </c>
      <c r="J247" s="97">
        <v>9</v>
      </c>
      <c r="K247" s="97">
        <v>9</v>
      </c>
      <c r="L247" s="97">
        <v>9</v>
      </c>
      <c r="M247" s="97">
        <v>9</v>
      </c>
      <c r="N247" s="97">
        <v>9</v>
      </c>
      <c r="O247" s="97">
        <v>9</v>
      </c>
      <c r="P247" s="97">
        <v>9</v>
      </c>
      <c r="Q247" s="97">
        <f t="shared" si="30"/>
        <v>63</v>
      </c>
      <c r="R247" s="104">
        <f t="shared" si="31"/>
        <v>7965</v>
      </c>
      <c r="S247" s="97">
        <f t="shared" si="32"/>
        <v>72</v>
      </c>
      <c r="T247" s="98">
        <f t="shared" si="33"/>
        <v>34.92</v>
      </c>
      <c r="U247" s="98">
        <f t="shared" si="34"/>
        <v>7999.92</v>
      </c>
      <c r="V247" s="111">
        <v>246</v>
      </c>
      <c r="W247" s="108"/>
    </row>
    <row r="248" spans="1:23" ht="21.75" customHeight="1" x14ac:dyDescent="0.2">
      <c r="A248" s="106">
        <v>43712</v>
      </c>
      <c r="B248" s="97">
        <v>9</v>
      </c>
      <c r="C248" s="97">
        <v>9</v>
      </c>
      <c r="D248" s="97">
        <v>9</v>
      </c>
      <c r="E248" s="97">
        <v>9</v>
      </c>
      <c r="F248" s="97">
        <v>9</v>
      </c>
      <c r="G248" s="97">
        <v>9</v>
      </c>
      <c r="H248" s="97">
        <v>9</v>
      </c>
      <c r="I248" s="97">
        <v>9</v>
      </c>
      <c r="J248" s="97">
        <v>9</v>
      </c>
      <c r="K248" s="97">
        <v>9</v>
      </c>
      <c r="L248" s="97">
        <v>9</v>
      </c>
      <c r="M248" s="97">
        <v>9</v>
      </c>
      <c r="N248" s="97">
        <v>9</v>
      </c>
      <c r="O248" s="97">
        <v>9</v>
      </c>
      <c r="P248" s="97">
        <v>9</v>
      </c>
      <c r="Q248" s="97">
        <f t="shared" si="30"/>
        <v>63</v>
      </c>
      <c r="R248" s="104">
        <f t="shared" si="31"/>
        <v>7965</v>
      </c>
      <c r="S248" s="97">
        <f t="shared" si="32"/>
        <v>72</v>
      </c>
      <c r="T248" s="98">
        <f t="shared" si="33"/>
        <v>34.92</v>
      </c>
      <c r="U248" s="98">
        <f t="shared" si="34"/>
        <v>7999.92</v>
      </c>
      <c r="V248" s="111">
        <v>247</v>
      </c>
      <c r="W248" s="108"/>
    </row>
    <row r="249" spans="1:23" ht="21.75" customHeight="1" x14ac:dyDescent="0.2">
      <c r="A249" s="106">
        <v>43713</v>
      </c>
      <c r="B249" s="97">
        <v>9</v>
      </c>
      <c r="C249" s="97">
        <v>9</v>
      </c>
      <c r="D249" s="97">
        <v>9</v>
      </c>
      <c r="E249" s="97">
        <v>9</v>
      </c>
      <c r="F249" s="97">
        <v>9</v>
      </c>
      <c r="G249" s="97">
        <v>9</v>
      </c>
      <c r="H249" s="97">
        <v>9</v>
      </c>
      <c r="I249" s="97">
        <v>9</v>
      </c>
      <c r="J249" s="97">
        <v>9</v>
      </c>
      <c r="K249" s="97">
        <v>9</v>
      </c>
      <c r="L249" s="97">
        <v>9</v>
      </c>
      <c r="M249" s="97">
        <v>9</v>
      </c>
      <c r="N249" s="97">
        <v>9</v>
      </c>
      <c r="O249" s="97">
        <v>9</v>
      </c>
      <c r="P249" s="97">
        <v>9</v>
      </c>
      <c r="Q249" s="97">
        <f t="shared" si="30"/>
        <v>63</v>
      </c>
      <c r="R249" s="104">
        <f t="shared" si="31"/>
        <v>7965</v>
      </c>
      <c r="S249" s="97">
        <f t="shared" si="32"/>
        <v>72</v>
      </c>
      <c r="T249" s="98">
        <f t="shared" si="33"/>
        <v>34.92</v>
      </c>
      <c r="U249" s="98">
        <f t="shared" si="34"/>
        <v>7999.92</v>
      </c>
      <c r="V249" s="111">
        <v>248</v>
      </c>
      <c r="W249" s="108"/>
    </row>
    <row r="250" spans="1:23" ht="21.75" customHeight="1" x14ac:dyDescent="0.2">
      <c r="A250" s="106">
        <v>43714</v>
      </c>
      <c r="B250" s="97">
        <v>9</v>
      </c>
      <c r="C250" s="97">
        <v>9</v>
      </c>
      <c r="D250" s="97">
        <v>9</v>
      </c>
      <c r="E250" s="97">
        <v>9</v>
      </c>
      <c r="F250" s="97">
        <v>9</v>
      </c>
      <c r="G250" s="97">
        <v>9</v>
      </c>
      <c r="H250" s="97">
        <v>9</v>
      </c>
      <c r="I250" s="97">
        <v>9</v>
      </c>
      <c r="J250" s="97">
        <v>9</v>
      </c>
      <c r="K250" s="97">
        <v>9</v>
      </c>
      <c r="L250" s="97">
        <v>9</v>
      </c>
      <c r="M250" s="97">
        <v>9</v>
      </c>
      <c r="N250" s="97">
        <v>9</v>
      </c>
      <c r="O250" s="97">
        <v>9</v>
      </c>
      <c r="P250" s="97">
        <v>9</v>
      </c>
      <c r="Q250" s="97">
        <f t="shared" si="30"/>
        <v>63</v>
      </c>
      <c r="R250" s="104">
        <f t="shared" si="31"/>
        <v>7965</v>
      </c>
      <c r="S250" s="97">
        <f t="shared" si="32"/>
        <v>72</v>
      </c>
      <c r="T250" s="98">
        <f t="shared" si="33"/>
        <v>34.92</v>
      </c>
      <c r="U250" s="98">
        <f t="shared" si="34"/>
        <v>7999.92</v>
      </c>
      <c r="V250" s="111">
        <v>249</v>
      </c>
      <c r="W250" s="108"/>
    </row>
    <row r="251" spans="1:23" ht="21.75" customHeight="1" x14ac:dyDescent="0.2">
      <c r="A251" s="106">
        <v>43715</v>
      </c>
      <c r="B251" s="97">
        <v>9</v>
      </c>
      <c r="C251" s="97">
        <v>9</v>
      </c>
      <c r="D251" s="97">
        <v>9</v>
      </c>
      <c r="E251" s="97">
        <v>9</v>
      </c>
      <c r="F251" s="97">
        <v>9</v>
      </c>
      <c r="G251" s="97">
        <v>9</v>
      </c>
      <c r="H251" s="97">
        <v>9</v>
      </c>
      <c r="I251" s="97">
        <v>9</v>
      </c>
      <c r="J251" s="97">
        <v>9</v>
      </c>
      <c r="K251" s="97">
        <v>9</v>
      </c>
      <c r="L251" s="97">
        <v>9</v>
      </c>
      <c r="M251" s="97">
        <v>9</v>
      </c>
      <c r="N251" s="97">
        <v>9</v>
      </c>
      <c r="O251" s="97">
        <v>9</v>
      </c>
      <c r="P251" s="97">
        <v>9</v>
      </c>
      <c r="Q251" s="97">
        <f t="shared" si="30"/>
        <v>63</v>
      </c>
      <c r="R251" s="104">
        <f t="shared" si="31"/>
        <v>7965</v>
      </c>
      <c r="S251" s="97">
        <f t="shared" si="32"/>
        <v>72</v>
      </c>
      <c r="T251" s="98">
        <f t="shared" si="33"/>
        <v>34.92</v>
      </c>
      <c r="U251" s="98">
        <f t="shared" si="34"/>
        <v>7999.92</v>
      </c>
      <c r="V251" s="111">
        <v>250</v>
      </c>
      <c r="W251" s="108"/>
    </row>
    <row r="252" spans="1:23" ht="21.75" customHeight="1" x14ac:dyDescent="0.2">
      <c r="A252" s="106">
        <v>43716</v>
      </c>
      <c r="B252" s="97">
        <v>9</v>
      </c>
      <c r="C252" s="97">
        <v>9</v>
      </c>
      <c r="D252" s="97">
        <v>9</v>
      </c>
      <c r="E252" s="97">
        <v>9</v>
      </c>
      <c r="F252" s="97">
        <v>9</v>
      </c>
      <c r="G252" s="97">
        <v>9</v>
      </c>
      <c r="H252" s="97">
        <v>9</v>
      </c>
      <c r="I252" s="97">
        <v>9</v>
      </c>
      <c r="J252" s="97">
        <v>9</v>
      </c>
      <c r="K252" s="97">
        <v>9</v>
      </c>
      <c r="L252" s="97">
        <v>9</v>
      </c>
      <c r="M252" s="97">
        <v>9</v>
      </c>
      <c r="N252" s="97">
        <v>9</v>
      </c>
      <c r="O252" s="97">
        <v>9</v>
      </c>
      <c r="P252" s="97">
        <v>9</v>
      </c>
      <c r="Q252" s="97">
        <f t="shared" si="30"/>
        <v>63</v>
      </c>
      <c r="R252" s="104">
        <f t="shared" si="31"/>
        <v>7965</v>
      </c>
      <c r="S252" s="97">
        <f t="shared" si="32"/>
        <v>72</v>
      </c>
      <c r="T252" s="98">
        <f t="shared" si="33"/>
        <v>34.92</v>
      </c>
      <c r="U252" s="98">
        <f t="shared" si="34"/>
        <v>7999.92</v>
      </c>
      <c r="V252" s="111">
        <v>251</v>
      </c>
      <c r="W252" s="108"/>
    </row>
    <row r="253" spans="1:23" ht="21.75" customHeight="1" x14ac:dyDescent="0.2">
      <c r="A253" s="106">
        <v>43717</v>
      </c>
      <c r="B253" s="97">
        <v>9</v>
      </c>
      <c r="C253" s="97">
        <v>9</v>
      </c>
      <c r="D253" s="97">
        <v>9</v>
      </c>
      <c r="E253" s="97">
        <v>9</v>
      </c>
      <c r="F253" s="97">
        <v>9</v>
      </c>
      <c r="G253" s="97">
        <v>9</v>
      </c>
      <c r="H253" s="97">
        <v>9</v>
      </c>
      <c r="I253" s="97">
        <v>9</v>
      </c>
      <c r="J253" s="97">
        <v>9</v>
      </c>
      <c r="K253" s="97">
        <v>9</v>
      </c>
      <c r="L253" s="97">
        <v>9</v>
      </c>
      <c r="M253" s="97">
        <v>9</v>
      </c>
      <c r="N253" s="97">
        <v>9</v>
      </c>
      <c r="O253" s="97">
        <v>9</v>
      </c>
      <c r="P253" s="97">
        <v>9</v>
      </c>
      <c r="Q253" s="97">
        <f t="shared" si="30"/>
        <v>63</v>
      </c>
      <c r="R253" s="104">
        <f t="shared" si="31"/>
        <v>7965</v>
      </c>
      <c r="S253" s="97">
        <f t="shared" si="32"/>
        <v>72</v>
      </c>
      <c r="T253" s="98">
        <f t="shared" si="33"/>
        <v>34.92</v>
      </c>
      <c r="U253" s="98">
        <f t="shared" si="34"/>
        <v>7999.92</v>
      </c>
      <c r="V253" s="111">
        <v>252</v>
      </c>
      <c r="W253" s="108"/>
    </row>
    <row r="254" spans="1:23" ht="21.75" customHeight="1" x14ac:dyDescent="0.2">
      <c r="A254" s="106">
        <v>43718</v>
      </c>
      <c r="B254" s="97">
        <v>9</v>
      </c>
      <c r="C254" s="97">
        <v>9</v>
      </c>
      <c r="D254" s="97">
        <v>9</v>
      </c>
      <c r="E254" s="97">
        <v>9</v>
      </c>
      <c r="F254" s="97">
        <v>9</v>
      </c>
      <c r="G254" s="97">
        <v>9</v>
      </c>
      <c r="H254" s="97">
        <v>9</v>
      </c>
      <c r="I254" s="97">
        <v>9</v>
      </c>
      <c r="J254" s="97">
        <v>9</v>
      </c>
      <c r="K254" s="97">
        <v>9</v>
      </c>
      <c r="L254" s="97">
        <v>9</v>
      </c>
      <c r="M254" s="97">
        <v>9</v>
      </c>
      <c r="N254" s="97">
        <v>9</v>
      </c>
      <c r="O254" s="97">
        <v>9</v>
      </c>
      <c r="P254" s="97">
        <v>9</v>
      </c>
      <c r="Q254" s="97">
        <f t="shared" si="30"/>
        <v>63</v>
      </c>
      <c r="R254" s="104">
        <f t="shared" si="31"/>
        <v>7965</v>
      </c>
      <c r="S254" s="97">
        <f t="shared" si="32"/>
        <v>72</v>
      </c>
      <c r="T254" s="98">
        <f t="shared" si="33"/>
        <v>34.92</v>
      </c>
      <c r="U254" s="98">
        <f t="shared" si="34"/>
        <v>7999.92</v>
      </c>
      <c r="V254" s="111">
        <v>253</v>
      </c>
      <c r="W254" s="108"/>
    </row>
    <row r="255" spans="1:23" ht="21.75" customHeight="1" x14ac:dyDescent="0.2">
      <c r="A255" s="106">
        <v>43719</v>
      </c>
      <c r="B255" s="97">
        <v>9</v>
      </c>
      <c r="C255" s="97">
        <v>9</v>
      </c>
      <c r="D255" s="97">
        <v>9</v>
      </c>
      <c r="E255" s="97">
        <v>9</v>
      </c>
      <c r="F255" s="97">
        <v>9</v>
      </c>
      <c r="G255" s="97">
        <v>9</v>
      </c>
      <c r="H255" s="97">
        <v>9</v>
      </c>
      <c r="I255" s="97">
        <v>9</v>
      </c>
      <c r="J255" s="97">
        <v>9</v>
      </c>
      <c r="K255" s="97">
        <v>9</v>
      </c>
      <c r="L255" s="97">
        <v>9</v>
      </c>
      <c r="M255" s="97">
        <v>9</v>
      </c>
      <c r="N255" s="97">
        <v>9</v>
      </c>
      <c r="O255" s="97">
        <v>9</v>
      </c>
      <c r="P255" s="97">
        <v>9</v>
      </c>
      <c r="Q255" s="97">
        <f t="shared" si="30"/>
        <v>63</v>
      </c>
      <c r="R255" s="104">
        <f t="shared" si="31"/>
        <v>7965</v>
      </c>
      <c r="S255" s="97">
        <f t="shared" si="32"/>
        <v>72</v>
      </c>
      <c r="T255" s="98">
        <f t="shared" si="33"/>
        <v>34.92</v>
      </c>
      <c r="U255" s="98">
        <f t="shared" si="34"/>
        <v>7999.92</v>
      </c>
      <c r="V255" s="111">
        <v>254</v>
      </c>
      <c r="W255" s="108"/>
    </row>
    <row r="256" spans="1:23" ht="21.75" customHeight="1" x14ac:dyDescent="0.2">
      <c r="A256" s="106">
        <v>43720</v>
      </c>
      <c r="B256" s="97">
        <v>9</v>
      </c>
      <c r="C256" s="97">
        <v>9</v>
      </c>
      <c r="D256" s="97">
        <v>9</v>
      </c>
      <c r="E256" s="97">
        <v>9</v>
      </c>
      <c r="F256" s="97">
        <v>9</v>
      </c>
      <c r="G256" s="97">
        <v>9</v>
      </c>
      <c r="H256" s="97">
        <v>9</v>
      </c>
      <c r="I256" s="97">
        <v>9</v>
      </c>
      <c r="J256" s="97">
        <v>9</v>
      </c>
      <c r="K256" s="97">
        <v>9</v>
      </c>
      <c r="L256" s="97">
        <v>9</v>
      </c>
      <c r="M256" s="97">
        <v>9</v>
      </c>
      <c r="N256" s="97">
        <v>9</v>
      </c>
      <c r="O256" s="97">
        <v>9</v>
      </c>
      <c r="P256" s="97">
        <v>9</v>
      </c>
      <c r="Q256" s="97">
        <f t="shared" si="30"/>
        <v>63</v>
      </c>
      <c r="R256" s="104">
        <f t="shared" si="31"/>
        <v>7965</v>
      </c>
      <c r="S256" s="97">
        <f t="shared" si="32"/>
        <v>72</v>
      </c>
      <c r="T256" s="98">
        <f t="shared" si="33"/>
        <v>34.92</v>
      </c>
      <c r="U256" s="98">
        <f t="shared" si="34"/>
        <v>7999.92</v>
      </c>
      <c r="V256" s="111">
        <v>255</v>
      </c>
      <c r="W256" s="108"/>
    </row>
    <row r="257" spans="1:23" ht="21.75" customHeight="1" x14ac:dyDescent="0.2">
      <c r="A257" s="106">
        <v>43721</v>
      </c>
      <c r="B257" s="97">
        <v>9</v>
      </c>
      <c r="C257" s="97">
        <v>9</v>
      </c>
      <c r="D257" s="97">
        <v>9</v>
      </c>
      <c r="E257" s="97">
        <v>9</v>
      </c>
      <c r="F257" s="97">
        <v>9</v>
      </c>
      <c r="G257" s="97">
        <v>9</v>
      </c>
      <c r="H257" s="97">
        <v>9</v>
      </c>
      <c r="I257" s="97">
        <v>9</v>
      </c>
      <c r="J257" s="97">
        <v>9</v>
      </c>
      <c r="K257" s="97">
        <v>9</v>
      </c>
      <c r="L257" s="97">
        <v>9</v>
      </c>
      <c r="M257" s="97">
        <v>9</v>
      </c>
      <c r="N257" s="97">
        <v>9</v>
      </c>
      <c r="O257" s="97">
        <v>9</v>
      </c>
      <c r="P257" s="97">
        <v>9</v>
      </c>
      <c r="Q257" s="97">
        <f t="shared" si="30"/>
        <v>63</v>
      </c>
      <c r="R257" s="104">
        <f t="shared" si="31"/>
        <v>7965</v>
      </c>
      <c r="S257" s="97">
        <f t="shared" si="32"/>
        <v>72</v>
      </c>
      <c r="T257" s="98">
        <f t="shared" si="33"/>
        <v>34.92</v>
      </c>
      <c r="U257" s="98">
        <f t="shared" si="34"/>
        <v>7999.92</v>
      </c>
      <c r="V257" s="111">
        <v>256</v>
      </c>
      <c r="W257" s="108"/>
    </row>
    <row r="258" spans="1:23" ht="21.75" customHeight="1" x14ac:dyDescent="0.2">
      <c r="A258" s="106">
        <v>43722</v>
      </c>
      <c r="B258" s="97">
        <v>9</v>
      </c>
      <c r="C258" s="97">
        <v>9</v>
      </c>
      <c r="D258" s="97">
        <v>9</v>
      </c>
      <c r="E258" s="97">
        <v>9</v>
      </c>
      <c r="F258" s="97">
        <v>9</v>
      </c>
      <c r="G258" s="97">
        <v>9</v>
      </c>
      <c r="H258" s="97">
        <v>9</v>
      </c>
      <c r="I258" s="97">
        <v>9</v>
      </c>
      <c r="J258" s="97">
        <v>9</v>
      </c>
      <c r="K258" s="97">
        <v>9</v>
      </c>
      <c r="L258" s="97">
        <v>9</v>
      </c>
      <c r="M258" s="97">
        <v>9</v>
      </c>
      <c r="N258" s="97">
        <v>9</v>
      </c>
      <c r="O258" s="97">
        <v>9</v>
      </c>
      <c r="P258" s="97">
        <v>9</v>
      </c>
      <c r="Q258" s="97">
        <f t="shared" si="30"/>
        <v>63</v>
      </c>
      <c r="R258" s="104">
        <f t="shared" si="31"/>
        <v>7965</v>
      </c>
      <c r="S258" s="97">
        <f t="shared" si="32"/>
        <v>72</v>
      </c>
      <c r="T258" s="98">
        <f t="shared" si="33"/>
        <v>34.92</v>
      </c>
      <c r="U258" s="98">
        <f t="shared" si="34"/>
        <v>7999.92</v>
      </c>
      <c r="V258" s="111">
        <v>257</v>
      </c>
      <c r="W258" s="108"/>
    </row>
    <row r="259" spans="1:23" ht="21.75" customHeight="1" x14ac:dyDescent="0.2">
      <c r="A259" s="106">
        <v>43723</v>
      </c>
      <c r="B259" s="97">
        <v>9</v>
      </c>
      <c r="C259" s="97">
        <v>9</v>
      </c>
      <c r="D259" s="97">
        <v>9</v>
      </c>
      <c r="E259" s="97">
        <v>9</v>
      </c>
      <c r="F259" s="97">
        <v>9</v>
      </c>
      <c r="G259" s="97">
        <v>9</v>
      </c>
      <c r="H259" s="97">
        <v>9</v>
      </c>
      <c r="I259" s="97">
        <v>9</v>
      </c>
      <c r="J259" s="97">
        <v>9</v>
      </c>
      <c r="K259" s="97">
        <v>9</v>
      </c>
      <c r="L259" s="97">
        <v>9</v>
      </c>
      <c r="M259" s="97">
        <v>9</v>
      </c>
      <c r="N259" s="97">
        <v>9</v>
      </c>
      <c r="O259" s="97">
        <v>9</v>
      </c>
      <c r="P259" s="97">
        <v>9</v>
      </c>
      <c r="Q259" s="97">
        <f t="shared" si="30"/>
        <v>63</v>
      </c>
      <c r="R259" s="104">
        <f t="shared" si="31"/>
        <v>7965</v>
      </c>
      <c r="S259" s="97">
        <f t="shared" si="32"/>
        <v>72</v>
      </c>
      <c r="T259" s="98">
        <f t="shared" si="33"/>
        <v>34.92</v>
      </c>
      <c r="U259" s="98">
        <f t="shared" si="34"/>
        <v>7999.92</v>
      </c>
      <c r="V259" s="111">
        <v>258</v>
      </c>
      <c r="W259" s="108"/>
    </row>
    <row r="260" spans="1:23" ht="21.75" customHeight="1" x14ac:dyDescent="0.2">
      <c r="A260" s="106">
        <v>43724</v>
      </c>
      <c r="B260" s="97">
        <v>9</v>
      </c>
      <c r="C260" s="97">
        <v>9</v>
      </c>
      <c r="D260" s="97">
        <v>9</v>
      </c>
      <c r="E260" s="97">
        <v>9</v>
      </c>
      <c r="F260" s="97">
        <v>9</v>
      </c>
      <c r="G260" s="97">
        <v>9</v>
      </c>
      <c r="H260" s="97">
        <v>9</v>
      </c>
      <c r="I260" s="97">
        <v>9</v>
      </c>
      <c r="J260" s="97">
        <v>9</v>
      </c>
      <c r="K260" s="97">
        <v>9</v>
      </c>
      <c r="L260" s="97">
        <v>9</v>
      </c>
      <c r="M260" s="97">
        <v>9</v>
      </c>
      <c r="N260" s="97">
        <v>9</v>
      </c>
      <c r="O260" s="97">
        <v>9</v>
      </c>
      <c r="P260" s="97">
        <v>9</v>
      </c>
      <c r="Q260" s="97">
        <f t="shared" si="30"/>
        <v>63</v>
      </c>
      <c r="R260" s="104">
        <f t="shared" si="31"/>
        <v>7965</v>
      </c>
      <c r="S260" s="97">
        <f t="shared" si="32"/>
        <v>72</v>
      </c>
      <c r="T260" s="98">
        <f t="shared" si="33"/>
        <v>34.92</v>
      </c>
      <c r="U260" s="98">
        <f t="shared" si="34"/>
        <v>7999.92</v>
      </c>
      <c r="V260" s="111">
        <v>259</v>
      </c>
      <c r="W260" s="108"/>
    </row>
    <row r="261" spans="1:23" ht="21.75" customHeight="1" x14ac:dyDescent="0.2">
      <c r="A261" s="106">
        <v>43725</v>
      </c>
      <c r="B261" s="97">
        <v>9</v>
      </c>
      <c r="C261" s="97">
        <v>9</v>
      </c>
      <c r="D261" s="97">
        <v>9</v>
      </c>
      <c r="E261" s="97">
        <v>9</v>
      </c>
      <c r="F261" s="97">
        <v>9</v>
      </c>
      <c r="G261" s="97">
        <v>9</v>
      </c>
      <c r="H261" s="97">
        <v>9</v>
      </c>
      <c r="I261" s="97">
        <v>9</v>
      </c>
      <c r="J261" s="97">
        <v>9</v>
      </c>
      <c r="K261" s="97">
        <v>9</v>
      </c>
      <c r="L261" s="97">
        <v>9</v>
      </c>
      <c r="M261" s="97">
        <v>9</v>
      </c>
      <c r="N261" s="97">
        <v>9</v>
      </c>
      <c r="O261" s="97">
        <v>9</v>
      </c>
      <c r="P261" s="97">
        <v>9</v>
      </c>
      <c r="Q261" s="97">
        <f t="shared" ref="Q261:Q324" si="35">SUM(B261:H261)</f>
        <v>63</v>
      </c>
      <c r="R261" s="104">
        <f t="shared" ref="R261:R324" si="36">SUM(B261*B$1+C261*C$1+D261*D$1+E261*E$1+F261*F$1+G261*G$1+H261*H$1)</f>
        <v>7965</v>
      </c>
      <c r="S261" s="97">
        <f t="shared" ref="S261:S324" si="37">SUM(I261:P261)</f>
        <v>72</v>
      </c>
      <c r="T261" s="98">
        <f t="shared" ref="T261:T324" si="38">SUM(I261*I$1+J261*J$1+K261*K$1+L261*L$1+M261*M$1+N261*N$1+O261*O$1+P261*P$1)</f>
        <v>34.92</v>
      </c>
      <c r="U261" s="98">
        <f t="shared" ref="U261:U324" si="39">SUM(R261+T261)</f>
        <v>7999.92</v>
      </c>
      <c r="V261" s="111">
        <v>260</v>
      </c>
      <c r="W261" s="108"/>
    </row>
    <row r="262" spans="1:23" ht="21.75" customHeight="1" x14ac:dyDescent="0.2">
      <c r="A262" s="106">
        <v>43726</v>
      </c>
      <c r="B262" s="97">
        <v>9</v>
      </c>
      <c r="C262" s="97">
        <v>9</v>
      </c>
      <c r="D262" s="97">
        <v>9</v>
      </c>
      <c r="E262" s="97">
        <v>9</v>
      </c>
      <c r="F262" s="97">
        <v>9</v>
      </c>
      <c r="G262" s="97">
        <v>9</v>
      </c>
      <c r="H262" s="97">
        <v>9</v>
      </c>
      <c r="I262" s="97">
        <v>9</v>
      </c>
      <c r="J262" s="97">
        <v>9</v>
      </c>
      <c r="K262" s="97">
        <v>9</v>
      </c>
      <c r="L262" s="97">
        <v>9</v>
      </c>
      <c r="M262" s="97">
        <v>9</v>
      </c>
      <c r="N262" s="97">
        <v>9</v>
      </c>
      <c r="O262" s="97">
        <v>9</v>
      </c>
      <c r="P262" s="97">
        <v>9</v>
      </c>
      <c r="Q262" s="97">
        <f t="shared" si="35"/>
        <v>63</v>
      </c>
      <c r="R262" s="104">
        <f t="shared" si="36"/>
        <v>7965</v>
      </c>
      <c r="S262" s="97">
        <f t="shared" si="37"/>
        <v>72</v>
      </c>
      <c r="T262" s="98">
        <f t="shared" si="38"/>
        <v>34.92</v>
      </c>
      <c r="U262" s="98">
        <f t="shared" si="39"/>
        <v>7999.92</v>
      </c>
      <c r="V262" s="111">
        <v>261</v>
      </c>
      <c r="W262" s="108"/>
    </row>
    <row r="263" spans="1:23" ht="21.75" customHeight="1" x14ac:dyDescent="0.2">
      <c r="A263" s="106">
        <v>43727</v>
      </c>
      <c r="B263" s="97">
        <v>9</v>
      </c>
      <c r="C263" s="97">
        <v>9</v>
      </c>
      <c r="D263" s="97">
        <v>9</v>
      </c>
      <c r="E263" s="97">
        <v>9</v>
      </c>
      <c r="F263" s="97">
        <v>9</v>
      </c>
      <c r="G263" s="97">
        <v>9</v>
      </c>
      <c r="H263" s="97">
        <v>9</v>
      </c>
      <c r="I263" s="97">
        <v>9</v>
      </c>
      <c r="J263" s="97">
        <v>9</v>
      </c>
      <c r="K263" s="97">
        <v>9</v>
      </c>
      <c r="L263" s="97">
        <v>9</v>
      </c>
      <c r="M263" s="97">
        <v>9</v>
      </c>
      <c r="N263" s="97">
        <v>9</v>
      </c>
      <c r="O263" s="97">
        <v>9</v>
      </c>
      <c r="P263" s="97">
        <v>9</v>
      </c>
      <c r="Q263" s="97">
        <f t="shared" si="35"/>
        <v>63</v>
      </c>
      <c r="R263" s="104">
        <f t="shared" si="36"/>
        <v>7965</v>
      </c>
      <c r="S263" s="97">
        <f t="shared" si="37"/>
        <v>72</v>
      </c>
      <c r="T263" s="98">
        <f t="shared" si="38"/>
        <v>34.92</v>
      </c>
      <c r="U263" s="98">
        <f t="shared" si="39"/>
        <v>7999.92</v>
      </c>
      <c r="V263" s="111">
        <v>262</v>
      </c>
      <c r="W263" s="108"/>
    </row>
    <row r="264" spans="1:23" ht="21.75" customHeight="1" x14ac:dyDescent="0.2">
      <c r="A264" s="106">
        <v>43728</v>
      </c>
      <c r="B264" s="97">
        <v>9</v>
      </c>
      <c r="C264" s="97">
        <v>9</v>
      </c>
      <c r="D264" s="97">
        <v>9</v>
      </c>
      <c r="E264" s="97">
        <v>9</v>
      </c>
      <c r="F264" s="97">
        <v>9</v>
      </c>
      <c r="G264" s="97">
        <v>9</v>
      </c>
      <c r="H264" s="97">
        <v>9</v>
      </c>
      <c r="I264" s="97">
        <v>9</v>
      </c>
      <c r="J264" s="97">
        <v>9</v>
      </c>
      <c r="K264" s="97">
        <v>9</v>
      </c>
      <c r="L264" s="97">
        <v>9</v>
      </c>
      <c r="M264" s="97">
        <v>9</v>
      </c>
      <c r="N264" s="97">
        <v>9</v>
      </c>
      <c r="O264" s="97">
        <v>9</v>
      </c>
      <c r="P264" s="97">
        <v>9</v>
      </c>
      <c r="Q264" s="97">
        <f t="shared" si="35"/>
        <v>63</v>
      </c>
      <c r="R264" s="104">
        <f t="shared" si="36"/>
        <v>7965</v>
      </c>
      <c r="S264" s="97">
        <f t="shared" si="37"/>
        <v>72</v>
      </c>
      <c r="T264" s="98">
        <f t="shared" si="38"/>
        <v>34.92</v>
      </c>
      <c r="U264" s="98">
        <f t="shared" si="39"/>
        <v>7999.92</v>
      </c>
      <c r="V264" s="111">
        <v>263</v>
      </c>
      <c r="W264" s="108"/>
    </row>
    <row r="265" spans="1:23" ht="21.75" customHeight="1" x14ac:dyDescent="0.2">
      <c r="A265" s="106">
        <v>43729</v>
      </c>
      <c r="B265" s="97">
        <v>9</v>
      </c>
      <c r="C265" s="97">
        <v>9</v>
      </c>
      <c r="D265" s="97">
        <v>9</v>
      </c>
      <c r="E265" s="97">
        <v>9</v>
      </c>
      <c r="F265" s="97">
        <v>9</v>
      </c>
      <c r="G265" s="97">
        <v>9</v>
      </c>
      <c r="H265" s="97">
        <v>9</v>
      </c>
      <c r="I265" s="97">
        <v>9</v>
      </c>
      <c r="J265" s="97">
        <v>9</v>
      </c>
      <c r="K265" s="97">
        <v>9</v>
      </c>
      <c r="L265" s="97">
        <v>9</v>
      </c>
      <c r="M265" s="97">
        <v>9</v>
      </c>
      <c r="N265" s="97">
        <v>9</v>
      </c>
      <c r="O265" s="97">
        <v>9</v>
      </c>
      <c r="P265" s="97">
        <v>9</v>
      </c>
      <c r="Q265" s="97">
        <f t="shared" si="35"/>
        <v>63</v>
      </c>
      <c r="R265" s="104">
        <f t="shared" si="36"/>
        <v>7965</v>
      </c>
      <c r="S265" s="97">
        <f t="shared" si="37"/>
        <v>72</v>
      </c>
      <c r="T265" s="98">
        <f t="shared" si="38"/>
        <v>34.92</v>
      </c>
      <c r="U265" s="98">
        <f t="shared" si="39"/>
        <v>7999.92</v>
      </c>
      <c r="V265" s="111">
        <v>264</v>
      </c>
      <c r="W265" s="108"/>
    </row>
    <row r="266" spans="1:23" ht="21.75" customHeight="1" x14ac:dyDescent="0.2">
      <c r="A266" s="106">
        <v>43730</v>
      </c>
      <c r="B266" s="97">
        <v>9</v>
      </c>
      <c r="C266" s="97">
        <v>9</v>
      </c>
      <c r="D266" s="97">
        <v>9</v>
      </c>
      <c r="E266" s="97">
        <v>9</v>
      </c>
      <c r="F266" s="97">
        <v>9</v>
      </c>
      <c r="G266" s="97">
        <v>9</v>
      </c>
      <c r="H266" s="97">
        <v>9</v>
      </c>
      <c r="I266" s="97">
        <v>9</v>
      </c>
      <c r="J266" s="97">
        <v>9</v>
      </c>
      <c r="K266" s="97">
        <v>9</v>
      </c>
      <c r="L266" s="97">
        <v>9</v>
      </c>
      <c r="M266" s="97">
        <v>9</v>
      </c>
      <c r="N266" s="97">
        <v>9</v>
      </c>
      <c r="O266" s="97">
        <v>9</v>
      </c>
      <c r="P266" s="97">
        <v>9</v>
      </c>
      <c r="Q266" s="97">
        <f t="shared" si="35"/>
        <v>63</v>
      </c>
      <c r="R266" s="104">
        <f t="shared" si="36"/>
        <v>7965</v>
      </c>
      <c r="S266" s="97">
        <f t="shared" si="37"/>
        <v>72</v>
      </c>
      <c r="T266" s="98">
        <f t="shared" si="38"/>
        <v>34.92</v>
      </c>
      <c r="U266" s="98">
        <f t="shared" si="39"/>
        <v>7999.92</v>
      </c>
      <c r="V266" s="111">
        <v>265</v>
      </c>
      <c r="W266" s="108"/>
    </row>
    <row r="267" spans="1:23" ht="21.75" customHeight="1" x14ac:dyDescent="0.2">
      <c r="A267" s="106">
        <v>43731</v>
      </c>
      <c r="B267" s="97">
        <v>9</v>
      </c>
      <c r="C267" s="97">
        <v>9</v>
      </c>
      <c r="D267" s="97">
        <v>9</v>
      </c>
      <c r="E267" s="97">
        <v>9</v>
      </c>
      <c r="F267" s="97">
        <v>9</v>
      </c>
      <c r="G267" s="97">
        <v>9</v>
      </c>
      <c r="H267" s="97">
        <v>9</v>
      </c>
      <c r="I267" s="97">
        <v>9</v>
      </c>
      <c r="J267" s="97">
        <v>9</v>
      </c>
      <c r="K267" s="97">
        <v>9</v>
      </c>
      <c r="L267" s="97">
        <v>9</v>
      </c>
      <c r="M267" s="97">
        <v>9</v>
      </c>
      <c r="N267" s="97">
        <v>9</v>
      </c>
      <c r="O267" s="97">
        <v>9</v>
      </c>
      <c r="P267" s="97">
        <v>9</v>
      </c>
      <c r="Q267" s="97">
        <f t="shared" si="35"/>
        <v>63</v>
      </c>
      <c r="R267" s="104">
        <f t="shared" si="36"/>
        <v>7965</v>
      </c>
      <c r="S267" s="97">
        <f t="shared" si="37"/>
        <v>72</v>
      </c>
      <c r="T267" s="98">
        <f t="shared" si="38"/>
        <v>34.92</v>
      </c>
      <c r="U267" s="98">
        <f t="shared" si="39"/>
        <v>7999.92</v>
      </c>
      <c r="V267" s="111">
        <v>266</v>
      </c>
      <c r="W267" s="108"/>
    </row>
    <row r="268" spans="1:23" ht="21.75" customHeight="1" x14ac:dyDescent="0.2">
      <c r="A268" s="106">
        <v>43732</v>
      </c>
      <c r="B268" s="97">
        <v>9</v>
      </c>
      <c r="C268" s="97">
        <v>9</v>
      </c>
      <c r="D268" s="97">
        <v>9</v>
      </c>
      <c r="E268" s="97">
        <v>9</v>
      </c>
      <c r="F268" s="97">
        <v>9</v>
      </c>
      <c r="G268" s="97">
        <v>9</v>
      </c>
      <c r="H268" s="97">
        <v>9</v>
      </c>
      <c r="I268" s="97">
        <v>9</v>
      </c>
      <c r="J268" s="97">
        <v>9</v>
      </c>
      <c r="K268" s="97">
        <v>9</v>
      </c>
      <c r="L268" s="97">
        <v>9</v>
      </c>
      <c r="M268" s="97">
        <v>9</v>
      </c>
      <c r="N268" s="97">
        <v>9</v>
      </c>
      <c r="O268" s="97">
        <v>9</v>
      </c>
      <c r="P268" s="97">
        <v>9</v>
      </c>
      <c r="Q268" s="97">
        <f t="shared" si="35"/>
        <v>63</v>
      </c>
      <c r="R268" s="104">
        <f t="shared" si="36"/>
        <v>7965</v>
      </c>
      <c r="S268" s="97">
        <f t="shared" si="37"/>
        <v>72</v>
      </c>
      <c r="T268" s="98">
        <f t="shared" si="38"/>
        <v>34.92</v>
      </c>
      <c r="U268" s="98">
        <f t="shared" si="39"/>
        <v>7999.92</v>
      </c>
      <c r="V268" s="111">
        <v>267</v>
      </c>
      <c r="W268" s="108"/>
    </row>
    <row r="269" spans="1:23" ht="21.75" customHeight="1" x14ac:dyDescent="0.2">
      <c r="A269" s="106">
        <v>43733</v>
      </c>
      <c r="B269" s="97">
        <v>9</v>
      </c>
      <c r="C269" s="97">
        <v>9</v>
      </c>
      <c r="D269" s="97">
        <v>9</v>
      </c>
      <c r="E269" s="97">
        <v>9</v>
      </c>
      <c r="F269" s="97">
        <v>9</v>
      </c>
      <c r="G269" s="97">
        <v>9</v>
      </c>
      <c r="H269" s="97">
        <v>9</v>
      </c>
      <c r="I269" s="97">
        <v>9</v>
      </c>
      <c r="J269" s="97">
        <v>9</v>
      </c>
      <c r="K269" s="97">
        <v>9</v>
      </c>
      <c r="L269" s="97">
        <v>9</v>
      </c>
      <c r="M269" s="97">
        <v>9</v>
      </c>
      <c r="N269" s="97">
        <v>9</v>
      </c>
      <c r="O269" s="97">
        <v>9</v>
      </c>
      <c r="P269" s="97">
        <v>9</v>
      </c>
      <c r="Q269" s="97">
        <f t="shared" si="35"/>
        <v>63</v>
      </c>
      <c r="R269" s="104">
        <f t="shared" si="36"/>
        <v>7965</v>
      </c>
      <c r="S269" s="97">
        <f t="shared" si="37"/>
        <v>72</v>
      </c>
      <c r="T269" s="98">
        <f t="shared" si="38"/>
        <v>34.92</v>
      </c>
      <c r="U269" s="98">
        <f t="shared" si="39"/>
        <v>7999.92</v>
      </c>
      <c r="V269" s="111">
        <v>268</v>
      </c>
      <c r="W269" s="108"/>
    </row>
    <row r="270" spans="1:23" ht="21.75" customHeight="1" x14ac:dyDescent="0.2">
      <c r="A270" s="106">
        <v>43734</v>
      </c>
      <c r="B270" s="97">
        <v>9</v>
      </c>
      <c r="C270" s="97">
        <v>9</v>
      </c>
      <c r="D270" s="97">
        <v>9</v>
      </c>
      <c r="E270" s="97">
        <v>9</v>
      </c>
      <c r="F270" s="97">
        <v>9</v>
      </c>
      <c r="G270" s="97">
        <v>9</v>
      </c>
      <c r="H270" s="97">
        <v>9</v>
      </c>
      <c r="I270" s="97">
        <v>9</v>
      </c>
      <c r="J270" s="97">
        <v>9</v>
      </c>
      <c r="K270" s="97">
        <v>9</v>
      </c>
      <c r="L270" s="97">
        <v>9</v>
      </c>
      <c r="M270" s="97">
        <v>9</v>
      </c>
      <c r="N270" s="97">
        <v>9</v>
      </c>
      <c r="O270" s="97">
        <v>9</v>
      </c>
      <c r="P270" s="97">
        <v>9</v>
      </c>
      <c r="Q270" s="97">
        <f t="shared" si="35"/>
        <v>63</v>
      </c>
      <c r="R270" s="104">
        <f t="shared" si="36"/>
        <v>7965</v>
      </c>
      <c r="S270" s="97">
        <f t="shared" si="37"/>
        <v>72</v>
      </c>
      <c r="T270" s="98">
        <f t="shared" si="38"/>
        <v>34.92</v>
      </c>
      <c r="U270" s="98">
        <f t="shared" si="39"/>
        <v>7999.92</v>
      </c>
      <c r="V270" s="111">
        <v>269</v>
      </c>
      <c r="W270" s="108"/>
    </row>
    <row r="271" spans="1:23" ht="21.75" customHeight="1" x14ac:dyDescent="0.2">
      <c r="A271" s="106">
        <v>43735</v>
      </c>
      <c r="B271" s="97">
        <v>9</v>
      </c>
      <c r="C271" s="97">
        <v>9</v>
      </c>
      <c r="D271" s="97">
        <v>9</v>
      </c>
      <c r="E271" s="97">
        <v>9</v>
      </c>
      <c r="F271" s="97">
        <v>9</v>
      </c>
      <c r="G271" s="97">
        <v>9</v>
      </c>
      <c r="H271" s="97">
        <v>9</v>
      </c>
      <c r="I271" s="97">
        <v>9</v>
      </c>
      <c r="J271" s="97">
        <v>9</v>
      </c>
      <c r="K271" s="97">
        <v>9</v>
      </c>
      <c r="L271" s="97">
        <v>9</v>
      </c>
      <c r="M271" s="97">
        <v>9</v>
      </c>
      <c r="N271" s="97">
        <v>9</v>
      </c>
      <c r="O271" s="97">
        <v>9</v>
      </c>
      <c r="P271" s="97">
        <v>9</v>
      </c>
      <c r="Q271" s="97">
        <f t="shared" si="35"/>
        <v>63</v>
      </c>
      <c r="R271" s="104">
        <f t="shared" si="36"/>
        <v>7965</v>
      </c>
      <c r="S271" s="97">
        <f t="shared" si="37"/>
        <v>72</v>
      </c>
      <c r="T271" s="98">
        <f t="shared" si="38"/>
        <v>34.92</v>
      </c>
      <c r="U271" s="98">
        <f t="shared" si="39"/>
        <v>7999.92</v>
      </c>
      <c r="V271" s="111">
        <v>270</v>
      </c>
      <c r="W271" s="108"/>
    </row>
    <row r="272" spans="1:23" ht="21.75" customHeight="1" x14ac:dyDescent="0.2">
      <c r="A272" s="106">
        <v>43736</v>
      </c>
      <c r="B272" s="97">
        <v>9</v>
      </c>
      <c r="C272" s="97">
        <v>9</v>
      </c>
      <c r="D272" s="97">
        <v>9</v>
      </c>
      <c r="E272" s="97">
        <v>9</v>
      </c>
      <c r="F272" s="97">
        <v>9</v>
      </c>
      <c r="G272" s="97">
        <v>9</v>
      </c>
      <c r="H272" s="97">
        <v>9</v>
      </c>
      <c r="I272" s="97">
        <v>9</v>
      </c>
      <c r="J272" s="97">
        <v>9</v>
      </c>
      <c r="K272" s="97">
        <v>9</v>
      </c>
      <c r="L272" s="97">
        <v>9</v>
      </c>
      <c r="M272" s="97">
        <v>9</v>
      </c>
      <c r="N272" s="97">
        <v>9</v>
      </c>
      <c r="O272" s="97">
        <v>9</v>
      </c>
      <c r="P272" s="97">
        <v>9</v>
      </c>
      <c r="Q272" s="97">
        <f t="shared" si="35"/>
        <v>63</v>
      </c>
      <c r="R272" s="104">
        <f t="shared" si="36"/>
        <v>7965</v>
      </c>
      <c r="S272" s="97">
        <f t="shared" si="37"/>
        <v>72</v>
      </c>
      <c r="T272" s="98">
        <f t="shared" si="38"/>
        <v>34.92</v>
      </c>
      <c r="U272" s="98">
        <f t="shared" si="39"/>
        <v>7999.92</v>
      </c>
      <c r="V272" s="111">
        <v>271</v>
      </c>
      <c r="W272" s="108"/>
    </row>
    <row r="273" spans="1:23" ht="21.75" customHeight="1" x14ac:dyDescent="0.2">
      <c r="A273" s="106">
        <v>43737</v>
      </c>
      <c r="B273" s="97">
        <v>9</v>
      </c>
      <c r="C273" s="97">
        <v>9</v>
      </c>
      <c r="D273" s="97">
        <v>9</v>
      </c>
      <c r="E273" s="97">
        <v>9</v>
      </c>
      <c r="F273" s="97">
        <v>9</v>
      </c>
      <c r="G273" s="97">
        <v>9</v>
      </c>
      <c r="H273" s="97">
        <v>9</v>
      </c>
      <c r="I273" s="97">
        <v>9</v>
      </c>
      <c r="J273" s="97">
        <v>9</v>
      </c>
      <c r="K273" s="97">
        <v>9</v>
      </c>
      <c r="L273" s="97">
        <v>9</v>
      </c>
      <c r="M273" s="97">
        <v>9</v>
      </c>
      <c r="N273" s="97">
        <v>9</v>
      </c>
      <c r="O273" s="97">
        <v>9</v>
      </c>
      <c r="P273" s="97">
        <v>9</v>
      </c>
      <c r="Q273" s="97">
        <f t="shared" si="35"/>
        <v>63</v>
      </c>
      <c r="R273" s="104">
        <f t="shared" si="36"/>
        <v>7965</v>
      </c>
      <c r="S273" s="97">
        <f t="shared" si="37"/>
        <v>72</v>
      </c>
      <c r="T273" s="98">
        <f t="shared" si="38"/>
        <v>34.92</v>
      </c>
      <c r="U273" s="98">
        <f t="shared" si="39"/>
        <v>7999.92</v>
      </c>
      <c r="V273" s="111">
        <v>272</v>
      </c>
      <c r="W273" s="108"/>
    </row>
    <row r="274" spans="1:23" ht="21.75" customHeight="1" x14ac:dyDescent="0.2">
      <c r="A274" s="106">
        <v>43738</v>
      </c>
      <c r="B274" s="97">
        <v>9</v>
      </c>
      <c r="C274" s="97">
        <v>9</v>
      </c>
      <c r="D274" s="97">
        <v>9</v>
      </c>
      <c r="E274" s="97">
        <v>9</v>
      </c>
      <c r="F274" s="97">
        <v>9</v>
      </c>
      <c r="G274" s="97">
        <v>9</v>
      </c>
      <c r="H274" s="97">
        <v>9</v>
      </c>
      <c r="I274" s="97">
        <v>9</v>
      </c>
      <c r="J274" s="97">
        <v>9</v>
      </c>
      <c r="K274" s="97">
        <v>9</v>
      </c>
      <c r="L274" s="97">
        <v>9</v>
      </c>
      <c r="M274" s="97">
        <v>9</v>
      </c>
      <c r="N274" s="97">
        <v>9</v>
      </c>
      <c r="O274" s="97">
        <v>9</v>
      </c>
      <c r="P274" s="97">
        <v>9</v>
      </c>
      <c r="Q274" s="97">
        <f t="shared" si="35"/>
        <v>63</v>
      </c>
      <c r="R274" s="104">
        <f t="shared" si="36"/>
        <v>7965</v>
      </c>
      <c r="S274" s="97">
        <f t="shared" si="37"/>
        <v>72</v>
      </c>
      <c r="T274" s="98">
        <f t="shared" si="38"/>
        <v>34.92</v>
      </c>
      <c r="U274" s="98">
        <f t="shared" si="39"/>
        <v>7999.92</v>
      </c>
      <c r="V274" s="111">
        <v>273</v>
      </c>
      <c r="W274" s="108"/>
    </row>
    <row r="275" spans="1:23" ht="21.75" customHeight="1" x14ac:dyDescent="0.2">
      <c r="A275" s="106">
        <v>43739</v>
      </c>
      <c r="B275" s="97">
        <v>9</v>
      </c>
      <c r="C275" s="97">
        <v>9</v>
      </c>
      <c r="D275" s="97">
        <v>9</v>
      </c>
      <c r="E275" s="97">
        <v>9</v>
      </c>
      <c r="F275" s="97">
        <v>9</v>
      </c>
      <c r="G275" s="97">
        <v>9</v>
      </c>
      <c r="H275" s="97">
        <v>9</v>
      </c>
      <c r="I275" s="97">
        <v>9</v>
      </c>
      <c r="J275" s="97">
        <v>9</v>
      </c>
      <c r="K275" s="97">
        <v>9</v>
      </c>
      <c r="L275" s="97">
        <v>9</v>
      </c>
      <c r="M275" s="97">
        <v>9</v>
      </c>
      <c r="N275" s="97">
        <v>9</v>
      </c>
      <c r="O275" s="97">
        <v>9</v>
      </c>
      <c r="P275" s="97">
        <v>9</v>
      </c>
      <c r="Q275" s="97">
        <f t="shared" si="35"/>
        <v>63</v>
      </c>
      <c r="R275" s="104">
        <f t="shared" si="36"/>
        <v>7965</v>
      </c>
      <c r="S275" s="97">
        <f t="shared" si="37"/>
        <v>72</v>
      </c>
      <c r="T275" s="98">
        <f t="shared" si="38"/>
        <v>34.92</v>
      </c>
      <c r="U275" s="98">
        <f t="shared" si="39"/>
        <v>7999.92</v>
      </c>
      <c r="V275" s="111">
        <v>274</v>
      </c>
      <c r="W275" s="108"/>
    </row>
    <row r="276" spans="1:23" ht="21.75" customHeight="1" x14ac:dyDescent="0.2">
      <c r="A276" s="106">
        <v>43740</v>
      </c>
      <c r="B276" s="97">
        <v>9</v>
      </c>
      <c r="C276" s="97">
        <v>9</v>
      </c>
      <c r="D276" s="97">
        <v>9</v>
      </c>
      <c r="E276" s="97">
        <v>9</v>
      </c>
      <c r="F276" s="97">
        <v>9</v>
      </c>
      <c r="G276" s="97">
        <v>9</v>
      </c>
      <c r="H276" s="97">
        <v>9</v>
      </c>
      <c r="I276" s="97">
        <v>9</v>
      </c>
      <c r="J276" s="97">
        <v>9</v>
      </c>
      <c r="K276" s="97">
        <v>9</v>
      </c>
      <c r="L276" s="97">
        <v>9</v>
      </c>
      <c r="M276" s="97">
        <v>9</v>
      </c>
      <c r="N276" s="97">
        <v>9</v>
      </c>
      <c r="O276" s="97">
        <v>9</v>
      </c>
      <c r="P276" s="97">
        <v>9</v>
      </c>
      <c r="Q276" s="97">
        <f t="shared" si="35"/>
        <v>63</v>
      </c>
      <c r="R276" s="104">
        <f t="shared" si="36"/>
        <v>7965</v>
      </c>
      <c r="S276" s="97">
        <f t="shared" si="37"/>
        <v>72</v>
      </c>
      <c r="T276" s="98">
        <f t="shared" si="38"/>
        <v>34.92</v>
      </c>
      <c r="U276" s="98">
        <f t="shared" si="39"/>
        <v>7999.92</v>
      </c>
      <c r="V276" s="111">
        <v>275</v>
      </c>
      <c r="W276" s="108"/>
    </row>
    <row r="277" spans="1:23" ht="21.75" customHeight="1" x14ac:dyDescent="0.2">
      <c r="A277" s="106">
        <v>43741</v>
      </c>
      <c r="B277" s="97">
        <v>9</v>
      </c>
      <c r="C277" s="97">
        <v>9</v>
      </c>
      <c r="D277" s="97">
        <v>9</v>
      </c>
      <c r="E277" s="97">
        <v>9</v>
      </c>
      <c r="F277" s="97">
        <v>9</v>
      </c>
      <c r="G277" s="97">
        <v>9</v>
      </c>
      <c r="H277" s="97">
        <v>9</v>
      </c>
      <c r="I277" s="97">
        <v>9</v>
      </c>
      <c r="J277" s="97">
        <v>9</v>
      </c>
      <c r="K277" s="97">
        <v>9</v>
      </c>
      <c r="L277" s="97">
        <v>9</v>
      </c>
      <c r="M277" s="97">
        <v>9</v>
      </c>
      <c r="N277" s="97">
        <v>9</v>
      </c>
      <c r="O277" s="97">
        <v>9</v>
      </c>
      <c r="P277" s="97">
        <v>9</v>
      </c>
      <c r="Q277" s="97">
        <f t="shared" si="35"/>
        <v>63</v>
      </c>
      <c r="R277" s="104">
        <f t="shared" si="36"/>
        <v>7965</v>
      </c>
      <c r="S277" s="97">
        <f t="shared" si="37"/>
        <v>72</v>
      </c>
      <c r="T277" s="98">
        <f t="shared" si="38"/>
        <v>34.92</v>
      </c>
      <c r="U277" s="98">
        <f t="shared" si="39"/>
        <v>7999.92</v>
      </c>
      <c r="V277" s="111">
        <v>276</v>
      </c>
      <c r="W277" s="108"/>
    </row>
    <row r="278" spans="1:23" ht="21.75" customHeight="1" x14ac:dyDescent="0.2">
      <c r="A278" s="106">
        <v>43742</v>
      </c>
      <c r="B278" s="97">
        <v>9</v>
      </c>
      <c r="C278" s="97">
        <v>9</v>
      </c>
      <c r="D278" s="97">
        <v>9</v>
      </c>
      <c r="E278" s="97">
        <v>9</v>
      </c>
      <c r="F278" s="97">
        <v>9</v>
      </c>
      <c r="G278" s="97">
        <v>9</v>
      </c>
      <c r="H278" s="97">
        <v>9</v>
      </c>
      <c r="I278" s="97">
        <v>9</v>
      </c>
      <c r="J278" s="97">
        <v>9</v>
      </c>
      <c r="K278" s="97">
        <v>9</v>
      </c>
      <c r="L278" s="97">
        <v>9</v>
      </c>
      <c r="M278" s="97">
        <v>9</v>
      </c>
      <c r="N278" s="97">
        <v>9</v>
      </c>
      <c r="O278" s="97">
        <v>9</v>
      </c>
      <c r="P278" s="97">
        <v>9</v>
      </c>
      <c r="Q278" s="97">
        <f t="shared" si="35"/>
        <v>63</v>
      </c>
      <c r="R278" s="104">
        <f t="shared" si="36"/>
        <v>7965</v>
      </c>
      <c r="S278" s="97">
        <f t="shared" si="37"/>
        <v>72</v>
      </c>
      <c r="T278" s="98">
        <f t="shared" si="38"/>
        <v>34.92</v>
      </c>
      <c r="U278" s="98">
        <f t="shared" si="39"/>
        <v>7999.92</v>
      </c>
      <c r="V278" s="111">
        <v>277</v>
      </c>
      <c r="W278" s="108"/>
    </row>
    <row r="279" spans="1:23" ht="21.75" customHeight="1" x14ac:dyDescent="0.2">
      <c r="A279" s="106">
        <v>43743</v>
      </c>
      <c r="B279" s="97">
        <v>9</v>
      </c>
      <c r="C279" s="97">
        <v>9</v>
      </c>
      <c r="D279" s="97">
        <v>9</v>
      </c>
      <c r="E279" s="97">
        <v>9</v>
      </c>
      <c r="F279" s="97">
        <v>9</v>
      </c>
      <c r="G279" s="97">
        <v>9</v>
      </c>
      <c r="H279" s="97">
        <v>9</v>
      </c>
      <c r="I279" s="97">
        <v>9</v>
      </c>
      <c r="J279" s="97">
        <v>9</v>
      </c>
      <c r="K279" s="97">
        <v>9</v>
      </c>
      <c r="L279" s="97">
        <v>9</v>
      </c>
      <c r="M279" s="97">
        <v>9</v>
      </c>
      <c r="N279" s="97">
        <v>9</v>
      </c>
      <c r="O279" s="97">
        <v>9</v>
      </c>
      <c r="P279" s="97">
        <v>9</v>
      </c>
      <c r="Q279" s="97">
        <f t="shared" si="35"/>
        <v>63</v>
      </c>
      <c r="R279" s="104">
        <f t="shared" si="36"/>
        <v>7965</v>
      </c>
      <c r="S279" s="97">
        <f t="shared" si="37"/>
        <v>72</v>
      </c>
      <c r="T279" s="98">
        <f t="shared" si="38"/>
        <v>34.92</v>
      </c>
      <c r="U279" s="98">
        <f t="shared" si="39"/>
        <v>7999.92</v>
      </c>
      <c r="V279" s="111">
        <v>278</v>
      </c>
      <c r="W279" s="108"/>
    </row>
    <row r="280" spans="1:23" ht="21.75" customHeight="1" x14ac:dyDescent="0.2">
      <c r="A280" s="106">
        <v>43744</v>
      </c>
      <c r="B280" s="97">
        <v>9</v>
      </c>
      <c r="C280" s="97">
        <v>9</v>
      </c>
      <c r="D280" s="97">
        <v>9</v>
      </c>
      <c r="E280" s="97">
        <v>9</v>
      </c>
      <c r="F280" s="97">
        <v>9</v>
      </c>
      <c r="G280" s="97">
        <v>9</v>
      </c>
      <c r="H280" s="97">
        <v>9</v>
      </c>
      <c r="I280" s="97">
        <v>9</v>
      </c>
      <c r="J280" s="97">
        <v>9</v>
      </c>
      <c r="K280" s="97">
        <v>9</v>
      </c>
      <c r="L280" s="97">
        <v>9</v>
      </c>
      <c r="M280" s="97">
        <v>9</v>
      </c>
      <c r="N280" s="97">
        <v>9</v>
      </c>
      <c r="O280" s="97">
        <v>9</v>
      </c>
      <c r="P280" s="97">
        <v>9</v>
      </c>
      <c r="Q280" s="97">
        <f t="shared" si="35"/>
        <v>63</v>
      </c>
      <c r="R280" s="104">
        <f t="shared" si="36"/>
        <v>7965</v>
      </c>
      <c r="S280" s="97">
        <f t="shared" si="37"/>
        <v>72</v>
      </c>
      <c r="T280" s="98">
        <f t="shared" si="38"/>
        <v>34.92</v>
      </c>
      <c r="U280" s="98">
        <f t="shared" si="39"/>
        <v>7999.92</v>
      </c>
      <c r="V280" s="111">
        <v>279</v>
      </c>
      <c r="W280" s="108"/>
    </row>
    <row r="281" spans="1:23" ht="21.75" customHeight="1" x14ac:dyDescent="0.2">
      <c r="A281" s="106">
        <v>43745</v>
      </c>
      <c r="B281" s="97">
        <v>9</v>
      </c>
      <c r="C281" s="97">
        <v>9</v>
      </c>
      <c r="D281" s="97">
        <v>9</v>
      </c>
      <c r="E281" s="97">
        <v>9</v>
      </c>
      <c r="F281" s="97">
        <v>9</v>
      </c>
      <c r="G281" s="97">
        <v>9</v>
      </c>
      <c r="H281" s="97">
        <v>9</v>
      </c>
      <c r="I281" s="97">
        <v>9</v>
      </c>
      <c r="J281" s="97">
        <v>9</v>
      </c>
      <c r="K281" s="97">
        <v>9</v>
      </c>
      <c r="L281" s="97">
        <v>9</v>
      </c>
      <c r="M281" s="97">
        <v>9</v>
      </c>
      <c r="N281" s="97">
        <v>9</v>
      </c>
      <c r="O281" s="97">
        <v>9</v>
      </c>
      <c r="P281" s="97">
        <v>9</v>
      </c>
      <c r="Q281" s="97">
        <f t="shared" si="35"/>
        <v>63</v>
      </c>
      <c r="R281" s="104">
        <f t="shared" si="36"/>
        <v>7965</v>
      </c>
      <c r="S281" s="97">
        <f t="shared" si="37"/>
        <v>72</v>
      </c>
      <c r="T281" s="98">
        <f t="shared" si="38"/>
        <v>34.92</v>
      </c>
      <c r="U281" s="98">
        <f t="shared" si="39"/>
        <v>7999.92</v>
      </c>
      <c r="V281" s="111">
        <v>280</v>
      </c>
      <c r="W281" s="108"/>
    </row>
    <row r="282" spans="1:23" ht="21.75" customHeight="1" x14ac:dyDescent="0.2">
      <c r="A282" s="106">
        <v>43746</v>
      </c>
      <c r="B282" s="97">
        <v>9</v>
      </c>
      <c r="C282" s="97">
        <v>9</v>
      </c>
      <c r="D282" s="97">
        <v>9</v>
      </c>
      <c r="E282" s="97">
        <v>9</v>
      </c>
      <c r="F282" s="97">
        <v>9</v>
      </c>
      <c r="G282" s="97">
        <v>9</v>
      </c>
      <c r="H282" s="97">
        <v>9</v>
      </c>
      <c r="I282" s="97">
        <v>9</v>
      </c>
      <c r="J282" s="97">
        <v>9</v>
      </c>
      <c r="K282" s="97">
        <v>9</v>
      </c>
      <c r="L282" s="97">
        <v>9</v>
      </c>
      <c r="M282" s="97">
        <v>9</v>
      </c>
      <c r="N282" s="97">
        <v>9</v>
      </c>
      <c r="O282" s="97">
        <v>9</v>
      </c>
      <c r="P282" s="97">
        <v>9</v>
      </c>
      <c r="Q282" s="97">
        <f t="shared" si="35"/>
        <v>63</v>
      </c>
      <c r="R282" s="104">
        <f t="shared" si="36"/>
        <v>7965</v>
      </c>
      <c r="S282" s="97">
        <f t="shared" si="37"/>
        <v>72</v>
      </c>
      <c r="T282" s="98">
        <f t="shared" si="38"/>
        <v>34.92</v>
      </c>
      <c r="U282" s="98">
        <f t="shared" si="39"/>
        <v>7999.92</v>
      </c>
      <c r="V282" s="111">
        <v>281</v>
      </c>
      <c r="W282" s="108"/>
    </row>
    <row r="283" spans="1:23" ht="21.75" customHeight="1" x14ac:dyDescent="0.2">
      <c r="A283" s="106">
        <v>43747</v>
      </c>
      <c r="B283" s="97">
        <v>9</v>
      </c>
      <c r="C283" s="97">
        <v>9</v>
      </c>
      <c r="D283" s="97">
        <v>9</v>
      </c>
      <c r="E283" s="97">
        <v>9</v>
      </c>
      <c r="F283" s="97">
        <v>9</v>
      </c>
      <c r="G283" s="97">
        <v>9</v>
      </c>
      <c r="H283" s="97">
        <v>9</v>
      </c>
      <c r="I283" s="97">
        <v>9</v>
      </c>
      <c r="J283" s="97">
        <v>9</v>
      </c>
      <c r="K283" s="97">
        <v>9</v>
      </c>
      <c r="L283" s="97">
        <v>9</v>
      </c>
      <c r="M283" s="97">
        <v>9</v>
      </c>
      <c r="N283" s="97">
        <v>9</v>
      </c>
      <c r="O283" s="97">
        <v>9</v>
      </c>
      <c r="P283" s="97">
        <v>9</v>
      </c>
      <c r="Q283" s="97">
        <f t="shared" si="35"/>
        <v>63</v>
      </c>
      <c r="R283" s="104">
        <f t="shared" si="36"/>
        <v>7965</v>
      </c>
      <c r="S283" s="97">
        <f t="shared" si="37"/>
        <v>72</v>
      </c>
      <c r="T283" s="98">
        <f t="shared" si="38"/>
        <v>34.92</v>
      </c>
      <c r="U283" s="98">
        <f t="shared" si="39"/>
        <v>7999.92</v>
      </c>
      <c r="V283" s="111">
        <v>282</v>
      </c>
      <c r="W283" s="108"/>
    </row>
    <row r="284" spans="1:23" ht="21.75" customHeight="1" x14ac:dyDescent="0.2">
      <c r="A284" s="106">
        <v>43748</v>
      </c>
      <c r="B284" s="97">
        <v>9</v>
      </c>
      <c r="C284" s="97">
        <v>9</v>
      </c>
      <c r="D284" s="97">
        <v>9</v>
      </c>
      <c r="E284" s="97">
        <v>9</v>
      </c>
      <c r="F284" s="97">
        <v>9</v>
      </c>
      <c r="G284" s="97">
        <v>9</v>
      </c>
      <c r="H284" s="97">
        <v>9</v>
      </c>
      <c r="I284" s="97">
        <v>9</v>
      </c>
      <c r="J284" s="97">
        <v>9</v>
      </c>
      <c r="K284" s="97">
        <v>9</v>
      </c>
      <c r="L284" s="97">
        <v>9</v>
      </c>
      <c r="M284" s="97">
        <v>9</v>
      </c>
      <c r="N284" s="97">
        <v>9</v>
      </c>
      <c r="O284" s="97">
        <v>9</v>
      </c>
      <c r="P284" s="97">
        <v>9</v>
      </c>
      <c r="Q284" s="97">
        <f t="shared" si="35"/>
        <v>63</v>
      </c>
      <c r="R284" s="104">
        <f t="shared" si="36"/>
        <v>7965</v>
      </c>
      <c r="S284" s="97">
        <f t="shared" si="37"/>
        <v>72</v>
      </c>
      <c r="T284" s="98">
        <f t="shared" si="38"/>
        <v>34.92</v>
      </c>
      <c r="U284" s="98">
        <f t="shared" si="39"/>
        <v>7999.92</v>
      </c>
      <c r="V284" s="111">
        <v>283</v>
      </c>
      <c r="W284" s="108"/>
    </row>
    <row r="285" spans="1:23" ht="21.75" customHeight="1" x14ac:dyDescent="0.2">
      <c r="A285" s="106">
        <v>43749</v>
      </c>
      <c r="B285" s="97">
        <v>9</v>
      </c>
      <c r="C285" s="97">
        <v>9</v>
      </c>
      <c r="D285" s="97">
        <v>9</v>
      </c>
      <c r="E285" s="97">
        <v>9</v>
      </c>
      <c r="F285" s="97">
        <v>9</v>
      </c>
      <c r="G285" s="97">
        <v>9</v>
      </c>
      <c r="H285" s="97">
        <v>9</v>
      </c>
      <c r="I285" s="97">
        <v>9</v>
      </c>
      <c r="J285" s="97">
        <v>9</v>
      </c>
      <c r="K285" s="97">
        <v>9</v>
      </c>
      <c r="L285" s="97">
        <v>9</v>
      </c>
      <c r="M285" s="97">
        <v>9</v>
      </c>
      <c r="N285" s="97">
        <v>9</v>
      </c>
      <c r="O285" s="97">
        <v>9</v>
      </c>
      <c r="P285" s="97">
        <v>9</v>
      </c>
      <c r="Q285" s="97">
        <f t="shared" si="35"/>
        <v>63</v>
      </c>
      <c r="R285" s="104">
        <f t="shared" si="36"/>
        <v>7965</v>
      </c>
      <c r="S285" s="97">
        <f t="shared" si="37"/>
        <v>72</v>
      </c>
      <c r="T285" s="98">
        <f t="shared" si="38"/>
        <v>34.92</v>
      </c>
      <c r="U285" s="98">
        <f t="shared" si="39"/>
        <v>7999.92</v>
      </c>
      <c r="V285" s="111">
        <v>284</v>
      </c>
      <c r="W285" s="108"/>
    </row>
    <row r="286" spans="1:23" ht="21.75" customHeight="1" x14ac:dyDescent="0.2">
      <c r="A286" s="106">
        <v>43750</v>
      </c>
      <c r="B286" s="97">
        <v>9</v>
      </c>
      <c r="C286" s="97">
        <v>9</v>
      </c>
      <c r="D286" s="97">
        <v>9</v>
      </c>
      <c r="E286" s="97">
        <v>9</v>
      </c>
      <c r="F286" s="97">
        <v>9</v>
      </c>
      <c r="G286" s="97">
        <v>9</v>
      </c>
      <c r="H286" s="97">
        <v>9</v>
      </c>
      <c r="I286" s="97">
        <v>9</v>
      </c>
      <c r="J286" s="97">
        <v>9</v>
      </c>
      <c r="K286" s="97">
        <v>9</v>
      </c>
      <c r="L286" s="97">
        <v>9</v>
      </c>
      <c r="M286" s="97">
        <v>9</v>
      </c>
      <c r="N286" s="97">
        <v>9</v>
      </c>
      <c r="O286" s="97">
        <v>9</v>
      </c>
      <c r="P286" s="97">
        <v>9</v>
      </c>
      <c r="Q286" s="97">
        <f t="shared" si="35"/>
        <v>63</v>
      </c>
      <c r="R286" s="104">
        <f t="shared" si="36"/>
        <v>7965</v>
      </c>
      <c r="S286" s="97">
        <f t="shared" si="37"/>
        <v>72</v>
      </c>
      <c r="T286" s="98">
        <f t="shared" si="38"/>
        <v>34.92</v>
      </c>
      <c r="U286" s="98">
        <f t="shared" si="39"/>
        <v>7999.92</v>
      </c>
      <c r="V286" s="111">
        <v>285</v>
      </c>
      <c r="W286" s="108"/>
    </row>
    <row r="287" spans="1:23" ht="21.75" customHeight="1" x14ac:dyDescent="0.2">
      <c r="A287" s="106">
        <v>43751</v>
      </c>
      <c r="B287" s="97">
        <v>9</v>
      </c>
      <c r="C287" s="97">
        <v>9</v>
      </c>
      <c r="D287" s="97">
        <v>9</v>
      </c>
      <c r="E287" s="97">
        <v>9</v>
      </c>
      <c r="F287" s="97">
        <v>9</v>
      </c>
      <c r="G287" s="97">
        <v>9</v>
      </c>
      <c r="H287" s="97">
        <v>9</v>
      </c>
      <c r="I287" s="97">
        <v>9</v>
      </c>
      <c r="J287" s="97">
        <v>9</v>
      </c>
      <c r="K287" s="97">
        <v>9</v>
      </c>
      <c r="L287" s="97">
        <v>9</v>
      </c>
      <c r="M287" s="97">
        <v>9</v>
      </c>
      <c r="N287" s="97">
        <v>9</v>
      </c>
      <c r="O287" s="97">
        <v>9</v>
      </c>
      <c r="P287" s="97">
        <v>9</v>
      </c>
      <c r="Q287" s="97">
        <f t="shared" si="35"/>
        <v>63</v>
      </c>
      <c r="R287" s="104">
        <f t="shared" si="36"/>
        <v>7965</v>
      </c>
      <c r="S287" s="97">
        <f t="shared" si="37"/>
        <v>72</v>
      </c>
      <c r="T287" s="98">
        <f t="shared" si="38"/>
        <v>34.92</v>
      </c>
      <c r="U287" s="98">
        <f t="shared" si="39"/>
        <v>7999.92</v>
      </c>
      <c r="V287" s="111">
        <v>286</v>
      </c>
      <c r="W287" s="108"/>
    </row>
    <row r="288" spans="1:23" ht="21.75" customHeight="1" x14ac:dyDescent="0.2">
      <c r="A288" s="106">
        <v>43752</v>
      </c>
      <c r="B288" s="97">
        <v>9</v>
      </c>
      <c r="C288" s="97">
        <v>9</v>
      </c>
      <c r="D288" s="97">
        <v>9</v>
      </c>
      <c r="E288" s="97">
        <v>9</v>
      </c>
      <c r="F288" s="97">
        <v>9</v>
      </c>
      <c r="G288" s="97">
        <v>9</v>
      </c>
      <c r="H288" s="97">
        <v>9</v>
      </c>
      <c r="I288" s="97">
        <v>9</v>
      </c>
      <c r="J288" s="97">
        <v>9</v>
      </c>
      <c r="K288" s="97">
        <v>9</v>
      </c>
      <c r="L288" s="97">
        <v>9</v>
      </c>
      <c r="M288" s="97">
        <v>9</v>
      </c>
      <c r="N288" s="97">
        <v>9</v>
      </c>
      <c r="O288" s="97">
        <v>9</v>
      </c>
      <c r="P288" s="97">
        <v>9</v>
      </c>
      <c r="Q288" s="97">
        <f t="shared" si="35"/>
        <v>63</v>
      </c>
      <c r="R288" s="104">
        <f t="shared" si="36"/>
        <v>7965</v>
      </c>
      <c r="S288" s="97">
        <f t="shared" si="37"/>
        <v>72</v>
      </c>
      <c r="T288" s="98">
        <f t="shared" si="38"/>
        <v>34.92</v>
      </c>
      <c r="U288" s="98">
        <f t="shared" si="39"/>
        <v>7999.92</v>
      </c>
      <c r="V288" s="111">
        <v>287</v>
      </c>
      <c r="W288" s="108"/>
    </row>
    <row r="289" spans="1:23" ht="21.75" customHeight="1" x14ac:dyDescent="0.2">
      <c r="A289" s="106">
        <v>43753</v>
      </c>
      <c r="B289" s="97">
        <v>9</v>
      </c>
      <c r="C289" s="97">
        <v>9</v>
      </c>
      <c r="D289" s="97">
        <v>9</v>
      </c>
      <c r="E289" s="97">
        <v>9</v>
      </c>
      <c r="F289" s="97">
        <v>9</v>
      </c>
      <c r="G289" s="97">
        <v>9</v>
      </c>
      <c r="H289" s="97">
        <v>9</v>
      </c>
      <c r="I289" s="97">
        <v>9</v>
      </c>
      <c r="J289" s="97">
        <v>9</v>
      </c>
      <c r="K289" s="97">
        <v>9</v>
      </c>
      <c r="L289" s="97">
        <v>9</v>
      </c>
      <c r="M289" s="97">
        <v>9</v>
      </c>
      <c r="N289" s="97">
        <v>9</v>
      </c>
      <c r="O289" s="97">
        <v>9</v>
      </c>
      <c r="P289" s="97">
        <v>9</v>
      </c>
      <c r="Q289" s="97">
        <f t="shared" si="35"/>
        <v>63</v>
      </c>
      <c r="R289" s="104">
        <f t="shared" si="36"/>
        <v>7965</v>
      </c>
      <c r="S289" s="97">
        <f t="shared" si="37"/>
        <v>72</v>
      </c>
      <c r="T289" s="98">
        <f t="shared" si="38"/>
        <v>34.92</v>
      </c>
      <c r="U289" s="98">
        <f t="shared" si="39"/>
        <v>7999.92</v>
      </c>
      <c r="V289" s="111">
        <v>288</v>
      </c>
      <c r="W289" s="108"/>
    </row>
    <row r="290" spans="1:23" ht="21.75" customHeight="1" x14ac:dyDescent="0.2">
      <c r="A290" s="106">
        <v>43754</v>
      </c>
      <c r="B290" s="97">
        <v>9</v>
      </c>
      <c r="C290" s="97">
        <v>9</v>
      </c>
      <c r="D290" s="97">
        <v>9</v>
      </c>
      <c r="E290" s="97">
        <v>9</v>
      </c>
      <c r="F290" s="97">
        <v>9</v>
      </c>
      <c r="G290" s="97">
        <v>9</v>
      </c>
      <c r="H290" s="97">
        <v>9</v>
      </c>
      <c r="I290" s="97">
        <v>9</v>
      </c>
      <c r="J290" s="97">
        <v>9</v>
      </c>
      <c r="K290" s="97">
        <v>9</v>
      </c>
      <c r="L290" s="97">
        <v>9</v>
      </c>
      <c r="M290" s="97">
        <v>9</v>
      </c>
      <c r="N290" s="97">
        <v>9</v>
      </c>
      <c r="O290" s="97">
        <v>9</v>
      </c>
      <c r="P290" s="97">
        <v>9</v>
      </c>
      <c r="Q290" s="97">
        <f t="shared" si="35"/>
        <v>63</v>
      </c>
      <c r="R290" s="104">
        <f t="shared" si="36"/>
        <v>7965</v>
      </c>
      <c r="S290" s="97">
        <f t="shared" si="37"/>
        <v>72</v>
      </c>
      <c r="T290" s="98">
        <f t="shared" si="38"/>
        <v>34.92</v>
      </c>
      <c r="U290" s="98">
        <f t="shared" si="39"/>
        <v>7999.92</v>
      </c>
      <c r="V290" s="111">
        <v>289</v>
      </c>
      <c r="W290" s="108"/>
    </row>
    <row r="291" spans="1:23" ht="21.75" customHeight="1" x14ac:dyDescent="0.2">
      <c r="A291" s="106">
        <v>43755</v>
      </c>
      <c r="B291" s="97">
        <v>9</v>
      </c>
      <c r="C291" s="97">
        <v>9</v>
      </c>
      <c r="D291" s="97">
        <v>9</v>
      </c>
      <c r="E291" s="97">
        <v>9</v>
      </c>
      <c r="F291" s="97">
        <v>9</v>
      </c>
      <c r="G291" s="97">
        <v>9</v>
      </c>
      <c r="H291" s="97">
        <v>9</v>
      </c>
      <c r="I291" s="97">
        <v>9</v>
      </c>
      <c r="J291" s="97">
        <v>9</v>
      </c>
      <c r="K291" s="97">
        <v>9</v>
      </c>
      <c r="L291" s="97">
        <v>9</v>
      </c>
      <c r="M291" s="97">
        <v>9</v>
      </c>
      <c r="N291" s="97">
        <v>9</v>
      </c>
      <c r="O291" s="97">
        <v>9</v>
      </c>
      <c r="P291" s="97">
        <v>9</v>
      </c>
      <c r="Q291" s="97">
        <f t="shared" si="35"/>
        <v>63</v>
      </c>
      <c r="R291" s="104">
        <f t="shared" si="36"/>
        <v>7965</v>
      </c>
      <c r="S291" s="97">
        <f t="shared" si="37"/>
        <v>72</v>
      </c>
      <c r="T291" s="98">
        <f t="shared" si="38"/>
        <v>34.92</v>
      </c>
      <c r="U291" s="98">
        <f t="shared" si="39"/>
        <v>7999.92</v>
      </c>
      <c r="V291" s="111">
        <v>290</v>
      </c>
      <c r="W291" s="108"/>
    </row>
    <row r="292" spans="1:23" ht="21.75" customHeight="1" x14ac:dyDescent="0.2">
      <c r="A292" s="106">
        <v>43756</v>
      </c>
      <c r="B292" s="97">
        <v>9</v>
      </c>
      <c r="C292" s="97">
        <v>9</v>
      </c>
      <c r="D292" s="97">
        <v>9</v>
      </c>
      <c r="E292" s="97">
        <v>9</v>
      </c>
      <c r="F292" s="97">
        <v>9</v>
      </c>
      <c r="G292" s="97">
        <v>9</v>
      </c>
      <c r="H292" s="97">
        <v>9</v>
      </c>
      <c r="I292" s="97">
        <v>9</v>
      </c>
      <c r="J292" s="97">
        <v>9</v>
      </c>
      <c r="K292" s="97">
        <v>9</v>
      </c>
      <c r="L292" s="97">
        <v>9</v>
      </c>
      <c r="M292" s="97">
        <v>9</v>
      </c>
      <c r="N292" s="97">
        <v>9</v>
      </c>
      <c r="O292" s="97">
        <v>9</v>
      </c>
      <c r="P292" s="97">
        <v>9</v>
      </c>
      <c r="Q292" s="97">
        <f t="shared" si="35"/>
        <v>63</v>
      </c>
      <c r="R292" s="104">
        <f t="shared" si="36"/>
        <v>7965</v>
      </c>
      <c r="S292" s="97">
        <f t="shared" si="37"/>
        <v>72</v>
      </c>
      <c r="T292" s="98">
        <f t="shared" si="38"/>
        <v>34.92</v>
      </c>
      <c r="U292" s="98">
        <f t="shared" si="39"/>
        <v>7999.92</v>
      </c>
      <c r="V292" s="111">
        <v>291</v>
      </c>
      <c r="W292" s="108"/>
    </row>
    <row r="293" spans="1:23" ht="21.75" customHeight="1" x14ac:dyDescent="0.2">
      <c r="A293" s="106">
        <v>43757</v>
      </c>
      <c r="B293" s="97">
        <v>9</v>
      </c>
      <c r="C293" s="97">
        <v>9</v>
      </c>
      <c r="D293" s="97">
        <v>9</v>
      </c>
      <c r="E293" s="97">
        <v>9</v>
      </c>
      <c r="F293" s="97">
        <v>9</v>
      </c>
      <c r="G293" s="97">
        <v>9</v>
      </c>
      <c r="H293" s="97">
        <v>9</v>
      </c>
      <c r="I293" s="97">
        <v>9</v>
      </c>
      <c r="J293" s="97">
        <v>9</v>
      </c>
      <c r="K293" s="97">
        <v>9</v>
      </c>
      <c r="L293" s="97">
        <v>9</v>
      </c>
      <c r="M293" s="97">
        <v>9</v>
      </c>
      <c r="N293" s="97">
        <v>9</v>
      </c>
      <c r="O293" s="97">
        <v>9</v>
      </c>
      <c r="P293" s="97">
        <v>9</v>
      </c>
      <c r="Q293" s="97">
        <f t="shared" si="35"/>
        <v>63</v>
      </c>
      <c r="R293" s="104">
        <f t="shared" si="36"/>
        <v>7965</v>
      </c>
      <c r="S293" s="97">
        <f t="shared" si="37"/>
        <v>72</v>
      </c>
      <c r="T293" s="98">
        <f t="shared" si="38"/>
        <v>34.92</v>
      </c>
      <c r="U293" s="98">
        <f t="shared" si="39"/>
        <v>7999.92</v>
      </c>
      <c r="V293" s="111">
        <v>292</v>
      </c>
      <c r="W293" s="108"/>
    </row>
    <row r="294" spans="1:23" ht="21.75" customHeight="1" x14ac:dyDescent="0.2">
      <c r="A294" s="106">
        <v>43758</v>
      </c>
      <c r="B294" s="97">
        <v>9</v>
      </c>
      <c r="C294" s="97">
        <v>9</v>
      </c>
      <c r="D294" s="97">
        <v>9</v>
      </c>
      <c r="E294" s="97">
        <v>9</v>
      </c>
      <c r="F294" s="97">
        <v>9</v>
      </c>
      <c r="G294" s="97">
        <v>9</v>
      </c>
      <c r="H294" s="97">
        <v>9</v>
      </c>
      <c r="I294" s="97">
        <v>9</v>
      </c>
      <c r="J294" s="97">
        <v>9</v>
      </c>
      <c r="K294" s="97">
        <v>9</v>
      </c>
      <c r="L294" s="97">
        <v>9</v>
      </c>
      <c r="M294" s="97">
        <v>9</v>
      </c>
      <c r="N294" s="97">
        <v>9</v>
      </c>
      <c r="O294" s="97">
        <v>9</v>
      </c>
      <c r="P294" s="97">
        <v>9</v>
      </c>
      <c r="Q294" s="97">
        <f t="shared" si="35"/>
        <v>63</v>
      </c>
      <c r="R294" s="104">
        <f t="shared" si="36"/>
        <v>7965</v>
      </c>
      <c r="S294" s="97">
        <f t="shared" si="37"/>
        <v>72</v>
      </c>
      <c r="T294" s="98">
        <f t="shared" si="38"/>
        <v>34.92</v>
      </c>
      <c r="U294" s="98">
        <f t="shared" si="39"/>
        <v>7999.92</v>
      </c>
      <c r="V294" s="111">
        <v>293</v>
      </c>
      <c r="W294" s="108"/>
    </row>
    <row r="295" spans="1:23" ht="21.75" customHeight="1" x14ac:dyDescent="0.2">
      <c r="A295" s="106">
        <v>43759</v>
      </c>
      <c r="B295" s="97">
        <v>9</v>
      </c>
      <c r="C295" s="97">
        <v>9</v>
      </c>
      <c r="D295" s="97">
        <v>9</v>
      </c>
      <c r="E295" s="97">
        <v>9</v>
      </c>
      <c r="F295" s="97">
        <v>9</v>
      </c>
      <c r="G295" s="97">
        <v>9</v>
      </c>
      <c r="H295" s="97">
        <v>9</v>
      </c>
      <c r="I295" s="97">
        <v>9</v>
      </c>
      <c r="J295" s="97">
        <v>9</v>
      </c>
      <c r="K295" s="97">
        <v>9</v>
      </c>
      <c r="L295" s="97">
        <v>9</v>
      </c>
      <c r="M295" s="97">
        <v>9</v>
      </c>
      <c r="N295" s="97">
        <v>9</v>
      </c>
      <c r="O295" s="97">
        <v>9</v>
      </c>
      <c r="P295" s="97">
        <v>9</v>
      </c>
      <c r="Q295" s="97">
        <f t="shared" si="35"/>
        <v>63</v>
      </c>
      <c r="R295" s="104">
        <f t="shared" si="36"/>
        <v>7965</v>
      </c>
      <c r="S295" s="97">
        <f t="shared" si="37"/>
        <v>72</v>
      </c>
      <c r="T295" s="98">
        <f t="shared" si="38"/>
        <v>34.92</v>
      </c>
      <c r="U295" s="98">
        <f t="shared" si="39"/>
        <v>7999.92</v>
      </c>
      <c r="V295" s="111">
        <v>294</v>
      </c>
      <c r="W295" s="108"/>
    </row>
    <row r="296" spans="1:23" ht="21.75" customHeight="1" x14ac:dyDescent="0.2">
      <c r="A296" s="106">
        <v>43760</v>
      </c>
      <c r="B296" s="97">
        <v>9</v>
      </c>
      <c r="C296" s="97">
        <v>9</v>
      </c>
      <c r="D296" s="97">
        <v>9</v>
      </c>
      <c r="E296" s="97">
        <v>9</v>
      </c>
      <c r="F296" s="97">
        <v>9</v>
      </c>
      <c r="G296" s="97">
        <v>9</v>
      </c>
      <c r="H296" s="97">
        <v>9</v>
      </c>
      <c r="I296" s="97">
        <v>9</v>
      </c>
      <c r="J296" s="97">
        <v>9</v>
      </c>
      <c r="K296" s="97">
        <v>9</v>
      </c>
      <c r="L296" s="97">
        <v>9</v>
      </c>
      <c r="M296" s="97">
        <v>9</v>
      </c>
      <c r="N296" s="97">
        <v>9</v>
      </c>
      <c r="O296" s="97">
        <v>9</v>
      </c>
      <c r="P296" s="97">
        <v>9</v>
      </c>
      <c r="Q296" s="97">
        <f t="shared" si="35"/>
        <v>63</v>
      </c>
      <c r="R296" s="104">
        <f t="shared" si="36"/>
        <v>7965</v>
      </c>
      <c r="S296" s="97">
        <f t="shared" si="37"/>
        <v>72</v>
      </c>
      <c r="T296" s="98">
        <f t="shared" si="38"/>
        <v>34.92</v>
      </c>
      <c r="U296" s="98">
        <f t="shared" si="39"/>
        <v>7999.92</v>
      </c>
      <c r="V296" s="111">
        <v>295</v>
      </c>
      <c r="W296" s="108"/>
    </row>
    <row r="297" spans="1:23" ht="21.75" customHeight="1" x14ac:dyDescent="0.2">
      <c r="A297" s="106">
        <v>43761</v>
      </c>
      <c r="B297" s="97">
        <v>9</v>
      </c>
      <c r="C297" s="97">
        <v>9</v>
      </c>
      <c r="D297" s="97">
        <v>9</v>
      </c>
      <c r="E297" s="97">
        <v>9</v>
      </c>
      <c r="F297" s="97">
        <v>9</v>
      </c>
      <c r="G297" s="97">
        <v>9</v>
      </c>
      <c r="H297" s="97">
        <v>9</v>
      </c>
      <c r="I297" s="97">
        <v>9</v>
      </c>
      <c r="J297" s="97">
        <v>9</v>
      </c>
      <c r="K297" s="97">
        <v>9</v>
      </c>
      <c r="L297" s="97">
        <v>9</v>
      </c>
      <c r="M297" s="97">
        <v>9</v>
      </c>
      <c r="N297" s="97">
        <v>9</v>
      </c>
      <c r="O297" s="97">
        <v>9</v>
      </c>
      <c r="P297" s="97">
        <v>9</v>
      </c>
      <c r="Q297" s="97">
        <f t="shared" si="35"/>
        <v>63</v>
      </c>
      <c r="R297" s="104">
        <f t="shared" si="36"/>
        <v>7965</v>
      </c>
      <c r="S297" s="97">
        <f t="shared" si="37"/>
        <v>72</v>
      </c>
      <c r="T297" s="98">
        <f t="shared" si="38"/>
        <v>34.92</v>
      </c>
      <c r="U297" s="98">
        <f t="shared" si="39"/>
        <v>7999.92</v>
      </c>
      <c r="V297" s="111">
        <v>296</v>
      </c>
      <c r="W297" s="108"/>
    </row>
    <row r="298" spans="1:23" ht="21.75" customHeight="1" x14ac:dyDescent="0.2">
      <c r="A298" s="106">
        <v>43762</v>
      </c>
      <c r="B298" s="97">
        <v>9</v>
      </c>
      <c r="C298" s="97">
        <v>9</v>
      </c>
      <c r="D298" s="97">
        <v>9</v>
      </c>
      <c r="E298" s="97">
        <v>9</v>
      </c>
      <c r="F298" s="97">
        <v>9</v>
      </c>
      <c r="G298" s="97">
        <v>9</v>
      </c>
      <c r="H298" s="97">
        <v>9</v>
      </c>
      <c r="I298" s="97">
        <v>9</v>
      </c>
      <c r="J298" s="97">
        <v>9</v>
      </c>
      <c r="K298" s="97">
        <v>9</v>
      </c>
      <c r="L298" s="97">
        <v>9</v>
      </c>
      <c r="M298" s="97">
        <v>9</v>
      </c>
      <c r="N298" s="97">
        <v>9</v>
      </c>
      <c r="O298" s="97">
        <v>9</v>
      </c>
      <c r="P298" s="97">
        <v>9</v>
      </c>
      <c r="Q298" s="97">
        <f t="shared" si="35"/>
        <v>63</v>
      </c>
      <c r="R298" s="104">
        <f t="shared" si="36"/>
        <v>7965</v>
      </c>
      <c r="S298" s="97">
        <f t="shared" si="37"/>
        <v>72</v>
      </c>
      <c r="T298" s="98">
        <f t="shared" si="38"/>
        <v>34.92</v>
      </c>
      <c r="U298" s="98">
        <f t="shared" si="39"/>
        <v>7999.92</v>
      </c>
      <c r="V298" s="111">
        <v>297</v>
      </c>
      <c r="W298" s="108"/>
    </row>
    <row r="299" spans="1:23" ht="21.75" customHeight="1" x14ac:dyDescent="0.2">
      <c r="A299" s="106">
        <v>43763</v>
      </c>
      <c r="B299" s="97">
        <v>9</v>
      </c>
      <c r="C299" s="97">
        <v>9</v>
      </c>
      <c r="D299" s="97">
        <v>9</v>
      </c>
      <c r="E299" s="97">
        <v>9</v>
      </c>
      <c r="F299" s="97">
        <v>9</v>
      </c>
      <c r="G299" s="97">
        <v>9</v>
      </c>
      <c r="H299" s="97">
        <v>9</v>
      </c>
      <c r="I299" s="97">
        <v>9</v>
      </c>
      <c r="J299" s="97">
        <v>9</v>
      </c>
      <c r="K299" s="97">
        <v>9</v>
      </c>
      <c r="L299" s="97">
        <v>9</v>
      </c>
      <c r="M299" s="97">
        <v>9</v>
      </c>
      <c r="N299" s="97">
        <v>9</v>
      </c>
      <c r="O299" s="97">
        <v>9</v>
      </c>
      <c r="P299" s="97">
        <v>9</v>
      </c>
      <c r="Q299" s="97">
        <f t="shared" si="35"/>
        <v>63</v>
      </c>
      <c r="R299" s="104">
        <f t="shared" si="36"/>
        <v>7965</v>
      </c>
      <c r="S299" s="97">
        <f t="shared" si="37"/>
        <v>72</v>
      </c>
      <c r="T299" s="98">
        <f t="shared" si="38"/>
        <v>34.92</v>
      </c>
      <c r="U299" s="98">
        <f t="shared" si="39"/>
        <v>7999.92</v>
      </c>
      <c r="V299" s="111">
        <v>298</v>
      </c>
      <c r="W299" s="108"/>
    </row>
    <row r="300" spans="1:23" ht="21.75" customHeight="1" x14ac:dyDescent="0.2">
      <c r="A300" s="106">
        <v>43764</v>
      </c>
      <c r="B300" s="97">
        <v>9</v>
      </c>
      <c r="C300" s="97">
        <v>9</v>
      </c>
      <c r="D300" s="97">
        <v>9</v>
      </c>
      <c r="E300" s="97">
        <v>9</v>
      </c>
      <c r="F300" s="97">
        <v>9</v>
      </c>
      <c r="G300" s="97">
        <v>9</v>
      </c>
      <c r="H300" s="97">
        <v>9</v>
      </c>
      <c r="I300" s="97">
        <v>9</v>
      </c>
      <c r="J300" s="97">
        <v>9</v>
      </c>
      <c r="K300" s="97">
        <v>9</v>
      </c>
      <c r="L300" s="97">
        <v>9</v>
      </c>
      <c r="M300" s="97">
        <v>9</v>
      </c>
      <c r="N300" s="97">
        <v>9</v>
      </c>
      <c r="O300" s="97">
        <v>9</v>
      </c>
      <c r="P300" s="97">
        <v>9</v>
      </c>
      <c r="Q300" s="97">
        <f t="shared" si="35"/>
        <v>63</v>
      </c>
      <c r="R300" s="104">
        <f t="shared" si="36"/>
        <v>7965</v>
      </c>
      <c r="S300" s="97">
        <f t="shared" si="37"/>
        <v>72</v>
      </c>
      <c r="T300" s="98">
        <f t="shared" si="38"/>
        <v>34.92</v>
      </c>
      <c r="U300" s="98">
        <f t="shared" si="39"/>
        <v>7999.92</v>
      </c>
      <c r="V300" s="111">
        <v>299</v>
      </c>
      <c r="W300" s="108"/>
    </row>
    <row r="301" spans="1:23" ht="21.75" customHeight="1" x14ac:dyDescent="0.2">
      <c r="A301" s="106">
        <v>43765</v>
      </c>
      <c r="B301" s="97">
        <v>9</v>
      </c>
      <c r="C301" s="97">
        <v>9</v>
      </c>
      <c r="D301" s="97">
        <v>9</v>
      </c>
      <c r="E301" s="97">
        <v>9</v>
      </c>
      <c r="F301" s="97">
        <v>9</v>
      </c>
      <c r="G301" s="97">
        <v>9</v>
      </c>
      <c r="H301" s="97">
        <v>9</v>
      </c>
      <c r="I301" s="97">
        <v>9</v>
      </c>
      <c r="J301" s="97">
        <v>9</v>
      </c>
      <c r="K301" s="97">
        <v>9</v>
      </c>
      <c r="L301" s="97">
        <v>9</v>
      </c>
      <c r="M301" s="97">
        <v>9</v>
      </c>
      <c r="N301" s="97">
        <v>9</v>
      </c>
      <c r="O301" s="97">
        <v>9</v>
      </c>
      <c r="P301" s="97">
        <v>9</v>
      </c>
      <c r="Q301" s="97">
        <f t="shared" si="35"/>
        <v>63</v>
      </c>
      <c r="R301" s="104">
        <f t="shared" si="36"/>
        <v>7965</v>
      </c>
      <c r="S301" s="97">
        <f t="shared" si="37"/>
        <v>72</v>
      </c>
      <c r="T301" s="98">
        <f t="shared" si="38"/>
        <v>34.92</v>
      </c>
      <c r="U301" s="98">
        <f t="shared" si="39"/>
        <v>7999.92</v>
      </c>
      <c r="V301" s="111">
        <v>300</v>
      </c>
      <c r="W301" s="108"/>
    </row>
    <row r="302" spans="1:23" ht="21.75" customHeight="1" x14ac:dyDescent="0.2">
      <c r="A302" s="106">
        <v>43766</v>
      </c>
      <c r="B302" s="97">
        <v>9</v>
      </c>
      <c r="C302" s="97">
        <v>9</v>
      </c>
      <c r="D302" s="97">
        <v>9</v>
      </c>
      <c r="E302" s="97">
        <v>9</v>
      </c>
      <c r="F302" s="97">
        <v>9</v>
      </c>
      <c r="G302" s="97">
        <v>9</v>
      </c>
      <c r="H302" s="97">
        <v>9</v>
      </c>
      <c r="I302" s="97">
        <v>9</v>
      </c>
      <c r="J302" s="97">
        <v>9</v>
      </c>
      <c r="K302" s="97">
        <v>9</v>
      </c>
      <c r="L302" s="97">
        <v>9</v>
      </c>
      <c r="M302" s="97">
        <v>9</v>
      </c>
      <c r="N302" s="97">
        <v>9</v>
      </c>
      <c r="O302" s="97">
        <v>9</v>
      </c>
      <c r="P302" s="97">
        <v>9</v>
      </c>
      <c r="Q302" s="97">
        <f t="shared" si="35"/>
        <v>63</v>
      </c>
      <c r="R302" s="104">
        <f t="shared" si="36"/>
        <v>7965</v>
      </c>
      <c r="S302" s="97">
        <f t="shared" si="37"/>
        <v>72</v>
      </c>
      <c r="T302" s="98">
        <f t="shared" si="38"/>
        <v>34.92</v>
      </c>
      <c r="U302" s="98">
        <f t="shared" si="39"/>
        <v>7999.92</v>
      </c>
      <c r="V302" s="111">
        <v>301</v>
      </c>
      <c r="W302" s="108"/>
    </row>
    <row r="303" spans="1:23" ht="21.75" customHeight="1" x14ac:dyDescent="0.2">
      <c r="A303" s="106">
        <v>43767</v>
      </c>
      <c r="B303" s="97">
        <v>9</v>
      </c>
      <c r="C303" s="97">
        <v>9</v>
      </c>
      <c r="D303" s="97">
        <v>9</v>
      </c>
      <c r="E303" s="97">
        <v>9</v>
      </c>
      <c r="F303" s="97">
        <v>9</v>
      </c>
      <c r="G303" s="97">
        <v>9</v>
      </c>
      <c r="H303" s="97">
        <v>9</v>
      </c>
      <c r="I303" s="97">
        <v>9</v>
      </c>
      <c r="J303" s="97">
        <v>9</v>
      </c>
      <c r="K303" s="97">
        <v>9</v>
      </c>
      <c r="L303" s="97">
        <v>9</v>
      </c>
      <c r="M303" s="97">
        <v>9</v>
      </c>
      <c r="N303" s="97">
        <v>9</v>
      </c>
      <c r="O303" s="97">
        <v>9</v>
      </c>
      <c r="P303" s="97">
        <v>9</v>
      </c>
      <c r="Q303" s="97">
        <f t="shared" si="35"/>
        <v>63</v>
      </c>
      <c r="R303" s="104">
        <f t="shared" si="36"/>
        <v>7965</v>
      </c>
      <c r="S303" s="97">
        <f t="shared" si="37"/>
        <v>72</v>
      </c>
      <c r="T303" s="98">
        <f t="shared" si="38"/>
        <v>34.92</v>
      </c>
      <c r="U303" s="98">
        <f t="shared" si="39"/>
        <v>7999.92</v>
      </c>
      <c r="V303" s="111">
        <v>302</v>
      </c>
      <c r="W303" s="108"/>
    </row>
    <row r="304" spans="1:23" ht="21.75" customHeight="1" x14ac:dyDescent="0.2">
      <c r="A304" s="106">
        <v>43768</v>
      </c>
      <c r="B304" s="97">
        <v>9</v>
      </c>
      <c r="C304" s="97">
        <v>9</v>
      </c>
      <c r="D304" s="97">
        <v>9</v>
      </c>
      <c r="E304" s="97">
        <v>9</v>
      </c>
      <c r="F304" s="97">
        <v>9</v>
      </c>
      <c r="G304" s="97">
        <v>9</v>
      </c>
      <c r="H304" s="97">
        <v>9</v>
      </c>
      <c r="I304" s="97">
        <v>9</v>
      </c>
      <c r="J304" s="97">
        <v>9</v>
      </c>
      <c r="K304" s="97">
        <v>9</v>
      </c>
      <c r="L304" s="97">
        <v>9</v>
      </c>
      <c r="M304" s="97">
        <v>9</v>
      </c>
      <c r="N304" s="97">
        <v>9</v>
      </c>
      <c r="O304" s="97">
        <v>9</v>
      </c>
      <c r="P304" s="97">
        <v>9</v>
      </c>
      <c r="Q304" s="97">
        <f t="shared" si="35"/>
        <v>63</v>
      </c>
      <c r="R304" s="104">
        <f t="shared" si="36"/>
        <v>7965</v>
      </c>
      <c r="S304" s="97">
        <f t="shared" si="37"/>
        <v>72</v>
      </c>
      <c r="T304" s="98">
        <f t="shared" si="38"/>
        <v>34.92</v>
      </c>
      <c r="U304" s="98">
        <f t="shared" si="39"/>
        <v>7999.92</v>
      </c>
      <c r="V304" s="111">
        <v>303</v>
      </c>
      <c r="W304" s="108"/>
    </row>
    <row r="305" spans="1:23" ht="21.75" customHeight="1" x14ac:dyDescent="0.2">
      <c r="A305" s="106">
        <v>43769</v>
      </c>
      <c r="B305" s="97">
        <v>9</v>
      </c>
      <c r="C305" s="97">
        <v>9</v>
      </c>
      <c r="D305" s="97">
        <v>9</v>
      </c>
      <c r="E305" s="97">
        <v>9</v>
      </c>
      <c r="F305" s="97">
        <v>9</v>
      </c>
      <c r="G305" s="97">
        <v>9</v>
      </c>
      <c r="H305" s="97">
        <v>9</v>
      </c>
      <c r="I305" s="97">
        <v>9</v>
      </c>
      <c r="J305" s="97">
        <v>9</v>
      </c>
      <c r="K305" s="97">
        <v>9</v>
      </c>
      <c r="L305" s="97">
        <v>9</v>
      </c>
      <c r="M305" s="97">
        <v>9</v>
      </c>
      <c r="N305" s="97">
        <v>9</v>
      </c>
      <c r="O305" s="97">
        <v>9</v>
      </c>
      <c r="P305" s="97">
        <v>9</v>
      </c>
      <c r="Q305" s="97">
        <f t="shared" si="35"/>
        <v>63</v>
      </c>
      <c r="R305" s="104">
        <f t="shared" si="36"/>
        <v>7965</v>
      </c>
      <c r="S305" s="97">
        <f t="shared" si="37"/>
        <v>72</v>
      </c>
      <c r="T305" s="98">
        <f t="shared" si="38"/>
        <v>34.92</v>
      </c>
      <c r="U305" s="98">
        <f t="shared" si="39"/>
        <v>7999.92</v>
      </c>
      <c r="V305" s="111">
        <v>304</v>
      </c>
      <c r="W305" s="108"/>
    </row>
    <row r="306" spans="1:23" ht="21.75" customHeight="1" x14ac:dyDescent="0.2">
      <c r="A306" s="106">
        <v>43770</v>
      </c>
      <c r="B306" s="97">
        <v>9</v>
      </c>
      <c r="C306" s="97">
        <v>9</v>
      </c>
      <c r="D306" s="97">
        <v>9</v>
      </c>
      <c r="E306" s="97">
        <v>9</v>
      </c>
      <c r="F306" s="97">
        <v>9</v>
      </c>
      <c r="G306" s="97">
        <v>9</v>
      </c>
      <c r="H306" s="97">
        <v>9</v>
      </c>
      <c r="I306" s="97">
        <v>9</v>
      </c>
      <c r="J306" s="97">
        <v>9</v>
      </c>
      <c r="K306" s="97">
        <v>9</v>
      </c>
      <c r="L306" s="97">
        <v>9</v>
      </c>
      <c r="M306" s="97">
        <v>9</v>
      </c>
      <c r="N306" s="97">
        <v>9</v>
      </c>
      <c r="O306" s="97">
        <v>9</v>
      </c>
      <c r="P306" s="97">
        <v>9</v>
      </c>
      <c r="Q306" s="97">
        <f t="shared" si="35"/>
        <v>63</v>
      </c>
      <c r="R306" s="104">
        <f t="shared" si="36"/>
        <v>7965</v>
      </c>
      <c r="S306" s="97">
        <f t="shared" si="37"/>
        <v>72</v>
      </c>
      <c r="T306" s="98">
        <f t="shared" si="38"/>
        <v>34.92</v>
      </c>
      <c r="U306" s="98">
        <f t="shared" si="39"/>
        <v>7999.92</v>
      </c>
      <c r="V306" s="111">
        <v>305</v>
      </c>
      <c r="W306" s="108"/>
    </row>
    <row r="307" spans="1:23" ht="21.75" customHeight="1" x14ac:dyDescent="0.2">
      <c r="A307" s="106">
        <v>43771</v>
      </c>
      <c r="B307" s="97">
        <v>9</v>
      </c>
      <c r="C307" s="97">
        <v>9</v>
      </c>
      <c r="D307" s="97">
        <v>9</v>
      </c>
      <c r="E307" s="97">
        <v>9</v>
      </c>
      <c r="F307" s="97">
        <v>9</v>
      </c>
      <c r="G307" s="97">
        <v>9</v>
      </c>
      <c r="H307" s="97">
        <v>9</v>
      </c>
      <c r="I307" s="97">
        <v>9</v>
      </c>
      <c r="J307" s="97">
        <v>9</v>
      </c>
      <c r="K307" s="97">
        <v>9</v>
      </c>
      <c r="L307" s="97">
        <v>9</v>
      </c>
      <c r="M307" s="97">
        <v>9</v>
      </c>
      <c r="N307" s="97">
        <v>9</v>
      </c>
      <c r="O307" s="97">
        <v>9</v>
      </c>
      <c r="P307" s="97">
        <v>9</v>
      </c>
      <c r="Q307" s="97">
        <f t="shared" si="35"/>
        <v>63</v>
      </c>
      <c r="R307" s="104">
        <f t="shared" si="36"/>
        <v>7965</v>
      </c>
      <c r="S307" s="97">
        <f t="shared" si="37"/>
        <v>72</v>
      </c>
      <c r="T307" s="98">
        <f t="shared" si="38"/>
        <v>34.92</v>
      </c>
      <c r="U307" s="98">
        <f t="shared" si="39"/>
        <v>7999.92</v>
      </c>
      <c r="V307" s="111">
        <v>306</v>
      </c>
      <c r="W307" s="108"/>
    </row>
    <row r="308" spans="1:23" ht="21.75" customHeight="1" x14ac:dyDescent="0.2">
      <c r="A308" s="106">
        <v>43772</v>
      </c>
      <c r="B308" s="97">
        <v>9</v>
      </c>
      <c r="C308" s="97">
        <v>9</v>
      </c>
      <c r="D308" s="97">
        <v>9</v>
      </c>
      <c r="E308" s="97">
        <v>9</v>
      </c>
      <c r="F308" s="97">
        <v>9</v>
      </c>
      <c r="G308" s="97">
        <v>9</v>
      </c>
      <c r="H308" s="97">
        <v>9</v>
      </c>
      <c r="I308" s="97">
        <v>9</v>
      </c>
      <c r="J308" s="97">
        <v>9</v>
      </c>
      <c r="K308" s="97">
        <v>9</v>
      </c>
      <c r="L308" s="97">
        <v>9</v>
      </c>
      <c r="M308" s="97">
        <v>9</v>
      </c>
      <c r="N308" s="97">
        <v>9</v>
      </c>
      <c r="O308" s="97">
        <v>9</v>
      </c>
      <c r="P308" s="97">
        <v>9</v>
      </c>
      <c r="Q308" s="97">
        <f t="shared" si="35"/>
        <v>63</v>
      </c>
      <c r="R308" s="104">
        <f t="shared" si="36"/>
        <v>7965</v>
      </c>
      <c r="S308" s="97">
        <f t="shared" si="37"/>
        <v>72</v>
      </c>
      <c r="T308" s="98">
        <f t="shared" si="38"/>
        <v>34.92</v>
      </c>
      <c r="U308" s="98">
        <f t="shared" si="39"/>
        <v>7999.92</v>
      </c>
      <c r="V308" s="111">
        <v>307</v>
      </c>
      <c r="W308" s="108"/>
    </row>
    <row r="309" spans="1:23" ht="21.75" customHeight="1" x14ac:dyDescent="0.2">
      <c r="A309" s="106">
        <v>43773</v>
      </c>
      <c r="B309" s="97">
        <v>9</v>
      </c>
      <c r="C309" s="97">
        <v>9</v>
      </c>
      <c r="D309" s="97">
        <v>9</v>
      </c>
      <c r="E309" s="97">
        <v>9</v>
      </c>
      <c r="F309" s="97">
        <v>9</v>
      </c>
      <c r="G309" s="97">
        <v>9</v>
      </c>
      <c r="H309" s="97">
        <v>9</v>
      </c>
      <c r="I309" s="97">
        <v>9</v>
      </c>
      <c r="J309" s="97">
        <v>9</v>
      </c>
      <c r="K309" s="97">
        <v>9</v>
      </c>
      <c r="L309" s="97">
        <v>9</v>
      </c>
      <c r="M309" s="97">
        <v>9</v>
      </c>
      <c r="N309" s="97">
        <v>9</v>
      </c>
      <c r="O309" s="97">
        <v>9</v>
      </c>
      <c r="P309" s="97">
        <v>9</v>
      </c>
      <c r="Q309" s="97">
        <f t="shared" si="35"/>
        <v>63</v>
      </c>
      <c r="R309" s="104">
        <f t="shared" si="36"/>
        <v>7965</v>
      </c>
      <c r="S309" s="97">
        <f t="shared" si="37"/>
        <v>72</v>
      </c>
      <c r="T309" s="98">
        <f t="shared" si="38"/>
        <v>34.92</v>
      </c>
      <c r="U309" s="98">
        <f t="shared" si="39"/>
        <v>7999.92</v>
      </c>
      <c r="V309" s="111">
        <v>308</v>
      </c>
      <c r="W309" s="108"/>
    </row>
    <row r="310" spans="1:23" ht="21.75" customHeight="1" x14ac:dyDescent="0.2">
      <c r="A310" s="106">
        <v>43774</v>
      </c>
      <c r="B310" s="97">
        <v>9</v>
      </c>
      <c r="C310" s="97">
        <v>9</v>
      </c>
      <c r="D310" s="97">
        <v>9</v>
      </c>
      <c r="E310" s="97">
        <v>9</v>
      </c>
      <c r="F310" s="97">
        <v>9</v>
      </c>
      <c r="G310" s="97">
        <v>9</v>
      </c>
      <c r="H310" s="97">
        <v>9</v>
      </c>
      <c r="I310" s="97">
        <v>9</v>
      </c>
      <c r="J310" s="97">
        <v>9</v>
      </c>
      <c r="K310" s="97">
        <v>9</v>
      </c>
      <c r="L310" s="97">
        <v>9</v>
      </c>
      <c r="M310" s="97">
        <v>9</v>
      </c>
      <c r="N310" s="97">
        <v>9</v>
      </c>
      <c r="O310" s="97">
        <v>9</v>
      </c>
      <c r="P310" s="97">
        <v>9</v>
      </c>
      <c r="Q310" s="97">
        <f t="shared" si="35"/>
        <v>63</v>
      </c>
      <c r="R310" s="104">
        <f t="shared" si="36"/>
        <v>7965</v>
      </c>
      <c r="S310" s="97">
        <f t="shared" si="37"/>
        <v>72</v>
      </c>
      <c r="T310" s="98">
        <f t="shared" si="38"/>
        <v>34.92</v>
      </c>
      <c r="U310" s="98">
        <f t="shared" si="39"/>
        <v>7999.92</v>
      </c>
      <c r="V310" s="111">
        <v>309</v>
      </c>
      <c r="W310" s="108"/>
    </row>
    <row r="311" spans="1:23" ht="21.75" customHeight="1" x14ac:dyDescent="0.2">
      <c r="A311" s="106">
        <v>43775</v>
      </c>
      <c r="B311" s="97">
        <v>9</v>
      </c>
      <c r="C311" s="97">
        <v>9</v>
      </c>
      <c r="D311" s="97">
        <v>9</v>
      </c>
      <c r="E311" s="97">
        <v>9</v>
      </c>
      <c r="F311" s="97">
        <v>9</v>
      </c>
      <c r="G311" s="97">
        <v>9</v>
      </c>
      <c r="H311" s="97">
        <v>9</v>
      </c>
      <c r="I311" s="97">
        <v>9</v>
      </c>
      <c r="J311" s="97">
        <v>9</v>
      </c>
      <c r="K311" s="97">
        <v>9</v>
      </c>
      <c r="L311" s="97">
        <v>9</v>
      </c>
      <c r="M311" s="97">
        <v>9</v>
      </c>
      <c r="N311" s="97">
        <v>9</v>
      </c>
      <c r="O311" s="97">
        <v>9</v>
      </c>
      <c r="P311" s="97">
        <v>9</v>
      </c>
      <c r="Q311" s="97">
        <f t="shared" si="35"/>
        <v>63</v>
      </c>
      <c r="R311" s="104">
        <f t="shared" si="36"/>
        <v>7965</v>
      </c>
      <c r="S311" s="97">
        <f t="shared" si="37"/>
        <v>72</v>
      </c>
      <c r="T311" s="98">
        <f t="shared" si="38"/>
        <v>34.92</v>
      </c>
      <c r="U311" s="98">
        <f t="shared" si="39"/>
        <v>7999.92</v>
      </c>
      <c r="V311" s="111">
        <v>310</v>
      </c>
      <c r="W311" s="108"/>
    </row>
    <row r="312" spans="1:23" ht="21.75" customHeight="1" x14ac:dyDescent="0.2">
      <c r="A312" s="106">
        <v>43776</v>
      </c>
      <c r="B312" s="97">
        <v>9</v>
      </c>
      <c r="C312" s="97">
        <v>9</v>
      </c>
      <c r="D312" s="97">
        <v>9</v>
      </c>
      <c r="E312" s="97">
        <v>9</v>
      </c>
      <c r="F312" s="97">
        <v>9</v>
      </c>
      <c r="G312" s="97">
        <v>9</v>
      </c>
      <c r="H312" s="97">
        <v>9</v>
      </c>
      <c r="I312" s="97">
        <v>9</v>
      </c>
      <c r="J312" s="97">
        <v>9</v>
      </c>
      <c r="K312" s="97">
        <v>9</v>
      </c>
      <c r="L312" s="97">
        <v>9</v>
      </c>
      <c r="M312" s="97">
        <v>9</v>
      </c>
      <c r="N312" s="97">
        <v>9</v>
      </c>
      <c r="O312" s="97">
        <v>9</v>
      </c>
      <c r="P312" s="97">
        <v>9</v>
      </c>
      <c r="Q312" s="97">
        <f t="shared" si="35"/>
        <v>63</v>
      </c>
      <c r="R312" s="104">
        <f t="shared" si="36"/>
        <v>7965</v>
      </c>
      <c r="S312" s="97">
        <f t="shared" si="37"/>
        <v>72</v>
      </c>
      <c r="T312" s="98">
        <f t="shared" si="38"/>
        <v>34.92</v>
      </c>
      <c r="U312" s="98">
        <f t="shared" si="39"/>
        <v>7999.92</v>
      </c>
      <c r="V312" s="111">
        <v>311</v>
      </c>
      <c r="W312" s="108"/>
    </row>
    <row r="313" spans="1:23" ht="21.75" customHeight="1" x14ac:dyDescent="0.2">
      <c r="A313" s="106">
        <v>43777</v>
      </c>
      <c r="B313" s="97">
        <v>9</v>
      </c>
      <c r="C313" s="97">
        <v>9</v>
      </c>
      <c r="D313" s="97">
        <v>9</v>
      </c>
      <c r="E313" s="97">
        <v>9</v>
      </c>
      <c r="F313" s="97">
        <v>9</v>
      </c>
      <c r="G313" s="97">
        <v>9</v>
      </c>
      <c r="H313" s="97">
        <v>9</v>
      </c>
      <c r="I313" s="97">
        <v>9</v>
      </c>
      <c r="J313" s="97">
        <v>9</v>
      </c>
      <c r="K313" s="97">
        <v>9</v>
      </c>
      <c r="L313" s="97">
        <v>9</v>
      </c>
      <c r="M313" s="97">
        <v>9</v>
      </c>
      <c r="N313" s="97">
        <v>9</v>
      </c>
      <c r="O313" s="97">
        <v>9</v>
      </c>
      <c r="P313" s="97">
        <v>9</v>
      </c>
      <c r="Q313" s="97">
        <f t="shared" si="35"/>
        <v>63</v>
      </c>
      <c r="R313" s="104">
        <f t="shared" si="36"/>
        <v>7965</v>
      </c>
      <c r="S313" s="97">
        <f t="shared" si="37"/>
        <v>72</v>
      </c>
      <c r="T313" s="98">
        <f t="shared" si="38"/>
        <v>34.92</v>
      </c>
      <c r="U313" s="98">
        <f t="shared" si="39"/>
        <v>7999.92</v>
      </c>
      <c r="V313" s="111">
        <v>312</v>
      </c>
      <c r="W313" s="108"/>
    </row>
    <row r="314" spans="1:23" ht="21.75" customHeight="1" x14ac:dyDescent="0.2">
      <c r="A314" s="106">
        <v>43778</v>
      </c>
      <c r="B314" s="97">
        <v>9</v>
      </c>
      <c r="C314" s="97">
        <v>9</v>
      </c>
      <c r="D314" s="97">
        <v>9</v>
      </c>
      <c r="E314" s="97">
        <v>9</v>
      </c>
      <c r="F314" s="97">
        <v>9</v>
      </c>
      <c r="G314" s="97">
        <v>9</v>
      </c>
      <c r="H314" s="97">
        <v>9</v>
      </c>
      <c r="I314" s="97">
        <v>9</v>
      </c>
      <c r="J314" s="97">
        <v>9</v>
      </c>
      <c r="K314" s="97">
        <v>9</v>
      </c>
      <c r="L314" s="97">
        <v>9</v>
      </c>
      <c r="M314" s="97">
        <v>9</v>
      </c>
      <c r="N314" s="97">
        <v>9</v>
      </c>
      <c r="O314" s="97">
        <v>9</v>
      </c>
      <c r="P314" s="97">
        <v>9</v>
      </c>
      <c r="Q314" s="97">
        <f t="shared" si="35"/>
        <v>63</v>
      </c>
      <c r="R314" s="104">
        <f t="shared" si="36"/>
        <v>7965</v>
      </c>
      <c r="S314" s="97">
        <f t="shared" si="37"/>
        <v>72</v>
      </c>
      <c r="T314" s="98">
        <f t="shared" si="38"/>
        <v>34.92</v>
      </c>
      <c r="U314" s="98">
        <f t="shared" si="39"/>
        <v>7999.92</v>
      </c>
      <c r="V314" s="111">
        <v>313</v>
      </c>
      <c r="W314" s="108"/>
    </row>
    <row r="315" spans="1:23" ht="21.75" customHeight="1" x14ac:dyDescent="0.2">
      <c r="A315" s="106">
        <v>43779</v>
      </c>
      <c r="B315" s="97">
        <v>9</v>
      </c>
      <c r="C315" s="97">
        <v>9</v>
      </c>
      <c r="D315" s="97">
        <v>9</v>
      </c>
      <c r="E315" s="97">
        <v>9</v>
      </c>
      <c r="F315" s="97">
        <v>9</v>
      </c>
      <c r="G315" s="97">
        <v>9</v>
      </c>
      <c r="H315" s="97">
        <v>9</v>
      </c>
      <c r="I315" s="97">
        <v>9</v>
      </c>
      <c r="J315" s="97">
        <v>9</v>
      </c>
      <c r="K315" s="97">
        <v>9</v>
      </c>
      <c r="L315" s="97">
        <v>9</v>
      </c>
      <c r="M315" s="97">
        <v>9</v>
      </c>
      <c r="N315" s="97">
        <v>9</v>
      </c>
      <c r="O315" s="97">
        <v>9</v>
      </c>
      <c r="P315" s="97">
        <v>9</v>
      </c>
      <c r="Q315" s="97">
        <f t="shared" si="35"/>
        <v>63</v>
      </c>
      <c r="R315" s="104">
        <f t="shared" si="36"/>
        <v>7965</v>
      </c>
      <c r="S315" s="97">
        <f t="shared" si="37"/>
        <v>72</v>
      </c>
      <c r="T315" s="98">
        <f t="shared" si="38"/>
        <v>34.92</v>
      </c>
      <c r="U315" s="98">
        <f t="shared" si="39"/>
        <v>7999.92</v>
      </c>
      <c r="V315" s="111">
        <v>314</v>
      </c>
      <c r="W315" s="108"/>
    </row>
    <row r="316" spans="1:23" ht="21.75" customHeight="1" x14ac:dyDescent="0.2">
      <c r="A316" s="106">
        <v>43780</v>
      </c>
      <c r="B316" s="97">
        <v>9</v>
      </c>
      <c r="C316" s="97">
        <v>9</v>
      </c>
      <c r="D316" s="97">
        <v>9</v>
      </c>
      <c r="E316" s="97">
        <v>9</v>
      </c>
      <c r="F316" s="97">
        <v>9</v>
      </c>
      <c r="G316" s="97">
        <v>9</v>
      </c>
      <c r="H316" s="97">
        <v>9</v>
      </c>
      <c r="I316" s="97">
        <v>9</v>
      </c>
      <c r="J316" s="97">
        <v>9</v>
      </c>
      <c r="K316" s="97">
        <v>9</v>
      </c>
      <c r="L316" s="97">
        <v>9</v>
      </c>
      <c r="M316" s="97">
        <v>9</v>
      </c>
      <c r="N316" s="97">
        <v>9</v>
      </c>
      <c r="O316" s="97">
        <v>9</v>
      </c>
      <c r="P316" s="97">
        <v>9</v>
      </c>
      <c r="Q316" s="97">
        <f t="shared" si="35"/>
        <v>63</v>
      </c>
      <c r="R316" s="104">
        <f t="shared" si="36"/>
        <v>7965</v>
      </c>
      <c r="S316" s="97">
        <f t="shared" si="37"/>
        <v>72</v>
      </c>
      <c r="T316" s="98">
        <f t="shared" si="38"/>
        <v>34.92</v>
      </c>
      <c r="U316" s="98">
        <f t="shared" si="39"/>
        <v>7999.92</v>
      </c>
      <c r="V316" s="111">
        <v>315</v>
      </c>
      <c r="W316" s="108"/>
    </row>
    <row r="317" spans="1:23" ht="21.75" customHeight="1" x14ac:dyDescent="0.2">
      <c r="A317" s="106">
        <v>43781</v>
      </c>
      <c r="B317" s="97">
        <v>9</v>
      </c>
      <c r="C317" s="97">
        <v>9</v>
      </c>
      <c r="D317" s="97">
        <v>9</v>
      </c>
      <c r="E317" s="97">
        <v>9</v>
      </c>
      <c r="F317" s="97">
        <v>9</v>
      </c>
      <c r="G317" s="97">
        <v>9</v>
      </c>
      <c r="H317" s="97">
        <v>9</v>
      </c>
      <c r="I317" s="97">
        <v>9</v>
      </c>
      <c r="J317" s="97">
        <v>9</v>
      </c>
      <c r="K317" s="97">
        <v>9</v>
      </c>
      <c r="L317" s="97">
        <v>9</v>
      </c>
      <c r="M317" s="97">
        <v>9</v>
      </c>
      <c r="N317" s="97">
        <v>9</v>
      </c>
      <c r="O317" s="97">
        <v>9</v>
      </c>
      <c r="P317" s="97">
        <v>9</v>
      </c>
      <c r="Q317" s="97">
        <f t="shared" si="35"/>
        <v>63</v>
      </c>
      <c r="R317" s="104">
        <f t="shared" si="36"/>
        <v>7965</v>
      </c>
      <c r="S317" s="97">
        <f t="shared" si="37"/>
        <v>72</v>
      </c>
      <c r="T317" s="98">
        <f t="shared" si="38"/>
        <v>34.92</v>
      </c>
      <c r="U317" s="98">
        <f t="shared" si="39"/>
        <v>7999.92</v>
      </c>
      <c r="V317" s="111">
        <v>316</v>
      </c>
      <c r="W317" s="108"/>
    </row>
    <row r="318" spans="1:23" ht="21.75" customHeight="1" x14ac:dyDescent="0.2">
      <c r="A318" s="106">
        <v>43782</v>
      </c>
      <c r="B318" s="97">
        <v>9</v>
      </c>
      <c r="C318" s="97">
        <v>9</v>
      </c>
      <c r="D318" s="97">
        <v>9</v>
      </c>
      <c r="E318" s="97">
        <v>9</v>
      </c>
      <c r="F318" s="97">
        <v>9</v>
      </c>
      <c r="G318" s="97">
        <v>9</v>
      </c>
      <c r="H318" s="97">
        <v>9</v>
      </c>
      <c r="I318" s="97">
        <v>9</v>
      </c>
      <c r="J318" s="97">
        <v>9</v>
      </c>
      <c r="K318" s="97">
        <v>9</v>
      </c>
      <c r="L318" s="97">
        <v>9</v>
      </c>
      <c r="M318" s="97">
        <v>9</v>
      </c>
      <c r="N318" s="97">
        <v>9</v>
      </c>
      <c r="O318" s="97">
        <v>9</v>
      </c>
      <c r="P318" s="97">
        <v>9</v>
      </c>
      <c r="Q318" s="97">
        <f t="shared" si="35"/>
        <v>63</v>
      </c>
      <c r="R318" s="104">
        <f t="shared" si="36"/>
        <v>7965</v>
      </c>
      <c r="S318" s="97">
        <f t="shared" si="37"/>
        <v>72</v>
      </c>
      <c r="T318" s="98">
        <f t="shared" si="38"/>
        <v>34.92</v>
      </c>
      <c r="U318" s="98">
        <f t="shared" si="39"/>
        <v>7999.92</v>
      </c>
      <c r="V318" s="111">
        <v>317</v>
      </c>
      <c r="W318" s="108"/>
    </row>
    <row r="319" spans="1:23" ht="21.75" customHeight="1" x14ac:dyDescent="0.2">
      <c r="A319" s="106">
        <v>43783</v>
      </c>
      <c r="B319" s="97">
        <v>9</v>
      </c>
      <c r="C319" s="97">
        <v>9</v>
      </c>
      <c r="D319" s="97">
        <v>9</v>
      </c>
      <c r="E319" s="97">
        <v>9</v>
      </c>
      <c r="F319" s="97">
        <v>9</v>
      </c>
      <c r="G319" s="97">
        <v>9</v>
      </c>
      <c r="H319" s="97">
        <v>9</v>
      </c>
      <c r="I319" s="97">
        <v>9</v>
      </c>
      <c r="J319" s="97">
        <v>9</v>
      </c>
      <c r="K319" s="97">
        <v>9</v>
      </c>
      <c r="L319" s="97">
        <v>9</v>
      </c>
      <c r="M319" s="97">
        <v>9</v>
      </c>
      <c r="N319" s="97">
        <v>9</v>
      </c>
      <c r="O319" s="97">
        <v>9</v>
      </c>
      <c r="P319" s="97">
        <v>9</v>
      </c>
      <c r="Q319" s="97">
        <f t="shared" si="35"/>
        <v>63</v>
      </c>
      <c r="R319" s="104">
        <f t="shared" si="36"/>
        <v>7965</v>
      </c>
      <c r="S319" s="97">
        <f t="shared" si="37"/>
        <v>72</v>
      </c>
      <c r="T319" s="98">
        <f t="shared" si="38"/>
        <v>34.92</v>
      </c>
      <c r="U319" s="98">
        <f t="shared" si="39"/>
        <v>7999.92</v>
      </c>
      <c r="V319" s="111">
        <v>318</v>
      </c>
      <c r="W319" s="108"/>
    </row>
    <row r="320" spans="1:23" ht="21.75" customHeight="1" x14ac:dyDescent="0.2">
      <c r="A320" s="106">
        <v>43784</v>
      </c>
      <c r="B320" s="97">
        <v>9</v>
      </c>
      <c r="C320" s="97">
        <v>9</v>
      </c>
      <c r="D320" s="97">
        <v>9</v>
      </c>
      <c r="E320" s="97">
        <v>9</v>
      </c>
      <c r="F320" s="97">
        <v>9</v>
      </c>
      <c r="G320" s="97">
        <v>9</v>
      </c>
      <c r="H320" s="97">
        <v>9</v>
      </c>
      <c r="I320" s="97">
        <v>9</v>
      </c>
      <c r="J320" s="97">
        <v>9</v>
      </c>
      <c r="K320" s="97">
        <v>9</v>
      </c>
      <c r="L320" s="97">
        <v>9</v>
      </c>
      <c r="M320" s="97">
        <v>9</v>
      </c>
      <c r="N320" s="97">
        <v>9</v>
      </c>
      <c r="O320" s="97">
        <v>9</v>
      </c>
      <c r="P320" s="97">
        <v>9</v>
      </c>
      <c r="Q320" s="97">
        <f t="shared" si="35"/>
        <v>63</v>
      </c>
      <c r="R320" s="104">
        <f t="shared" si="36"/>
        <v>7965</v>
      </c>
      <c r="S320" s="97">
        <f t="shared" si="37"/>
        <v>72</v>
      </c>
      <c r="T320" s="98">
        <f t="shared" si="38"/>
        <v>34.92</v>
      </c>
      <c r="U320" s="98">
        <f t="shared" si="39"/>
        <v>7999.92</v>
      </c>
      <c r="V320" s="111">
        <v>319</v>
      </c>
      <c r="W320" s="108"/>
    </row>
    <row r="321" spans="1:23" ht="21.75" customHeight="1" x14ac:dyDescent="0.2">
      <c r="A321" s="106">
        <v>43785</v>
      </c>
      <c r="B321" s="97">
        <v>9</v>
      </c>
      <c r="C321" s="97">
        <v>9</v>
      </c>
      <c r="D321" s="97">
        <v>9</v>
      </c>
      <c r="E321" s="97">
        <v>9</v>
      </c>
      <c r="F321" s="97">
        <v>9</v>
      </c>
      <c r="G321" s="97">
        <v>9</v>
      </c>
      <c r="H321" s="97">
        <v>9</v>
      </c>
      <c r="I321" s="97">
        <v>9</v>
      </c>
      <c r="J321" s="97">
        <v>9</v>
      </c>
      <c r="K321" s="97">
        <v>9</v>
      </c>
      <c r="L321" s="97">
        <v>9</v>
      </c>
      <c r="M321" s="97">
        <v>9</v>
      </c>
      <c r="N321" s="97">
        <v>9</v>
      </c>
      <c r="O321" s="97">
        <v>9</v>
      </c>
      <c r="P321" s="97">
        <v>9</v>
      </c>
      <c r="Q321" s="97">
        <f t="shared" si="35"/>
        <v>63</v>
      </c>
      <c r="R321" s="104">
        <f t="shared" si="36"/>
        <v>7965</v>
      </c>
      <c r="S321" s="97">
        <f t="shared" si="37"/>
        <v>72</v>
      </c>
      <c r="T321" s="98">
        <f t="shared" si="38"/>
        <v>34.92</v>
      </c>
      <c r="U321" s="98">
        <f t="shared" si="39"/>
        <v>7999.92</v>
      </c>
      <c r="V321" s="111">
        <v>320</v>
      </c>
      <c r="W321" s="108"/>
    </row>
    <row r="322" spans="1:23" ht="21.75" customHeight="1" x14ac:dyDescent="0.2">
      <c r="A322" s="106">
        <v>43786</v>
      </c>
      <c r="B322" s="97">
        <v>9</v>
      </c>
      <c r="C322" s="97">
        <v>9</v>
      </c>
      <c r="D322" s="97">
        <v>9</v>
      </c>
      <c r="E322" s="97">
        <v>9</v>
      </c>
      <c r="F322" s="97">
        <v>9</v>
      </c>
      <c r="G322" s="97">
        <v>9</v>
      </c>
      <c r="H322" s="97">
        <v>9</v>
      </c>
      <c r="I322" s="97">
        <v>9</v>
      </c>
      <c r="J322" s="97">
        <v>9</v>
      </c>
      <c r="K322" s="97">
        <v>9</v>
      </c>
      <c r="L322" s="97">
        <v>9</v>
      </c>
      <c r="M322" s="97">
        <v>9</v>
      </c>
      <c r="N322" s="97">
        <v>9</v>
      </c>
      <c r="O322" s="97">
        <v>9</v>
      </c>
      <c r="P322" s="97">
        <v>9</v>
      </c>
      <c r="Q322" s="97">
        <f t="shared" si="35"/>
        <v>63</v>
      </c>
      <c r="R322" s="104">
        <f t="shared" si="36"/>
        <v>7965</v>
      </c>
      <c r="S322" s="97">
        <f t="shared" si="37"/>
        <v>72</v>
      </c>
      <c r="T322" s="98">
        <f t="shared" si="38"/>
        <v>34.92</v>
      </c>
      <c r="U322" s="98">
        <f t="shared" si="39"/>
        <v>7999.92</v>
      </c>
      <c r="V322" s="111">
        <v>321</v>
      </c>
      <c r="W322" s="108"/>
    </row>
    <row r="323" spans="1:23" ht="21.75" customHeight="1" x14ac:dyDescent="0.2">
      <c r="A323" s="106">
        <v>43787</v>
      </c>
      <c r="B323" s="97">
        <v>9</v>
      </c>
      <c r="C323" s="97">
        <v>9</v>
      </c>
      <c r="D323" s="97">
        <v>9</v>
      </c>
      <c r="E323" s="97">
        <v>9</v>
      </c>
      <c r="F323" s="97">
        <v>9</v>
      </c>
      <c r="G323" s="97">
        <v>9</v>
      </c>
      <c r="H323" s="97">
        <v>9</v>
      </c>
      <c r="I323" s="97">
        <v>9</v>
      </c>
      <c r="J323" s="97">
        <v>9</v>
      </c>
      <c r="K323" s="97">
        <v>9</v>
      </c>
      <c r="L323" s="97">
        <v>9</v>
      </c>
      <c r="M323" s="97">
        <v>9</v>
      </c>
      <c r="N323" s="97">
        <v>9</v>
      </c>
      <c r="O323" s="97">
        <v>9</v>
      </c>
      <c r="P323" s="97">
        <v>9</v>
      </c>
      <c r="Q323" s="97">
        <f t="shared" si="35"/>
        <v>63</v>
      </c>
      <c r="R323" s="104">
        <f t="shared" si="36"/>
        <v>7965</v>
      </c>
      <c r="S323" s="97">
        <f t="shared" si="37"/>
        <v>72</v>
      </c>
      <c r="T323" s="98">
        <f t="shared" si="38"/>
        <v>34.92</v>
      </c>
      <c r="U323" s="98">
        <f t="shared" si="39"/>
        <v>7999.92</v>
      </c>
      <c r="V323" s="111">
        <v>322</v>
      </c>
      <c r="W323" s="108"/>
    </row>
    <row r="324" spans="1:23" ht="21.75" customHeight="1" x14ac:dyDescent="0.2">
      <c r="A324" s="106">
        <v>43788</v>
      </c>
      <c r="B324" s="97">
        <v>9</v>
      </c>
      <c r="C324" s="97">
        <v>9</v>
      </c>
      <c r="D324" s="97">
        <v>9</v>
      </c>
      <c r="E324" s="97">
        <v>9</v>
      </c>
      <c r="F324" s="97">
        <v>9</v>
      </c>
      <c r="G324" s="97">
        <v>9</v>
      </c>
      <c r="H324" s="97">
        <v>9</v>
      </c>
      <c r="I324" s="97">
        <v>9</v>
      </c>
      <c r="J324" s="97">
        <v>9</v>
      </c>
      <c r="K324" s="97">
        <v>9</v>
      </c>
      <c r="L324" s="97">
        <v>9</v>
      </c>
      <c r="M324" s="97">
        <v>9</v>
      </c>
      <c r="N324" s="97">
        <v>9</v>
      </c>
      <c r="O324" s="97">
        <v>9</v>
      </c>
      <c r="P324" s="97">
        <v>9</v>
      </c>
      <c r="Q324" s="97">
        <f t="shared" si="35"/>
        <v>63</v>
      </c>
      <c r="R324" s="104">
        <f t="shared" si="36"/>
        <v>7965</v>
      </c>
      <c r="S324" s="97">
        <f t="shared" si="37"/>
        <v>72</v>
      </c>
      <c r="T324" s="98">
        <f t="shared" si="38"/>
        <v>34.92</v>
      </c>
      <c r="U324" s="98">
        <f t="shared" si="39"/>
        <v>7999.92</v>
      </c>
      <c r="V324" s="111">
        <v>323</v>
      </c>
      <c r="W324" s="108"/>
    </row>
    <row r="325" spans="1:23" ht="21.75" customHeight="1" x14ac:dyDescent="0.2">
      <c r="A325" s="106">
        <v>43789</v>
      </c>
      <c r="B325" s="97">
        <v>9</v>
      </c>
      <c r="C325" s="97">
        <v>9</v>
      </c>
      <c r="D325" s="97">
        <v>9</v>
      </c>
      <c r="E325" s="97">
        <v>9</v>
      </c>
      <c r="F325" s="97">
        <v>9</v>
      </c>
      <c r="G325" s="97">
        <v>9</v>
      </c>
      <c r="H325" s="97">
        <v>9</v>
      </c>
      <c r="I325" s="97">
        <v>9</v>
      </c>
      <c r="J325" s="97">
        <v>9</v>
      </c>
      <c r="K325" s="97">
        <v>9</v>
      </c>
      <c r="L325" s="97">
        <v>9</v>
      </c>
      <c r="M325" s="97">
        <v>9</v>
      </c>
      <c r="N325" s="97">
        <v>9</v>
      </c>
      <c r="O325" s="97">
        <v>9</v>
      </c>
      <c r="P325" s="97">
        <v>9</v>
      </c>
      <c r="Q325" s="97">
        <f t="shared" ref="Q325:Q366" si="40">SUM(B325:H325)</f>
        <v>63</v>
      </c>
      <c r="R325" s="104">
        <f t="shared" ref="R325:R366" si="41">SUM(B325*B$1+C325*C$1+D325*D$1+E325*E$1+F325*F$1+G325*G$1+H325*H$1)</f>
        <v>7965</v>
      </c>
      <c r="S325" s="97">
        <f t="shared" ref="S325:S366" si="42">SUM(I325:P325)</f>
        <v>72</v>
      </c>
      <c r="T325" s="98">
        <f t="shared" ref="T325:T366" si="43">SUM(I325*I$1+J325*J$1+K325*K$1+L325*L$1+M325*M$1+N325*N$1+O325*O$1+P325*P$1)</f>
        <v>34.92</v>
      </c>
      <c r="U325" s="98">
        <f t="shared" ref="U325:U366" si="44">SUM(R325+T325)</f>
        <v>7999.92</v>
      </c>
      <c r="V325" s="111">
        <v>324</v>
      </c>
      <c r="W325" s="108"/>
    </row>
    <row r="326" spans="1:23" ht="21.75" customHeight="1" x14ac:dyDescent="0.2">
      <c r="A326" s="106">
        <v>43790</v>
      </c>
      <c r="B326" s="97">
        <v>9</v>
      </c>
      <c r="C326" s="97">
        <v>9</v>
      </c>
      <c r="D326" s="97">
        <v>9</v>
      </c>
      <c r="E326" s="97">
        <v>9</v>
      </c>
      <c r="F326" s="97">
        <v>9</v>
      </c>
      <c r="G326" s="97">
        <v>9</v>
      </c>
      <c r="H326" s="97">
        <v>9</v>
      </c>
      <c r="I326" s="97">
        <v>9</v>
      </c>
      <c r="J326" s="97">
        <v>9</v>
      </c>
      <c r="K326" s="97">
        <v>9</v>
      </c>
      <c r="L326" s="97">
        <v>9</v>
      </c>
      <c r="M326" s="97">
        <v>9</v>
      </c>
      <c r="N326" s="97">
        <v>9</v>
      </c>
      <c r="O326" s="97">
        <v>9</v>
      </c>
      <c r="P326" s="97">
        <v>9</v>
      </c>
      <c r="Q326" s="97">
        <f t="shared" si="40"/>
        <v>63</v>
      </c>
      <c r="R326" s="104">
        <f t="shared" si="41"/>
        <v>7965</v>
      </c>
      <c r="S326" s="97">
        <f t="shared" si="42"/>
        <v>72</v>
      </c>
      <c r="T326" s="98">
        <f t="shared" si="43"/>
        <v>34.92</v>
      </c>
      <c r="U326" s="98">
        <f t="shared" si="44"/>
        <v>7999.92</v>
      </c>
      <c r="V326" s="111">
        <v>325</v>
      </c>
      <c r="W326" s="108"/>
    </row>
    <row r="327" spans="1:23" ht="21.75" customHeight="1" x14ac:dyDescent="0.2">
      <c r="A327" s="106">
        <v>43791</v>
      </c>
      <c r="B327" s="97">
        <v>9</v>
      </c>
      <c r="C327" s="97">
        <v>9</v>
      </c>
      <c r="D327" s="97">
        <v>9</v>
      </c>
      <c r="E327" s="97">
        <v>9</v>
      </c>
      <c r="F327" s="97">
        <v>9</v>
      </c>
      <c r="G327" s="97">
        <v>9</v>
      </c>
      <c r="H327" s="97">
        <v>9</v>
      </c>
      <c r="I327" s="97">
        <v>9</v>
      </c>
      <c r="J327" s="97">
        <v>9</v>
      </c>
      <c r="K327" s="97">
        <v>9</v>
      </c>
      <c r="L327" s="97">
        <v>9</v>
      </c>
      <c r="M327" s="97">
        <v>9</v>
      </c>
      <c r="N327" s="97">
        <v>9</v>
      </c>
      <c r="O327" s="97">
        <v>9</v>
      </c>
      <c r="P327" s="97">
        <v>9</v>
      </c>
      <c r="Q327" s="97">
        <f t="shared" si="40"/>
        <v>63</v>
      </c>
      <c r="R327" s="104">
        <f t="shared" si="41"/>
        <v>7965</v>
      </c>
      <c r="S327" s="97">
        <f t="shared" si="42"/>
        <v>72</v>
      </c>
      <c r="T327" s="98">
        <f t="shared" si="43"/>
        <v>34.92</v>
      </c>
      <c r="U327" s="98">
        <f t="shared" si="44"/>
        <v>7999.92</v>
      </c>
      <c r="V327" s="111">
        <v>326</v>
      </c>
      <c r="W327" s="108"/>
    </row>
    <row r="328" spans="1:23" ht="21.75" customHeight="1" x14ac:dyDescent="0.2">
      <c r="A328" s="106">
        <v>43792</v>
      </c>
      <c r="B328" s="97">
        <v>9</v>
      </c>
      <c r="C328" s="97">
        <v>9</v>
      </c>
      <c r="D328" s="97">
        <v>9</v>
      </c>
      <c r="E328" s="97">
        <v>9</v>
      </c>
      <c r="F328" s="97">
        <v>9</v>
      </c>
      <c r="G328" s="97">
        <v>9</v>
      </c>
      <c r="H328" s="97">
        <v>9</v>
      </c>
      <c r="I328" s="97">
        <v>9</v>
      </c>
      <c r="J328" s="97">
        <v>9</v>
      </c>
      <c r="K328" s="97">
        <v>9</v>
      </c>
      <c r="L328" s="97">
        <v>9</v>
      </c>
      <c r="M328" s="97">
        <v>9</v>
      </c>
      <c r="N328" s="97">
        <v>9</v>
      </c>
      <c r="O328" s="97">
        <v>9</v>
      </c>
      <c r="P328" s="97">
        <v>9</v>
      </c>
      <c r="Q328" s="97">
        <f t="shared" si="40"/>
        <v>63</v>
      </c>
      <c r="R328" s="104">
        <f t="shared" si="41"/>
        <v>7965</v>
      </c>
      <c r="S328" s="97">
        <f t="shared" si="42"/>
        <v>72</v>
      </c>
      <c r="T328" s="98">
        <f t="shared" si="43"/>
        <v>34.92</v>
      </c>
      <c r="U328" s="98">
        <f t="shared" si="44"/>
        <v>7999.92</v>
      </c>
      <c r="V328" s="111">
        <v>327</v>
      </c>
      <c r="W328" s="108"/>
    </row>
    <row r="329" spans="1:23" ht="21.75" customHeight="1" x14ac:dyDescent="0.2">
      <c r="A329" s="106">
        <v>43793</v>
      </c>
      <c r="B329" s="97">
        <v>9</v>
      </c>
      <c r="C329" s="97">
        <v>9</v>
      </c>
      <c r="D329" s="97">
        <v>9</v>
      </c>
      <c r="E329" s="97">
        <v>9</v>
      </c>
      <c r="F329" s="97">
        <v>9</v>
      </c>
      <c r="G329" s="97">
        <v>9</v>
      </c>
      <c r="H329" s="97">
        <v>9</v>
      </c>
      <c r="I329" s="97">
        <v>9</v>
      </c>
      <c r="J329" s="97">
        <v>9</v>
      </c>
      <c r="K329" s="97">
        <v>9</v>
      </c>
      <c r="L329" s="97">
        <v>9</v>
      </c>
      <c r="M329" s="97">
        <v>9</v>
      </c>
      <c r="N329" s="97">
        <v>9</v>
      </c>
      <c r="O329" s="97">
        <v>9</v>
      </c>
      <c r="P329" s="97">
        <v>9</v>
      </c>
      <c r="Q329" s="97">
        <f t="shared" si="40"/>
        <v>63</v>
      </c>
      <c r="R329" s="104">
        <f t="shared" si="41"/>
        <v>7965</v>
      </c>
      <c r="S329" s="97">
        <f t="shared" si="42"/>
        <v>72</v>
      </c>
      <c r="T329" s="98">
        <f t="shared" si="43"/>
        <v>34.92</v>
      </c>
      <c r="U329" s="98">
        <f t="shared" si="44"/>
        <v>7999.92</v>
      </c>
      <c r="V329" s="111">
        <v>328</v>
      </c>
      <c r="W329" s="108"/>
    </row>
    <row r="330" spans="1:23" ht="21.75" customHeight="1" x14ac:dyDescent="0.2">
      <c r="A330" s="106">
        <v>43794</v>
      </c>
      <c r="B330" s="97">
        <v>9</v>
      </c>
      <c r="C330" s="97">
        <v>9</v>
      </c>
      <c r="D330" s="97">
        <v>9</v>
      </c>
      <c r="E330" s="97">
        <v>9</v>
      </c>
      <c r="F330" s="97">
        <v>9</v>
      </c>
      <c r="G330" s="97">
        <v>9</v>
      </c>
      <c r="H330" s="97">
        <v>9</v>
      </c>
      <c r="I330" s="97">
        <v>9</v>
      </c>
      <c r="J330" s="97">
        <v>9</v>
      </c>
      <c r="K330" s="97">
        <v>9</v>
      </c>
      <c r="L330" s="97">
        <v>9</v>
      </c>
      <c r="M330" s="97">
        <v>9</v>
      </c>
      <c r="N330" s="97">
        <v>9</v>
      </c>
      <c r="O330" s="97">
        <v>9</v>
      </c>
      <c r="P330" s="97">
        <v>9</v>
      </c>
      <c r="Q330" s="97">
        <f t="shared" si="40"/>
        <v>63</v>
      </c>
      <c r="R330" s="104">
        <f t="shared" si="41"/>
        <v>7965</v>
      </c>
      <c r="S330" s="97">
        <f t="shared" si="42"/>
        <v>72</v>
      </c>
      <c r="T330" s="98">
        <f t="shared" si="43"/>
        <v>34.92</v>
      </c>
      <c r="U330" s="98">
        <f t="shared" si="44"/>
        <v>7999.92</v>
      </c>
      <c r="V330" s="111">
        <v>329</v>
      </c>
      <c r="W330" s="108"/>
    </row>
    <row r="331" spans="1:23" ht="21.75" customHeight="1" x14ac:dyDescent="0.2">
      <c r="A331" s="106">
        <v>43795</v>
      </c>
      <c r="B331" s="97">
        <v>9</v>
      </c>
      <c r="C331" s="97">
        <v>9</v>
      </c>
      <c r="D331" s="97">
        <v>9</v>
      </c>
      <c r="E331" s="97">
        <v>9</v>
      </c>
      <c r="F331" s="97">
        <v>9</v>
      </c>
      <c r="G331" s="97">
        <v>9</v>
      </c>
      <c r="H331" s="97">
        <v>9</v>
      </c>
      <c r="I331" s="97">
        <v>9</v>
      </c>
      <c r="J331" s="97">
        <v>9</v>
      </c>
      <c r="K331" s="97">
        <v>9</v>
      </c>
      <c r="L331" s="97">
        <v>9</v>
      </c>
      <c r="M331" s="97">
        <v>9</v>
      </c>
      <c r="N331" s="97">
        <v>9</v>
      </c>
      <c r="O331" s="97">
        <v>9</v>
      </c>
      <c r="P331" s="97">
        <v>9</v>
      </c>
      <c r="Q331" s="97">
        <f t="shared" si="40"/>
        <v>63</v>
      </c>
      <c r="R331" s="104">
        <f t="shared" si="41"/>
        <v>7965</v>
      </c>
      <c r="S331" s="97">
        <f t="shared" si="42"/>
        <v>72</v>
      </c>
      <c r="T331" s="98">
        <f t="shared" si="43"/>
        <v>34.92</v>
      </c>
      <c r="U331" s="98">
        <f t="shared" si="44"/>
        <v>7999.92</v>
      </c>
      <c r="V331" s="111">
        <v>330</v>
      </c>
      <c r="W331" s="108"/>
    </row>
    <row r="332" spans="1:23" ht="21.75" customHeight="1" x14ac:dyDescent="0.2">
      <c r="A332" s="106">
        <v>43796</v>
      </c>
      <c r="B332" s="97">
        <v>9</v>
      </c>
      <c r="C332" s="97">
        <v>9</v>
      </c>
      <c r="D332" s="97">
        <v>9</v>
      </c>
      <c r="E332" s="97">
        <v>9</v>
      </c>
      <c r="F332" s="97">
        <v>9</v>
      </c>
      <c r="G332" s="97">
        <v>9</v>
      </c>
      <c r="H332" s="97">
        <v>9</v>
      </c>
      <c r="I332" s="97">
        <v>9</v>
      </c>
      <c r="J332" s="97">
        <v>9</v>
      </c>
      <c r="K332" s="97">
        <v>9</v>
      </c>
      <c r="L332" s="97">
        <v>9</v>
      </c>
      <c r="M332" s="97">
        <v>9</v>
      </c>
      <c r="N332" s="97">
        <v>9</v>
      </c>
      <c r="O332" s="97">
        <v>9</v>
      </c>
      <c r="P332" s="97">
        <v>9</v>
      </c>
      <c r="Q332" s="97">
        <f t="shared" si="40"/>
        <v>63</v>
      </c>
      <c r="R332" s="104">
        <f t="shared" si="41"/>
        <v>7965</v>
      </c>
      <c r="S332" s="97">
        <f t="shared" si="42"/>
        <v>72</v>
      </c>
      <c r="T332" s="98">
        <f t="shared" si="43"/>
        <v>34.92</v>
      </c>
      <c r="U332" s="98">
        <f t="shared" si="44"/>
        <v>7999.92</v>
      </c>
      <c r="V332" s="111">
        <v>331</v>
      </c>
      <c r="W332" s="108"/>
    </row>
    <row r="333" spans="1:23" ht="21.75" customHeight="1" x14ac:dyDescent="0.2">
      <c r="A333" s="106">
        <v>43797</v>
      </c>
      <c r="B333" s="97">
        <v>9</v>
      </c>
      <c r="C333" s="97">
        <v>9</v>
      </c>
      <c r="D333" s="97">
        <v>9</v>
      </c>
      <c r="E333" s="97">
        <v>9</v>
      </c>
      <c r="F333" s="97">
        <v>9</v>
      </c>
      <c r="G333" s="97">
        <v>9</v>
      </c>
      <c r="H333" s="97">
        <v>9</v>
      </c>
      <c r="I333" s="97">
        <v>9</v>
      </c>
      <c r="J333" s="97">
        <v>9</v>
      </c>
      <c r="K333" s="97">
        <v>9</v>
      </c>
      <c r="L333" s="97">
        <v>9</v>
      </c>
      <c r="M333" s="97">
        <v>9</v>
      </c>
      <c r="N333" s="97">
        <v>9</v>
      </c>
      <c r="O333" s="97">
        <v>9</v>
      </c>
      <c r="P333" s="97">
        <v>9</v>
      </c>
      <c r="Q333" s="97">
        <f t="shared" si="40"/>
        <v>63</v>
      </c>
      <c r="R333" s="104">
        <f t="shared" si="41"/>
        <v>7965</v>
      </c>
      <c r="S333" s="97">
        <f t="shared" si="42"/>
        <v>72</v>
      </c>
      <c r="T333" s="98">
        <f t="shared" si="43"/>
        <v>34.92</v>
      </c>
      <c r="U333" s="98">
        <f t="shared" si="44"/>
        <v>7999.92</v>
      </c>
      <c r="V333" s="111">
        <v>332</v>
      </c>
      <c r="W333" s="108"/>
    </row>
    <row r="334" spans="1:23" ht="21.75" customHeight="1" x14ac:dyDescent="0.2">
      <c r="A334" s="106">
        <v>43798</v>
      </c>
      <c r="B334" s="97">
        <v>9</v>
      </c>
      <c r="C334" s="97">
        <v>9</v>
      </c>
      <c r="D334" s="97">
        <v>9</v>
      </c>
      <c r="E334" s="97">
        <v>9</v>
      </c>
      <c r="F334" s="97">
        <v>9</v>
      </c>
      <c r="G334" s="97">
        <v>9</v>
      </c>
      <c r="H334" s="97">
        <v>9</v>
      </c>
      <c r="I334" s="97">
        <v>9</v>
      </c>
      <c r="J334" s="97">
        <v>9</v>
      </c>
      <c r="K334" s="97">
        <v>9</v>
      </c>
      <c r="L334" s="97">
        <v>9</v>
      </c>
      <c r="M334" s="97">
        <v>9</v>
      </c>
      <c r="N334" s="97">
        <v>9</v>
      </c>
      <c r="O334" s="97">
        <v>9</v>
      </c>
      <c r="P334" s="97">
        <v>9</v>
      </c>
      <c r="Q334" s="97">
        <f t="shared" si="40"/>
        <v>63</v>
      </c>
      <c r="R334" s="104">
        <f t="shared" si="41"/>
        <v>7965</v>
      </c>
      <c r="S334" s="97">
        <f t="shared" si="42"/>
        <v>72</v>
      </c>
      <c r="T334" s="98">
        <f t="shared" si="43"/>
        <v>34.92</v>
      </c>
      <c r="U334" s="98">
        <f t="shared" si="44"/>
        <v>7999.92</v>
      </c>
      <c r="V334" s="111">
        <v>333</v>
      </c>
      <c r="W334" s="108"/>
    </row>
    <row r="335" spans="1:23" ht="21.75" customHeight="1" x14ac:dyDescent="0.2">
      <c r="A335" s="106">
        <v>43799</v>
      </c>
      <c r="B335" s="97">
        <v>9</v>
      </c>
      <c r="C335" s="97">
        <v>9</v>
      </c>
      <c r="D335" s="97">
        <v>9</v>
      </c>
      <c r="E335" s="97">
        <v>9</v>
      </c>
      <c r="F335" s="97">
        <v>9</v>
      </c>
      <c r="G335" s="97">
        <v>9</v>
      </c>
      <c r="H335" s="97">
        <v>9</v>
      </c>
      <c r="I335" s="97">
        <v>9</v>
      </c>
      <c r="J335" s="97">
        <v>9</v>
      </c>
      <c r="K335" s="97">
        <v>9</v>
      </c>
      <c r="L335" s="97">
        <v>9</v>
      </c>
      <c r="M335" s="97">
        <v>9</v>
      </c>
      <c r="N335" s="97">
        <v>9</v>
      </c>
      <c r="O335" s="97">
        <v>9</v>
      </c>
      <c r="P335" s="97">
        <v>9</v>
      </c>
      <c r="Q335" s="97">
        <f t="shared" si="40"/>
        <v>63</v>
      </c>
      <c r="R335" s="104">
        <f t="shared" si="41"/>
        <v>7965</v>
      </c>
      <c r="S335" s="97">
        <f t="shared" si="42"/>
        <v>72</v>
      </c>
      <c r="T335" s="98">
        <f t="shared" si="43"/>
        <v>34.92</v>
      </c>
      <c r="U335" s="98">
        <f t="shared" si="44"/>
        <v>7999.92</v>
      </c>
      <c r="V335" s="111">
        <v>334</v>
      </c>
      <c r="W335" s="108"/>
    </row>
    <row r="336" spans="1:23" ht="21.75" customHeight="1" x14ac:dyDescent="0.2">
      <c r="A336" s="106">
        <v>43800</v>
      </c>
      <c r="B336" s="97">
        <v>9</v>
      </c>
      <c r="C336" s="97">
        <v>9</v>
      </c>
      <c r="D336" s="97">
        <v>9</v>
      </c>
      <c r="E336" s="97">
        <v>9</v>
      </c>
      <c r="F336" s="97">
        <v>9</v>
      </c>
      <c r="G336" s="97">
        <v>9</v>
      </c>
      <c r="H336" s="97">
        <v>9</v>
      </c>
      <c r="I336" s="97">
        <v>9</v>
      </c>
      <c r="J336" s="97">
        <v>9</v>
      </c>
      <c r="K336" s="97">
        <v>9</v>
      </c>
      <c r="L336" s="97">
        <v>9</v>
      </c>
      <c r="M336" s="97">
        <v>9</v>
      </c>
      <c r="N336" s="97">
        <v>9</v>
      </c>
      <c r="O336" s="97">
        <v>9</v>
      </c>
      <c r="P336" s="97">
        <v>9</v>
      </c>
      <c r="Q336" s="97">
        <f t="shared" si="40"/>
        <v>63</v>
      </c>
      <c r="R336" s="104">
        <f t="shared" si="41"/>
        <v>7965</v>
      </c>
      <c r="S336" s="97">
        <f t="shared" si="42"/>
        <v>72</v>
      </c>
      <c r="T336" s="98">
        <f t="shared" si="43"/>
        <v>34.92</v>
      </c>
      <c r="U336" s="98">
        <f t="shared" si="44"/>
        <v>7999.92</v>
      </c>
      <c r="V336" s="111">
        <v>335</v>
      </c>
      <c r="W336" s="108"/>
    </row>
    <row r="337" spans="1:23" ht="21.75" customHeight="1" x14ac:dyDescent="0.2">
      <c r="A337" s="106">
        <v>43801</v>
      </c>
      <c r="B337" s="97">
        <v>9</v>
      </c>
      <c r="C337" s="97">
        <v>9</v>
      </c>
      <c r="D337" s="97">
        <v>9</v>
      </c>
      <c r="E337" s="97">
        <v>9</v>
      </c>
      <c r="F337" s="97">
        <v>9</v>
      </c>
      <c r="G337" s="97">
        <v>9</v>
      </c>
      <c r="H337" s="97">
        <v>9</v>
      </c>
      <c r="I337" s="97">
        <v>9</v>
      </c>
      <c r="J337" s="97">
        <v>9</v>
      </c>
      <c r="K337" s="97">
        <v>9</v>
      </c>
      <c r="L337" s="97">
        <v>9</v>
      </c>
      <c r="M337" s="97">
        <v>9</v>
      </c>
      <c r="N337" s="97">
        <v>9</v>
      </c>
      <c r="O337" s="97">
        <v>9</v>
      </c>
      <c r="P337" s="97">
        <v>9</v>
      </c>
      <c r="Q337" s="97">
        <f t="shared" si="40"/>
        <v>63</v>
      </c>
      <c r="R337" s="104">
        <f t="shared" si="41"/>
        <v>7965</v>
      </c>
      <c r="S337" s="97">
        <f t="shared" si="42"/>
        <v>72</v>
      </c>
      <c r="T337" s="98">
        <f t="shared" si="43"/>
        <v>34.92</v>
      </c>
      <c r="U337" s="98">
        <f t="shared" si="44"/>
        <v>7999.92</v>
      </c>
      <c r="V337" s="111">
        <v>336</v>
      </c>
      <c r="W337" s="108"/>
    </row>
    <row r="338" spans="1:23" ht="21.75" customHeight="1" x14ac:dyDescent="0.2">
      <c r="A338" s="106">
        <v>43802</v>
      </c>
      <c r="B338" s="97">
        <v>9</v>
      </c>
      <c r="C338" s="97">
        <v>9</v>
      </c>
      <c r="D338" s="97">
        <v>9</v>
      </c>
      <c r="E338" s="97">
        <v>9</v>
      </c>
      <c r="F338" s="97">
        <v>9</v>
      </c>
      <c r="G338" s="97">
        <v>9</v>
      </c>
      <c r="H338" s="97">
        <v>9</v>
      </c>
      <c r="I338" s="97">
        <v>9</v>
      </c>
      <c r="J338" s="97">
        <v>9</v>
      </c>
      <c r="K338" s="97">
        <v>9</v>
      </c>
      <c r="L338" s="97">
        <v>9</v>
      </c>
      <c r="M338" s="97">
        <v>9</v>
      </c>
      <c r="N338" s="97">
        <v>9</v>
      </c>
      <c r="O338" s="97">
        <v>9</v>
      </c>
      <c r="P338" s="97">
        <v>9</v>
      </c>
      <c r="Q338" s="97">
        <f t="shared" si="40"/>
        <v>63</v>
      </c>
      <c r="R338" s="104">
        <f t="shared" si="41"/>
        <v>7965</v>
      </c>
      <c r="S338" s="97">
        <f t="shared" si="42"/>
        <v>72</v>
      </c>
      <c r="T338" s="98">
        <f t="shared" si="43"/>
        <v>34.92</v>
      </c>
      <c r="U338" s="98">
        <f t="shared" si="44"/>
        <v>7999.92</v>
      </c>
      <c r="V338" s="111">
        <v>337</v>
      </c>
      <c r="W338" s="108"/>
    </row>
    <row r="339" spans="1:23" ht="21.75" customHeight="1" x14ac:dyDescent="0.2">
      <c r="A339" s="106">
        <v>43803</v>
      </c>
      <c r="B339" s="97">
        <v>9</v>
      </c>
      <c r="C339" s="97">
        <v>9</v>
      </c>
      <c r="D339" s="97">
        <v>9</v>
      </c>
      <c r="E339" s="97">
        <v>9</v>
      </c>
      <c r="F339" s="97">
        <v>9</v>
      </c>
      <c r="G339" s="97">
        <v>9</v>
      </c>
      <c r="H339" s="97">
        <v>9</v>
      </c>
      <c r="I339" s="97">
        <v>9</v>
      </c>
      <c r="J339" s="97">
        <v>9</v>
      </c>
      <c r="K339" s="97">
        <v>9</v>
      </c>
      <c r="L339" s="97">
        <v>9</v>
      </c>
      <c r="M339" s="97">
        <v>9</v>
      </c>
      <c r="N339" s="97">
        <v>9</v>
      </c>
      <c r="O339" s="97">
        <v>9</v>
      </c>
      <c r="P339" s="97">
        <v>9</v>
      </c>
      <c r="Q339" s="97">
        <f t="shared" si="40"/>
        <v>63</v>
      </c>
      <c r="R339" s="104">
        <f t="shared" si="41"/>
        <v>7965</v>
      </c>
      <c r="S339" s="97">
        <f t="shared" si="42"/>
        <v>72</v>
      </c>
      <c r="T339" s="98">
        <f t="shared" si="43"/>
        <v>34.92</v>
      </c>
      <c r="U339" s="98">
        <f t="shared" si="44"/>
        <v>7999.92</v>
      </c>
      <c r="V339" s="111">
        <v>338</v>
      </c>
      <c r="W339" s="108"/>
    </row>
    <row r="340" spans="1:23" ht="21.75" customHeight="1" x14ac:dyDescent="0.2">
      <c r="A340" s="106">
        <v>43804</v>
      </c>
      <c r="B340" s="97">
        <v>9</v>
      </c>
      <c r="C340" s="97">
        <v>9</v>
      </c>
      <c r="D340" s="97">
        <v>9</v>
      </c>
      <c r="E340" s="97">
        <v>9</v>
      </c>
      <c r="F340" s="97">
        <v>9</v>
      </c>
      <c r="G340" s="97">
        <v>9</v>
      </c>
      <c r="H340" s="97">
        <v>9</v>
      </c>
      <c r="I340" s="97">
        <v>9</v>
      </c>
      <c r="J340" s="97">
        <v>9</v>
      </c>
      <c r="K340" s="97">
        <v>9</v>
      </c>
      <c r="L340" s="97">
        <v>9</v>
      </c>
      <c r="M340" s="97">
        <v>9</v>
      </c>
      <c r="N340" s="97">
        <v>9</v>
      </c>
      <c r="O340" s="97">
        <v>9</v>
      </c>
      <c r="P340" s="97">
        <v>9</v>
      </c>
      <c r="Q340" s="97">
        <f t="shared" si="40"/>
        <v>63</v>
      </c>
      <c r="R340" s="104">
        <f t="shared" si="41"/>
        <v>7965</v>
      </c>
      <c r="S340" s="97">
        <f t="shared" si="42"/>
        <v>72</v>
      </c>
      <c r="T340" s="98">
        <f t="shared" si="43"/>
        <v>34.92</v>
      </c>
      <c r="U340" s="98">
        <f t="shared" si="44"/>
        <v>7999.92</v>
      </c>
      <c r="V340" s="111">
        <v>339</v>
      </c>
      <c r="W340" s="108"/>
    </row>
    <row r="341" spans="1:23" ht="21.75" customHeight="1" x14ac:dyDescent="0.2">
      <c r="A341" s="106">
        <v>43805</v>
      </c>
      <c r="B341" s="97">
        <v>9</v>
      </c>
      <c r="C341" s="97">
        <v>9</v>
      </c>
      <c r="D341" s="97">
        <v>9</v>
      </c>
      <c r="E341" s="97">
        <v>9</v>
      </c>
      <c r="F341" s="97">
        <v>9</v>
      </c>
      <c r="G341" s="97">
        <v>9</v>
      </c>
      <c r="H341" s="97">
        <v>9</v>
      </c>
      <c r="I341" s="97">
        <v>9</v>
      </c>
      <c r="J341" s="97">
        <v>9</v>
      </c>
      <c r="K341" s="97">
        <v>9</v>
      </c>
      <c r="L341" s="97">
        <v>9</v>
      </c>
      <c r="M341" s="97">
        <v>9</v>
      </c>
      <c r="N341" s="97">
        <v>9</v>
      </c>
      <c r="O341" s="97">
        <v>9</v>
      </c>
      <c r="P341" s="97">
        <v>9</v>
      </c>
      <c r="Q341" s="97">
        <f t="shared" si="40"/>
        <v>63</v>
      </c>
      <c r="R341" s="104">
        <f t="shared" si="41"/>
        <v>7965</v>
      </c>
      <c r="S341" s="97">
        <f t="shared" si="42"/>
        <v>72</v>
      </c>
      <c r="T341" s="98">
        <f t="shared" si="43"/>
        <v>34.92</v>
      </c>
      <c r="U341" s="98">
        <f t="shared" si="44"/>
        <v>7999.92</v>
      </c>
      <c r="V341" s="111">
        <v>340</v>
      </c>
      <c r="W341" s="108"/>
    </row>
    <row r="342" spans="1:23" ht="21.75" customHeight="1" x14ac:dyDescent="0.2">
      <c r="A342" s="106">
        <v>43806</v>
      </c>
      <c r="B342" s="97">
        <v>9</v>
      </c>
      <c r="C342" s="97">
        <v>9</v>
      </c>
      <c r="D342" s="97">
        <v>9</v>
      </c>
      <c r="E342" s="97">
        <v>9</v>
      </c>
      <c r="F342" s="97">
        <v>9</v>
      </c>
      <c r="G342" s="97">
        <v>9</v>
      </c>
      <c r="H342" s="97">
        <v>9</v>
      </c>
      <c r="I342" s="97">
        <v>9</v>
      </c>
      <c r="J342" s="97">
        <v>9</v>
      </c>
      <c r="K342" s="97">
        <v>9</v>
      </c>
      <c r="L342" s="97">
        <v>9</v>
      </c>
      <c r="M342" s="97">
        <v>9</v>
      </c>
      <c r="N342" s="97">
        <v>9</v>
      </c>
      <c r="O342" s="97">
        <v>9</v>
      </c>
      <c r="P342" s="97">
        <v>9</v>
      </c>
      <c r="Q342" s="97">
        <f t="shared" si="40"/>
        <v>63</v>
      </c>
      <c r="R342" s="104">
        <f t="shared" si="41"/>
        <v>7965</v>
      </c>
      <c r="S342" s="97">
        <f t="shared" si="42"/>
        <v>72</v>
      </c>
      <c r="T342" s="98">
        <f t="shared" si="43"/>
        <v>34.92</v>
      </c>
      <c r="U342" s="98">
        <f t="shared" si="44"/>
        <v>7999.92</v>
      </c>
      <c r="V342" s="111">
        <v>341</v>
      </c>
      <c r="W342" s="108"/>
    </row>
    <row r="343" spans="1:23" ht="21.75" customHeight="1" x14ac:dyDescent="0.2">
      <c r="A343" s="106">
        <v>43807</v>
      </c>
      <c r="B343" s="97">
        <v>9</v>
      </c>
      <c r="C343" s="97">
        <v>9</v>
      </c>
      <c r="D343" s="97">
        <v>9</v>
      </c>
      <c r="E343" s="97">
        <v>9</v>
      </c>
      <c r="F343" s="97">
        <v>9</v>
      </c>
      <c r="G343" s="97">
        <v>9</v>
      </c>
      <c r="H343" s="97">
        <v>9</v>
      </c>
      <c r="I343" s="97">
        <v>9</v>
      </c>
      <c r="J343" s="97">
        <v>9</v>
      </c>
      <c r="K343" s="97">
        <v>9</v>
      </c>
      <c r="L343" s="97">
        <v>9</v>
      </c>
      <c r="M343" s="97">
        <v>9</v>
      </c>
      <c r="N343" s="97">
        <v>9</v>
      </c>
      <c r="O343" s="97">
        <v>9</v>
      </c>
      <c r="P343" s="97">
        <v>9</v>
      </c>
      <c r="Q343" s="97">
        <f t="shared" si="40"/>
        <v>63</v>
      </c>
      <c r="R343" s="104">
        <f t="shared" si="41"/>
        <v>7965</v>
      </c>
      <c r="S343" s="97">
        <f t="shared" si="42"/>
        <v>72</v>
      </c>
      <c r="T343" s="98">
        <f t="shared" si="43"/>
        <v>34.92</v>
      </c>
      <c r="U343" s="98">
        <f t="shared" si="44"/>
        <v>7999.92</v>
      </c>
      <c r="V343" s="111">
        <v>342</v>
      </c>
      <c r="W343" s="108"/>
    </row>
    <row r="344" spans="1:23" ht="21.75" customHeight="1" x14ac:dyDescent="0.2">
      <c r="A344" s="106">
        <v>43808</v>
      </c>
      <c r="B344" s="97">
        <v>9</v>
      </c>
      <c r="C344" s="97">
        <v>9</v>
      </c>
      <c r="D344" s="97">
        <v>9</v>
      </c>
      <c r="E344" s="97">
        <v>9</v>
      </c>
      <c r="F344" s="97">
        <v>9</v>
      </c>
      <c r="G344" s="97">
        <v>9</v>
      </c>
      <c r="H344" s="97">
        <v>9</v>
      </c>
      <c r="I344" s="97">
        <v>9</v>
      </c>
      <c r="J344" s="97">
        <v>9</v>
      </c>
      <c r="K344" s="97">
        <v>9</v>
      </c>
      <c r="L344" s="97">
        <v>9</v>
      </c>
      <c r="M344" s="97">
        <v>9</v>
      </c>
      <c r="N344" s="97">
        <v>9</v>
      </c>
      <c r="O344" s="97">
        <v>9</v>
      </c>
      <c r="P344" s="97">
        <v>9</v>
      </c>
      <c r="Q344" s="97">
        <f t="shared" si="40"/>
        <v>63</v>
      </c>
      <c r="R344" s="104">
        <f t="shared" si="41"/>
        <v>7965</v>
      </c>
      <c r="S344" s="97">
        <f t="shared" si="42"/>
        <v>72</v>
      </c>
      <c r="T344" s="98">
        <f t="shared" si="43"/>
        <v>34.92</v>
      </c>
      <c r="U344" s="98">
        <f t="shared" si="44"/>
        <v>7999.92</v>
      </c>
      <c r="V344" s="111">
        <v>343</v>
      </c>
      <c r="W344" s="108"/>
    </row>
    <row r="345" spans="1:23" ht="21.75" customHeight="1" x14ac:dyDescent="0.2">
      <c r="A345" s="106">
        <v>43809</v>
      </c>
      <c r="B345" s="97">
        <v>9</v>
      </c>
      <c r="C345" s="97">
        <v>9</v>
      </c>
      <c r="D345" s="97">
        <v>9</v>
      </c>
      <c r="E345" s="97">
        <v>9</v>
      </c>
      <c r="F345" s="97">
        <v>9</v>
      </c>
      <c r="G345" s="97">
        <v>9</v>
      </c>
      <c r="H345" s="97">
        <v>9</v>
      </c>
      <c r="I345" s="97">
        <v>9</v>
      </c>
      <c r="J345" s="97">
        <v>9</v>
      </c>
      <c r="K345" s="97">
        <v>9</v>
      </c>
      <c r="L345" s="97">
        <v>9</v>
      </c>
      <c r="M345" s="97">
        <v>9</v>
      </c>
      <c r="N345" s="97">
        <v>9</v>
      </c>
      <c r="O345" s="97">
        <v>9</v>
      </c>
      <c r="P345" s="97">
        <v>9</v>
      </c>
      <c r="Q345" s="97">
        <f t="shared" si="40"/>
        <v>63</v>
      </c>
      <c r="R345" s="104">
        <f t="shared" si="41"/>
        <v>7965</v>
      </c>
      <c r="S345" s="97">
        <f t="shared" si="42"/>
        <v>72</v>
      </c>
      <c r="T345" s="98">
        <f t="shared" si="43"/>
        <v>34.92</v>
      </c>
      <c r="U345" s="98">
        <f t="shared" si="44"/>
        <v>7999.92</v>
      </c>
      <c r="V345" s="111">
        <v>344</v>
      </c>
      <c r="W345" s="108"/>
    </row>
    <row r="346" spans="1:23" ht="21.75" customHeight="1" x14ac:dyDescent="0.2">
      <c r="A346" s="106">
        <v>43810</v>
      </c>
      <c r="B346" s="97">
        <v>9</v>
      </c>
      <c r="C346" s="97">
        <v>9</v>
      </c>
      <c r="D346" s="97">
        <v>9</v>
      </c>
      <c r="E346" s="97">
        <v>9</v>
      </c>
      <c r="F346" s="97">
        <v>9</v>
      </c>
      <c r="G346" s="97">
        <v>9</v>
      </c>
      <c r="H346" s="97">
        <v>9</v>
      </c>
      <c r="I346" s="97">
        <v>9</v>
      </c>
      <c r="J346" s="97">
        <v>9</v>
      </c>
      <c r="K346" s="97">
        <v>9</v>
      </c>
      <c r="L346" s="97">
        <v>9</v>
      </c>
      <c r="M346" s="97">
        <v>9</v>
      </c>
      <c r="N346" s="97">
        <v>9</v>
      </c>
      <c r="O346" s="97">
        <v>9</v>
      </c>
      <c r="P346" s="97">
        <v>9</v>
      </c>
      <c r="Q346" s="97">
        <f t="shared" si="40"/>
        <v>63</v>
      </c>
      <c r="R346" s="104">
        <f t="shared" si="41"/>
        <v>7965</v>
      </c>
      <c r="S346" s="97">
        <f t="shared" si="42"/>
        <v>72</v>
      </c>
      <c r="T346" s="98">
        <f t="shared" si="43"/>
        <v>34.92</v>
      </c>
      <c r="U346" s="98">
        <f t="shared" si="44"/>
        <v>7999.92</v>
      </c>
      <c r="V346" s="111">
        <v>345</v>
      </c>
      <c r="W346" s="108"/>
    </row>
    <row r="347" spans="1:23" ht="21.75" customHeight="1" x14ac:dyDescent="0.2">
      <c r="A347" s="106">
        <v>43811</v>
      </c>
      <c r="B347" s="97">
        <v>9</v>
      </c>
      <c r="C347" s="97">
        <v>9</v>
      </c>
      <c r="D347" s="97">
        <v>9</v>
      </c>
      <c r="E347" s="97">
        <v>9</v>
      </c>
      <c r="F347" s="97">
        <v>9</v>
      </c>
      <c r="G347" s="97">
        <v>9</v>
      </c>
      <c r="H347" s="97">
        <v>9</v>
      </c>
      <c r="I347" s="97">
        <v>9</v>
      </c>
      <c r="J347" s="97">
        <v>9</v>
      </c>
      <c r="K347" s="97">
        <v>9</v>
      </c>
      <c r="L347" s="97">
        <v>9</v>
      </c>
      <c r="M347" s="97">
        <v>9</v>
      </c>
      <c r="N347" s="97">
        <v>9</v>
      </c>
      <c r="O347" s="97">
        <v>9</v>
      </c>
      <c r="P347" s="97">
        <v>9</v>
      </c>
      <c r="Q347" s="97">
        <f t="shared" si="40"/>
        <v>63</v>
      </c>
      <c r="R347" s="104">
        <f t="shared" si="41"/>
        <v>7965</v>
      </c>
      <c r="S347" s="97">
        <f t="shared" si="42"/>
        <v>72</v>
      </c>
      <c r="T347" s="98">
        <f t="shared" si="43"/>
        <v>34.92</v>
      </c>
      <c r="U347" s="98">
        <f t="shared" si="44"/>
        <v>7999.92</v>
      </c>
      <c r="V347" s="111">
        <v>346</v>
      </c>
      <c r="W347" s="108"/>
    </row>
    <row r="348" spans="1:23" ht="21.75" customHeight="1" x14ac:dyDescent="0.2">
      <c r="A348" s="106">
        <v>43812</v>
      </c>
      <c r="B348" s="97">
        <v>9</v>
      </c>
      <c r="C348" s="97">
        <v>9</v>
      </c>
      <c r="D348" s="97">
        <v>9</v>
      </c>
      <c r="E348" s="97">
        <v>9</v>
      </c>
      <c r="F348" s="97">
        <v>9</v>
      </c>
      <c r="G348" s="97">
        <v>9</v>
      </c>
      <c r="H348" s="97">
        <v>9</v>
      </c>
      <c r="I348" s="97">
        <v>9</v>
      </c>
      <c r="J348" s="97">
        <v>9</v>
      </c>
      <c r="K348" s="97">
        <v>9</v>
      </c>
      <c r="L348" s="97">
        <v>9</v>
      </c>
      <c r="M348" s="97">
        <v>9</v>
      </c>
      <c r="N348" s="97">
        <v>9</v>
      </c>
      <c r="O348" s="97">
        <v>9</v>
      </c>
      <c r="P348" s="97">
        <v>9</v>
      </c>
      <c r="Q348" s="97">
        <f t="shared" si="40"/>
        <v>63</v>
      </c>
      <c r="R348" s="104">
        <f t="shared" si="41"/>
        <v>7965</v>
      </c>
      <c r="S348" s="97">
        <f t="shared" si="42"/>
        <v>72</v>
      </c>
      <c r="T348" s="98">
        <f t="shared" si="43"/>
        <v>34.92</v>
      </c>
      <c r="U348" s="98">
        <f t="shared" si="44"/>
        <v>7999.92</v>
      </c>
      <c r="V348" s="111">
        <v>347</v>
      </c>
      <c r="W348" s="108"/>
    </row>
    <row r="349" spans="1:23" ht="21.75" customHeight="1" x14ac:dyDescent="0.2">
      <c r="A349" s="106">
        <v>43813</v>
      </c>
      <c r="B349" s="97">
        <v>9</v>
      </c>
      <c r="C349" s="97">
        <v>9</v>
      </c>
      <c r="D349" s="97">
        <v>9</v>
      </c>
      <c r="E349" s="97">
        <v>9</v>
      </c>
      <c r="F349" s="97">
        <v>9</v>
      </c>
      <c r="G349" s="97">
        <v>9</v>
      </c>
      <c r="H349" s="97">
        <v>9</v>
      </c>
      <c r="I349" s="97">
        <v>9</v>
      </c>
      <c r="J349" s="97">
        <v>9</v>
      </c>
      <c r="K349" s="97">
        <v>9</v>
      </c>
      <c r="L349" s="97">
        <v>9</v>
      </c>
      <c r="M349" s="97">
        <v>9</v>
      </c>
      <c r="N349" s="97">
        <v>9</v>
      </c>
      <c r="O349" s="97">
        <v>9</v>
      </c>
      <c r="P349" s="97">
        <v>9</v>
      </c>
      <c r="Q349" s="97">
        <f t="shared" si="40"/>
        <v>63</v>
      </c>
      <c r="R349" s="104">
        <f t="shared" si="41"/>
        <v>7965</v>
      </c>
      <c r="S349" s="97">
        <f t="shared" si="42"/>
        <v>72</v>
      </c>
      <c r="T349" s="98">
        <f t="shared" si="43"/>
        <v>34.92</v>
      </c>
      <c r="U349" s="98">
        <f t="shared" si="44"/>
        <v>7999.92</v>
      </c>
      <c r="V349" s="111">
        <v>348</v>
      </c>
      <c r="W349" s="108"/>
    </row>
    <row r="350" spans="1:23" ht="21.75" customHeight="1" x14ac:dyDescent="0.2">
      <c r="A350" s="106">
        <v>43814</v>
      </c>
      <c r="B350" s="97">
        <v>9</v>
      </c>
      <c r="C350" s="97">
        <v>9</v>
      </c>
      <c r="D350" s="97">
        <v>9</v>
      </c>
      <c r="E350" s="97">
        <v>9</v>
      </c>
      <c r="F350" s="97">
        <v>9</v>
      </c>
      <c r="G350" s="97">
        <v>9</v>
      </c>
      <c r="H350" s="97">
        <v>9</v>
      </c>
      <c r="I350" s="97">
        <v>9</v>
      </c>
      <c r="J350" s="97">
        <v>9</v>
      </c>
      <c r="K350" s="97">
        <v>9</v>
      </c>
      <c r="L350" s="97">
        <v>9</v>
      </c>
      <c r="M350" s="97">
        <v>9</v>
      </c>
      <c r="N350" s="97">
        <v>9</v>
      </c>
      <c r="O350" s="97">
        <v>9</v>
      </c>
      <c r="P350" s="97">
        <v>9</v>
      </c>
      <c r="Q350" s="97">
        <f t="shared" si="40"/>
        <v>63</v>
      </c>
      <c r="R350" s="104">
        <f t="shared" si="41"/>
        <v>7965</v>
      </c>
      <c r="S350" s="97">
        <f t="shared" si="42"/>
        <v>72</v>
      </c>
      <c r="T350" s="98">
        <f t="shared" si="43"/>
        <v>34.92</v>
      </c>
      <c r="U350" s="98">
        <f t="shared" si="44"/>
        <v>7999.92</v>
      </c>
      <c r="V350" s="111">
        <v>349</v>
      </c>
      <c r="W350" s="108"/>
    </row>
    <row r="351" spans="1:23" ht="21.75" customHeight="1" x14ac:dyDescent="0.2">
      <c r="A351" s="106">
        <v>43815</v>
      </c>
      <c r="B351" s="97">
        <v>9</v>
      </c>
      <c r="C351" s="97">
        <v>9</v>
      </c>
      <c r="D351" s="97">
        <v>9</v>
      </c>
      <c r="E351" s="97">
        <v>9</v>
      </c>
      <c r="F351" s="97">
        <v>9</v>
      </c>
      <c r="G351" s="97">
        <v>9</v>
      </c>
      <c r="H351" s="97">
        <v>9</v>
      </c>
      <c r="I351" s="97">
        <v>9</v>
      </c>
      <c r="J351" s="97">
        <v>9</v>
      </c>
      <c r="K351" s="97">
        <v>9</v>
      </c>
      <c r="L351" s="97">
        <v>9</v>
      </c>
      <c r="M351" s="97">
        <v>9</v>
      </c>
      <c r="N351" s="97">
        <v>9</v>
      </c>
      <c r="O351" s="97">
        <v>9</v>
      </c>
      <c r="P351" s="97">
        <v>9</v>
      </c>
      <c r="Q351" s="97">
        <f t="shared" si="40"/>
        <v>63</v>
      </c>
      <c r="R351" s="104">
        <f t="shared" si="41"/>
        <v>7965</v>
      </c>
      <c r="S351" s="97">
        <f t="shared" si="42"/>
        <v>72</v>
      </c>
      <c r="T351" s="98">
        <f t="shared" si="43"/>
        <v>34.92</v>
      </c>
      <c r="U351" s="98">
        <f t="shared" si="44"/>
        <v>7999.92</v>
      </c>
      <c r="V351" s="111">
        <v>350</v>
      </c>
      <c r="W351" s="108"/>
    </row>
    <row r="352" spans="1:23" ht="21.75" customHeight="1" x14ac:dyDescent="0.2">
      <c r="A352" s="106">
        <v>43816</v>
      </c>
      <c r="B352" s="97">
        <v>9</v>
      </c>
      <c r="C352" s="97">
        <v>9</v>
      </c>
      <c r="D352" s="97">
        <v>9</v>
      </c>
      <c r="E352" s="97">
        <v>9</v>
      </c>
      <c r="F352" s="97">
        <v>9</v>
      </c>
      <c r="G352" s="97">
        <v>9</v>
      </c>
      <c r="H352" s="97">
        <v>9</v>
      </c>
      <c r="I352" s="97">
        <v>9</v>
      </c>
      <c r="J352" s="97">
        <v>9</v>
      </c>
      <c r="K352" s="97">
        <v>9</v>
      </c>
      <c r="L352" s="97">
        <v>9</v>
      </c>
      <c r="M352" s="97">
        <v>9</v>
      </c>
      <c r="N352" s="97">
        <v>9</v>
      </c>
      <c r="O352" s="97">
        <v>9</v>
      </c>
      <c r="P352" s="97">
        <v>9</v>
      </c>
      <c r="Q352" s="97">
        <f t="shared" si="40"/>
        <v>63</v>
      </c>
      <c r="R352" s="104">
        <f t="shared" si="41"/>
        <v>7965</v>
      </c>
      <c r="S352" s="97">
        <f t="shared" si="42"/>
        <v>72</v>
      </c>
      <c r="T352" s="98">
        <f t="shared" si="43"/>
        <v>34.92</v>
      </c>
      <c r="U352" s="98">
        <f t="shared" si="44"/>
        <v>7999.92</v>
      </c>
      <c r="V352" s="111">
        <v>351</v>
      </c>
      <c r="W352" s="108"/>
    </row>
    <row r="353" spans="1:23" ht="21.75" customHeight="1" x14ac:dyDescent="0.2">
      <c r="A353" s="106">
        <v>43817</v>
      </c>
      <c r="B353" s="97">
        <v>9</v>
      </c>
      <c r="C353" s="97">
        <v>9</v>
      </c>
      <c r="D353" s="97">
        <v>9</v>
      </c>
      <c r="E353" s="97">
        <v>9</v>
      </c>
      <c r="F353" s="97">
        <v>9</v>
      </c>
      <c r="G353" s="97">
        <v>9</v>
      </c>
      <c r="H353" s="97">
        <v>9</v>
      </c>
      <c r="I353" s="97">
        <v>9</v>
      </c>
      <c r="J353" s="97">
        <v>9</v>
      </c>
      <c r="K353" s="97">
        <v>9</v>
      </c>
      <c r="L353" s="97">
        <v>9</v>
      </c>
      <c r="M353" s="97">
        <v>9</v>
      </c>
      <c r="N353" s="97">
        <v>9</v>
      </c>
      <c r="O353" s="97">
        <v>9</v>
      </c>
      <c r="P353" s="97">
        <v>9</v>
      </c>
      <c r="Q353" s="97">
        <f t="shared" si="40"/>
        <v>63</v>
      </c>
      <c r="R353" s="104">
        <f t="shared" si="41"/>
        <v>7965</v>
      </c>
      <c r="S353" s="97">
        <f t="shared" si="42"/>
        <v>72</v>
      </c>
      <c r="T353" s="98">
        <f t="shared" si="43"/>
        <v>34.92</v>
      </c>
      <c r="U353" s="98">
        <f t="shared" si="44"/>
        <v>7999.92</v>
      </c>
      <c r="V353" s="111">
        <v>352</v>
      </c>
      <c r="W353" s="108"/>
    </row>
    <row r="354" spans="1:23" ht="21.75" customHeight="1" x14ac:dyDescent="0.2">
      <c r="A354" s="106">
        <v>43818</v>
      </c>
      <c r="B354" s="97">
        <v>9</v>
      </c>
      <c r="C354" s="97">
        <v>9</v>
      </c>
      <c r="D354" s="97">
        <v>9</v>
      </c>
      <c r="E354" s="97">
        <v>9</v>
      </c>
      <c r="F354" s="97">
        <v>9</v>
      </c>
      <c r="G354" s="97">
        <v>9</v>
      </c>
      <c r="H354" s="97">
        <v>9</v>
      </c>
      <c r="I354" s="97">
        <v>9</v>
      </c>
      <c r="J354" s="97">
        <v>9</v>
      </c>
      <c r="K354" s="97">
        <v>9</v>
      </c>
      <c r="L354" s="97">
        <v>9</v>
      </c>
      <c r="M354" s="97">
        <v>9</v>
      </c>
      <c r="N354" s="97">
        <v>9</v>
      </c>
      <c r="O354" s="97">
        <v>9</v>
      </c>
      <c r="P354" s="97">
        <v>9</v>
      </c>
      <c r="Q354" s="97">
        <f t="shared" si="40"/>
        <v>63</v>
      </c>
      <c r="R354" s="104">
        <f t="shared" si="41"/>
        <v>7965</v>
      </c>
      <c r="S354" s="97">
        <f t="shared" si="42"/>
        <v>72</v>
      </c>
      <c r="T354" s="98">
        <f t="shared" si="43"/>
        <v>34.92</v>
      </c>
      <c r="U354" s="98">
        <f t="shared" si="44"/>
        <v>7999.92</v>
      </c>
      <c r="V354" s="111">
        <v>353</v>
      </c>
      <c r="W354" s="108"/>
    </row>
    <row r="355" spans="1:23" ht="21.75" customHeight="1" x14ac:dyDescent="0.2">
      <c r="A355" s="106">
        <v>43819</v>
      </c>
      <c r="B355" s="97">
        <v>9</v>
      </c>
      <c r="C355" s="97">
        <v>9</v>
      </c>
      <c r="D355" s="97">
        <v>9</v>
      </c>
      <c r="E355" s="97">
        <v>9</v>
      </c>
      <c r="F355" s="97">
        <v>9</v>
      </c>
      <c r="G355" s="97">
        <v>9</v>
      </c>
      <c r="H355" s="97">
        <v>9</v>
      </c>
      <c r="I355" s="97">
        <v>9</v>
      </c>
      <c r="J355" s="97">
        <v>9</v>
      </c>
      <c r="K355" s="97">
        <v>9</v>
      </c>
      <c r="L355" s="97">
        <v>9</v>
      </c>
      <c r="M355" s="97">
        <v>9</v>
      </c>
      <c r="N355" s="97">
        <v>9</v>
      </c>
      <c r="O355" s="97">
        <v>9</v>
      </c>
      <c r="P355" s="97">
        <v>9</v>
      </c>
      <c r="Q355" s="97">
        <f t="shared" si="40"/>
        <v>63</v>
      </c>
      <c r="R355" s="104">
        <f t="shared" si="41"/>
        <v>7965</v>
      </c>
      <c r="S355" s="97">
        <f t="shared" si="42"/>
        <v>72</v>
      </c>
      <c r="T355" s="98">
        <f t="shared" si="43"/>
        <v>34.92</v>
      </c>
      <c r="U355" s="98">
        <f t="shared" si="44"/>
        <v>7999.92</v>
      </c>
      <c r="V355" s="111">
        <v>354</v>
      </c>
      <c r="W355" s="108"/>
    </row>
    <row r="356" spans="1:23" ht="21.75" customHeight="1" x14ac:dyDescent="0.2">
      <c r="A356" s="106">
        <v>43820</v>
      </c>
      <c r="B356" s="97">
        <v>9</v>
      </c>
      <c r="C356" s="97">
        <v>9</v>
      </c>
      <c r="D356" s="97">
        <v>9</v>
      </c>
      <c r="E356" s="97">
        <v>9</v>
      </c>
      <c r="F356" s="97">
        <v>9</v>
      </c>
      <c r="G356" s="97">
        <v>9</v>
      </c>
      <c r="H356" s="97">
        <v>9</v>
      </c>
      <c r="I356" s="97">
        <v>9</v>
      </c>
      <c r="J356" s="97">
        <v>9</v>
      </c>
      <c r="K356" s="97">
        <v>9</v>
      </c>
      <c r="L356" s="97">
        <v>9</v>
      </c>
      <c r="M356" s="97">
        <v>9</v>
      </c>
      <c r="N356" s="97">
        <v>9</v>
      </c>
      <c r="O356" s="97">
        <v>9</v>
      </c>
      <c r="P356" s="97">
        <v>9</v>
      </c>
      <c r="Q356" s="97">
        <f t="shared" si="40"/>
        <v>63</v>
      </c>
      <c r="R356" s="104">
        <f t="shared" si="41"/>
        <v>7965</v>
      </c>
      <c r="S356" s="97">
        <f t="shared" si="42"/>
        <v>72</v>
      </c>
      <c r="T356" s="98">
        <f t="shared" si="43"/>
        <v>34.92</v>
      </c>
      <c r="U356" s="98">
        <f t="shared" si="44"/>
        <v>7999.92</v>
      </c>
      <c r="V356" s="111">
        <v>355</v>
      </c>
      <c r="W356" s="108"/>
    </row>
    <row r="357" spans="1:23" ht="21.75" customHeight="1" x14ac:dyDescent="0.2">
      <c r="A357" s="106">
        <v>43821</v>
      </c>
      <c r="B357" s="97">
        <v>9</v>
      </c>
      <c r="C357" s="97">
        <v>9</v>
      </c>
      <c r="D357" s="97">
        <v>9</v>
      </c>
      <c r="E357" s="97">
        <v>9</v>
      </c>
      <c r="F357" s="97">
        <v>9</v>
      </c>
      <c r="G357" s="97">
        <v>9</v>
      </c>
      <c r="H357" s="97">
        <v>9</v>
      </c>
      <c r="I357" s="97">
        <v>9</v>
      </c>
      <c r="J357" s="97">
        <v>9</v>
      </c>
      <c r="K357" s="97">
        <v>9</v>
      </c>
      <c r="L357" s="97">
        <v>9</v>
      </c>
      <c r="M357" s="97">
        <v>9</v>
      </c>
      <c r="N357" s="97">
        <v>9</v>
      </c>
      <c r="O357" s="97">
        <v>9</v>
      </c>
      <c r="P357" s="97">
        <v>9</v>
      </c>
      <c r="Q357" s="97">
        <f t="shared" si="40"/>
        <v>63</v>
      </c>
      <c r="R357" s="104">
        <f t="shared" si="41"/>
        <v>7965</v>
      </c>
      <c r="S357" s="97">
        <f t="shared" si="42"/>
        <v>72</v>
      </c>
      <c r="T357" s="98">
        <f t="shared" si="43"/>
        <v>34.92</v>
      </c>
      <c r="U357" s="98">
        <f t="shared" si="44"/>
        <v>7999.92</v>
      </c>
      <c r="V357" s="111">
        <v>356</v>
      </c>
      <c r="W357" s="108"/>
    </row>
    <row r="358" spans="1:23" ht="21.75" customHeight="1" x14ac:dyDescent="0.2">
      <c r="A358" s="106">
        <v>43822</v>
      </c>
      <c r="B358" s="97">
        <v>9</v>
      </c>
      <c r="C358" s="97">
        <v>9</v>
      </c>
      <c r="D358" s="97">
        <v>9</v>
      </c>
      <c r="E358" s="97">
        <v>9</v>
      </c>
      <c r="F358" s="97">
        <v>9</v>
      </c>
      <c r="G358" s="97">
        <v>9</v>
      </c>
      <c r="H358" s="97">
        <v>9</v>
      </c>
      <c r="I358" s="97">
        <v>9</v>
      </c>
      <c r="J358" s="97">
        <v>9</v>
      </c>
      <c r="K358" s="97">
        <v>9</v>
      </c>
      <c r="L358" s="97">
        <v>9</v>
      </c>
      <c r="M358" s="97">
        <v>9</v>
      </c>
      <c r="N358" s="97">
        <v>9</v>
      </c>
      <c r="O358" s="97">
        <v>9</v>
      </c>
      <c r="P358" s="97">
        <v>9</v>
      </c>
      <c r="Q358" s="97">
        <f t="shared" si="40"/>
        <v>63</v>
      </c>
      <c r="R358" s="104">
        <f t="shared" si="41"/>
        <v>7965</v>
      </c>
      <c r="S358" s="97">
        <f t="shared" si="42"/>
        <v>72</v>
      </c>
      <c r="T358" s="98">
        <f t="shared" si="43"/>
        <v>34.92</v>
      </c>
      <c r="U358" s="98">
        <f t="shared" si="44"/>
        <v>7999.92</v>
      </c>
      <c r="V358" s="111">
        <v>357</v>
      </c>
      <c r="W358" s="108"/>
    </row>
    <row r="359" spans="1:23" ht="21.75" customHeight="1" x14ac:dyDescent="0.2">
      <c r="A359" s="106">
        <v>43823</v>
      </c>
      <c r="B359" s="97">
        <v>9</v>
      </c>
      <c r="C359" s="97">
        <v>9</v>
      </c>
      <c r="D359" s="97">
        <v>9</v>
      </c>
      <c r="E359" s="97">
        <v>9</v>
      </c>
      <c r="F359" s="97">
        <v>9</v>
      </c>
      <c r="G359" s="97">
        <v>9</v>
      </c>
      <c r="H359" s="97">
        <v>9</v>
      </c>
      <c r="I359" s="97">
        <v>9</v>
      </c>
      <c r="J359" s="97">
        <v>9</v>
      </c>
      <c r="K359" s="97">
        <v>9</v>
      </c>
      <c r="L359" s="97">
        <v>9</v>
      </c>
      <c r="M359" s="97">
        <v>9</v>
      </c>
      <c r="N359" s="97">
        <v>9</v>
      </c>
      <c r="O359" s="97">
        <v>9</v>
      </c>
      <c r="P359" s="97">
        <v>9</v>
      </c>
      <c r="Q359" s="97">
        <f t="shared" si="40"/>
        <v>63</v>
      </c>
      <c r="R359" s="104">
        <f t="shared" si="41"/>
        <v>7965</v>
      </c>
      <c r="S359" s="97">
        <f t="shared" si="42"/>
        <v>72</v>
      </c>
      <c r="T359" s="98">
        <f t="shared" si="43"/>
        <v>34.92</v>
      </c>
      <c r="U359" s="98">
        <f t="shared" si="44"/>
        <v>7999.92</v>
      </c>
      <c r="V359" s="111">
        <v>358</v>
      </c>
      <c r="W359" s="108"/>
    </row>
    <row r="360" spans="1:23" ht="21.75" customHeight="1" x14ac:dyDescent="0.2">
      <c r="A360" s="106">
        <v>43824</v>
      </c>
      <c r="B360" s="97">
        <v>9</v>
      </c>
      <c r="C360" s="97">
        <v>9</v>
      </c>
      <c r="D360" s="97">
        <v>9</v>
      </c>
      <c r="E360" s="97">
        <v>9</v>
      </c>
      <c r="F360" s="97">
        <v>9</v>
      </c>
      <c r="G360" s="97">
        <v>9</v>
      </c>
      <c r="H360" s="97">
        <v>9</v>
      </c>
      <c r="I360" s="97">
        <v>9</v>
      </c>
      <c r="J360" s="97">
        <v>9</v>
      </c>
      <c r="K360" s="97">
        <v>9</v>
      </c>
      <c r="L360" s="97">
        <v>9</v>
      </c>
      <c r="M360" s="97">
        <v>9</v>
      </c>
      <c r="N360" s="97">
        <v>9</v>
      </c>
      <c r="O360" s="97">
        <v>9</v>
      </c>
      <c r="P360" s="97">
        <v>9</v>
      </c>
      <c r="Q360" s="97">
        <f t="shared" si="40"/>
        <v>63</v>
      </c>
      <c r="R360" s="104">
        <f t="shared" si="41"/>
        <v>7965</v>
      </c>
      <c r="S360" s="97">
        <f t="shared" si="42"/>
        <v>72</v>
      </c>
      <c r="T360" s="98">
        <f t="shared" si="43"/>
        <v>34.92</v>
      </c>
      <c r="U360" s="98">
        <f t="shared" si="44"/>
        <v>7999.92</v>
      </c>
      <c r="V360" s="111">
        <v>359</v>
      </c>
      <c r="W360" s="108"/>
    </row>
    <row r="361" spans="1:23" ht="21.75" customHeight="1" x14ac:dyDescent="0.2">
      <c r="A361" s="106">
        <v>43825</v>
      </c>
      <c r="B361" s="97">
        <v>9</v>
      </c>
      <c r="C361" s="97">
        <v>9</v>
      </c>
      <c r="D361" s="97">
        <v>9</v>
      </c>
      <c r="E361" s="97">
        <v>9</v>
      </c>
      <c r="F361" s="97">
        <v>9</v>
      </c>
      <c r="G361" s="97">
        <v>9</v>
      </c>
      <c r="H361" s="97">
        <v>9</v>
      </c>
      <c r="I361" s="97">
        <v>9</v>
      </c>
      <c r="J361" s="97">
        <v>9</v>
      </c>
      <c r="K361" s="97">
        <v>9</v>
      </c>
      <c r="L361" s="97">
        <v>9</v>
      </c>
      <c r="M361" s="97">
        <v>9</v>
      </c>
      <c r="N361" s="97">
        <v>9</v>
      </c>
      <c r="O361" s="97">
        <v>9</v>
      </c>
      <c r="P361" s="97">
        <v>9</v>
      </c>
      <c r="Q361" s="97">
        <f t="shared" si="40"/>
        <v>63</v>
      </c>
      <c r="R361" s="104">
        <f t="shared" si="41"/>
        <v>7965</v>
      </c>
      <c r="S361" s="97">
        <f t="shared" si="42"/>
        <v>72</v>
      </c>
      <c r="T361" s="98">
        <f t="shared" si="43"/>
        <v>34.92</v>
      </c>
      <c r="U361" s="98">
        <f t="shared" si="44"/>
        <v>7999.92</v>
      </c>
      <c r="V361" s="111">
        <v>360</v>
      </c>
      <c r="W361" s="108"/>
    </row>
    <row r="362" spans="1:23" ht="21.75" customHeight="1" x14ac:dyDescent="0.2">
      <c r="A362" s="106">
        <v>43826</v>
      </c>
      <c r="B362" s="97">
        <v>9</v>
      </c>
      <c r="C362" s="97">
        <v>9</v>
      </c>
      <c r="D362" s="97">
        <v>9</v>
      </c>
      <c r="E362" s="97">
        <v>9</v>
      </c>
      <c r="F362" s="97">
        <v>9</v>
      </c>
      <c r="G362" s="97">
        <v>9</v>
      </c>
      <c r="H362" s="97">
        <v>9</v>
      </c>
      <c r="I362" s="97">
        <v>9</v>
      </c>
      <c r="J362" s="97">
        <v>9</v>
      </c>
      <c r="K362" s="97">
        <v>9</v>
      </c>
      <c r="L362" s="97">
        <v>9</v>
      </c>
      <c r="M362" s="97">
        <v>9</v>
      </c>
      <c r="N362" s="97">
        <v>9</v>
      </c>
      <c r="O362" s="97">
        <v>9</v>
      </c>
      <c r="P362" s="97">
        <v>9</v>
      </c>
      <c r="Q362" s="97">
        <f t="shared" si="40"/>
        <v>63</v>
      </c>
      <c r="R362" s="104">
        <f t="shared" si="41"/>
        <v>7965</v>
      </c>
      <c r="S362" s="97">
        <f t="shared" si="42"/>
        <v>72</v>
      </c>
      <c r="T362" s="98">
        <f t="shared" si="43"/>
        <v>34.92</v>
      </c>
      <c r="U362" s="98">
        <f t="shared" si="44"/>
        <v>7999.92</v>
      </c>
      <c r="V362" s="111">
        <v>361</v>
      </c>
      <c r="W362" s="108"/>
    </row>
    <row r="363" spans="1:23" ht="21.75" customHeight="1" x14ac:dyDescent="0.2">
      <c r="A363" s="106">
        <v>43827</v>
      </c>
      <c r="B363" s="97">
        <v>9</v>
      </c>
      <c r="C363" s="97">
        <v>9</v>
      </c>
      <c r="D363" s="97">
        <v>9</v>
      </c>
      <c r="E363" s="97">
        <v>9</v>
      </c>
      <c r="F363" s="97">
        <v>9</v>
      </c>
      <c r="G363" s="97">
        <v>9</v>
      </c>
      <c r="H363" s="97">
        <v>9</v>
      </c>
      <c r="I363" s="97">
        <v>9</v>
      </c>
      <c r="J363" s="97">
        <v>9</v>
      </c>
      <c r="K363" s="97">
        <v>9</v>
      </c>
      <c r="L363" s="97">
        <v>9</v>
      </c>
      <c r="M363" s="97">
        <v>9</v>
      </c>
      <c r="N363" s="97">
        <v>9</v>
      </c>
      <c r="O363" s="97">
        <v>9</v>
      </c>
      <c r="P363" s="97">
        <v>9</v>
      </c>
      <c r="Q363" s="97">
        <f t="shared" si="40"/>
        <v>63</v>
      </c>
      <c r="R363" s="104">
        <f t="shared" si="41"/>
        <v>7965</v>
      </c>
      <c r="S363" s="97">
        <f t="shared" si="42"/>
        <v>72</v>
      </c>
      <c r="T363" s="98">
        <f t="shared" si="43"/>
        <v>34.92</v>
      </c>
      <c r="U363" s="98">
        <f t="shared" si="44"/>
        <v>7999.92</v>
      </c>
      <c r="V363" s="111">
        <v>362</v>
      </c>
      <c r="W363" s="108"/>
    </row>
    <row r="364" spans="1:23" ht="21.75" customHeight="1" x14ac:dyDescent="0.2">
      <c r="A364" s="106">
        <v>43828</v>
      </c>
      <c r="B364" s="97">
        <v>9</v>
      </c>
      <c r="C364" s="97">
        <v>9</v>
      </c>
      <c r="D364" s="97">
        <v>9</v>
      </c>
      <c r="E364" s="97">
        <v>9</v>
      </c>
      <c r="F364" s="97">
        <v>9</v>
      </c>
      <c r="G364" s="97">
        <v>9</v>
      </c>
      <c r="H364" s="97">
        <v>9</v>
      </c>
      <c r="I364" s="97">
        <v>9</v>
      </c>
      <c r="J364" s="97">
        <v>9</v>
      </c>
      <c r="K364" s="97">
        <v>9</v>
      </c>
      <c r="L364" s="97">
        <v>9</v>
      </c>
      <c r="M364" s="97">
        <v>9</v>
      </c>
      <c r="N364" s="97">
        <v>9</v>
      </c>
      <c r="O364" s="97">
        <v>9</v>
      </c>
      <c r="P364" s="97">
        <v>9</v>
      </c>
      <c r="Q364" s="97">
        <f t="shared" si="40"/>
        <v>63</v>
      </c>
      <c r="R364" s="104">
        <f t="shared" si="41"/>
        <v>7965</v>
      </c>
      <c r="S364" s="97">
        <f t="shared" si="42"/>
        <v>72</v>
      </c>
      <c r="T364" s="98">
        <f t="shared" si="43"/>
        <v>34.92</v>
      </c>
      <c r="U364" s="98">
        <f t="shared" si="44"/>
        <v>7999.92</v>
      </c>
      <c r="V364" s="111">
        <v>363</v>
      </c>
      <c r="W364" s="108"/>
    </row>
    <row r="365" spans="1:23" ht="21.75" customHeight="1" x14ac:dyDescent="0.2">
      <c r="A365" s="106">
        <v>43829</v>
      </c>
      <c r="B365" s="97">
        <v>9</v>
      </c>
      <c r="C365" s="97">
        <v>9</v>
      </c>
      <c r="D365" s="97">
        <v>9</v>
      </c>
      <c r="E365" s="97">
        <v>9</v>
      </c>
      <c r="F365" s="97">
        <v>9</v>
      </c>
      <c r="G365" s="97">
        <v>9</v>
      </c>
      <c r="H365" s="97">
        <v>9</v>
      </c>
      <c r="I365" s="97">
        <v>9</v>
      </c>
      <c r="J365" s="97">
        <v>9</v>
      </c>
      <c r="K365" s="97">
        <v>9</v>
      </c>
      <c r="L365" s="97">
        <v>9</v>
      </c>
      <c r="M365" s="97">
        <v>9</v>
      </c>
      <c r="N365" s="97">
        <v>9</v>
      </c>
      <c r="O365" s="97">
        <v>9</v>
      </c>
      <c r="P365" s="97">
        <v>9</v>
      </c>
      <c r="Q365" s="97">
        <f t="shared" si="40"/>
        <v>63</v>
      </c>
      <c r="R365" s="104">
        <f t="shared" si="41"/>
        <v>7965</v>
      </c>
      <c r="S365" s="97">
        <f t="shared" si="42"/>
        <v>72</v>
      </c>
      <c r="T365" s="98">
        <f t="shared" si="43"/>
        <v>34.92</v>
      </c>
      <c r="U365" s="98">
        <f t="shared" si="44"/>
        <v>7999.92</v>
      </c>
      <c r="V365" s="111">
        <v>364</v>
      </c>
      <c r="W365" s="108"/>
    </row>
    <row r="366" spans="1:23" ht="21.75" customHeight="1" x14ac:dyDescent="0.2">
      <c r="A366" s="106">
        <v>43830</v>
      </c>
      <c r="B366" s="97">
        <v>9</v>
      </c>
      <c r="C366" s="97">
        <v>9</v>
      </c>
      <c r="D366" s="97">
        <v>9</v>
      </c>
      <c r="E366" s="97">
        <v>9</v>
      </c>
      <c r="F366" s="97">
        <v>9</v>
      </c>
      <c r="G366" s="97">
        <v>9</v>
      </c>
      <c r="H366" s="97">
        <v>9</v>
      </c>
      <c r="I366" s="97">
        <v>9</v>
      </c>
      <c r="J366" s="97">
        <v>9</v>
      </c>
      <c r="K366" s="97">
        <v>9</v>
      </c>
      <c r="L366" s="97">
        <v>9</v>
      </c>
      <c r="M366" s="97">
        <v>9</v>
      </c>
      <c r="N366" s="97">
        <v>9</v>
      </c>
      <c r="O366" s="97">
        <v>9</v>
      </c>
      <c r="P366" s="97">
        <v>9</v>
      </c>
      <c r="Q366" s="97">
        <f t="shared" si="40"/>
        <v>63</v>
      </c>
      <c r="R366" s="104">
        <f t="shared" si="41"/>
        <v>7965</v>
      </c>
      <c r="S366" s="97">
        <f t="shared" si="42"/>
        <v>72</v>
      </c>
      <c r="T366" s="98">
        <f t="shared" si="43"/>
        <v>34.92</v>
      </c>
      <c r="U366" s="98">
        <f t="shared" si="44"/>
        <v>7999.92</v>
      </c>
      <c r="V366" s="111">
        <v>367</v>
      </c>
      <c r="W366" s="108"/>
    </row>
  </sheetData>
  <pageMargins left="0.7" right="0.7" top="0.75" bottom="0.75" header="0.3" footer="0.3"/>
  <pageSetup paperSize="9" orientation="portrait" horizontalDpi="4294967293"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Monaie">
                <anchor moveWithCells="1" sizeWithCells="1">
                  <from>
                    <xdr:col>0</xdr:col>
                    <xdr:colOff>123825</xdr:colOff>
                    <xdr:row>0</xdr:row>
                    <xdr:rowOff>209550</xdr:rowOff>
                  </from>
                  <to>
                    <xdr:col>0</xdr:col>
                    <xdr:colOff>1495425</xdr:colOff>
                    <xdr:row>0</xdr:row>
                    <xdr:rowOff>495300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tabColor theme="5" tint="0.39997558519241921"/>
    <pageSetUpPr autoPageBreaks="0" fitToPage="1"/>
  </sheetPr>
  <dimension ref="A1:AL10"/>
  <sheetViews>
    <sheetView showGridLines="0" zoomScaleNormal="100" workbookViewId="0">
      <pane ySplit="3" topLeftCell="A4" activePane="bottomLeft" state="frozen"/>
      <selection pane="bottomLeft" activeCell="AL4" sqref="AL4"/>
    </sheetView>
  </sheetViews>
  <sheetFormatPr baseColWidth="10" defaultColWidth="9" defaultRowHeight="30" customHeight="1" x14ac:dyDescent="0.2"/>
  <cols>
    <col min="1" max="1" width="2.625" style="40" customWidth="1"/>
    <col min="2" max="2" width="23.625" style="40" customWidth="1"/>
    <col min="3" max="3" width="14" style="40" customWidth="1"/>
    <col min="4" max="15" width="10.125" style="40" customWidth="1"/>
    <col min="16" max="16" width="9.875" style="40" customWidth="1"/>
    <col min="17" max="29" width="10.25" style="40" customWidth="1"/>
    <col min="30" max="30" width="9.875" style="40" customWidth="1"/>
    <col min="31" max="31" width="2.625" style="40" customWidth="1"/>
    <col min="32" max="16384" width="9" style="40"/>
  </cols>
  <sheetData>
    <row r="1" spans="1:38" ht="35.1" customHeight="1" x14ac:dyDescent="0.2">
      <c r="A1" s="38"/>
      <c r="B1" s="39" t="s">
        <v>0</v>
      </c>
      <c r="J1" s="41"/>
      <c r="Q1" s="42"/>
      <c r="R1" s="42"/>
      <c r="S1" s="42"/>
      <c r="T1" s="42"/>
      <c r="U1" s="42"/>
      <c r="V1" s="42"/>
      <c r="W1" s="42"/>
      <c r="X1" s="42"/>
      <c r="Y1" s="42"/>
      <c r="Z1" s="42"/>
      <c r="AA1" s="42"/>
      <c r="AB1" s="42"/>
      <c r="AC1" s="42"/>
      <c r="AD1" s="43" t="s">
        <v>11</v>
      </c>
    </row>
    <row r="2" spans="1:38" ht="60" customHeight="1" x14ac:dyDescent="0.25">
      <c r="B2" s="44" t="s">
        <v>80</v>
      </c>
      <c r="E2" s="45"/>
      <c r="G2" s="45"/>
      <c r="K2" s="45"/>
      <c r="L2" s="45"/>
      <c r="M2" s="45"/>
      <c r="N2" s="45"/>
      <c r="O2" s="45"/>
      <c r="X2" s="46"/>
      <c r="Y2" s="46"/>
      <c r="Z2" s="46"/>
      <c r="AA2" s="46"/>
      <c r="AB2" s="47" t="s">
        <v>10</v>
      </c>
      <c r="AC2" s="47" t="s">
        <v>40</v>
      </c>
      <c r="AD2" s="48">
        <f ca="1">YEAR(TODAY())</f>
        <v>2019</v>
      </c>
    </row>
    <row r="3" spans="1:38" ht="20.100000000000001" customHeight="1" x14ac:dyDescent="0.2">
      <c r="D3" s="49" t="str">
        <f ca="1">UPPER(TEXT(DATE(FYStartYear,FYMonthNo,1),"mmm-aa"))</f>
        <v>JANV-19</v>
      </c>
      <c r="E3" s="49" t="str">
        <f ca="1">UPPER(TEXT(DATE(FYStartYear,FYMonthNo+1,1),"mmm-aa"))</f>
        <v>FÉVR-19</v>
      </c>
      <c r="F3" s="49" t="str">
        <f ca="1">UPPER(TEXT(DATE(FYStartYear,FYMonthNo+2,1),"mmm-aa"))</f>
        <v>MARS-19</v>
      </c>
      <c r="G3" s="49" t="str">
        <f ca="1">UPPER(TEXT(DATE(FYStartYear,FYMonthNo+3,1),"mmm-aa"))</f>
        <v>AVR-19</v>
      </c>
      <c r="H3" s="49" t="str">
        <f ca="1">UPPER(TEXT(DATE(FYStartYear,FYMonthNo+4,1),"mmm-aa"))</f>
        <v>MAI-19</v>
      </c>
      <c r="I3" s="49" t="str">
        <f ca="1">UPPER(TEXT(DATE(FYStartYear,FYMonthNo+5,1),"mmm-aa"))</f>
        <v>JUIN-19</v>
      </c>
      <c r="J3" s="49" t="str">
        <f ca="1">UPPER(TEXT(DATE(FYStartYear,FYMonthNo+6,1),"mmm-aa"))</f>
        <v>JUIL-19</v>
      </c>
      <c r="K3" s="49" t="str">
        <f ca="1">UPPER(TEXT(DATE(FYStartYear,FYMonthNo+7,1),"mmm-aa"))</f>
        <v>AOÛT-19</v>
      </c>
      <c r="L3" s="49" t="str">
        <f ca="1">UPPER(TEXT(DATE(FYStartYear,FYMonthNo+8,1),"mmm-aa"))</f>
        <v>SEPT-19</v>
      </c>
      <c r="M3" s="49" t="str">
        <f ca="1">UPPER(TEXT(DATE(FYStartYear,FYMonthNo+9,1),"mmm-aa"))</f>
        <v>OCT-19</v>
      </c>
      <c r="N3" s="49" t="str">
        <f ca="1">UPPER(TEXT(DATE(FYStartYear,FYMonthNo+10,1),"mmm-aa"))</f>
        <v>NOV-19</v>
      </c>
      <c r="O3" s="49" t="str">
        <f ca="1">UPPER(TEXT(DATE(FYStartYear,FYMonthNo+11,1),"mmm-aa"))</f>
        <v>DÉC-19</v>
      </c>
      <c r="P3" s="49" t="s">
        <v>8</v>
      </c>
      <c r="Q3" s="49" t="s">
        <v>38</v>
      </c>
      <c r="R3" s="49" t="str">
        <f t="shared" ref="R3:AC3" ca="1" si="0">LEFT(D3,3)&amp;" %"</f>
        <v>JAN %</v>
      </c>
      <c r="S3" s="49" t="str">
        <f t="shared" ca="1" si="0"/>
        <v>FÉV %</v>
      </c>
      <c r="T3" s="49" t="str">
        <f t="shared" ca="1" si="0"/>
        <v>MAR %</v>
      </c>
      <c r="U3" s="49" t="str">
        <f t="shared" ca="1" si="0"/>
        <v>AVR %</v>
      </c>
      <c r="V3" s="49" t="str">
        <f t="shared" ca="1" si="0"/>
        <v>MAI %</v>
      </c>
      <c r="W3" s="49" t="str">
        <f t="shared" ca="1" si="0"/>
        <v>JUI %</v>
      </c>
      <c r="X3" s="49" t="str">
        <f t="shared" ca="1" si="0"/>
        <v>JUI %</v>
      </c>
      <c r="Y3" s="49" t="str">
        <f t="shared" ca="1" si="0"/>
        <v>AOÛ %</v>
      </c>
      <c r="Z3" s="49" t="str">
        <f t="shared" ca="1" si="0"/>
        <v>SEP %</v>
      </c>
      <c r="AA3" s="49" t="str">
        <f t="shared" ca="1" si="0"/>
        <v>OCT %</v>
      </c>
      <c r="AB3" s="49" t="str">
        <f t="shared" ca="1" si="0"/>
        <v>NOV %</v>
      </c>
      <c r="AC3" s="49" t="str">
        <f t="shared" ca="1" si="0"/>
        <v>DÉC %</v>
      </c>
      <c r="AD3" s="49" t="s">
        <v>39</v>
      </c>
    </row>
    <row r="4" spans="1:38" ht="47.25" customHeight="1" x14ac:dyDescent="0.25">
      <c r="B4" s="82" t="s">
        <v>1</v>
      </c>
      <c r="C4" s="50" t="s">
        <v>3</v>
      </c>
      <c r="D4" s="51" t="s">
        <v>41</v>
      </c>
      <c r="E4" s="51" t="s">
        <v>42</v>
      </c>
      <c r="F4" s="51" t="s">
        <v>4</v>
      </c>
      <c r="G4" s="51" t="s">
        <v>43</v>
      </c>
      <c r="H4" s="51" t="s">
        <v>5</v>
      </c>
      <c r="I4" s="51" t="s">
        <v>6</v>
      </c>
      <c r="J4" s="51" t="s">
        <v>44</v>
      </c>
      <c r="K4" s="51" t="s">
        <v>7</v>
      </c>
      <c r="L4" s="51" t="s">
        <v>45</v>
      </c>
      <c r="M4" s="51" t="s">
        <v>46</v>
      </c>
      <c r="N4" s="51" t="s">
        <v>47</v>
      </c>
      <c r="O4" s="51" t="s">
        <v>48</v>
      </c>
      <c r="P4" s="51" t="s">
        <v>9</v>
      </c>
      <c r="Q4" s="52" t="s">
        <v>49</v>
      </c>
      <c r="R4" s="52" t="s">
        <v>56</v>
      </c>
      <c r="S4" s="52" t="s">
        <v>57</v>
      </c>
      <c r="T4" s="52" t="s">
        <v>58</v>
      </c>
      <c r="U4" s="52" t="s">
        <v>50</v>
      </c>
      <c r="V4" s="52" t="s">
        <v>51</v>
      </c>
      <c r="W4" s="52" t="s">
        <v>59</v>
      </c>
      <c r="X4" s="52" t="s">
        <v>62</v>
      </c>
      <c r="Y4" s="52" t="s">
        <v>60</v>
      </c>
      <c r="Z4" s="52" t="s">
        <v>61</v>
      </c>
      <c r="AA4" s="52" t="s">
        <v>52</v>
      </c>
      <c r="AB4" s="52" t="s">
        <v>53</v>
      </c>
      <c r="AC4" s="52" t="s">
        <v>54</v>
      </c>
      <c r="AD4" s="51" t="s">
        <v>55</v>
      </c>
      <c r="AL4" s="40">
        <f>MONTH(A3)</f>
        <v>1</v>
      </c>
    </row>
    <row r="5" spans="1:38" ht="30" customHeight="1" x14ac:dyDescent="0.2">
      <c r="B5" s="53" t="s">
        <v>63</v>
      </c>
      <c r="C5" s="54"/>
      <c r="D5" s="55" t="str">
        <f>IFERROR(Janvier!I4,"")</f>
        <v/>
      </c>
      <c r="E5" s="55" t="str">
        <f>IFERROR(Fevrier!I4,"")</f>
        <v/>
      </c>
      <c r="F5" s="55" t="str">
        <f>IFERROR(Mars!I6,"")</f>
        <v/>
      </c>
      <c r="G5" s="55" t="e">
        <f>Avril!I4</f>
        <v>#N/A</v>
      </c>
      <c r="H5" s="55" t="e">
        <f>Mai!I4</f>
        <v>#N/A</v>
      </c>
      <c r="I5" s="55" t="e">
        <f>Juin!I4</f>
        <v>#N/A</v>
      </c>
      <c r="J5" s="55" t="e">
        <f>Juillet!I4</f>
        <v>#N/A</v>
      </c>
      <c r="K5" s="55" t="e">
        <f>Août!I4</f>
        <v>#N/A</v>
      </c>
      <c r="L5" s="55" t="e">
        <f>Septembre!I4</f>
        <v>#N/A</v>
      </c>
      <c r="M5" s="55" t="e">
        <f>Otobre!I4</f>
        <v>#N/A</v>
      </c>
      <c r="N5" s="55" t="e">
        <f>Novembre!I4</f>
        <v>#N/A</v>
      </c>
      <c r="O5" s="55" t="e">
        <f>Décembre!I4</f>
        <v>#N/A</v>
      </c>
      <c r="P5" s="56" t="e">
        <f>SUM(Chiffre_daffaires[[#This Row],[Janv]:[Déc]])</f>
        <v>#N/A</v>
      </c>
      <c r="Q5" s="57">
        <v>0.12</v>
      </c>
      <c r="R5" s="58" t="str">
        <f>IFERROR(Chiffre_daffaires[[#This Row],[Janv]]/Chiffre_daffaires[[#Totals],[Janv]],"-")</f>
        <v>-</v>
      </c>
      <c r="S5" s="58" t="str">
        <f>IFERROR(Chiffre_daffaires[[#This Row],[Févr]]/Chiffre_daffaires[[#Totals],[Févr]],"-")</f>
        <v>-</v>
      </c>
      <c r="T5" s="58" t="str">
        <f>IFERROR(Chiffre_daffaires[[#This Row],[Mars]]/Chiffre_daffaires[[#Totals],[Mars]],"-")</f>
        <v>-</v>
      </c>
      <c r="U5" s="58" t="str">
        <f>IFERROR(Chiffre_daffaires[[#This Row],[Avr]]/Chiffre_daffaires[[#Totals],[Avr]],"-")</f>
        <v>-</v>
      </c>
      <c r="V5" s="58" t="str">
        <f>IFERROR(Chiffre_daffaires[[#This Row],[Mai]]/Chiffre_daffaires[[#Totals],[Mai]],"-")</f>
        <v>-</v>
      </c>
      <c r="W5" s="58" t="str">
        <f>IFERROR(Chiffre_daffaires[[#This Row],[Juin]]/Chiffre_daffaires[[#Totals],[Juin]],"-")</f>
        <v>-</v>
      </c>
      <c r="X5" s="58" t="str">
        <f>IFERROR(Chiffre_daffaires[[#This Row],[Juil]]/Chiffre_daffaires[[#Totals],[Juil]],"-")</f>
        <v>-</v>
      </c>
      <c r="Y5" s="58" t="str">
        <f>IFERROR(Chiffre_daffaires[[#This Row],[Août]]/Chiffre_daffaires[[#Totals],[Août]],"-")</f>
        <v>-</v>
      </c>
      <c r="Z5" s="58" t="str">
        <f>IFERROR(Chiffre_daffaires[[#This Row],[Sept]]/Chiffre_daffaires[[#Totals],[Sept]],"-")</f>
        <v>-</v>
      </c>
      <c r="AA5" s="58" t="str">
        <f>IFERROR(Chiffre_daffaires[[#This Row],[Oct]]/Chiffre_daffaires[[#Totals],[Oct]],"-")</f>
        <v>-</v>
      </c>
      <c r="AB5" s="58" t="str">
        <f>IFERROR(Chiffre_daffaires[[#This Row],[Nov]]/Chiffre_daffaires[[#Totals],[Nov]],"-")</f>
        <v>-</v>
      </c>
      <c r="AC5" s="58" t="str">
        <f>IFERROR(Chiffre_daffaires[[#This Row],[Déc]]/Chiffre_daffaires[[#Totals],[Déc]],"-")</f>
        <v>-</v>
      </c>
      <c r="AD5" s="59" t="str">
        <f>IFERROR(Chiffre_daffaires[[#This Row],[Annuel]]/Chiffre_daffaires[[#Totals],[Annuel]],"-")</f>
        <v>-</v>
      </c>
    </row>
    <row r="6" spans="1:38" ht="30" customHeight="1" x14ac:dyDescent="0.2">
      <c r="B6" s="53" t="s">
        <v>64</v>
      </c>
      <c r="C6" s="54"/>
      <c r="D6" s="55">
        <f>Janvier!I6</f>
        <v>55999.439999999995</v>
      </c>
      <c r="E6" s="55" t="e">
        <f>Fevrier!I6</f>
        <v>#N/A</v>
      </c>
      <c r="F6" s="55" t="e">
        <f>Mars!I6</f>
        <v>#N/A</v>
      </c>
      <c r="G6" s="55" t="e">
        <f>Avril!I6</f>
        <v>#N/A</v>
      </c>
      <c r="H6" s="55" t="e">
        <f>Mai!I6</f>
        <v>#N/A</v>
      </c>
      <c r="I6" s="55" t="e">
        <f>Juin!I6</f>
        <v>#N/A</v>
      </c>
      <c r="J6" s="55" t="e">
        <f>Juillet!I6</f>
        <v>#N/A</v>
      </c>
      <c r="K6" s="55" t="e">
        <f>Août!I6</f>
        <v>#N/A</v>
      </c>
      <c r="L6" s="55" t="e">
        <f>Septembre!I6</f>
        <v>#N/A</v>
      </c>
      <c r="M6" s="55" t="e">
        <f>Otobre!I6</f>
        <v>#N/A</v>
      </c>
      <c r="N6" s="55" t="e">
        <f>Novembre!I6</f>
        <v>#N/A</v>
      </c>
      <c r="O6" s="55" t="e">
        <f>Décembre!I6</f>
        <v>#N/A</v>
      </c>
      <c r="P6" s="56" t="e">
        <f>SUM(Chiffre_daffaires[[#This Row],[Janv]:[Déc]])</f>
        <v>#N/A</v>
      </c>
      <c r="Q6" s="57">
        <v>0.18</v>
      </c>
      <c r="R6" s="58">
        <f>IFERROR(Chiffre_daffaires[[#This Row],[Janv]]/Chiffre_daffaires[[#Totals],[Janv]],"-")</f>
        <v>0.25</v>
      </c>
      <c r="S6" s="58" t="str">
        <f>IFERROR(Chiffre_daffaires[[#This Row],[Févr]]/Chiffre_daffaires[[#Totals],[Févr]],"-")</f>
        <v>-</v>
      </c>
      <c r="T6" s="58" t="str">
        <f>IFERROR(Chiffre_daffaires[[#This Row],[Mars]]/Chiffre_daffaires[[#Totals],[Mars]],"-")</f>
        <v>-</v>
      </c>
      <c r="U6" s="58" t="str">
        <f>IFERROR(Chiffre_daffaires[[#This Row],[Avr]]/Chiffre_daffaires[[#Totals],[Avr]],"-")</f>
        <v>-</v>
      </c>
      <c r="V6" s="58" t="str">
        <f>IFERROR(Chiffre_daffaires[[#This Row],[Mai]]/Chiffre_daffaires[[#Totals],[Mai]],"-")</f>
        <v>-</v>
      </c>
      <c r="W6" s="58" t="str">
        <f>IFERROR(Chiffre_daffaires[[#This Row],[Juin]]/Chiffre_daffaires[[#Totals],[Juin]],"-")</f>
        <v>-</v>
      </c>
      <c r="X6" s="58" t="str">
        <f>IFERROR(Chiffre_daffaires[[#This Row],[Juil]]/Chiffre_daffaires[[#Totals],[Juil]],"-")</f>
        <v>-</v>
      </c>
      <c r="Y6" s="58" t="str">
        <f>IFERROR(Chiffre_daffaires[[#This Row],[Août]]/Chiffre_daffaires[[#Totals],[Août]],"-")</f>
        <v>-</v>
      </c>
      <c r="Z6" s="58" t="str">
        <f>IFERROR(Chiffre_daffaires[[#This Row],[Sept]]/Chiffre_daffaires[[#Totals],[Sept]],"-")</f>
        <v>-</v>
      </c>
      <c r="AA6" s="58" t="str">
        <f>IFERROR(Chiffre_daffaires[[#This Row],[Oct]]/Chiffre_daffaires[[#Totals],[Oct]],"-")</f>
        <v>-</v>
      </c>
      <c r="AB6" s="58" t="str">
        <f>IFERROR(Chiffre_daffaires[[#This Row],[Nov]]/Chiffre_daffaires[[#Totals],[Nov]],"-")</f>
        <v>-</v>
      </c>
      <c r="AC6" s="58" t="str">
        <f>IFERROR(Chiffre_daffaires[[#This Row],[Déc]]/Chiffre_daffaires[[#Totals],[Déc]],"-")</f>
        <v>-</v>
      </c>
      <c r="AD6" s="59" t="str">
        <f>IFERROR(Chiffre_daffaires[[#This Row],[Annuel]]/Chiffre_daffaires[[#Totals],[Annuel]],"-")</f>
        <v>-</v>
      </c>
    </row>
    <row r="7" spans="1:38" ht="30" customHeight="1" x14ac:dyDescent="0.2">
      <c r="B7" s="53" t="s">
        <v>65</v>
      </c>
      <c r="C7" s="54"/>
      <c r="D7" s="55">
        <f>Janvier!I8</f>
        <v>55999.439999999995</v>
      </c>
      <c r="E7" s="55" t="e">
        <f>Fevrier!I8</f>
        <v>#N/A</v>
      </c>
      <c r="F7" s="55" t="e">
        <f>Mars!I8</f>
        <v>#N/A</v>
      </c>
      <c r="G7" s="55" t="e">
        <f>Avril!I8</f>
        <v>#N/A</v>
      </c>
      <c r="H7" s="55" t="e">
        <f>Mai!I8</f>
        <v>#N/A</v>
      </c>
      <c r="I7" s="55" t="e">
        <f>Juin!I6</f>
        <v>#N/A</v>
      </c>
      <c r="J7" s="55" t="e">
        <f>Juillet!I6</f>
        <v>#N/A</v>
      </c>
      <c r="K7" s="55" t="e">
        <f>Août!I6</f>
        <v>#N/A</v>
      </c>
      <c r="L7" s="55" t="e">
        <f>Septembre!I6</f>
        <v>#N/A</v>
      </c>
      <c r="M7" s="55" t="e">
        <f>Otobre!I6</f>
        <v>#N/A</v>
      </c>
      <c r="N7" s="55" t="e">
        <f>Novembre!I6</f>
        <v>#N/A</v>
      </c>
      <c r="O7" s="55" t="e">
        <f>Décembre!I6</f>
        <v>#N/A</v>
      </c>
      <c r="P7" s="56" t="e">
        <f>SUM(Chiffre_daffaires[[#This Row],[Janv]:[Déc]])</f>
        <v>#N/A</v>
      </c>
      <c r="Q7" s="57">
        <v>0.19</v>
      </c>
      <c r="R7" s="58">
        <f>IFERROR(Chiffre_daffaires[[#This Row],[Janv]]/Chiffre_daffaires[[#Totals],[Janv]],"-")</f>
        <v>0.25</v>
      </c>
      <c r="S7" s="58" t="str">
        <f>IFERROR(Chiffre_daffaires[[#This Row],[Févr]]/Chiffre_daffaires[[#Totals],[Févr]],"-")</f>
        <v>-</v>
      </c>
      <c r="T7" s="58" t="str">
        <f>IFERROR(Chiffre_daffaires[[#This Row],[Mars]]/Chiffre_daffaires[[#Totals],[Mars]],"-")</f>
        <v>-</v>
      </c>
      <c r="U7" s="58" t="str">
        <f>IFERROR(Chiffre_daffaires[[#This Row],[Avr]]/Chiffre_daffaires[[#Totals],[Avr]],"-")</f>
        <v>-</v>
      </c>
      <c r="V7" s="58" t="str">
        <f>IFERROR(Chiffre_daffaires[[#This Row],[Mai]]/Chiffre_daffaires[[#Totals],[Mai]],"-")</f>
        <v>-</v>
      </c>
      <c r="W7" s="58" t="str">
        <f>IFERROR(Chiffre_daffaires[[#This Row],[Juin]]/Chiffre_daffaires[[#Totals],[Juin]],"-")</f>
        <v>-</v>
      </c>
      <c r="X7" s="58" t="str">
        <f>IFERROR(Chiffre_daffaires[[#This Row],[Juil]]/Chiffre_daffaires[[#Totals],[Juil]],"-")</f>
        <v>-</v>
      </c>
      <c r="Y7" s="58" t="str">
        <f>IFERROR(Chiffre_daffaires[[#This Row],[Août]]/Chiffre_daffaires[[#Totals],[Août]],"-")</f>
        <v>-</v>
      </c>
      <c r="Z7" s="58" t="str">
        <f>IFERROR(Chiffre_daffaires[[#This Row],[Sept]]/Chiffre_daffaires[[#Totals],[Sept]],"-")</f>
        <v>-</v>
      </c>
      <c r="AA7" s="58" t="str">
        <f>IFERROR(Chiffre_daffaires[[#This Row],[Oct]]/Chiffre_daffaires[[#Totals],[Oct]],"-")</f>
        <v>-</v>
      </c>
      <c r="AB7" s="58" t="str">
        <f>IFERROR(Chiffre_daffaires[[#This Row],[Nov]]/Chiffre_daffaires[[#Totals],[Nov]],"-")</f>
        <v>-</v>
      </c>
      <c r="AC7" s="58" t="str">
        <f>IFERROR(Chiffre_daffaires[[#This Row],[Déc]]/Chiffre_daffaires[[#Totals],[Déc]],"-")</f>
        <v>-</v>
      </c>
      <c r="AD7" s="59" t="str">
        <f>IFERROR(Chiffre_daffaires[[#This Row],[Annuel]]/Chiffre_daffaires[[#Totals],[Annuel]],"-")</f>
        <v>-</v>
      </c>
    </row>
    <row r="8" spans="1:38" ht="30" customHeight="1" x14ac:dyDescent="0.2">
      <c r="B8" s="53" t="s">
        <v>66</v>
      </c>
      <c r="C8" s="54"/>
      <c r="D8" s="55">
        <f>Janvier!I10</f>
        <v>55999.439999999995</v>
      </c>
      <c r="E8" s="55" t="e">
        <f>Fevrier!I10</f>
        <v>#N/A</v>
      </c>
      <c r="F8" s="55" t="e">
        <f>Mars!I8</f>
        <v>#N/A</v>
      </c>
      <c r="G8" s="55" t="e">
        <f>Avril!I8</f>
        <v>#N/A</v>
      </c>
      <c r="H8" s="55" t="e">
        <f>Mai!I8</f>
        <v>#N/A</v>
      </c>
      <c r="I8" s="55" t="e">
        <f>Juin!I8</f>
        <v>#N/A</v>
      </c>
      <c r="J8" s="55" t="e">
        <f>Juillet!I8</f>
        <v>#N/A</v>
      </c>
      <c r="K8" s="55" t="e">
        <f>Août!I8</f>
        <v>#N/A</v>
      </c>
      <c r="L8" s="55" t="e">
        <f>Septembre!I8</f>
        <v>#N/A</v>
      </c>
      <c r="M8" s="55" t="e">
        <f>Otobre!I8</f>
        <v>#N/A</v>
      </c>
      <c r="N8" s="55" t="e">
        <f>Novembre!I8</f>
        <v>#N/A</v>
      </c>
      <c r="O8" s="55" t="e">
        <f>Décembre!I8</f>
        <v>#N/A</v>
      </c>
      <c r="P8" s="56" t="e">
        <f>SUM(Chiffre_daffaires[[#This Row],[Janv]:[Déc]])</f>
        <v>#N/A</v>
      </c>
      <c r="Q8" s="57">
        <v>0.11</v>
      </c>
      <c r="R8" s="58">
        <f>IFERROR(Chiffre_daffaires[[#This Row],[Janv]]/Chiffre_daffaires[[#Totals],[Janv]],"-")</f>
        <v>0.25</v>
      </c>
      <c r="S8" s="58" t="str">
        <f>IFERROR(Chiffre_daffaires[[#This Row],[Févr]]/Chiffre_daffaires[[#Totals],[Févr]],"-")</f>
        <v>-</v>
      </c>
      <c r="T8" s="58" t="str">
        <f>IFERROR(Chiffre_daffaires[[#This Row],[Mars]]/Chiffre_daffaires[[#Totals],[Mars]],"-")</f>
        <v>-</v>
      </c>
      <c r="U8" s="58" t="str">
        <f>IFERROR(Chiffre_daffaires[[#This Row],[Avr]]/Chiffre_daffaires[[#Totals],[Avr]],"-")</f>
        <v>-</v>
      </c>
      <c r="V8" s="58" t="str">
        <f>IFERROR(Chiffre_daffaires[[#This Row],[Mai]]/Chiffre_daffaires[[#Totals],[Mai]],"-")</f>
        <v>-</v>
      </c>
      <c r="W8" s="58" t="str">
        <f>IFERROR(Chiffre_daffaires[[#This Row],[Juin]]/Chiffre_daffaires[[#Totals],[Juin]],"-")</f>
        <v>-</v>
      </c>
      <c r="X8" s="58" t="str">
        <f>IFERROR(Chiffre_daffaires[[#This Row],[Juil]]/Chiffre_daffaires[[#Totals],[Juil]],"-")</f>
        <v>-</v>
      </c>
      <c r="Y8" s="58" t="str">
        <f>IFERROR(Chiffre_daffaires[[#This Row],[Août]]/Chiffre_daffaires[[#Totals],[Août]],"-")</f>
        <v>-</v>
      </c>
      <c r="Z8" s="58" t="str">
        <f>IFERROR(Chiffre_daffaires[[#This Row],[Sept]]/Chiffre_daffaires[[#Totals],[Sept]],"-")</f>
        <v>-</v>
      </c>
      <c r="AA8" s="58" t="str">
        <f>IFERROR(Chiffre_daffaires[[#This Row],[Oct]]/Chiffre_daffaires[[#Totals],[Oct]],"-")</f>
        <v>-</v>
      </c>
      <c r="AB8" s="58" t="str">
        <f>IFERROR(Chiffre_daffaires[[#This Row],[Nov]]/Chiffre_daffaires[[#Totals],[Nov]],"-")</f>
        <v>-</v>
      </c>
      <c r="AC8" s="58" t="str">
        <f>IFERROR(Chiffre_daffaires[[#This Row],[Déc]]/Chiffre_daffaires[[#Totals],[Déc]],"-")</f>
        <v>-</v>
      </c>
      <c r="AD8" s="59" t="str">
        <f>IFERROR(Chiffre_daffaires[[#This Row],[Annuel]]/Chiffre_daffaires[[#Totals],[Annuel]],"-")</f>
        <v>-</v>
      </c>
    </row>
    <row r="9" spans="1:38" ht="30" customHeight="1" x14ac:dyDescent="0.2">
      <c r="B9" s="53" t="s">
        <v>67</v>
      </c>
      <c r="C9" s="54"/>
      <c r="D9" s="55">
        <f>Janvier!I12</f>
        <v>55999.439999999995</v>
      </c>
      <c r="E9" s="55" t="e">
        <f>Fevrier!I12</f>
        <v>#N/A</v>
      </c>
      <c r="F9" s="55" t="e">
        <f>Mars!I8</f>
        <v>#N/A</v>
      </c>
      <c r="G9" s="55" t="e">
        <f>Avril!I8</f>
        <v>#N/A</v>
      </c>
      <c r="H9" s="55" t="e">
        <f>Mai!I8</f>
        <v>#N/A</v>
      </c>
      <c r="I9" s="55" t="e">
        <f>Juin!I8</f>
        <v>#N/A</v>
      </c>
      <c r="J9" s="55" t="e">
        <f>Juillet!I8</f>
        <v>#N/A</v>
      </c>
      <c r="K9" s="55" t="e">
        <f>Août!I8</f>
        <v>#N/A</v>
      </c>
      <c r="L9" s="55" t="e">
        <f>Septembre!I8</f>
        <v>#N/A</v>
      </c>
      <c r="M9" s="55" t="e">
        <f>Otobre!I8</f>
        <v>#N/A</v>
      </c>
      <c r="N9" s="55" t="e">
        <f>Novembre!I8</f>
        <v>#N/A</v>
      </c>
      <c r="O9" s="55" t="e">
        <f>Décembre!I8</f>
        <v>#N/A</v>
      </c>
      <c r="P9" s="56" t="e">
        <f>SUM(Chiffre_daffaires[[#This Row],[Janv]:[Déc]])</f>
        <v>#N/A</v>
      </c>
      <c r="Q9" s="57">
        <v>0.2</v>
      </c>
      <c r="R9" s="58">
        <f>IFERROR(Chiffre_daffaires[[#This Row],[Janv]]/Chiffre_daffaires[[#Totals],[Janv]],"-")</f>
        <v>0.25</v>
      </c>
      <c r="S9" s="58" t="str">
        <f>IFERROR(Chiffre_daffaires[[#This Row],[Févr]]/Chiffre_daffaires[[#Totals],[Févr]],"-")</f>
        <v>-</v>
      </c>
      <c r="T9" s="58" t="str">
        <f>IFERROR(Chiffre_daffaires[[#This Row],[Mars]]/Chiffre_daffaires[[#Totals],[Mars]],"-")</f>
        <v>-</v>
      </c>
      <c r="U9" s="58" t="str">
        <f>IFERROR(Chiffre_daffaires[[#This Row],[Avr]]/Chiffre_daffaires[[#Totals],[Avr]],"-")</f>
        <v>-</v>
      </c>
      <c r="V9" s="58" t="str">
        <f>IFERROR(Chiffre_daffaires[[#This Row],[Mai]]/Chiffre_daffaires[[#Totals],[Mai]],"-")</f>
        <v>-</v>
      </c>
      <c r="W9" s="58" t="str">
        <f>IFERROR(Chiffre_daffaires[[#This Row],[Juin]]/Chiffre_daffaires[[#Totals],[Juin]],"-")</f>
        <v>-</v>
      </c>
      <c r="X9" s="58" t="str">
        <f>IFERROR(Chiffre_daffaires[[#This Row],[Juil]]/Chiffre_daffaires[[#Totals],[Juil]],"-")</f>
        <v>-</v>
      </c>
      <c r="Y9" s="58" t="str">
        <f>IFERROR(Chiffre_daffaires[[#This Row],[Août]]/Chiffre_daffaires[[#Totals],[Août]],"-")</f>
        <v>-</v>
      </c>
      <c r="Z9" s="58" t="str">
        <f>IFERROR(Chiffre_daffaires[[#This Row],[Sept]]/Chiffre_daffaires[[#Totals],[Sept]],"-")</f>
        <v>-</v>
      </c>
      <c r="AA9" s="58" t="str">
        <f>IFERROR(Chiffre_daffaires[[#This Row],[Oct]]/Chiffre_daffaires[[#Totals],[Oct]],"-")</f>
        <v>-</v>
      </c>
      <c r="AB9" s="58" t="str">
        <f>IFERROR(Chiffre_daffaires[[#This Row],[Nov]]/Chiffre_daffaires[[#Totals],[Nov]],"-")</f>
        <v>-</v>
      </c>
      <c r="AC9" s="58" t="str">
        <f>IFERROR(Chiffre_daffaires[[#This Row],[Déc]]/Chiffre_daffaires[[#Totals],[Déc]],"-")</f>
        <v>-</v>
      </c>
      <c r="AD9" s="59" t="str">
        <f>IFERROR(Chiffre_daffaires[[#This Row],[Annuel]]/Chiffre_daffaires[[#Totals],[Annuel]],"-")</f>
        <v>-</v>
      </c>
    </row>
    <row r="10" spans="1:38" ht="30" customHeight="1" x14ac:dyDescent="0.25">
      <c r="B10" s="60" t="s">
        <v>2</v>
      </c>
      <c r="C10" s="64"/>
      <c r="D10" s="61">
        <f>SUBTOTAL(109,Chiffre_daffaires[Janv])</f>
        <v>223997.75999999998</v>
      </c>
      <c r="E10" s="61" t="e">
        <f>SUBTOTAL(109,Chiffre_daffaires[Févr])</f>
        <v>#N/A</v>
      </c>
      <c r="F10" s="61" t="e">
        <f>SUBTOTAL(109,Chiffre_daffaires[Mars])</f>
        <v>#N/A</v>
      </c>
      <c r="G10" s="61" t="e">
        <f>SUBTOTAL(109,Chiffre_daffaires[Avr])</f>
        <v>#N/A</v>
      </c>
      <c r="H10" s="61" t="e">
        <f>SUBTOTAL(109,Chiffre_daffaires[Mai])</f>
        <v>#N/A</v>
      </c>
      <c r="I10" s="61" t="e">
        <f>SUBTOTAL(109,Chiffre_daffaires[Juin])</f>
        <v>#N/A</v>
      </c>
      <c r="J10" s="61" t="e">
        <f>SUBTOTAL(109,Chiffre_daffaires[Juil])</f>
        <v>#N/A</v>
      </c>
      <c r="K10" s="61" t="e">
        <f>SUBTOTAL(109,Chiffre_daffaires[Août])</f>
        <v>#N/A</v>
      </c>
      <c r="L10" s="61" t="e">
        <f>SUBTOTAL(109,Chiffre_daffaires[Sept])</f>
        <v>#N/A</v>
      </c>
      <c r="M10" s="61" t="e">
        <f>SUBTOTAL(109,Chiffre_daffaires[Oct])</f>
        <v>#N/A</v>
      </c>
      <c r="N10" s="61" t="e">
        <f>SUBTOTAL(109,Chiffre_daffaires[Nov])</f>
        <v>#N/A</v>
      </c>
      <c r="O10" s="61" t="e">
        <f>SUBTOTAL(109,Chiffre_daffaires[Déc])</f>
        <v>#N/A</v>
      </c>
      <c r="P10" s="61" t="e">
        <f>SUBTOTAL(109,Chiffre_daffaires[Annuel])</f>
        <v>#N/A</v>
      </c>
      <c r="Q10" s="62">
        <f>SUBTOTAL(109,Chiffre_daffaires[Index %])</f>
        <v>0.8</v>
      </c>
      <c r="R10" s="62">
        <f>SUBTOTAL(109,Chiffre_daffaires[Jan %])</f>
        <v>1</v>
      </c>
      <c r="S10" s="62">
        <f>SUBTOTAL(109,Chiffre_daffaires[Fév %])</f>
        <v>0</v>
      </c>
      <c r="T10" s="62">
        <f>SUBTOTAL(109,Chiffre_daffaires[Mar %])</f>
        <v>0</v>
      </c>
      <c r="U10" s="62">
        <f>SUBTOTAL(109,Chiffre_daffaires[Avr %])</f>
        <v>0</v>
      </c>
      <c r="V10" s="62">
        <f>SUBTOTAL(109,Chiffre_daffaires[Mai %])</f>
        <v>0</v>
      </c>
      <c r="W10" s="62">
        <f>SUBTOTAL(109,Chiffre_daffaires[Jui %])</f>
        <v>0</v>
      </c>
      <c r="X10" s="62">
        <f>SUBTOTAL(109,Chiffre_daffaires[Jui % ])</f>
        <v>0</v>
      </c>
      <c r="Y10" s="62">
        <f>SUBTOTAL(109,Chiffre_daffaires[Aoû %])</f>
        <v>0</v>
      </c>
      <c r="Z10" s="62">
        <f>SUBTOTAL(109,Chiffre_daffaires[Sep %])</f>
        <v>0</v>
      </c>
      <c r="AA10" s="62">
        <f>SUBTOTAL(109,Chiffre_daffaires[Oct %])</f>
        <v>0</v>
      </c>
      <c r="AB10" s="62">
        <f>SUBTOTAL(109,Chiffre_daffaires[Nov %])</f>
        <v>0</v>
      </c>
      <c r="AC10" s="62">
        <f>SUBTOTAL(109,Chiffre_daffaires[Déc %])</f>
        <v>0</v>
      </c>
      <c r="AD10" s="63">
        <f>SUBTOTAL(109,Chiffre_daffaires[Année %])</f>
        <v>0</v>
      </c>
    </row>
  </sheetData>
  <dataValidations xWindow="799" yWindow="419" count="18">
    <dataValidation type="list" errorStyle="warning" allowBlank="1" showInputMessage="1" showErrorMessage="1" error="Sélectionnez un mois dans la liste déroulante. Sélectionnez ANNULER, puis appuyez sur ALT+FLÈCHE BAS. Appuyez sur ENTRÉE pour sélectionner un mois" prompt="Sélectionnez un mois dans cette cellule. Appuyez sur ALT+FLÈCHE BAS pour ouvrir la liste déroulante, puis sur ENTRÉE pour sélectionner un mois." sqref="AC2" xr:uid="{00000000-0002-0000-0100-000000000000}">
      <formula1>"JANV,FÉVR,MARS,AVR,MAI,JUIN,JUIL,AOÛT,SEPT,OCT,NOV,DÉC"</formula1>
    </dataValidation>
    <dataValidation errorStyle="information" allowBlank="1" showInputMessage="1" errorTitle="Année inconnue" error="Veuillez sélectionner une année dans la liste déroulante. Pour ajouter ou supprimer une année de la liste, sous l’onglet Données, dans le groupe Outils de données, cliquez sur la Validation des données." prompt="Entrez l’année dans cette cellule" sqref="AD2" xr:uid="{00000000-0002-0000-0100-000001000000}"/>
    <dataValidation allowBlank="1" showInputMessage="1" showErrorMessage="1" prompt="Sélectionnez le mois de début de l’exercice dans la cellule AC2 et entrez une année dans la cellule AD2 à droite de cette étiquette" sqref="AB2" xr:uid="{00000000-0002-0000-0100-000002000000}"/>
    <dataValidation allowBlank="1" showInputMessage="1" showErrorMessage="1" prompt="Le chiffre d’affaires annuel est calculé automatiquement dans cette colonne" sqref="P3" xr:uid="{00000000-0002-0000-0100-000003000000}"/>
    <dataValidation allowBlank="1" showInputMessage="1" showErrorMessage="1" prompt="Entrez un titre pour la période de prévision pendant laquelle les ventes totales sont calculées" sqref="B1" xr:uid="{00000000-0002-0000-0100-000004000000}"/>
    <dataValidation allowBlank="1" showInputMessage="1" showErrorMessage="1" prompt="Le titre des prévisions figure dans cette cellule. Entrez des valeurs dans le tableau Chiffre d’affaires ci-dessous pour calculer le total des ventes" sqref="B2" xr:uid="{00000000-0002-0000-0100-000005000000}"/>
    <dataValidation allowBlank="1" showInputMessage="1" showErrorMessage="1" prompt="Entrez le nom de l’entreprise dans cette cellule" sqref="AD1" xr:uid="{00000000-0002-0000-0100-000006000000}"/>
    <dataValidation allowBlank="1" showInputMessage="1" showErrorMessage="1" prompt="Les dates de cette ligne sont automatiquement mises à jour en fonction du mois de début de chaque exercice. Pour modifier le mois de début, modifiez la cellule AC2" sqref="D3" xr:uid="{00000000-0002-0000-0100-000007000000}"/>
    <dataValidation allowBlank="1" showInputMessage="1" showErrorMessage="1" prompt="Entrez le pourcentage d’index dans cette colonne" sqref="Q4" xr:uid="{00000000-0002-0000-0100-000008000000}"/>
    <dataValidation allowBlank="1" showInputMessage="1" showErrorMessage="1" prompt="Cette feuille de calcul calcule le total des ventes pour chaque mois et année, ainsi que le total annuel des ventes des différentes sources. Sélectionnez le mois de début de l’exercice dans la cellule AC2 et l’année dans la cellule AD2" sqref="A2 A4:A10" xr:uid="{00000000-0002-0000-0100-000009000000}"/>
    <dataValidation allowBlank="1" showInputMessage="1" showErrorMessage="1" prompt="Cette feuille de calcul calcule le total des ventes pour chaque mois et année, ainsi que le total annuel des ventes des différentes sources. Entrez le mois de début de l’exercice dans la cellule AC2 et l’année dans la cellule AD2" sqref="A1" xr:uid="{00000000-0002-0000-0100-00000A000000}"/>
    <dataValidation allowBlank="1" showInputMessage="1" showErrorMessage="1" prompt="Mois automatiquement mis à jour" sqref="E3:O3" xr:uid="{00000000-0002-0000-0100-00000B000000}"/>
    <dataValidation allowBlank="1" showInputMessage="1" showErrorMessage="1" prompt="Calcule automatiquement dans cette colonne la proportion des ventes des différentes sources par rapport aux ventes totales pour le mois figurant dans cette cellule" sqref="R3:AC3" xr:uid="{00000000-0002-0000-0100-00000C000000}"/>
    <dataValidation allowBlank="1" showInputMessage="1" showErrorMessage="1" prompt="Calcule automatiquement la proportion des ventes des différentes sources par rapport aux ventes totales pour l’année figurant dans cette colonne" sqref="AD3" xr:uid="{00000000-0002-0000-0100-00000D000000}"/>
    <dataValidation allowBlank="1" showInputMessage="1" showErrorMessage="1" prompt="Entrez le chiffre d’affaires généré par les ventes dans cette colonne" sqref="B4" xr:uid="{00000000-0002-0000-0100-00000E000000}"/>
    <dataValidation allowBlank="1" showInputMessage="1" showErrorMessage="1" prompt="Un graphique de tendance représentant le chiffre d’affaires au fil du temps figure dans cette colonne" sqref="C4" xr:uid="{00000000-0002-0000-0100-00000F000000}"/>
    <dataValidation allowBlank="1" showInputMessage="1" showErrorMessage="1" prompt="Entrez dans cette colonne le chiffres d’affaires des sources répertoriées dans la colonne B" sqref="D4:O4" xr:uid="{00000000-0002-0000-0100-000010000000}"/>
    <dataValidation allowBlank="1" showInputMessage="1" showErrorMessage="1" prompt="Le pourcentage d’index figure dans cette colonne" sqref="Q3" xr:uid="{00000000-0002-0000-0100-000011000000}"/>
  </dataValidations>
  <printOptions horizontalCentered="1"/>
  <pageMargins left="0.25" right="0.25" top="0.75" bottom="0.75" header="0.3" footer="0.3"/>
  <pageSetup paperSize="9" fitToHeight="0" orientation="landscape" r:id="rId1"/>
  <headerFooter differentFirst="1">
    <oddFooter>Page &amp;P of &amp;N</oddFooter>
  </headerFooter>
  <tableParts count="1">
    <tablePart r:id="rId2"/>
  </tableParts>
  <extLst>
    <ext xmlns:x14="http://schemas.microsoft.com/office/spreadsheetml/2009/9/main" uri="{05C60535-1F16-4fd2-B633-F4F36F0B64E0}">
      <x14:sparklineGroups xmlns:xm="http://schemas.microsoft.com/office/excel/2006/main">
        <x14:sparklineGroup lineWeight="1" displayEmptyCellsAs="gap" high="1" low="1" xr2:uid="{00000000-0003-0000-0100-000000000000}">
          <x14:colorSeries theme="3"/>
          <x14:colorNegative theme="5"/>
          <x14:colorAxis rgb="FF000000"/>
          <x14:colorMarkers theme="4" tint="-0.499984740745262"/>
          <x14:colorFirst theme="4" tint="0.39997558519241921"/>
          <x14:colorLast theme="4" tint="0.39997558519241921"/>
          <x14:colorHigh theme="1"/>
          <x14:colorLow theme="3"/>
          <x14:sparklines>
            <x14:sparkline>
              <xm:f>'Chiffre d’affaires '!$D$5:$O$5</xm:f>
              <xm:sqref>C5</xm:sqref>
            </x14:sparkline>
            <x14:sparkline>
              <xm:f>'Chiffre d’affaires '!$D$6:$O$6</xm:f>
              <xm:sqref>C6</xm:sqref>
            </x14:sparkline>
            <x14:sparkline>
              <xm:f>'Chiffre d’affaires '!$D$7:$O$7</xm:f>
              <xm:sqref>C7</xm:sqref>
            </x14:sparkline>
            <x14:sparkline>
              <xm:f>'Chiffre d’affaires '!$D$8:$O$8</xm:f>
              <xm:sqref>C8</xm:sqref>
            </x14:sparkline>
            <x14:sparkline>
              <xm:f>'Chiffre d’affaires '!$D$9:$O$9</xm:f>
              <xm:sqref>C9</xm:sqref>
            </x14:sparkline>
          </x14:sparklines>
        </x14:sparklineGroup>
        <x14:sparklineGroup lineWeight="1" displayEmptyCellsAs="gap" high="1" low="1" negative="1" xr2:uid="{00000000-0003-0000-0100-000001000000}">
          <x14:colorSeries theme="3"/>
          <x14:colorNegative theme="1"/>
          <x14:colorAxis rgb="FF000000"/>
          <x14:colorMarkers theme="4" tint="-0.499984740745262"/>
          <x14:colorFirst theme="4" tint="0.39997558519241921"/>
          <x14:colorLast theme="4" tint="0.39997558519241921"/>
          <x14:colorHigh theme="1"/>
          <x14:colorLow theme="3"/>
          <x14:sparklines>
            <x14:sparkline>
              <xm:f>'Chiffre d’affaires '!D10:O10</xm:f>
              <xm:sqref>C10</xm:sqref>
            </x14:sparkline>
          </x14:sparklines>
        </x14:sparklineGroup>
      </x14:sparklineGroup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A1:K23"/>
  <sheetViews>
    <sheetView tabSelected="1" zoomScale="85" zoomScaleNormal="85" workbookViewId="0">
      <selection activeCell="C20" sqref="C20"/>
    </sheetView>
  </sheetViews>
  <sheetFormatPr baseColWidth="10" defaultColWidth="8.75" defaultRowHeight="14.25" x14ac:dyDescent="0.3"/>
  <cols>
    <col min="1" max="1" width="2.625" style="65" customWidth="1"/>
    <col min="2" max="3" width="17.875" style="65" customWidth="1"/>
    <col min="4" max="4" width="20.25" style="65" customWidth="1"/>
    <col min="5" max="8" width="22.375" style="65" customWidth="1"/>
    <col min="9" max="9" width="21.5" style="65" customWidth="1"/>
    <col min="10" max="10" width="21.875" style="65" customWidth="1"/>
    <col min="11" max="11" width="13.625" style="65" customWidth="1"/>
    <col min="12" max="16384" width="8.75" style="65"/>
  </cols>
  <sheetData>
    <row r="1" spans="1:11" s="71" customFormat="1" ht="27.75" x14ac:dyDescent="0.4">
      <c r="A1" s="65"/>
      <c r="B1" s="66" t="str">
        <f>"Janvier "&amp;AnnéeCalendrier</f>
        <v>Janvier 2019</v>
      </c>
      <c r="C1" s="67"/>
      <c r="D1" s="68"/>
      <c r="E1" s="69"/>
      <c r="F1" s="69"/>
      <c r="G1" s="69"/>
      <c r="H1" s="70"/>
      <c r="J1" s="72" t="s">
        <v>68</v>
      </c>
      <c r="K1" s="65"/>
    </row>
    <row r="2" spans="1:11" s="73" customFormat="1" ht="35.25" customHeight="1" x14ac:dyDescent="0.25">
      <c r="A2" s="65"/>
      <c r="B2" s="84" t="str">
        <f>DébutSemaine</f>
        <v>DIMANCHE</v>
      </c>
      <c r="C2" s="84" t="str">
        <f t="shared" ref="C2:H2" si="0">UPPER(TEXT(C3,"jjjj"))</f>
        <v>LUNDI</v>
      </c>
      <c r="D2" s="84" t="str">
        <f t="shared" si="0"/>
        <v>MARDI</v>
      </c>
      <c r="E2" s="84" t="str">
        <f t="shared" si="0"/>
        <v>MERCREDI</v>
      </c>
      <c r="F2" s="84" t="str">
        <f t="shared" si="0"/>
        <v>JEUDI</v>
      </c>
      <c r="G2" s="84" t="str">
        <f t="shared" si="0"/>
        <v>VENDREDI</v>
      </c>
      <c r="H2" s="84" t="str">
        <f t="shared" si="0"/>
        <v>SAMEDI</v>
      </c>
      <c r="I2" s="89" t="s">
        <v>73</v>
      </c>
      <c r="J2" s="74" t="s">
        <v>69</v>
      </c>
      <c r="K2" s="75">
        <v>2019</v>
      </c>
    </row>
    <row r="3" spans="1:11" s="76" customFormat="1" ht="15.75" x14ac:dyDescent="0.25">
      <c r="A3" s="65"/>
      <c r="B3" s="85">
        <f t="array" ref="B3:H3">JoursEtSemaines+DATE(AnnéeCalendrier,1,1)-WEEKDAY(DATE(AnnéeCalendrier,1,1),(DébutSemaine="LUNDI")+1)+1</f>
        <v>43464</v>
      </c>
      <c r="C3" s="85">
        <v>43465</v>
      </c>
      <c r="D3" s="117">
        <v>43466</v>
      </c>
      <c r="E3" s="117">
        <v>43467</v>
      </c>
      <c r="F3" s="117">
        <v>43468</v>
      </c>
      <c r="G3" s="117">
        <v>43469</v>
      </c>
      <c r="H3" s="117">
        <v>43470</v>
      </c>
      <c r="I3" s="83"/>
      <c r="J3" s="77" t="s">
        <v>70</v>
      </c>
      <c r="K3" s="75" t="s">
        <v>71</v>
      </c>
    </row>
    <row r="4" spans="1:11" ht="15" x14ac:dyDescent="0.3">
      <c r="B4" s="94" t="e">
        <f>VLOOKUP(B3,Dépôt!$A$1:$W364,21,TRUE)</f>
        <v>#N/A</v>
      </c>
      <c r="C4" s="94" t="e">
        <f>VLOOKUP(C3,Dépôt!$A$1:$W364,21,TRUE)</f>
        <v>#N/A</v>
      </c>
      <c r="D4" s="122">
        <f>VLOOKUP(D3,Dépôt!$A$1:$W364,21,TRUE)</f>
        <v>3425</v>
      </c>
      <c r="E4" s="94">
        <f>VLOOKUP(E3,Dépôt!$A$1:$W364,21,TRUE)</f>
        <v>3945</v>
      </c>
      <c r="F4" s="94">
        <f>VLOOKUP(F3,Dépôt!$A$1:$W364,21,TRUE)</f>
        <v>7999.92</v>
      </c>
      <c r="G4" s="94">
        <f>VLOOKUP(G3,Dépôt!$A$1:$W364,21,TRUE)</f>
        <v>7999.92</v>
      </c>
      <c r="H4" s="94">
        <f>VLOOKUP(H3,Dépôt!$A$1:$W364,21,TRUE)</f>
        <v>7999.92</v>
      </c>
      <c r="I4" s="91" t="e">
        <f>SUM(B4:H4)</f>
        <v>#N/A</v>
      </c>
      <c r="J4" s="78"/>
    </row>
    <row r="5" spans="1:11" s="76" customFormat="1" ht="15" x14ac:dyDescent="0.25">
      <c r="A5" s="65"/>
      <c r="B5" s="86">
        <f t="array" ref="B5:H5">JoursEtSemaines+DATE(AnnéeCalendrier,1,1)-WEEKDAY(DATE(AnnéeCalendrier,1,1),(DébutSemaine="LUNDI")+1)+8</f>
        <v>43471</v>
      </c>
      <c r="C5" s="86">
        <v>43472</v>
      </c>
      <c r="D5" s="86">
        <v>43473</v>
      </c>
      <c r="E5" s="86">
        <v>43474</v>
      </c>
      <c r="F5" s="86">
        <v>43475</v>
      </c>
      <c r="G5" s="86">
        <v>43476</v>
      </c>
      <c r="H5" s="86">
        <v>43477</v>
      </c>
      <c r="I5" s="83"/>
    </row>
    <row r="6" spans="1:11" ht="15" x14ac:dyDescent="0.2">
      <c r="B6" s="94">
        <f>VLOOKUP(B5,Dépôt!$A$1:$W366,21,TRUE)</f>
        <v>7999.92</v>
      </c>
      <c r="C6" s="94">
        <f>VLOOKUP(C5,Dépôt!$A$1:$W366,21,TRUE)</f>
        <v>7999.92</v>
      </c>
      <c r="D6" s="94">
        <f>VLOOKUP(D5,Dépôt!$A$1:$W366,21,TRUE)</f>
        <v>7999.92</v>
      </c>
      <c r="E6" s="94">
        <f>VLOOKUP(E5,Dépôt!$A$1:$W366,21,TRUE)</f>
        <v>7999.92</v>
      </c>
      <c r="F6" s="94">
        <f>VLOOKUP(F5,Dépôt!$A$1:$W366,21,TRUE)</f>
        <v>7999.92</v>
      </c>
      <c r="G6" s="94">
        <f>VLOOKUP(G5,Dépôt!$A$1:$W366,21,TRUE)</f>
        <v>7999.92</v>
      </c>
      <c r="H6" s="94">
        <f>VLOOKUP(H5,Dépôt!$A$1:$W366,21,TRUE)</f>
        <v>7999.92</v>
      </c>
      <c r="I6" s="91">
        <f>SUM(B6:H6)</f>
        <v>55999.439999999995</v>
      </c>
      <c r="J6" s="81"/>
    </row>
    <row r="7" spans="1:11" s="76" customFormat="1" ht="15" x14ac:dyDescent="0.25">
      <c r="A7" s="65"/>
      <c r="B7" s="85">
        <f t="array" ref="B7:H7">JoursEtSemaines+DATE(AnnéeCalendrier,1,1)-WEEKDAY(DATE(AnnéeCalendrier,1,1),(DébutSemaine="LUNDI")+1)+15</f>
        <v>43478</v>
      </c>
      <c r="C7" s="85">
        <v>43479</v>
      </c>
      <c r="D7" s="85">
        <v>43480</v>
      </c>
      <c r="E7" s="85">
        <v>43481</v>
      </c>
      <c r="F7" s="85">
        <v>43482</v>
      </c>
      <c r="G7" s="85">
        <v>43483</v>
      </c>
      <c r="H7" s="85">
        <v>43484</v>
      </c>
      <c r="I7" s="83"/>
      <c r="J7" s="81"/>
    </row>
    <row r="8" spans="1:11" ht="15" x14ac:dyDescent="0.3">
      <c r="B8" s="94">
        <f>VLOOKUP(B7,Dépôt!$A$1:$W368,21,TRUE)</f>
        <v>7999.92</v>
      </c>
      <c r="C8" s="94">
        <f>VLOOKUP(C7,Dépôt!$A$1:$W368,21,TRUE)</f>
        <v>7999.92</v>
      </c>
      <c r="D8" s="94">
        <f>VLOOKUP(D7,Dépôt!$A$1:$W368,21,TRUE)</f>
        <v>7999.92</v>
      </c>
      <c r="E8" s="94">
        <f>VLOOKUP(E7,Dépôt!$A$1:$W368,21,TRUE)</f>
        <v>7999.92</v>
      </c>
      <c r="F8" s="94">
        <f>VLOOKUP(F7,Dépôt!$A$1:$W368,21,TRUE)</f>
        <v>7999.92</v>
      </c>
      <c r="G8" s="94">
        <f>VLOOKUP(G7,Dépôt!$A$1:$W368,21,TRUE)</f>
        <v>7999.92</v>
      </c>
      <c r="H8" s="94">
        <f>VLOOKUP(H7,Dépôt!$A$1:$W368,21,TRUE)</f>
        <v>7999.92</v>
      </c>
      <c r="I8" s="91">
        <f>SUM(B8:H8)</f>
        <v>55999.439999999995</v>
      </c>
    </row>
    <row r="9" spans="1:11" s="76" customFormat="1" ht="15" x14ac:dyDescent="0.25">
      <c r="A9" s="65"/>
      <c r="B9" s="86">
        <f t="array" ref="B9:H9">JoursEtSemaines+DATE(AnnéeCalendrier,1,1)-WEEKDAY(DATE(AnnéeCalendrier,1,1),(DébutSemaine="LUNDI")+1)+22</f>
        <v>43485</v>
      </c>
      <c r="C9" s="86">
        <v>43486</v>
      </c>
      <c r="D9" s="86">
        <v>43487</v>
      </c>
      <c r="E9" s="86">
        <v>43488</v>
      </c>
      <c r="F9" s="86">
        <v>43489</v>
      </c>
      <c r="G9" s="86">
        <v>43490</v>
      </c>
      <c r="H9" s="86">
        <v>43491</v>
      </c>
      <c r="I9" s="83"/>
    </row>
    <row r="10" spans="1:11" ht="15" x14ac:dyDescent="0.3">
      <c r="B10" s="94">
        <f>VLOOKUP(B9,Dépôt!$A$1:$W370,21,TRUE)</f>
        <v>7999.92</v>
      </c>
      <c r="C10" s="94">
        <f>VLOOKUP(C9,Dépôt!$A$1:$W370,21,TRUE)</f>
        <v>7999.92</v>
      </c>
      <c r="D10" s="94">
        <f>VLOOKUP(D9,Dépôt!$A$1:$W370,21,TRUE)</f>
        <v>7999.92</v>
      </c>
      <c r="E10" s="94">
        <f>VLOOKUP(E9,Dépôt!$A$1:$W370,21,TRUE)</f>
        <v>7999.92</v>
      </c>
      <c r="F10" s="94">
        <f>VLOOKUP(F9,Dépôt!$A$1:$W370,21,TRUE)</f>
        <v>7999.92</v>
      </c>
      <c r="G10" s="94">
        <f>VLOOKUP(G9,Dépôt!$A$1:$W370,21,TRUE)</f>
        <v>7999.92</v>
      </c>
      <c r="H10" s="94">
        <f>VLOOKUP(H9,Dépôt!$A$1:$W370,21,TRUE)</f>
        <v>7999.92</v>
      </c>
      <c r="I10" s="91">
        <f>SUM(B10:H10)</f>
        <v>55999.439999999995</v>
      </c>
    </row>
    <row r="11" spans="1:11" s="76" customFormat="1" ht="15" x14ac:dyDescent="0.25">
      <c r="A11" s="65"/>
      <c r="B11" s="88">
        <f t="array" ref="B11:H11">JoursEtSemaines+DATE(AnnéeCalendrier,1,1)-WEEKDAY(DATE(AnnéeCalendrier,1,1),(DébutSemaine="LUNDI")+1)+29</f>
        <v>43492</v>
      </c>
      <c r="C11" s="88">
        <v>43493</v>
      </c>
      <c r="D11" s="88">
        <v>43494</v>
      </c>
      <c r="E11" s="88">
        <v>43495</v>
      </c>
      <c r="F11" s="88">
        <v>43496</v>
      </c>
      <c r="G11" s="88">
        <v>43497</v>
      </c>
      <c r="H11" s="88">
        <v>43498</v>
      </c>
      <c r="I11" s="83"/>
    </row>
    <row r="12" spans="1:11" ht="15" x14ac:dyDescent="0.3">
      <c r="B12" s="94">
        <f>VLOOKUP(B11,Dépôt!$A$1:$W372,21,TRUE)</f>
        <v>7999.92</v>
      </c>
      <c r="C12" s="94">
        <f>VLOOKUP(C11,Dépôt!$A$1:$W372,21,TRUE)</f>
        <v>7999.92</v>
      </c>
      <c r="D12" s="94">
        <f>VLOOKUP(D11,Dépôt!$A$1:$W372,21,TRUE)</f>
        <v>7999.92</v>
      </c>
      <c r="E12" s="94">
        <f>VLOOKUP(E11,Dépôt!$A$1:$W372,21,TRUE)</f>
        <v>7999.92</v>
      </c>
      <c r="F12" s="94">
        <f>VLOOKUP(F11,Dépôt!$A$1:$W372,21,TRUE)</f>
        <v>7999.92</v>
      </c>
      <c r="G12" s="94">
        <f>VLOOKUP(G11,Dépôt!$A$1:$W372,21,TRUE)</f>
        <v>7999.92</v>
      </c>
      <c r="H12" s="94">
        <f>VLOOKUP(H11,Dépôt!$A$1:$W372,21,TRUE)</f>
        <v>7999.92</v>
      </c>
      <c r="I12" s="91">
        <f>SUM(B12:H12)</f>
        <v>55999.439999999995</v>
      </c>
    </row>
    <row r="13" spans="1:11" s="76" customFormat="1" x14ac:dyDescent="0.2">
      <c r="A13" s="65"/>
      <c r="B13" s="92">
        <f t="array" ref="B13:C13">JoursEtSemaines+DATE(AnnéeCalendrier,1,1)-WEEKDAY(DATE(AnnéeCalendrier,1,1),(DébutSemaine="LUNDI")+1)+36</f>
        <v>43499</v>
      </c>
      <c r="C13" s="92">
        <v>43500</v>
      </c>
      <c r="D13" s="118" t="s">
        <v>72</v>
      </c>
      <c r="E13" s="119"/>
      <c r="F13" s="119"/>
      <c r="G13" s="119"/>
      <c r="H13" s="119"/>
    </row>
    <row r="14" spans="1:11" x14ac:dyDescent="0.3">
      <c r="B14" s="80"/>
      <c r="C14" s="80"/>
      <c r="D14" s="118"/>
      <c r="E14" s="119"/>
      <c r="F14" s="119"/>
      <c r="G14" s="119"/>
      <c r="H14" s="119"/>
    </row>
    <row r="23" spans="4:4" x14ac:dyDescent="0.3">
      <c r="D23" s="123"/>
    </row>
  </sheetData>
  <mergeCells count="2">
    <mergeCell ref="D13:D14"/>
    <mergeCell ref="E13:H14"/>
  </mergeCells>
  <conditionalFormatting sqref="B3:G3">
    <cfRule type="expression" dxfId="86" priority="1">
      <formula>DAY(B3)&gt;8</formula>
    </cfRule>
  </conditionalFormatting>
  <conditionalFormatting sqref="B11:H11 B13:C13">
    <cfRule type="expression" dxfId="85" priority="2">
      <formula>AND(DAY(B11)&gt;=1,DAY(B11)&lt;=15)</formula>
    </cfRule>
  </conditionalFormatting>
  <dataValidations count="13">
    <dataValidation allowBlank="1" showInputMessage="1" showErrorMessage="1" prompt="Cette ligne ainsi que les lignes 5, 7, 9, 11 et 13 contiennent les jours civils de la semaine. Si cette cellule ne contient pas le numéro 1, c’est qu’il s’agit d’un jour du mois précédent. Entrez des notes dans la cellule E13" sqref="B3" xr:uid="{00000000-0002-0000-0200-000000000000}"/>
    <dataValidation allowBlank="1" showInputMessage="1" showErrorMessage="1" prompt="Entrez les Notes dans la cellule à droite" sqref="D13:D14" xr:uid="{00000000-0002-0000-0200-000001000000}"/>
    <dataValidation allowBlank="1" showInputMessage="1" showErrorMessage="1" prompt="Entrez les Notes dans cette cellule" sqref="E13:H14" xr:uid="{00000000-0002-0000-0200-000002000000}"/>
    <dataValidation allowBlank="1" showInputMessage="1" showErrorMessage="1" prompt="Jour de la semaine déterminé automatiquement" sqref="C2:H2" xr:uid="{00000000-0002-0000-0200-000004000000}"/>
    <dataValidation allowBlank="1" showInputMessage="1" showErrorMessage="1" prompt="L’année dans cette cellule est automatiquement mise à jour en fonction de l’année entrée dans la cellule K2. Le calendrier ci-dessous inclut les dates des mois précédent et suivant dans une teinte plus claire" sqref="B1" xr:uid="{00000000-0002-0000-0200-000005000000}"/>
    <dataValidation allowBlank="1" showInputMessage="1" showErrorMessage="1" prompt="Cette ligne contient les noms des jours de la semaine pour ce calendrier. Cette cellule contient le jour de début de la semaine. Pour modifier le jour de début de la semaine, entrez un nouveau jour dans la cellule K3" sqref="B2" xr:uid="{00000000-0002-0000-0200-000006000000}"/>
    <dataValidation allowBlank="1" showInputMessage="1" showErrorMessage="1" prompt="Entrez une année dans cette cellule" sqref="K2" xr:uid="{00000000-0002-0000-0200-000007000000}"/>
    <dataValidation allowBlank="1" showInputMessage="1" showErrorMessage="1" prompt="Sélectionnez le jour de début de la semaine dans la cellule à droite" sqref="J3" xr:uid="{00000000-0002-0000-0200-000008000000}"/>
    <dataValidation allowBlank="1" showInputMessage="1" showErrorMessage="1" prompt="Entrez l’année dans la cellule à droite" sqref="J2" xr:uid="{00000000-0002-0000-0200-000009000000}"/>
    <dataValidation allowBlank="1" showInputMessage="1" showErrorMessage="1" prompt="Entrez l’année et sélectionnez le jour de début du calendrier dans les cellules ci-dessous. Ces cellules Paramètres du calendrier ne s’imprimeront pas" sqref="J1" xr:uid="{00000000-0002-0000-0200-00000A000000}"/>
    <dataValidation allowBlank="1" showInputMessage="1" showErrorMessage="1" prompt="L’année figurant dans cette cellule est mise à jour automatiquement. Pour modifier l’année, sélectionnez une autre année dans la cellule K2" sqref="C1:D1" xr:uid="{00000000-0002-0000-0200-00000B000000}"/>
    <dataValidation allowBlank="1" showInputMessage="1" showErrorMessage="1" prompt="Créez des calendriers personnalisés d’un mois dans ce classeur. Personnalisez l’année et le jour de début de la semaine pour tous les mois avec cette feuille de calcul Janvier. Chaque mois figure sur une feuille de calcul distincte" sqref="A1" xr:uid="{00000000-0002-0000-0200-00000C000000}"/>
    <dataValidation type="list" errorStyle="warning" allowBlank="1" showInputMessage="1" showErrorMessage="1" error="Sélectionnez un jour dans la liste. Sélectionnez ANNULER, puis appuyez sur ALT+FLÈCHE BAS pour choisir un jour dans la liste déroulante." prompt="Sélectionnez le jour de début de la semaine dans cette cellule. Appuyez sur ALT+FLÈCHE BAS pour ouvrir la liste déroulante, puis sur ENTRÉE pour sélectionner le jour de début de la semaine." sqref="K3" xr:uid="{00000000-0002-0000-0200-00000D000000}">
      <formula1>"DIMANCHE,LUNDI"</formula1>
    </dataValidation>
  </dataValidations>
  <pageMargins left="0.7" right="0.7" top="0.75" bottom="0.75" header="0.3" footer="0.3"/>
  <pageSetup paperSize="9" orientation="portrait" horizontalDpi="4294967293" verticalDpi="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dimension ref="A1:K14"/>
  <sheetViews>
    <sheetView zoomScale="85" zoomScaleNormal="85" workbookViewId="0">
      <selection activeCell="B6" sqref="B6"/>
    </sheetView>
  </sheetViews>
  <sheetFormatPr baseColWidth="10" defaultColWidth="8.75" defaultRowHeight="14.25" x14ac:dyDescent="0.3"/>
  <cols>
    <col min="1" max="1" width="2.625" style="65" customWidth="1"/>
    <col min="2" max="8" width="17.875" style="65" customWidth="1"/>
    <col min="9" max="9" width="21.5" style="65" customWidth="1"/>
    <col min="10" max="10" width="21.875" style="65" customWidth="1"/>
    <col min="11" max="11" width="13.625" style="65" customWidth="1"/>
    <col min="12" max="16384" width="8.75" style="65"/>
  </cols>
  <sheetData>
    <row r="1" spans="1:11" s="71" customFormat="1" ht="27.75" x14ac:dyDescent="0.4">
      <c r="A1" s="65"/>
      <c r="B1" s="66" t="str">
        <f>"Fevrier "&amp;AnnéeCalendrier</f>
        <v>Fevrier 2019</v>
      </c>
      <c r="C1" s="67"/>
      <c r="D1" s="68"/>
      <c r="E1" s="69"/>
      <c r="F1" s="69"/>
      <c r="G1" s="69"/>
      <c r="H1" s="70"/>
      <c r="J1" s="72" t="s">
        <v>68</v>
      </c>
      <c r="K1" s="65"/>
    </row>
    <row r="2" spans="1:11" s="73" customFormat="1" ht="35.25" customHeight="1" x14ac:dyDescent="0.25">
      <c r="A2" s="65"/>
      <c r="B2" s="84" t="str">
        <f>DébutSemaine</f>
        <v>DIMANCHE</v>
      </c>
      <c r="C2" s="84" t="s">
        <v>75</v>
      </c>
      <c r="D2" s="84" t="s">
        <v>76</v>
      </c>
      <c r="E2" s="84" t="s">
        <v>77</v>
      </c>
      <c r="F2" s="84" t="s">
        <v>78</v>
      </c>
      <c r="G2" s="84" t="s">
        <v>79</v>
      </c>
      <c r="H2" s="84" t="s">
        <v>74</v>
      </c>
      <c r="I2" s="89" t="s">
        <v>73</v>
      </c>
      <c r="J2" s="74" t="s">
        <v>69</v>
      </c>
      <c r="K2" s="75">
        <f ca="1">YEAR(TODAY())</f>
        <v>2019</v>
      </c>
    </row>
    <row r="3" spans="1:11" s="76" customFormat="1" ht="15.75" x14ac:dyDescent="0.25">
      <c r="A3" s="65"/>
      <c r="B3" s="85">
        <v>27</v>
      </c>
      <c r="C3" s="85">
        <v>28</v>
      </c>
      <c r="D3" s="85">
        <v>29</v>
      </c>
      <c r="E3" s="85">
        <v>30</v>
      </c>
      <c r="F3" s="85">
        <v>31</v>
      </c>
      <c r="G3" s="85">
        <v>1</v>
      </c>
      <c r="H3" s="85">
        <v>2</v>
      </c>
      <c r="I3" s="83"/>
      <c r="J3" s="77" t="s">
        <v>70</v>
      </c>
      <c r="K3" s="75" t="s">
        <v>71</v>
      </c>
    </row>
    <row r="4" spans="1:11" ht="15" x14ac:dyDescent="0.3">
      <c r="B4" s="94" t="e">
        <f>VLOOKUP(B3,Dépôt!$A$1:$W364,21,TRUE)</f>
        <v>#N/A</v>
      </c>
      <c r="C4" s="94" t="e">
        <f>VLOOKUP(C3,Dépôt!$A$1:$W364,21,TRUE)</f>
        <v>#N/A</v>
      </c>
      <c r="D4" s="94" t="e">
        <f>VLOOKUP(D3,Dépôt!$A$1:$W364,21,TRUE)</f>
        <v>#N/A</v>
      </c>
      <c r="E4" s="94" t="e">
        <f>VLOOKUP(E3,Dépôt!$A$1:$W364,21,TRUE)</f>
        <v>#N/A</v>
      </c>
      <c r="F4" s="94" t="e">
        <f>VLOOKUP(F3,Dépôt!$A$1:$W364,21,TRUE)</f>
        <v>#N/A</v>
      </c>
      <c r="G4" s="94" t="e">
        <f>VLOOKUP(G3,Dépôt!$A$1:$W364,21,TRUE)</f>
        <v>#N/A</v>
      </c>
      <c r="H4" s="94" t="e">
        <f>VLOOKUP(H3,Dépôt!$A$1:$W364,21,TRUE)</f>
        <v>#N/A</v>
      </c>
      <c r="I4" s="91" t="e">
        <f>SUM(B4:H4)</f>
        <v>#N/A</v>
      </c>
      <c r="J4" s="78"/>
    </row>
    <row r="5" spans="1:11" s="76" customFormat="1" ht="15" x14ac:dyDescent="0.25">
      <c r="A5" s="65"/>
      <c r="B5" s="86">
        <v>3</v>
      </c>
      <c r="C5" s="86">
        <v>4</v>
      </c>
      <c r="D5" s="86">
        <v>5</v>
      </c>
      <c r="E5" s="86">
        <v>6</v>
      </c>
      <c r="F5" s="86">
        <v>7</v>
      </c>
      <c r="G5" s="86">
        <v>8</v>
      </c>
      <c r="H5" s="86">
        <v>9</v>
      </c>
      <c r="I5" s="83"/>
    </row>
    <row r="6" spans="1:11" ht="15" x14ac:dyDescent="0.2">
      <c r="B6" s="94" t="e">
        <f>VLOOKUP(B5,Dépôt!$A$1:$W366,21,TRUE)</f>
        <v>#N/A</v>
      </c>
      <c r="C6" s="94" t="e">
        <f>VLOOKUP(C5,Dépôt!$A$1:$W366,21,TRUE)</f>
        <v>#N/A</v>
      </c>
      <c r="D6" s="94" t="e">
        <f>VLOOKUP(D5,Dépôt!$A$1:$W366,21,TRUE)</f>
        <v>#N/A</v>
      </c>
      <c r="E6" s="94" t="e">
        <f>VLOOKUP(E5,Dépôt!$A$1:$W366,21,TRUE)</f>
        <v>#N/A</v>
      </c>
      <c r="F6" s="94" t="e">
        <f>VLOOKUP(F5,Dépôt!$A$1:$W366,21,TRUE)</f>
        <v>#N/A</v>
      </c>
      <c r="G6" s="94" t="e">
        <f>VLOOKUP(G5,Dépôt!$A$1:$W366,21,TRUE)</f>
        <v>#N/A</v>
      </c>
      <c r="H6" s="94" t="e">
        <f>VLOOKUP(H5,Dépôt!$A$1:$W366,21,TRUE)</f>
        <v>#N/A</v>
      </c>
      <c r="I6" s="91" t="e">
        <f>SUM(B6:H6)</f>
        <v>#N/A</v>
      </c>
      <c r="J6" s="81"/>
    </row>
    <row r="7" spans="1:11" s="76" customFormat="1" ht="15" x14ac:dyDescent="0.25">
      <c r="A7" s="65"/>
      <c r="B7" s="85">
        <v>10</v>
      </c>
      <c r="C7" s="85">
        <v>11</v>
      </c>
      <c r="D7" s="85">
        <v>12</v>
      </c>
      <c r="E7" s="85">
        <v>13</v>
      </c>
      <c r="F7" s="85">
        <v>14</v>
      </c>
      <c r="G7" s="85">
        <v>15</v>
      </c>
      <c r="H7" s="85">
        <v>16</v>
      </c>
      <c r="I7" s="83"/>
      <c r="J7" s="81"/>
    </row>
    <row r="8" spans="1:11" ht="15" x14ac:dyDescent="0.3">
      <c r="B8" s="94" t="e">
        <f>VLOOKUP(B7,Dépôt!$A$1:$W368,21,TRUE)</f>
        <v>#N/A</v>
      </c>
      <c r="C8" s="94" t="e">
        <f>VLOOKUP(C7,Dépôt!$A$1:$W368,21,TRUE)</f>
        <v>#N/A</v>
      </c>
      <c r="D8" s="94" t="e">
        <f>VLOOKUP(D7,Dépôt!$A$1:$W368,21,TRUE)</f>
        <v>#N/A</v>
      </c>
      <c r="E8" s="94" t="e">
        <f>VLOOKUP(E7,Dépôt!$A$1:$W368,21,TRUE)</f>
        <v>#N/A</v>
      </c>
      <c r="F8" s="94" t="e">
        <f>VLOOKUP(F7,Dépôt!$A$1:$W368,21,TRUE)</f>
        <v>#N/A</v>
      </c>
      <c r="G8" s="94" t="e">
        <f>VLOOKUP(G7,Dépôt!$A$1:$W368,21,TRUE)</f>
        <v>#N/A</v>
      </c>
      <c r="H8" s="94" t="e">
        <f>VLOOKUP(H7,Dépôt!$A$1:$W368,21,TRUE)</f>
        <v>#N/A</v>
      </c>
      <c r="I8" s="91" t="e">
        <f>SUM(B8:H8)</f>
        <v>#N/A</v>
      </c>
    </row>
    <row r="9" spans="1:11" s="76" customFormat="1" ht="15" x14ac:dyDescent="0.25">
      <c r="A9" s="65"/>
      <c r="B9" s="86">
        <v>17</v>
      </c>
      <c r="C9" s="86">
        <v>18</v>
      </c>
      <c r="D9" s="86">
        <v>19</v>
      </c>
      <c r="E9" s="86">
        <v>20</v>
      </c>
      <c r="F9" s="86">
        <v>21</v>
      </c>
      <c r="G9" s="86">
        <v>22</v>
      </c>
      <c r="H9" s="86">
        <v>23</v>
      </c>
      <c r="I9" s="83"/>
    </row>
    <row r="10" spans="1:11" ht="15" x14ac:dyDescent="0.3">
      <c r="B10" s="94" t="e">
        <f>VLOOKUP(B9,Dépôt!$A$1:$W370,21,TRUE)</f>
        <v>#N/A</v>
      </c>
      <c r="C10" s="94" t="e">
        <f>VLOOKUP(C9,Dépôt!$A$1:$W370,21,TRUE)</f>
        <v>#N/A</v>
      </c>
      <c r="D10" s="94" t="e">
        <f>VLOOKUP(D9,Dépôt!$A$1:$W370,21,TRUE)</f>
        <v>#N/A</v>
      </c>
      <c r="E10" s="94" t="e">
        <f>VLOOKUP(E9,Dépôt!$A$1:$W370,21,TRUE)</f>
        <v>#N/A</v>
      </c>
      <c r="F10" s="94" t="e">
        <f>VLOOKUP(F9,Dépôt!$A$1:$W370,21,TRUE)</f>
        <v>#N/A</v>
      </c>
      <c r="G10" s="94" t="e">
        <f>VLOOKUP(G9,Dépôt!$A$1:$W370,21,TRUE)</f>
        <v>#N/A</v>
      </c>
      <c r="H10" s="94" t="e">
        <f>VLOOKUP(H9,Dépôt!$A$1:$W370,21,TRUE)</f>
        <v>#N/A</v>
      </c>
      <c r="I10" s="91" t="e">
        <f>SUM(B10:H10)</f>
        <v>#N/A</v>
      </c>
    </row>
    <row r="11" spans="1:11" s="76" customFormat="1" ht="15" x14ac:dyDescent="0.25">
      <c r="A11" s="65"/>
      <c r="B11" s="88">
        <v>24</v>
      </c>
      <c r="C11" s="88">
        <v>25</v>
      </c>
      <c r="D11" s="88">
        <v>26</v>
      </c>
      <c r="E11" s="88">
        <v>27</v>
      </c>
      <c r="F11" s="88">
        <v>28</v>
      </c>
      <c r="G11" s="88">
        <v>1</v>
      </c>
      <c r="H11" s="88">
        <v>2</v>
      </c>
      <c r="I11" s="83"/>
    </row>
    <row r="12" spans="1:11" ht="15" x14ac:dyDescent="0.3">
      <c r="B12" s="94" t="e">
        <f>VLOOKUP(B11,Dépôt!$A$1:$W372,21,TRUE)</f>
        <v>#N/A</v>
      </c>
      <c r="C12" s="94" t="e">
        <f>VLOOKUP(C11,Dépôt!$A$1:$W372,21,TRUE)</f>
        <v>#N/A</v>
      </c>
      <c r="D12" s="94" t="e">
        <f>VLOOKUP(D11,Dépôt!$A$1:$W372,21,TRUE)</f>
        <v>#N/A</v>
      </c>
      <c r="E12" s="94" t="e">
        <f>VLOOKUP(E11,Dépôt!$A$1:$W372,21,TRUE)</f>
        <v>#N/A</v>
      </c>
      <c r="F12" s="94" t="e">
        <f>VLOOKUP(F11,Dépôt!$A$1:$W372,21,TRUE)</f>
        <v>#N/A</v>
      </c>
      <c r="G12" s="94" t="e">
        <f>VLOOKUP(G11,Dépôt!$A$1:$W372,21,TRUE)</f>
        <v>#N/A</v>
      </c>
      <c r="H12" s="94" t="e">
        <f>VLOOKUP(H11,Dépôt!$A$1:$W372,21,TRUE)</f>
        <v>#N/A</v>
      </c>
      <c r="I12" s="91" t="e">
        <f>SUM(B12:H12)</f>
        <v>#N/A</v>
      </c>
    </row>
    <row r="13" spans="1:11" s="76" customFormat="1" x14ac:dyDescent="0.2">
      <c r="A13" s="65"/>
      <c r="B13" s="79">
        <f t="array" ref="B13:C13">JoursEtSemaines+DATE(AnnéeCalendrier,1,1)-WEEKDAY(DATE(AnnéeCalendrier,1,1),(DébutSemaine="LUNDI")+1)+36</f>
        <v>43499</v>
      </c>
      <c r="C13" s="79">
        <v>43500</v>
      </c>
      <c r="D13" s="118" t="s">
        <v>72</v>
      </c>
      <c r="E13" s="120"/>
      <c r="F13" s="120"/>
      <c r="G13" s="120"/>
      <c r="H13" s="120"/>
    </row>
    <row r="14" spans="1:11" x14ac:dyDescent="0.3">
      <c r="B14" s="80"/>
      <c r="C14" s="80"/>
      <c r="D14" s="118"/>
      <c r="E14" s="120"/>
      <c r="F14" s="120"/>
      <c r="G14" s="120"/>
      <c r="H14" s="120"/>
    </row>
  </sheetData>
  <mergeCells count="2">
    <mergeCell ref="D13:D14"/>
    <mergeCell ref="E13:H14"/>
  </mergeCells>
  <conditionalFormatting sqref="B3:G3">
    <cfRule type="expression" dxfId="84" priority="1">
      <formula>DAY(B3)&gt;8</formula>
    </cfRule>
  </conditionalFormatting>
  <conditionalFormatting sqref="B11:H11 B13:C13">
    <cfRule type="expression" dxfId="83" priority="2">
      <formula>AND(DAY(B11)&gt;=1,DAY(B11)&lt;=15)</formula>
    </cfRule>
  </conditionalFormatting>
  <dataValidations disablePrompts="1" count="12">
    <dataValidation allowBlank="1" showInputMessage="1" showErrorMessage="1" prompt="Cette ligne ainsi que les lignes 5, 7, 9, 11 et 13 contiennent les jours civils de la semaine. Si cette cellule ne contient pas le numéro 1, c’est qu’il s’agit d’un jour du mois précédent. Entrez des notes dans la cellule E13" sqref="B3" xr:uid="{00000000-0002-0000-0300-000000000000}"/>
    <dataValidation type="list" errorStyle="warning" allowBlank="1" showInputMessage="1" showErrorMessage="1" error="Sélectionnez un jour dans la liste. Sélectionnez ANNULER, puis appuyez sur ALT+FLÈCHE BAS pour choisir un jour dans la liste déroulante." prompt="Sélectionnez le jour de début de la semaine dans cette cellule. Appuyez sur ALT+FLÈCHE BAS pour ouvrir la liste déroulante, puis sur ENTRÉE pour sélectionner le jour de début de la semaine." sqref="K3" xr:uid="{00000000-0002-0000-0300-000001000000}">
      <formula1>"DIMANCHE,LUNDI"</formula1>
    </dataValidation>
    <dataValidation allowBlank="1" showInputMessage="1" showErrorMessage="1" prompt="Créez des calendriers personnalisés d’un mois dans ce classeur. Personnalisez l’année et le jour de début de la semaine pour tous les mois avec cette feuille de calcul Janvier. Chaque mois figure sur une feuille de calcul distincte" sqref="A1" xr:uid="{00000000-0002-0000-0300-000002000000}"/>
    <dataValidation allowBlank="1" showInputMessage="1" showErrorMessage="1" prompt="L’année figurant dans cette cellule est mise à jour automatiquement. Pour modifier l’année, sélectionnez une autre année dans la cellule K2" sqref="C1:D1" xr:uid="{00000000-0002-0000-0300-000003000000}"/>
    <dataValidation allowBlank="1" showInputMessage="1" showErrorMessage="1" prompt="Entrez l’année et sélectionnez le jour de début du calendrier dans les cellules ci-dessous. Ces cellules Paramètres du calendrier ne s’imprimeront pas" sqref="J1" xr:uid="{00000000-0002-0000-0300-000004000000}"/>
    <dataValidation allowBlank="1" showInputMessage="1" showErrorMessage="1" prompt="Entrez l’année dans la cellule à droite" sqref="J2" xr:uid="{00000000-0002-0000-0300-000005000000}"/>
    <dataValidation allowBlank="1" showInputMessage="1" showErrorMessage="1" prompt="Sélectionnez le jour de début de la semaine dans la cellule à droite" sqref="J3" xr:uid="{00000000-0002-0000-0300-000006000000}"/>
    <dataValidation allowBlank="1" showInputMessage="1" showErrorMessage="1" prompt="Entrez une année dans cette cellule" sqref="K2" xr:uid="{00000000-0002-0000-0300-000007000000}"/>
    <dataValidation allowBlank="1" showInputMessage="1" showErrorMessage="1" prompt="Cette ligne contient les noms des jours de la semaine pour ce calendrier. Cette cellule contient le jour de début de la semaine. Pour modifier le jour de début de la semaine, entrez un nouveau jour dans la cellule K3" sqref="B2:H2" xr:uid="{00000000-0002-0000-0300-000008000000}"/>
    <dataValidation allowBlank="1" showInputMessage="1" showErrorMessage="1" prompt="L’année dans cette cellule est automatiquement mise à jour en fonction de l’année entrée dans la cellule K2. Le calendrier ci-dessous inclut les dates des mois précédent et suivant dans une teinte plus claire" sqref="B1" xr:uid="{00000000-0002-0000-0300-000009000000}"/>
    <dataValidation allowBlank="1" showInputMessage="1" showErrorMessage="1" prompt="Entrez les Notes dans cette cellule" sqref="E13:H14" xr:uid="{00000000-0002-0000-0300-00000B000000}"/>
    <dataValidation allowBlank="1" showInputMessage="1" showErrorMessage="1" prompt="Entrez les Notes dans la cellule à droite" sqref="D13:D14" xr:uid="{00000000-0002-0000-0300-00000C000000}"/>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5"/>
  <dimension ref="A1:K14"/>
  <sheetViews>
    <sheetView zoomScale="85" zoomScaleNormal="85" workbookViewId="0">
      <selection activeCell="C4" sqref="C4"/>
    </sheetView>
  </sheetViews>
  <sheetFormatPr baseColWidth="10" defaultColWidth="8.75" defaultRowHeight="14.25" x14ac:dyDescent="0.3"/>
  <cols>
    <col min="1" max="1" width="2.625" style="65" customWidth="1"/>
    <col min="2" max="8" width="17.875" style="65" customWidth="1"/>
    <col min="9" max="9" width="21.5" style="65" customWidth="1"/>
    <col min="10" max="10" width="21.875" style="65" customWidth="1"/>
    <col min="11" max="11" width="13.625" style="65" customWidth="1"/>
    <col min="12" max="16384" width="8.75" style="65"/>
  </cols>
  <sheetData>
    <row r="1" spans="1:11" s="71" customFormat="1" ht="27.75" x14ac:dyDescent="0.4">
      <c r="A1" s="65"/>
      <c r="B1" s="66" t="str">
        <f>"Mars "&amp;AnnéeCalendrier</f>
        <v>Mars 2019</v>
      </c>
      <c r="C1" s="67"/>
      <c r="D1" s="68"/>
      <c r="E1" s="69"/>
      <c r="F1" s="69"/>
      <c r="G1" s="69"/>
      <c r="H1" s="70"/>
      <c r="J1" s="72" t="s">
        <v>68</v>
      </c>
      <c r="K1" s="65"/>
    </row>
    <row r="2" spans="1:11" s="73" customFormat="1" ht="35.25" customHeight="1" x14ac:dyDescent="0.25">
      <c r="A2" s="65"/>
      <c r="B2" s="84" t="str">
        <f>DébutSemaine</f>
        <v>DIMANCHE</v>
      </c>
      <c r="C2" s="84" t="s">
        <v>75</v>
      </c>
      <c r="D2" s="84" t="s">
        <v>76</v>
      </c>
      <c r="E2" s="84" t="s">
        <v>77</v>
      </c>
      <c r="F2" s="84" t="s">
        <v>78</v>
      </c>
      <c r="G2" s="84" t="s">
        <v>79</v>
      </c>
      <c r="H2" s="84" t="s">
        <v>74</v>
      </c>
      <c r="I2" s="89" t="s">
        <v>73</v>
      </c>
      <c r="J2" s="74" t="s">
        <v>69</v>
      </c>
      <c r="K2" s="75">
        <f ca="1">YEAR(TODAY())</f>
        <v>2019</v>
      </c>
    </row>
    <row r="3" spans="1:11" s="76" customFormat="1" ht="15.75" x14ac:dyDescent="0.25">
      <c r="A3" s="65"/>
      <c r="B3" s="85">
        <v>24</v>
      </c>
      <c r="C3" s="85">
        <v>25</v>
      </c>
      <c r="D3" s="85">
        <v>26</v>
      </c>
      <c r="E3" s="85">
        <v>27</v>
      </c>
      <c r="F3" s="85">
        <v>28</v>
      </c>
      <c r="G3" s="85">
        <v>1</v>
      </c>
      <c r="H3" s="85">
        <v>2</v>
      </c>
      <c r="I3" s="83"/>
      <c r="J3" s="77" t="s">
        <v>70</v>
      </c>
      <c r="K3" s="75" t="s">
        <v>71</v>
      </c>
    </row>
    <row r="4" spans="1:11" ht="15" x14ac:dyDescent="0.3">
      <c r="B4" s="94" t="e">
        <f>VLOOKUP(B3,Dépôt!$A$1:$W364,21,TRUE)</f>
        <v>#N/A</v>
      </c>
      <c r="C4" s="94" t="e">
        <f>VLOOKUP(C3,Dépôt!$A$1:$W364,21,TRUE)</f>
        <v>#N/A</v>
      </c>
      <c r="D4" s="94" t="e">
        <f>VLOOKUP(D3,Dépôt!$A$1:$W364,21,TRUE)</f>
        <v>#N/A</v>
      </c>
      <c r="E4" s="94" t="e">
        <f>VLOOKUP(E3,Dépôt!$A$1:$W364,21,TRUE)</f>
        <v>#N/A</v>
      </c>
      <c r="F4" s="94" t="e">
        <f>VLOOKUP(F3,Dépôt!$A$1:$W364,21,TRUE)</f>
        <v>#N/A</v>
      </c>
      <c r="G4" s="94" t="e">
        <f>VLOOKUP(G3,Dépôt!$A$1:$W364,21,TRUE)</f>
        <v>#N/A</v>
      </c>
      <c r="H4" s="94" t="e">
        <f>VLOOKUP(H3,Dépôt!$A$1:$W364,21,TRUE)</f>
        <v>#N/A</v>
      </c>
      <c r="I4" s="91" t="e">
        <f>SUM(B4:H4)</f>
        <v>#N/A</v>
      </c>
      <c r="J4" s="78"/>
    </row>
    <row r="5" spans="1:11" s="76" customFormat="1" ht="15" x14ac:dyDescent="0.25">
      <c r="A5" s="65"/>
      <c r="B5" s="86">
        <v>3</v>
      </c>
      <c r="C5" s="86">
        <v>4</v>
      </c>
      <c r="D5" s="86">
        <v>5</v>
      </c>
      <c r="E5" s="86">
        <v>6</v>
      </c>
      <c r="F5" s="86">
        <v>7</v>
      </c>
      <c r="G5" s="86">
        <v>8</v>
      </c>
      <c r="H5" s="86">
        <v>9</v>
      </c>
      <c r="I5" s="83"/>
    </row>
    <row r="6" spans="1:11" ht="15" x14ac:dyDescent="0.2">
      <c r="B6" s="94" t="e">
        <f>VLOOKUP(B5,Dépôt!$A$1:$W366,21,TRUE)</f>
        <v>#N/A</v>
      </c>
      <c r="C6" s="94" t="e">
        <f>VLOOKUP(C5,Dépôt!$A$1:$W366,21,TRUE)</f>
        <v>#N/A</v>
      </c>
      <c r="D6" s="94" t="e">
        <f>VLOOKUP(D5,Dépôt!$A$1:$W366,21,TRUE)</f>
        <v>#N/A</v>
      </c>
      <c r="E6" s="94" t="e">
        <f>VLOOKUP(E5,Dépôt!$A$1:$W366,21,TRUE)</f>
        <v>#N/A</v>
      </c>
      <c r="F6" s="94" t="e">
        <f>VLOOKUP(F5,Dépôt!$A$1:$W366,21,TRUE)</f>
        <v>#N/A</v>
      </c>
      <c r="G6" s="94" t="e">
        <f>VLOOKUP(G5,Dépôt!$A$1:$W366,21,TRUE)</f>
        <v>#N/A</v>
      </c>
      <c r="H6" s="94" t="e">
        <f>VLOOKUP(H5,Dépôt!$A$1:$W366,21,TRUE)</f>
        <v>#N/A</v>
      </c>
      <c r="I6" s="91" t="e">
        <f>SUM(B6:H6)</f>
        <v>#N/A</v>
      </c>
      <c r="J6" s="81"/>
    </row>
    <row r="7" spans="1:11" s="76" customFormat="1" ht="15" x14ac:dyDescent="0.25">
      <c r="A7" s="65"/>
      <c r="B7" s="85">
        <v>10</v>
      </c>
      <c r="C7" s="85">
        <v>11</v>
      </c>
      <c r="D7" s="85">
        <v>12</v>
      </c>
      <c r="E7" s="85">
        <v>13</v>
      </c>
      <c r="F7" s="85">
        <v>14</v>
      </c>
      <c r="G7" s="85">
        <v>15</v>
      </c>
      <c r="H7" s="85">
        <v>16</v>
      </c>
      <c r="I7" s="83"/>
      <c r="J7" s="81"/>
    </row>
    <row r="8" spans="1:11" ht="15" x14ac:dyDescent="0.3">
      <c r="B8" s="94" t="e">
        <f>VLOOKUP(B7,Dépôt!$A$1:$W368,21,TRUE)</f>
        <v>#N/A</v>
      </c>
      <c r="C8" s="94" t="e">
        <f>VLOOKUP(C7,Dépôt!$A$1:$W368,21,TRUE)</f>
        <v>#N/A</v>
      </c>
      <c r="D8" s="94" t="e">
        <f>VLOOKUP(D7,Dépôt!$A$1:$W368,21,TRUE)</f>
        <v>#N/A</v>
      </c>
      <c r="E8" s="94" t="e">
        <f>VLOOKUP(E7,Dépôt!$A$1:$W368,21,TRUE)</f>
        <v>#N/A</v>
      </c>
      <c r="F8" s="94" t="e">
        <f>VLOOKUP(F7,Dépôt!$A$1:$W368,21,TRUE)</f>
        <v>#N/A</v>
      </c>
      <c r="G8" s="94" t="e">
        <f>VLOOKUP(G7,Dépôt!$A$1:$W368,21,TRUE)</f>
        <v>#N/A</v>
      </c>
      <c r="H8" s="94" t="e">
        <f>VLOOKUP(H7,Dépôt!$A$1:$W368,21,TRUE)</f>
        <v>#N/A</v>
      </c>
      <c r="I8" s="91" t="e">
        <f>SUM(B8:H8)</f>
        <v>#N/A</v>
      </c>
    </row>
    <row r="9" spans="1:11" s="76" customFormat="1" ht="15" x14ac:dyDescent="0.25">
      <c r="A9" s="65"/>
      <c r="B9" s="86">
        <v>17</v>
      </c>
      <c r="C9" s="86">
        <v>18</v>
      </c>
      <c r="D9" s="86">
        <v>19</v>
      </c>
      <c r="E9" s="86">
        <v>20</v>
      </c>
      <c r="F9" s="86">
        <v>21</v>
      </c>
      <c r="G9" s="86">
        <v>22</v>
      </c>
      <c r="H9" s="86">
        <v>23</v>
      </c>
      <c r="I9" s="83"/>
    </row>
    <row r="10" spans="1:11" ht="15" x14ac:dyDescent="0.3">
      <c r="B10" s="94" t="e">
        <f>VLOOKUP(B9,Dépôt!$A$1:$W370,21,TRUE)</f>
        <v>#N/A</v>
      </c>
      <c r="C10" s="94" t="e">
        <f>VLOOKUP(C9,Dépôt!$A$1:$W370,21,TRUE)</f>
        <v>#N/A</v>
      </c>
      <c r="D10" s="94" t="e">
        <f>VLOOKUP(D9,Dépôt!$A$1:$W370,21,TRUE)</f>
        <v>#N/A</v>
      </c>
      <c r="E10" s="94" t="e">
        <f>VLOOKUP(E9,Dépôt!$A$1:$W370,21,TRUE)</f>
        <v>#N/A</v>
      </c>
      <c r="F10" s="94" t="e">
        <f>VLOOKUP(F9,Dépôt!$A$1:$W370,21,TRUE)</f>
        <v>#N/A</v>
      </c>
      <c r="G10" s="94" t="e">
        <f>VLOOKUP(G9,Dépôt!$A$1:$W370,21,TRUE)</f>
        <v>#N/A</v>
      </c>
      <c r="H10" s="94" t="e">
        <f>VLOOKUP(H9,Dépôt!$A$1:$W370,21,TRUE)</f>
        <v>#N/A</v>
      </c>
      <c r="I10" s="91" t="e">
        <f>SUM(B10:H10)</f>
        <v>#N/A</v>
      </c>
    </row>
    <row r="11" spans="1:11" s="76" customFormat="1" ht="15" x14ac:dyDescent="0.25">
      <c r="A11" s="65"/>
      <c r="B11" s="88">
        <v>24</v>
      </c>
      <c r="C11" s="88">
        <v>25</v>
      </c>
      <c r="D11" s="88">
        <v>26</v>
      </c>
      <c r="E11" s="88">
        <v>27</v>
      </c>
      <c r="F11" s="88">
        <v>28</v>
      </c>
      <c r="G11" s="88">
        <v>29</v>
      </c>
      <c r="H11" s="88">
        <v>30</v>
      </c>
      <c r="I11" s="83"/>
    </row>
    <row r="12" spans="1:11" ht="15" x14ac:dyDescent="0.3">
      <c r="B12" s="94" t="e">
        <f>VLOOKUP(B11,Dépôt!$A$1:$W372,21,TRUE)</f>
        <v>#N/A</v>
      </c>
      <c r="C12" s="94" t="e">
        <f>VLOOKUP(C11,Dépôt!$A$1:$W372,21,TRUE)</f>
        <v>#N/A</v>
      </c>
      <c r="D12" s="94" t="e">
        <f>VLOOKUP(D11,Dépôt!$A$1:$W372,21,TRUE)</f>
        <v>#N/A</v>
      </c>
      <c r="E12" s="94" t="e">
        <f>VLOOKUP(E11,Dépôt!$A$1:$W372,21,TRUE)</f>
        <v>#N/A</v>
      </c>
      <c r="F12" s="94" t="e">
        <f>VLOOKUP(F11,Dépôt!$A$1:$W372,21,TRUE)</f>
        <v>#N/A</v>
      </c>
      <c r="G12" s="94" t="e">
        <f>VLOOKUP(G11,Dépôt!$A$1:$W372,21,TRUE)</f>
        <v>#N/A</v>
      </c>
      <c r="H12" s="94" t="e">
        <f>VLOOKUP(H11,Dépôt!$A$1:$W372,21,TRUE)</f>
        <v>#N/A</v>
      </c>
      <c r="I12" s="91" t="e">
        <f>SUM(B12:H12)</f>
        <v>#N/A</v>
      </c>
    </row>
    <row r="13" spans="1:11" s="76" customFormat="1" ht="15" x14ac:dyDescent="0.25">
      <c r="A13" s="65"/>
      <c r="B13" s="88">
        <v>31</v>
      </c>
      <c r="C13" s="88">
        <v>1</v>
      </c>
      <c r="D13" s="88">
        <v>2</v>
      </c>
      <c r="E13" s="88">
        <v>3</v>
      </c>
      <c r="F13" s="88">
        <v>4</v>
      </c>
      <c r="G13" s="88">
        <v>5</v>
      </c>
      <c r="H13" s="88">
        <v>6</v>
      </c>
      <c r="I13" s="83"/>
    </row>
    <row r="14" spans="1:11" ht="15" x14ac:dyDescent="0.3">
      <c r="B14" s="87"/>
      <c r="C14" s="87"/>
      <c r="D14" s="87"/>
      <c r="E14" s="87"/>
      <c r="F14" s="87"/>
      <c r="G14" s="87"/>
      <c r="H14" s="87"/>
      <c r="I14" s="90"/>
    </row>
  </sheetData>
  <conditionalFormatting sqref="B3:G3">
    <cfRule type="expression" dxfId="82" priority="2">
      <formula>DAY(B3)&gt;8</formula>
    </cfRule>
  </conditionalFormatting>
  <conditionalFormatting sqref="B11:H11">
    <cfRule type="expression" dxfId="81" priority="3">
      <formula>AND(DAY(B11)&gt;=1,DAY(B11)&lt;=15)</formula>
    </cfRule>
  </conditionalFormatting>
  <conditionalFormatting sqref="B13:H13">
    <cfRule type="expression" dxfId="80" priority="1">
      <formula>AND(DAY(B13)&gt;=1,DAY(B13)&lt;=15)</formula>
    </cfRule>
  </conditionalFormatting>
  <dataValidations count="11">
    <dataValidation allowBlank="1" showInputMessage="1" showErrorMessage="1" prompt="Cette ligne ainsi que les lignes 5, 7, 9, 11 et 13 contiennent les jours civils de la semaine. Si cette cellule ne contient pas le numéro 1, c’est qu’il s’agit d’un jour du mois précédent. Entrez des notes dans la cellule E13" sqref="B3" xr:uid="{00000000-0002-0000-0400-000000000000}"/>
    <dataValidation type="list" errorStyle="warning" allowBlank="1" showInputMessage="1" showErrorMessage="1" error="Sélectionnez un jour dans la liste. Sélectionnez ANNULER, puis appuyez sur ALT+FLÈCHE BAS pour choisir un jour dans la liste déroulante." prompt="Sélectionnez le jour de début de la semaine dans cette cellule. Appuyez sur ALT+FLÈCHE BAS pour ouvrir la liste déroulante, puis sur ENTRÉE pour sélectionner le jour de début de la semaine." sqref="K3" xr:uid="{00000000-0002-0000-0400-000001000000}">
      <formula1>"DIMANCHE,LUNDI"</formula1>
    </dataValidation>
    <dataValidation allowBlank="1" showInputMessage="1" showErrorMessage="1" prompt="Créez des calendriers personnalisés d’un mois dans ce classeur. Personnalisez l’année et le jour de début de la semaine pour tous les mois avec cette feuille de calcul Janvier. Chaque mois figure sur une feuille de calcul distincte" sqref="A1" xr:uid="{00000000-0002-0000-0400-000002000000}"/>
    <dataValidation allowBlank="1" showInputMessage="1" showErrorMessage="1" prompt="L’année figurant dans cette cellule est mise à jour automatiquement. Pour modifier l’année, sélectionnez une autre année dans la cellule K2" sqref="C1:D1" xr:uid="{00000000-0002-0000-0400-000003000000}"/>
    <dataValidation allowBlank="1" showInputMessage="1" showErrorMessage="1" prompt="Entrez l’année et sélectionnez le jour de début du calendrier dans les cellules ci-dessous. Ces cellules Paramètres du calendrier ne s’imprimeront pas" sqref="J1" xr:uid="{00000000-0002-0000-0400-000004000000}"/>
    <dataValidation allowBlank="1" showInputMessage="1" showErrorMessage="1" prompt="Entrez l’année dans la cellule à droite" sqref="J2" xr:uid="{00000000-0002-0000-0400-000005000000}"/>
    <dataValidation allowBlank="1" showInputMessage="1" showErrorMessage="1" prompt="Sélectionnez le jour de début de la semaine dans la cellule à droite" sqref="J3" xr:uid="{00000000-0002-0000-0400-000006000000}"/>
    <dataValidation allowBlank="1" showInputMessage="1" showErrorMessage="1" prompt="Entrez une année dans cette cellule" sqref="K2" xr:uid="{00000000-0002-0000-0400-000007000000}"/>
    <dataValidation allowBlank="1" showInputMessage="1" showErrorMessage="1" prompt="Cette ligne contient les noms des jours de la semaine pour ce calendrier. Cette cellule contient le jour de début de la semaine. Pour modifier le jour de début de la semaine, entrez un nouveau jour dans la cellule K3" sqref="B2" xr:uid="{00000000-0002-0000-0400-000008000000}"/>
    <dataValidation allowBlank="1" showInputMessage="1" showErrorMessage="1" prompt="L’année dans cette cellule est automatiquement mise à jour en fonction de l’année entrée dans la cellule K2. Le calendrier ci-dessous inclut les dates des mois précédent et suivant dans une teinte plus claire" sqref="B1" xr:uid="{00000000-0002-0000-0400-000009000000}"/>
    <dataValidation allowBlank="1" showInputMessage="1" showErrorMessage="1" prompt="Jour de la semaine déterminé automatiquement" sqref="C2:H2" xr:uid="{00000000-0002-0000-0400-00000A000000}"/>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6"/>
  <dimension ref="A1:K14"/>
  <sheetViews>
    <sheetView zoomScale="85" zoomScaleNormal="85" workbookViewId="0">
      <selection activeCell="B12" sqref="B12:H12"/>
    </sheetView>
  </sheetViews>
  <sheetFormatPr baseColWidth="10" defaultColWidth="8.75" defaultRowHeight="14.25" x14ac:dyDescent="0.3"/>
  <cols>
    <col min="1" max="1" width="2.625" style="65" customWidth="1"/>
    <col min="2" max="8" width="17.875" style="65" customWidth="1"/>
    <col min="9" max="9" width="21.5" style="65" customWidth="1"/>
    <col min="10" max="10" width="21.875" style="65" customWidth="1"/>
    <col min="11" max="11" width="13.625" style="65" customWidth="1"/>
    <col min="12" max="16384" width="8.75" style="65"/>
  </cols>
  <sheetData>
    <row r="1" spans="1:11" s="71" customFormat="1" ht="27.75" x14ac:dyDescent="0.4">
      <c r="A1" s="65"/>
      <c r="B1" s="66" t="str">
        <f>"Avril "&amp;AnnéeCalendrier</f>
        <v>Avril 2019</v>
      </c>
      <c r="C1" s="67"/>
      <c r="D1" s="68"/>
      <c r="E1" s="69"/>
      <c r="F1" s="69"/>
      <c r="G1" s="69"/>
      <c r="H1" s="70"/>
      <c r="J1" s="72" t="s">
        <v>68</v>
      </c>
      <c r="K1" s="65"/>
    </row>
    <row r="2" spans="1:11" s="73" customFormat="1" ht="35.25" customHeight="1" x14ac:dyDescent="0.25">
      <c r="A2" s="65"/>
      <c r="B2" s="84" t="str">
        <f>DébutSemaine</f>
        <v>DIMANCHE</v>
      </c>
      <c r="C2" s="84" t="s">
        <v>75</v>
      </c>
      <c r="D2" s="84" t="s">
        <v>76</v>
      </c>
      <c r="E2" s="84" t="s">
        <v>77</v>
      </c>
      <c r="F2" s="84" t="s">
        <v>78</v>
      </c>
      <c r="G2" s="84" t="s">
        <v>79</v>
      </c>
      <c r="H2" s="84" t="s">
        <v>74</v>
      </c>
      <c r="I2" s="89" t="s">
        <v>73</v>
      </c>
      <c r="J2" s="74" t="s">
        <v>69</v>
      </c>
      <c r="K2" s="75">
        <f ca="1">YEAR(TODAY())</f>
        <v>2019</v>
      </c>
    </row>
    <row r="3" spans="1:11" s="76" customFormat="1" ht="15.75" x14ac:dyDescent="0.25">
      <c r="A3" s="65"/>
      <c r="B3" s="85">
        <v>31</v>
      </c>
      <c r="C3" s="85">
        <v>1</v>
      </c>
      <c r="D3" s="85">
        <v>2</v>
      </c>
      <c r="E3" s="85">
        <v>3</v>
      </c>
      <c r="F3" s="85">
        <v>4</v>
      </c>
      <c r="G3" s="85">
        <v>5</v>
      </c>
      <c r="H3" s="85">
        <v>6</v>
      </c>
      <c r="I3" s="83"/>
      <c r="J3" s="77" t="s">
        <v>70</v>
      </c>
      <c r="K3" s="75" t="s">
        <v>71</v>
      </c>
    </row>
    <row r="4" spans="1:11" ht="15" x14ac:dyDescent="0.3">
      <c r="B4" s="94" t="e">
        <f>VLOOKUP(B3,Dépôt!$A$1:$W364,21,TRUE)</f>
        <v>#N/A</v>
      </c>
      <c r="C4" s="94" t="e">
        <f>VLOOKUP(C3,Dépôt!$A$1:$W364,21,TRUE)</f>
        <v>#N/A</v>
      </c>
      <c r="D4" s="94" t="e">
        <f>VLOOKUP(D3,Dépôt!$A$1:$W364,21,TRUE)</f>
        <v>#N/A</v>
      </c>
      <c r="E4" s="94" t="e">
        <f>VLOOKUP(E3,Dépôt!$A$1:$W364,21,TRUE)</f>
        <v>#N/A</v>
      </c>
      <c r="F4" s="94" t="e">
        <f>VLOOKUP(F3,Dépôt!$A$1:$W364,21,TRUE)</f>
        <v>#N/A</v>
      </c>
      <c r="G4" s="94" t="e">
        <f>VLOOKUP(G3,Dépôt!$A$1:$W364,21,TRUE)</f>
        <v>#N/A</v>
      </c>
      <c r="H4" s="94" t="e">
        <f>VLOOKUP(H3,Dépôt!$A$1:$W364,21,TRUE)</f>
        <v>#N/A</v>
      </c>
      <c r="I4" s="91" t="e">
        <f>SUM(B4:H4)</f>
        <v>#N/A</v>
      </c>
      <c r="J4" s="78"/>
    </row>
    <row r="5" spans="1:11" s="76" customFormat="1" ht="15" x14ac:dyDescent="0.25">
      <c r="A5" s="65"/>
      <c r="B5" s="86">
        <v>7</v>
      </c>
      <c r="C5" s="86">
        <v>8</v>
      </c>
      <c r="D5" s="86">
        <v>9</v>
      </c>
      <c r="E5" s="86">
        <v>10</v>
      </c>
      <c r="F5" s="86">
        <v>11</v>
      </c>
      <c r="G5" s="86">
        <v>12</v>
      </c>
      <c r="H5" s="86">
        <v>13</v>
      </c>
      <c r="I5" s="83"/>
    </row>
    <row r="6" spans="1:11" ht="15" x14ac:dyDescent="0.2">
      <c r="B6" s="94" t="e">
        <f>VLOOKUP(B5,Dépôt!$A$1:$W366,21,TRUE)</f>
        <v>#N/A</v>
      </c>
      <c r="C6" s="94" t="e">
        <f>VLOOKUP(C5,Dépôt!$A$1:$W366,21,TRUE)</f>
        <v>#N/A</v>
      </c>
      <c r="D6" s="94" t="e">
        <f>VLOOKUP(D5,Dépôt!$A$1:$W366,21,TRUE)</f>
        <v>#N/A</v>
      </c>
      <c r="E6" s="94" t="e">
        <f>VLOOKUP(E5,Dépôt!$A$1:$W366,21,TRUE)</f>
        <v>#N/A</v>
      </c>
      <c r="F6" s="94" t="e">
        <f>VLOOKUP(F5,Dépôt!$A$1:$W366,21,TRUE)</f>
        <v>#N/A</v>
      </c>
      <c r="G6" s="94" t="e">
        <f>VLOOKUP(G5,Dépôt!$A$1:$W366,21,TRUE)</f>
        <v>#N/A</v>
      </c>
      <c r="H6" s="94" t="e">
        <f>VLOOKUP(H5,Dépôt!$A$1:$W366,21,TRUE)</f>
        <v>#N/A</v>
      </c>
      <c r="I6" s="91" t="e">
        <f>SUM(B6:H6)</f>
        <v>#N/A</v>
      </c>
      <c r="J6" s="81"/>
    </row>
    <row r="7" spans="1:11" s="76" customFormat="1" ht="15" x14ac:dyDescent="0.25">
      <c r="A7" s="65"/>
      <c r="B7" s="85">
        <v>14</v>
      </c>
      <c r="C7" s="85">
        <v>15</v>
      </c>
      <c r="D7" s="85">
        <v>16</v>
      </c>
      <c r="E7" s="85">
        <v>17</v>
      </c>
      <c r="F7" s="85">
        <v>18</v>
      </c>
      <c r="G7" s="85">
        <v>19</v>
      </c>
      <c r="H7" s="85">
        <v>20</v>
      </c>
      <c r="I7" s="83"/>
      <c r="J7" s="81"/>
    </row>
    <row r="8" spans="1:11" ht="15" x14ac:dyDescent="0.3">
      <c r="B8" s="94" t="e">
        <f>VLOOKUP(B7,Dépôt!$A$1:$W368,21,TRUE)</f>
        <v>#N/A</v>
      </c>
      <c r="C8" s="94" t="e">
        <f>VLOOKUP(C7,Dépôt!$A$1:$W368,21,TRUE)</f>
        <v>#N/A</v>
      </c>
      <c r="D8" s="94" t="e">
        <f>VLOOKUP(D7,Dépôt!$A$1:$W368,21,TRUE)</f>
        <v>#N/A</v>
      </c>
      <c r="E8" s="94" t="e">
        <f>VLOOKUP(E7,Dépôt!$A$1:$W368,21,TRUE)</f>
        <v>#N/A</v>
      </c>
      <c r="F8" s="94" t="e">
        <f>VLOOKUP(F7,Dépôt!$A$1:$W368,21,TRUE)</f>
        <v>#N/A</v>
      </c>
      <c r="G8" s="94" t="e">
        <f>VLOOKUP(G7,Dépôt!$A$1:$W368,21,TRUE)</f>
        <v>#N/A</v>
      </c>
      <c r="H8" s="94" t="e">
        <f>VLOOKUP(H7,Dépôt!$A$1:$W368,21,TRUE)</f>
        <v>#N/A</v>
      </c>
      <c r="I8" s="91" t="e">
        <f>SUM(B8:H8)</f>
        <v>#N/A</v>
      </c>
    </row>
    <row r="9" spans="1:11" s="76" customFormat="1" ht="15" x14ac:dyDescent="0.25">
      <c r="A9" s="65"/>
      <c r="B9" s="86">
        <v>21</v>
      </c>
      <c r="C9" s="86">
        <v>22</v>
      </c>
      <c r="D9" s="86">
        <v>23</v>
      </c>
      <c r="E9" s="86">
        <v>24</v>
      </c>
      <c r="F9" s="86">
        <v>25</v>
      </c>
      <c r="G9" s="86">
        <v>26</v>
      </c>
      <c r="H9" s="86">
        <v>27</v>
      </c>
      <c r="I9" s="83"/>
    </row>
    <row r="10" spans="1:11" ht="15" x14ac:dyDescent="0.3">
      <c r="B10" s="94" t="e">
        <f>VLOOKUP(B9,Dépôt!$A$1:$W370,21,TRUE)</f>
        <v>#N/A</v>
      </c>
      <c r="C10" s="94" t="e">
        <f>VLOOKUP(C9,Dépôt!$A$1:$W370,21,TRUE)</f>
        <v>#N/A</v>
      </c>
      <c r="D10" s="94" t="e">
        <f>VLOOKUP(D9,Dépôt!$A$1:$W370,21,TRUE)</f>
        <v>#N/A</v>
      </c>
      <c r="E10" s="94" t="e">
        <f>VLOOKUP(E9,Dépôt!$A$1:$W370,21,TRUE)</f>
        <v>#N/A</v>
      </c>
      <c r="F10" s="94" t="e">
        <f>VLOOKUP(F9,Dépôt!$A$1:$W370,21,TRUE)</f>
        <v>#N/A</v>
      </c>
      <c r="G10" s="94" t="e">
        <f>VLOOKUP(G9,Dépôt!$A$1:$W370,21,TRUE)</f>
        <v>#N/A</v>
      </c>
      <c r="H10" s="94" t="e">
        <f>VLOOKUP(H9,Dépôt!$A$1:$W370,21,TRUE)</f>
        <v>#N/A</v>
      </c>
      <c r="I10" s="91" t="e">
        <f>SUM(B10:H10)</f>
        <v>#N/A</v>
      </c>
    </row>
    <row r="11" spans="1:11" s="76" customFormat="1" ht="15" x14ac:dyDescent="0.25">
      <c r="A11" s="65"/>
      <c r="B11" s="88">
        <v>28</v>
      </c>
      <c r="C11" s="88">
        <v>29</v>
      </c>
      <c r="D11" s="88">
        <v>30</v>
      </c>
      <c r="E11" s="88">
        <v>1</v>
      </c>
      <c r="F11" s="88">
        <v>2</v>
      </c>
      <c r="G11" s="88">
        <v>3</v>
      </c>
      <c r="H11" s="88">
        <v>4</v>
      </c>
      <c r="I11" s="83"/>
    </row>
    <row r="12" spans="1:11" ht="15" x14ac:dyDescent="0.3">
      <c r="B12" s="94" t="e">
        <f>VLOOKUP(B11,Dépôt!$A$1:$W372,21,TRUE)</f>
        <v>#N/A</v>
      </c>
      <c r="C12" s="94" t="e">
        <f>VLOOKUP(C11,Dépôt!$A$1:$W372,21,TRUE)</f>
        <v>#N/A</v>
      </c>
      <c r="D12" s="94" t="e">
        <f>VLOOKUP(D11,Dépôt!$A$1:$W372,21,TRUE)</f>
        <v>#N/A</v>
      </c>
      <c r="E12" s="94" t="e">
        <f>VLOOKUP(E11,Dépôt!$A$1:$W372,21,TRUE)</f>
        <v>#N/A</v>
      </c>
      <c r="F12" s="94" t="e">
        <f>VLOOKUP(F11,Dépôt!$A$1:$W372,21,TRUE)</f>
        <v>#N/A</v>
      </c>
      <c r="G12" s="94" t="e">
        <f>VLOOKUP(G11,Dépôt!$A$1:$W372,21,TRUE)</f>
        <v>#N/A</v>
      </c>
      <c r="H12" s="94" t="e">
        <f>VLOOKUP(H11,Dépôt!$A$1:$W372,21,TRUE)</f>
        <v>#N/A</v>
      </c>
      <c r="I12" s="91" t="e">
        <f>SUM(B12:H12)</f>
        <v>#N/A</v>
      </c>
    </row>
    <row r="13" spans="1:11" s="76" customFormat="1" x14ac:dyDescent="0.2">
      <c r="A13" s="65"/>
      <c r="B13" s="79"/>
      <c r="C13" s="79"/>
      <c r="D13" s="118" t="s">
        <v>72</v>
      </c>
      <c r="E13" s="121"/>
      <c r="F13" s="121"/>
      <c r="G13" s="121"/>
      <c r="H13" s="121"/>
    </row>
    <row r="14" spans="1:11" x14ac:dyDescent="0.3">
      <c r="B14" s="80"/>
      <c r="C14" s="80"/>
      <c r="D14" s="118"/>
      <c r="E14" s="121"/>
      <c r="F14" s="121"/>
      <c r="G14" s="121"/>
      <c r="H14" s="121"/>
    </row>
  </sheetData>
  <mergeCells count="2">
    <mergeCell ref="D13:D14"/>
    <mergeCell ref="E13:H14"/>
  </mergeCells>
  <conditionalFormatting sqref="B3:G3">
    <cfRule type="expression" dxfId="79" priority="1">
      <formula>DAY(B3)&gt;8</formula>
    </cfRule>
  </conditionalFormatting>
  <conditionalFormatting sqref="B11:H11 B13:C13">
    <cfRule type="expression" dxfId="78" priority="2">
      <formula>AND(DAY(B11)&gt;=1,DAY(B11)&lt;=15)</formula>
    </cfRule>
  </conditionalFormatting>
  <dataValidations count="13">
    <dataValidation allowBlank="1" showInputMessage="1" showErrorMessage="1" prompt="Cette ligne ainsi que les lignes 5, 7, 9, 11 et 13 contiennent les jours civils de la semaine. Si cette cellule ne contient pas le numéro 1, c’est qu’il s’agit d’un jour du mois précédent. Entrez des notes dans la cellule E13" sqref="B3" xr:uid="{00000000-0002-0000-0500-000000000000}"/>
    <dataValidation type="list" errorStyle="warning" allowBlank="1" showInputMessage="1" showErrorMessage="1" error="Sélectionnez un jour dans la liste. Sélectionnez ANNULER, puis appuyez sur ALT+FLÈCHE BAS pour choisir un jour dans la liste déroulante." prompt="Sélectionnez le jour de début de la semaine dans cette cellule. Appuyez sur ALT+FLÈCHE BAS pour ouvrir la liste déroulante, puis sur ENTRÉE pour sélectionner le jour de début de la semaine." sqref="K3" xr:uid="{00000000-0002-0000-0500-000001000000}">
      <formula1>"DIMANCHE,LUNDI"</formula1>
    </dataValidation>
    <dataValidation allowBlank="1" showInputMessage="1" showErrorMessage="1" prompt="Créez des calendriers personnalisés d’un mois dans ce classeur. Personnalisez l’année et le jour de début de la semaine pour tous les mois avec cette feuille de calcul Janvier. Chaque mois figure sur une feuille de calcul distincte" sqref="A1" xr:uid="{00000000-0002-0000-0500-000002000000}"/>
    <dataValidation allowBlank="1" showInputMessage="1" showErrorMessage="1" prompt="L’année figurant dans cette cellule est mise à jour automatiquement. Pour modifier l’année, sélectionnez une autre année dans la cellule K2" sqref="C1:D1" xr:uid="{00000000-0002-0000-0500-000003000000}"/>
    <dataValidation allowBlank="1" showInputMessage="1" showErrorMessage="1" prompt="Entrez l’année et sélectionnez le jour de début du calendrier dans les cellules ci-dessous. Ces cellules Paramètres du calendrier ne s’imprimeront pas" sqref="J1" xr:uid="{00000000-0002-0000-0500-000004000000}"/>
    <dataValidation allowBlank="1" showInputMessage="1" showErrorMessage="1" prompt="Entrez l’année dans la cellule à droite" sqref="J2" xr:uid="{00000000-0002-0000-0500-000005000000}"/>
    <dataValidation allowBlank="1" showInputMessage="1" showErrorMessage="1" prompt="Sélectionnez le jour de début de la semaine dans la cellule à droite" sqref="J3" xr:uid="{00000000-0002-0000-0500-000006000000}"/>
    <dataValidation allowBlank="1" showInputMessage="1" showErrorMessage="1" prompt="Entrez une année dans cette cellule" sqref="K2" xr:uid="{00000000-0002-0000-0500-000007000000}"/>
    <dataValidation allowBlank="1" showInputMessage="1" showErrorMessage="1" prompt="Cette ligne contient les noms des jours de la semaine pour ce calendrier. Cette cellule contient le jour de début de la semaine. Pour modifier le jour de début de la semaine, entrez un nouveau jour dans la cellule K3" sqref="B2" xr:uid="{00000000-0002-0000-0500-000008000000}"/>
    <dataValidation allowBlank="1" showInputMessage="1" showErrorMessage="1" prompt="L’année dans cette cellule est automatiquement mise à jour en fonction de l’année entrée dans la cellule K2. Le calendrier ci-dessous inclut les dates des mois précédent et suivant dans une teinte plus claire" sqref="B1" xr:uid="{00000000-0002-0000-0500-000009000000}"/>
    <dataValidation allowBlank="1" showInputMessage="1" showErrorMessage="1" prompt="Jour de la semaine déterminé automatiquement" sqref="C2:H2" xr:uid="{00000000-0002-0000-0500-00000A000000}"/>
    <dataValidation allowBlank="1" showInputMessage="1" showErrorMessage="1" prompt="Entrez les Notes dans cette cellule" sqref="E13:H14" xr:uid="{00000000-0002-0000-0500-00000C000000}"/>
    <dataValidation allowBlank="1" showInputMessage="1" showErrorMessage="1" prompt="Entrez les Notes dans la cellule à droite" sqref="D13:D14" xr:uid="{00000000-0002-0000-0500-00000D000000}"/>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7"/>
  <dimension ref="A1:K14"/>
  <sheetViews>
    <sheetView zoomScale="85" zoomScaleNormal="85" workbookViewId="0">
      <selection activeCell="B12" sqref="B12:H12"/>
    </sheetView>
  </sheetViews>
  <sheetFormatPr baseColWidth="10" defaultColWidth="8.75" defaultRowHeight="14.25" x14ac:dyDescent="0.3"/>
  <cols>
    <col min="1" max="1" width="2.625" style="65" customWidth="1"/>
    <col min="2" max="8" width="17.875" style="65" customWidth="1"/>
    <col min="9" max="9" width="21.5" style="65" customWidth="1"/>
    <col min="10" max="10" width="21.875" style="65" customWidth="1"/>
    <col min="11" max="11" width="13.625" style="65" customWidth="1"/>
    <col min="12" max="16384" width="8.75" style="65"/>
  </cols>
  <sheetData>
    <row r="1" spans="1:11" s="71" customFormat="1" ht="27.75" x14ac:dyDescent="0.4">
      <c r="A1" s="65"/>
      <c r="B1" s="66" t="str">
        <f>"Mai "&amp;AnnéeCalendrier</f>
        <v>Mai 2019</v>
      </c>
      <c r="C1" s="67"/>
      <c r="D1" s="68"/>
      <c r="E1" s="69"/>
      <c r="F1" s="69"/>
      <c r="G1" s="69"/>
      <c r="H1" s="70"/>
      <c r="J1" s="72" t="s">
        <v>68</v>
      </c>
      <c r="K1" s="65"/>
    </row>
    <row r="2" spans="1:11" s="73" customFormat="1" ht="35.25" customHeight="1" x14ac:dyDescent="0.25">
      <c r="A2" s="65"/>
      <c r="B2" s="84" t="str">
        <f>DébutSemaine</f>
        <v>DIMANCHE</v>
      </c>
      <c r="C2" s="84" t="s">
        <v>75</v>
      </c>
      <c r="D2" s="84" t="s">
        <v>76</v>
      </c>
      <c r="E2" s="84" t="s">
        <v>77</v>
      </c>
      <c r="F2" s="84" t="s">
        <v>78</v>
      </c>
      <c r="G2" s="84" t="s">
        <v>79</v>
      </c>
      <c r="H2" s="84" t="s">
        <v>74</v>
      </c>
      <c r="I2" s="89" t="s">
        <v>73</v>
      </c>
      <c r="J2" s="74" t="s">
        <v>69</v>
      </c>
      <c r="K2" s="75">
        <f ca="1">YEAR(TODAY())</f>
        <v>2019</v>
      </c>
    </row>
    <row r="3" spans="1:11" s="76" customFormat="1" ht="15.75" x14ac:dyDescent="0.25">
      <c r="A3" s="65"/>
      <c r="B3" s="85">
        <v>28</v>
      </c>
      <c r="C3" s="85">
        <v>29</v>
      </c>
      <c r="D3" s="85">
        <v>30</v>
      </c>
      <c r="E3" s="85">
        <v>1</v>
      </c>
      <c r="F3" s="85">
        <v>2</v>
      </c>
      <c r="G3" s="85">
        <v>3</v>
      </c>
      <c r="H3" s="85">
        <v>4</v>
      </c>
      <c r="I3" s="83"/>
      <c r="J3" s="77" t="s">
        <v>70</v>
      </c>
      <c r="K3" s="75" t="s">
        <v>71</v>
      </c>
    </row>
    <row r="4" spans="1:11" ht="15" x14ac:dyDescent="0.3">
      <c r="B4" s="94" t="e">
        <f>VLOOKUP(B3,Dépôt!$A$1:$W364,21,TRUE)</f>
        <v>#N/A</v>
      </c>
      <c r="C4" s="94" t="e">
        <f>VLOOKUP(C3,Dépôt!$A$1:$W364,21,TRUE)</f>
        <v>#N/A</v>
      </c>
      <c r="D4" s="94" t="e">
        <f>VLOOKUP(D3,Dépôt!$A$1:$W364,21,TRUE)</f>
        <v>#N/A</v>
      </c>
      <c r="E4" s="94" t="e">
        <f>VLOOKUP(E3,Dépôt!$A$1:$W364,21,TRUE)</f>
        <v>#N/A</v>
      </c>
      <c r="F4" s="94" t="e">
        <f>VLOOKUP(F3,Dépôt!$A$1:$W364,21,TRUE)</f>
        <v>#N/A</v>
      </c>
      <c r="G4" s="94" t="e">
        <f>VLOOKUP(G3,Dépôt!$A$1:$W364,21,TRUE)</f>
        <v>#N/A</v>
      </c>
      <c r="H4" s="94" t="e">
        <f>VLOOKUP(H3,Dépôt!$A$1:$W364,21,TRUE)</f>
        <v>#N/A</v>
      </c>
      <c r="I4" s="91" t="e">
        <f>SUM(B4:H4)</f>
        <v>#N/A</v>
      </c>
      <c r="J4" s="78"/>
    </row>
    <row r="5" spans="1:11" s="76" customFormat="1" ht="15" x14ac:dyDescent="0.25">
      <c r="A5" s="65"/>
      <c r="B5" s="86">
        <v>5</v>
      </c>
      <c r="C5" s="86">
        <v>6</v>
      </c>
      <c r="D5" s="86">
        <v>7</v>
      </c>
      <c r="E5" s="86">
        <v>8</v>
      </c>
      <c r="F5" s="86">
        <v>9</v>
      </c>
      <c r="G5" s="86">
        <v>10</v>
      </c>
      <c r="H5" s="86">
        <v>11</v>
      </c>
      <c r="I5" s="83"/>
    </row>
    <row r="6" spans="1:11" ht="15" x14ac:dyDescent="0.2">
      <c r="B6" s="94" t="e">
        <f>VLOOKUP(B5,Dépôt!$A$1:$W366,21,TRUE)</f>
        <v>#N/A</v>
      </c>
      <c r="C6" s="94" t="e">
        <f>VLOOKUP(C5,Dépôt!$A$1:$W366,21,TRUE)</f>
        <v>#N/A</v>
      </c>
      <c r="D6" s="94" t="e">
        <f>VLOOKUP(D5,Dépôt!$A$1:$W366,21,TRUE)</f>
        <v>#N/A</v>
      </c>
      <c r="E6" s="94" t="e">
        <f>VLOOKUP(E5,Dépôt!$A$1:$W366,21,TRUE)</f>
        <v>#N/A</v>
      </c>
      <c r="F6" s="94" t="e">
        <f>VLOOKUP(F5,Dépôt!$A$1:$W366,21,TRUE)</f>
        <v>#N/A</v>
      </c>
      <c r="G6" s="94" t="e">
        <f>VLOOKUP(G5,Dépôt!$A$1:$W366,21,TRUE)</f>
        <v>#N/A</v>
      </c>
      <c r="H6" s="94" t="e">
        <f>VLOOKUP(H5,Dépôt!$A$1:$W366,21,TRUE)</f>
        <v>#N/A</v>
      </c>
      <c r="I6" s="91" t="e">
        <f>SUM(B6:H6)</f>
        <v>#N/A</v>
      </c>
      <c r="J6" s="81"/>
    </row>
    <row r="7" spans="1:11" s="76" customFormat="1" ht="15" x14ac:dyDescent="0.25">
      <c r="A7" s="65"/>
      <c r="B7" s="85">
        <v>12</v>
      </c>
      <c r="C7" s="85">
        <v>13</v>
      </c>
      <c r="D7" s="85">
        <v>14</v>
      </c>
      <c r="E7" s="85">
        <v>15</v>
      </c>
      <c r="F7" s="85">
        <v>16</v>
      </c>
      <c r="G7" s="85">
        <v>17</v>
      </c>
      <c r="H7" s="85">
        <v>18</v>
      </c>
      <c r="I7" s="83"/>
      <c r="J7" s="81"/>
    </row>
    <row r="8" spans="1:11" ht="15" x14ac:dyDescent="0.3">
      <c r="B8" s="94" t="e">
        <f>VLOOKUP(B7,Dépôt!$A$1:$W368,21,TRUE)</f>
        <v>#N/A</v>
      </c>
      <c r="C8" s="94" t="e">
        <f>VLOOKUP(C7,Dépôt!$A$1:$W368,21,TRUE)</f>
        <v>#N/A</v>
      </c>
      <c r="D8" s="94" t="e">
        <f>VLOOKUP(D7,Dépôt!$A$1:$W368,21,TRUE)</f>
        <v>#N/A</v>
      </c>
      <c r="E8" s="94" t="e">
        <f>VLOOKUP(E7,Dépôt!$A$1:$W368,21,TRUE)</f>
        <v>#N/A</v>
      </c>
      <c r="F8" s="94" t="e">
        <f>VLOOKUP(F7,Dépôt!$A$1:$W368,21,TRUE)</f>
        <v>#N/A</v>
      </c>
      <c r="G8" s="94" t="e">
        <f>VLOOKUP(G7,Dépôt!$A$1:$W368,21,TRUE)</f>
        <v>#N/A</v>
      </c>
      <c r="H8" s="94" t="e">
        <f>VLOOKUP(H7,Dépôt!$A$1:$W368,21,TRUE)</f>
        <v>#N/A</v>
      </c>
      <c r="I8" s="91" t="e">
        <f>SUM(B8:H8)</f>
        <v>#N/A</v>
      </c>
    </row>
    <row r="9" spans="1:11" s="76" customFormat="1" ht="15" x14ac:dyDescent="0.25">
      <c r="A9" s="65"/>
      <c r="B9" s="86">
        <v>19</v>
      </c>
      <c r="C9" s="86">
        <v>20</v>
      </c>
      <c r="D9" s="86">
        <v>21</v>
      </c>
      <c r="E9" s="86">
        <v>22</v>
      </c>
      <c r="F9" s="86">
        <v>23</v>
      </c>
      <c r="G9" s="86">
        <v>24</v>
      </c>
      <c r="H9" s="86">
        <v>25</v>
      </c>
      <c r="I9" s="83"/>
    </row>
    <row r="10" spans="1:11" ht="15" x14ac:dyDescent="0.3">
      <c r="B10" s="94" t="e">
        <f>VLOOKUP(B9,Dépôt!$A$1:$W370,21,TRUE)</f>
        <v>#N/A</v>
      </c>
      <c r="C10" s="94" t="e">
        <f>VLOOKUP(C9,Dépôt!$A$1:$W370,21,TRUE)</f>
        <v>#N/A</v>
      </c>
      <c r="D10" s="94" t="e">
        <f>VLOOKUP(D9,Dépôt!$A$1:$W370,21,TRUE)</f>
        <v>#N/A</v>
      </c>
      <c r="E10" s="94" t="e">
        <f>VLOOKUP(E9,Dépôt!$A$1:$W370,21,TRUE)</f>
        <v>#N/A</v>
      </c>
      <c r="F10" s="94" t="e">
        <f>VLOOKUP(F9,Dépôt!$A$1:$W370,21,TRUE)</f>
        <v>#N/A</v>
      </c>
      <c r="G10" s="94" t="e">
        <f>VLOOKUP(G9,Dépôt!$A$1:$W370,21,TRUE)</f>
        <v>#N/A</v>
      </c>
      <c r="H10" s="94" t="e">
        <f>VLOOKUP(H9,Dépôt!$A$1:$W370,21,TRUE)</f>
        <v>#N/A</v>
      </c>
      <c r="I10" s="91" t="e">
        <f>SUM(B10:H10)</f>
        <v>#N/A</v>
      </c>
    </row>
    <row r="11" spans="1:11" s="76" customFormat="1" ht="15" x14ac:dyDescent="0.25">
      <c r="A11" s="65"/>
      <c r="B11" s="88">
        <v>26</v>
      </c>
      <c r="C11" s="88">
        <v>27</v>
      </c>
      <c r="D11" s="88">
        <v>28</v>
      </c>
      <c r="E11" s="88">
        <v>29</v>
      </c>
      <c r="F11" s="88">
        <v>30</v>
      </c>
      <c r="G11" s="88">
        <v>31</v>
      </c>
      <c r="H11" s="88">
        <v>1</v>
      </c>
      <c r="I11" s="83"/>
    </row>
    <row r="12" spans="1:11" ht="15" x14ac:dyDescent="0.3">
      <c r="B12" s="94" t="e">
        <f>VLOOKUP(B11,Dépôt!$A$1:$W372,21,TRUE)</f>
        <v>#N/A</v>
      </c>
      <c r="C12" s="94" t="e">
        <f>VLOOKUP(C11,Dépôt!$A$1:$W372,21,TRUE)</f>
        <v>#N/A</v>
      </c>
      <c r="D12" s="94" t="e">
        <f>VLOOKUP(D11,Dépôt!$A$1:$W372,21,TRUE)</f>
        <v>#N/A</v>
      </c>
      <c r="E12" s="94" t="e">
        <f>VLOOKUP(E11,Dépôt!$A$1:$W372,21,TRUE)</f>
        <v>#N/A</v>
      </c>
      <c r="F12" s="94" t="e">
        <f>VLOOKUP(F11,Dépôt!$A$1:$W372,21,TRUE)</f>
        <v>#N/A</v>
      </c>
      <c r="G12" s="94" t="e">
        <f>VLOOKUP(G11,Dépôt!$A$1:$W372,21,TRUE)</f>
        <v>#N/A</v>
      </c>
      <c r="H12" s="94" t="e">
        <f>VLOOKUP(H11,Dépôt!$A$1:$W372,21,TRUE)</f>
        <v>#N/A</v>
      </c>
      <c r="I12" s="91" t="e">
        <f>SUM(B12:H12)</f>
        <v>#N/A</v>
      </c>
    </row>
    <row r="13" spans="1:11" s="76" customFormat="1" x14ac:dyDescent="0.2">
      <c r="A13" s="65"/>
      <c r="B13" s="79">
        <f t="array" ref="B13:C13">JoursEtSemaines+DATE(AnnéeCalendrier,1,1)-WEEKDAY(DATE(AnnéeCalendrier,1,1),(DébutSemaine="LUNDI")+1)+36</f>
        <v>43499</v>
      </c>
      <c r="C13" s="79">
        <v>43500</v>
      </c>
      <c r="D13" s="118" t="s">
        <v>72</v>
      </c>
      <c r="E13" s="121"/>
      <c r="F13" s="121"/>
      <c r="G13" s="121"/>
      <c r="H13" s="121"/>
    </row>
    <row r="14" spans="1:11" x14ac:dyDescent="0.3">
      <c r="B14" s="80"/>
      <c r="C14" s="80"/>
      <c r="D14" s="118"/>
      <c r="E14" s="121"/>
      <c r="F14" s="121"/>
      <c r="G14" s="121"/>
      <c r="H14" s="121"/>
    </row>
  </sheetData>
  <mergeCells count="2">
    <mergeCell ref="D13:D14"/>
    <mergeCell ref="E13:H14"/>
  </mergeCells>
  <conditionalFormatting sqref="B3:G3">
    <cfRule type="expression" dxfId="77" priority="1">
      <formula>DAY(B3)&gt;8</formula>
    </cfRule>
  </conditionalFormatting>
  <conditionalFormatting sqref="B11:H11 B13:C13">
    <cfRule type="expression" dxfId="76" priority="2">
      <formula>AND(DAY(B11)&gt;=1,DAY(B11)&lt;=15)</formula>
    </cfRule>
  </conditionalFormatting>
  <dataValidations count="13">
    <dataValidation allowBlank="1" showInputMessage="1" showErrorMessage="1" prompt="Cette ligne ainsi que les lignes 5, 7, 9, 11 et 13 contiennent les jours civils de la semaine. Si cette cellule ne contient pas le numéro 1, c’est qu’il s’agit d’un jour du mois précédent. Entrez des notes dans la cellule E13" sqref="B3" xr:uid="{00000000-0002-0000-0600-000000000000}"/>
    <dataValidation type="list" errorStyle="warning" allowBlank="1" showInputMessage="1" showErrorMessage="1" error="Sélectionnez un jour dans la liste. Sélectionnez ANNULER, puis appuyez sur ALT+FLÈCHE BAS pour choisir un jour dans la liste déroulante." prompt="Sélectionnez le jour de début de la semaine dans cette cellule. Appuyez sur ALT+FLÈCHE BAS pour ouvrir la liste déroulante, puis sur ENTRÉE pour sélectionner le jour de début de la semaine." sqref="K3" xr:uid="{00000000-0002-0000-0600-000001000000}">
      <formula1>"DIMANCHE,LUNDI"</formula1>
    </dataValidation>
    <dataValidation allowBlank="1" showInputMessage="1" showErrorMessage="1" prompt="Créez des calendriers personnalisés d’un mois dans ce classeur. Personnalisez l’année et le jour de début de la semaine pour tous les mois avec cette feuille de calcul Janvier. Chaque mois figure sur une feuille de calcul distincte" sqref="A1" xr:uid="{00000000-0002-0000-0600-000002000000}"/>
    <dataValidation allowBlank="1" showInputMessage="1" showErrorMessage="1" prompt="L’année figurant dans cette cellule est mise à jour automatiquement. Pour modifier l’année, sélectionnez une autre année dans la cellule K2" sqref="C1:D1" xr:uid="{00000000-0002-0000-0600-000003000000}"/>
    <dataValidation allowBlank="1" showInputMessage="1" showErrorMessage="1" prompt="Entrez l’année et sélectionnez le jour de début du calendrier dans les cellules ci-dessous. Ces cellules Paramètres du calendrier ne s’imprimeront pas" sqref="J1" xr:uid="{00000000-0002-0000-0600-000004000000}"/>
    <dataValidation allowBlank="1" showInputMessage="1" showErrorMessage="1" prompt="Entrez l’année dans la cellule à droite" sqref="J2" xr:uid="{00000000-0002-0000-0600-000005000000}"/>
    <dataValidation allowBlank="1" showInputMessage="1" showErrorMessage="1" prompt="Sélectionnez le jour de début de la semaine dans la cellule à droite" sqref="J3" xr:uid="{00000000-0002-0000-0600-000006000000}"/>
    <dataValidation allowBlank="1" showInputMessage="1" showErrorMessage="1" prompt="Entrez une année dans cette cellule" sqref="K2" xr:uid="{00000000-0002-0000-0600-000007000000}"/>
    <dataValidation allowBlank="1" showInputMessage="1" showErrorMessage="1" prompt="Cette ligne contient les noms des jours de la semaine pour ce calendrier. Cette cellule contient le jour de début de la semaine. Pour modifier le jour de début de la semaine, entrez un nouveau jour dans la cellule K3" sqref="B2" xr:uid="{00000000-0002-0000-0600-000008000000}"/>
    <dataValidation allowBlank="1" showInputMessage="1" showErrorMessage="1" prompt="L’année dans cette cellule est automatiquement mise à jour en fonction de l’année entrée dans la cellule K2. Le calendrier ci-dessous inclut les dates des mois précédent et suivant dans une teinte plus claire" sqref="B1" xr:uid="{00000000-0002-0000-0600-000009000000}"/>
    <dataValidation allowBlank="1" showInputMessage="1" showErrorMessage="1" prompt="Jour de la semaine déterminé automatiquement" sqref="C2:H2" xr:uid="{00000000-0002-0000-0600-00000A000000}"/>
    <dataValidation allowBlank="1" showInputMessage="1" showErrorMessage="1" prompt="Entrez les Notes dans cette cellule" sqref="E13:H14" xr:uid="{00000000-0002-0000-0600-00000C000000}"/>
    <dataValidation allowBlank="1" showInputMessage="1" showErrorMessage="1" prompt="Entrez les Notes dans la cellule à droite" sqref="D13:D14" xr:uid="{00000000-0002-0000-0600-00000D000000}"/>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8"/>
  <dimension ref="A1:K14"/>
  <sheetViews>
    <sheetView zoomScale="85" zoomScaleNormal="85" workbookViewId="0">
      <selection activeCell="B12" sqref="B12:H12"/>
    </sheetView>
  </sheetViews>
  <sheetFormatPr baseColWidth="10" defaultColWidth="8.75" defaultRowHeight="14.25" x14ac:dyDescent="0.3"/>
  <cols>
    <col min="1" max="1" width="2.625" style="65" customWidth="1"/>
    <col min="2" max="8" width="17.875" style="65" customWidth="1"/>
    <col min="9" max="9" width="21.5" style="65" customWidth="1"/>
    <col min="10" max="10" width="21.875" style="65" customWidth="1"/>
    <col min="11" max="11" width="13.625" style="65" customWidth="1"/>
    <col min="12" max="16384" width="8.75" style="65"/>
  </cols>
  <sheetData>
    <row r="1" spans="1:11" s="71" customFormat="1" ht="27.75" x14ac:dyDescent="0.4">
      <c r="A1" s="65"/>
      <c r="B1" s="66" t="str">
        <f>"Juin "&amp;AnnéeCalendrier</f>
        <v>Juin 2019</v>
      </c>
      <c r="C1" s="67"/>
      <c r="D1" s="68"/>
      <c r="E1" s="69"/>
      <c r="F1" s="69"/>
      <c r="G1" s="69"/>
      <c r="H1" s="70"/>
      <c r="J1" s="72" t="s">
        <v>68</v>
      </c>
      <c r="K1" s="65"/>
    </row>
    <row r="2" spans="1:11" s="73" customFormat="1" ht="35.25" customHeight="1" x14ac:dyDescent="0.25">
      <c r="A2" s="65"/>
      <c r="B2" s="84" t="str">
        <f>DébutSemaine</f>
        <v>DIMANCHE</v>
      </c>
      <c r="C2" s="84" t="s">
        <v>75</v>
      </c>
      <c r="D2" s="84" t="s">
        <v>76</v>
      </c>
      <c r="E2" s="84" t="s">
        <v>77</v>
      </c>
      <c r="F2" s="84" t="s">
        <v>78</v>
      </c>
      <c r="G2" s="84" t="s">
        <v>79</v>
      </c>
      <c r="H2" s="84" t="s">
        <v>74</v>
      </c>
      <c r="I2" s="89" t="s">
        <v>73</v>
      </c>
      <c r="J2" s="74" t="s">
        <v>69</v>
      </c>
      <c r="K2" s="75">
        <f ca="1">YEAR(TODAY())</f>
        <v>2019</v>
      </c>
    </row>
    <row r="3" spans="1:11" s="76" customFormat="1" ht="15.75" x14ac:dyDescent="0.25">
      <c r="A3" s="65"/>
      <c r="B3" s="85">
        <v>26</v>
      </c>
      <c r="C3" s="85">
        <v>27</v>
      </c>
      <c r="D3" s="85">
        <v>28</v>
      </c>
      <c r="E3" s="85">
        <v>29</v>
      </c>
      <c r="F3" s="85">
        <v>30</v>
      </c>
      <c r="G3" s="85">
        <v>31</v>
      </c>
      <c r="H3" s="85">
        <v>1</v>
      </c>
      <c r="I3" s="83"/>
      <c r="J3" s="77" t="s">
        <v>70</v>
      </c>
      <c r="K3" s="75" t="s">
        <v>71</v>
      </c>
    </row>
    <row r="4" spans="1:11" ht="15" x14ac:dyDescent="0.3">
      <c r="B4" s="94" t="e">
        <f>VLOOKUP(B3,Dépôt!$A$1:$W364,21,TRUE)</f>
        <v>#N/A</v>
      </c>
      <c r="C4" s="94" t="e">
        <f>VLOOKUP(C3,Dépôt!$A$1:$W364,21,TRUE)</f>
        <v>#N/A</v>
      </c>
      <c r="D4" s="94" t="e">
        <f>VLOOKUP(D3,Dépôt!$A$1:$W364,21,TRUE)</f>
        <v>#N/A</v>
      </c>
      <c r="E4" s="94" t="e">
        <f>VLOOKUP(E3,Dépôt!$A$1:$W364,21,TRUE)</f>
        <v>#N/A</v>
      </c>
      <c r="F4" s="94" t="e">
        <f>VLOOKUP(F3,Dépôt!$A$1:$W364,21,TRUE)</f>
        <v>#N/A</v>
      </c>
      <c r="G4" s="94" t="e">
        <f>VLOOKUP(G3,Dépôt!$A$1:$W364,21,TRUE)</f>
        <v>#N/A</v>
      </c>
      <c r="H4" s="94" t="e">
        <f>VLOOKUP(H3,Dépôt!$A$1:$W364,21,TRUE)</f>
        <v>#N/A</v>
      </c>
      <c r="I4" s="91" t="e">
        <f>SUM(B4:H4)</f>
        <v>#N/A</v>
      </c>
      <c r="J4" s="78"/>
    </row>
    <row r="5" spans="1:11" s="76" customFormat="1" ht="15" x14ac:dyDescent="0.25">
      <c r="A5" s="65"/>
      <c r="B5" s="86">
        <v>2</v>
      </c>
      <c r="C5" s="86">
        <v>3</v>
      </c>
      <c r="D5" s="86">
        <v>4</v>
      </c>
      <c r="E5" s="86">
        <v>5</v>
      </c>
      <c r="F5" s="86">
        <v>6</v>
      </c>
      <c r="G5" s="86">
        <v>7</v>
      </c>
      <c r="H5" s="86">
        <v>8</v>
      </c>
      <c r="I5" s="83"/>
    </row>
    <row r="6" spans="1:11" ht="15" x14ac:dyDescent="0.2">
      <c r="B6" s="94" t="e">
        <f>VLOOKUP(B5,Dépôt!$A$1:$W366,21,TRUE)</f>
        <v>#N/A</v>
      </c>
      <c r="C6" s="94" t="e">
        <f>VLOOKUP(C5,Dépôt!$A$1:$W366,21,TRUE)</f>
        <v>#N/A</v>
      </c>
      <c r="D6" s="94" t="e">
        <f>VLOOKUP(D5,Dépôt!$A$1:$W366,21,TRUE)</f>
        <v>#N/A</v>
      </c>
      <c r="E6" s="94" t="e">
        <f>VLOOKUP(E5,Dépôt!$A$1:$W366,21,TRUE)</f>
        <v>#N/A</v>
      </c>
      <c r="F6" s="94" t="e">
        <f>VLOOKUP(F5,Dépôt!$A$1:$W366,21,TRUE)</f>
        <v>#N/A</v>
      </c>
      <c r="G6" s="94" t="e">
        <f>VLOOKUP(G5,Dépôt!$A$1:$W366,21,TRUE)</f>
        <v>#N/A</v>
      </c>
      <c r="H6" s="94" t="e">
        <f>VLOOKUP(H5,Dépôt!$A$1:$W366,21,TRUE)</f>
        <v>#N/A</v>
      </c>
      <c r="I6" s="91" t="e">
        <f>SUM(B6:H6)</f>
        <v>#N/A</v>
      </c>
      <c r="J6" s="81"/>
    </row>
    <row r="7" spans="1:11" s="76" customFormat="1" ht="15" x14ac:dyDescent="0.25">
      <c r="A7" s="65"/>
      <c r="B7" s="85">
        <v>9</v>
      </c>
      <c r="C7" s="85">
        <v>10</v>
      </c>
      <c r="D7" s="85">
        <v>11</v>
      </c>
      <c r="E7" s="85">
        <v>12</v>
      </c>
      <c r="F7" s="85">
        <v>13</v>
      </c>
      <c r="G7" s="85">
        <v>14</v>
      </c>
      <c r="H7" s="85">
        <v>15</v>
      </c>
      <c r="I7" s="83"/>
      <c r="J7" s="81"/>
    </row>
    <row r="8" spans="1:11" ht="15" x14ac:dyDescent="0.3">
      <c r="B8" s="94" t="e">
        <f>VLOOKUP(B7,Dépôt!$A$1:$W368,21,TRUE)</f>
        <v>#N/A</v>
      </c>
      <c r="C8" s="94" t="e">
        <f>VLOOKUP(C7,Dépôt!$A$1:$W368,21,TRUE)</f>
        <v>#N/A</v>
      </c>
      <c r="D8" s="94" t="e">
        <f>VLOOKUP(D7,Dépôt!$A$1:$W368,21,TRUE)</f>
        <v>#N/A</v>
      </c>
      <c r="E8" s="94" t="e">
        <f>VLOOKUP(E7,Dépôt!$A$1:$W368,21,TRUE)</f>
        <v>#N/A</v>
      </c>
      <c r="F8" s="94" t="e">
        <f>VLOOKUP(F7,Dépôt!$A$1:$W368,21,TRUE)</f>
        <v>#N/A</v>
      </c>
      <c r="G8" s="94" t="e">
        <f>VLOOKUP(G7,Dépôt!$A$1:$W368,21,TRUE)</f>
        <v>#N/A</v>
      </c>
      <c r="H8" s="94" t="e">
        <f>VLOOKUP(H7,Dépôt!$A$1:$W368,21,TRUE)</f>
        <v>#N/A</v>
      </c>
      <c r="I8" s="91" t="e">
        <f>SUM(B8:H8)</f>
        <v>#N/A</v>
      </c>
    </row>
    <row r="9" spans="1:11" s="76" customFormat="1" ht="15" x14ac:dyDescent="0.25">
      <c r="A9" s="65"/>
      <c r="B9" s="86">
        <v>16</v>
      </c>
      <c r="C9" s="86">
        <v>17</v>
      </c>
      <c r="D9" s="86">
        <v>18</v>
      </c>
      <c r="E9" s="86">
        <v>19</v>
      </c>
      <c r="F9" s="86">
        <v>20</v>
      </c>
      <c r="G9" s="86">
        <v>21</v>
      </c>
      <c r="H9" s="86">
        <v>22</v>
      </c>
      <c r="I9" s="83"/>
    </row>
    <row r="10" spans="1:11" ht="15" x14ac:dyDescent="0.3">
      <c r="B10" s="94" t="e">
        <f>VLOOKUP(B9,Dépôt!$A$1:$W370,21,TRUE)</f>
        <v>#N/A</v>
      </c>
      <c r="C10" s="94" t="e">
        <f>VLOOKUP(C9,Dépôt!$A$1:$W370,21,TRUE)</f>
        <v>#N/A</v>
      </c>
      <c r="D10" s="94" t="e">
        <f>VLOOKUP(D9,Dépôt!$A$1:$W370,21,TRUE)</f>
        <v>#N/A</v>
      </c>
      <c r="E10" s="94" t="e">
        <f>VLOOKUP(E9,Dépôt!$A$1:$W370,21,TRUE)</f>
        <v>#N/A</v>
      </c>
      <c r="F10" s="94" t="e">
        <f>VLOOKUP(F9,Dépôt!$A$1:$W370,21,TRUE)</f>
        <v>#N/A</v>
      </c>
      <c r="G10" s="94" t="e">
        <f>VLOOKUP(G9,Dépôt!$A$1:$W370,21,TRUE)</f>
        <v>#N/A</v>
      </c>
      <c r="H10" s="94" t="e">
        <f>VLOOKUP(H9,Dépôt!$A$1:$W370,21,TRUE)</f>
        <v>#N/A</v>
      </c>
      <c r="I10" s="91" t="e">
        <f>SUM(B10:H10)</f>
        <v>#N/A</v>
      </c>
    </row>
    <row r="11" spans="1:11" s="76" customFormat="1" ht="15" x14ac:dyDescent="0.25">
      <c r="A11" s="65"/>
      <c r="B11" s="88">
        <v>23</v>
      </c>
      <c r="C11" s="88">
        <v>24</v>
      </c>
      <c r="D11" s="88">
        <v>25</v>
      </c>
      <c r="E11" s="88">
        <v>26</v>
      </c>
      <c r="F11" s="88">
        <v>27</v>
      </c>
      <c r="G11" s="88">
        <v>28</v>
      </c>
      <c r="H11" s="88">
        <v>29</v>
      </c>
      <c r="I11" s="83"/>
    </row>
    <row r="12" spans="1:11" ht="15" x14ac:dyDescent="0.3">
      <c r="B12" s="94" t="e">
        <f>VLOOKUP(B11,Dépôt!$A$1:$W372,21,TRUE)</f>
        <v>#N/A</v>
      </c>
      <c r="C12" s="94" t="e">
        <f>VLOOKUP(C11,Dépôt!$A$1:$W372,21,TRUE)</f>
        <v>#N/A</v>
      </c>
      <c r="D12" s="94" t="e">
        <f>VLOOKUP(D11,Dépôt!$A$1:$W372,21,TRUE)</f>
        <v>#N/A</v>
      </c>
      <c r="E12" s="94" t="e">
        <f>VLOOKUP(E11,Dépôt!$A$1:$W372,21,TRUE)</f>
        <v>#N/A</v>
      </c>
      <c r="F12" s="94" t="e">
        <f>VLOOKUP(F11,Dépôt!$A$1:$W372,21,TRUE)</f>
        <v>#N/A</v>
      </c>
      <c r="G12" s="94" t="e">
        <f>VLOOKUP(G11,Dépôt!$A$1:$W372,21,TRUE)</f>
        <v>#N/A</v>
      </c>
      <c r="H12" s="94" t="e">
        <f>VLOOKUP(H11,Dépôt!$A$1:$W372,21,TRUE)</f>
        <v>#N/A</v>
      </c>
      <c r="I12" s="91" t="e">
        <f>SUM(B12:H12)</f>
        <v>#N/A</v>
      </c>
    </row>
    <row r="13" spans="1:11" s="76" customFormat="1" ht="15" x14ac:dyDescent="0.25">
      <c r="A13" s="65"/>
      <c r="B13" s="88">
        <v>30</v>
      </c>
      <c r="C13" s="88">
        <v>1</v>
      </c>
      <c r="D13" s="88">
        <v>2</v>
      </c>
      <c r="E13" s="88">
        <v>3</v>
      </c>
      <c r="F13" s="88">
        <v>4</v>
      </c>
      <c r="G13" s="88">
        <v>5</v>
      </c>
      <c r="H13" s="88">
        <v>6</v>
      </c>
      <c r="I13" s="83"/>
    </row>
    <row r="14" spans="1:11" ht="15" x14ac:dyDescent="0.3">
      <c r="B14" s="93"/>
      <c r="C14" s="93"/>
      <c r="D14" s="93"/>
      <c r="E14" s="93"/>
      <c r="F14" s="93"/>
      <c r="G14" s="93"/>
      <c r="H14" s="93"/>
      <c r="I14" s="91">
        <f>SUM(B14:H14)</f>
        <v>0</v>
      </c>
    </row>
  </sheetData>
  <conditionalFormatting sqref="B3:G3">
    <cfRule type="expression" dxfId="75" priority="2">
      <formula>DAY(B3)&gt;8</formula>
    </cfRule>
  </conditionalFormatting>
  <conditionalFormatting sqref="B11:H11">
    <cfRule type="expression" dxfId="74" priority="3">
      <formula>AND(DAY(B11)&gt;=1,DAY(B11)&lt;=15)</formula>
    </cfRule>
  </conditionalFormatting>
  <conditionalFormatting sqref="B13:H13">
    <cfRule type="expression" dxfId="73" priority="1">
      <formula>AND(DAY(B13)&gt;=1,DAY(B13)&lt;=15)</formula>
    </cfRule>
  </conditionalFormatting>
  <dataValidations count="11">
    <dataValidation allowBlank="1" showInputMessage="1" showErrorMessage="1" prompt="Cette ligne ainsi que les lignes 5, 7, 9, 11 et 13 contiennent les jours civils de la semaine. Si cette cellule ne contient pas le numéro 1, c’est qu’il s’agit d’un jour du mois précédent. Entrez des notes dans la cellule E13" sqref="B3" xr:uid="{00000000-0002-0000-0700-000000000000}"/>
    <dataValidation type="list" errorStyle="warning" allowBlank="1" showInputMessage="1" showErrorMessage="1" error="Sélectionnez un jour dans la liste. Sélectionnez ANNULER, puis appuyez sur ALT+FLÈCHE BAS pour choisir un jour dans la liste déroulante." prompt="Sélectionnez le jour de début de la semaine dans cette cellule. Appuyez sur ALT+FLÈCHE BAS pour ouvrir la liste déroulante, puis sur ENTRÉE pour sélectionner le jour de début de la semaine." sqref="K3" xr:uid="{00000000-0002-0000-0700-000001000000}">
      <formula1>"DIMANCHE,LUNDI"</formula1>
    </dataValidation>
    <dataValidation allowBlank="1" showInputMessage="1" showErrorMessage="1" prompt="Créez des calendriers personnalisés d’un mois dans ce classeur. Personnalisez l’année et le jour de début de la semaine pour tous les mois avec cette feuille de calcul Janvier. Chaque mois figure sur une feuille de calcul distincte" sqref="A1" xr:uid="{00000000-0002-0000-0700-000002000000}"/>
    <dataValidation allowBlank="1" showInputMessage="1" showErrorMessage="1" prompt="L’année figurant dans cette cellule est mise à jour automatiquement. Pour modifier l’année, sélectionnez une autre année dans la cellule K2" sqref="C1:D1" xr:uid="{00000000-0002-0000-0700-000003000000}"/>
    <dataValidation allowBlank="1" showInputMessage="1" showErrorMessage="1" prompt="Entrez l’année et sélectionnez le jour de début du calendrier dans les cellules ci-dessous. Ces cellules Paramètres du calendrier ne s’imprimeront pas" sqref="J1" xr:uid="{00000000-0002-0000-0700-000004000000}"/>
    <dataValidation allowBlank="1" showInputMessage="1" showErrorMessage="1" prompt="Entrez l’année dans la cellule à droite" sqref="J2" xr:uid="{00000000-0002-0000-0700-000005000000}"/>
    <dataValidation allowBlank="1" showInputMessage="1" showErrorMessage="1" prompt="Sélectionnez le jour de début de la semaine dans la cellule à droite" sqref="J3" xr:uid="{00000000-0002-0000-0700-000006000000}"/>
    <dataValidation allowBlank="1" showInputMessage="1" showErrorMessage="1" prompt="Entrez une année dans cette cellule" sqref="K2" xr:uid="{00000000-0002-0000-0700-000007000000}"/>
    <dataValidation allowBlank="1" showInputMessage="1" showErrorMessage="1" prompt="Cette ligne contient les noms des jours de la semaine pour ce calendrier. Cette cellule contient le jour de début de la semaine. Pour modifier le jour de début de la semaine, entrez un nouveau jour dans la cellule K3" sqref="B2" xr:uid="{00000000-0002-0000-0700-000008000000}"/>
    <dataValidation allowBlank="1" showInputMessage="1" showErrorMessage="1" prompt="L’année dans cette cellule est automatiquement mise à jour en fonction de l’année entrée dans la cellule K2. Le calendrier ci-dessous inclut les dates des mois précédent et suivant dans une teinte plus claire" sqref="B1" xr:uid="{00000000-0002-0000-0700-000009000000}"/>
    <dataValidation allowBlank="1" showInputMessage="1" showErrorMessage="1" prompt="Jour de la semaine déterminé automatiquement" sqref="C2:H2" xr:uid="{00000000-0002-0000-0700-00000A000000}"/>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9"/>
  <dimension ref="A1:K14"/>
  <sheetViews>
    <sheetView zoomScale="85" zoomScaleNormal="85" workbookViewId="0">
      <selection activeCell="B12" sqref="B12:H12"/>
    </sheetView>
  </sheetViews>
  <sheetFormatPr baseColWidth="10" defaultColWidth="8.75" defaultRowHeight="14.25" x14ac:dyDescent="0.3"/>
  <cols>
    <col min="1" max="1" width="2.625" style="65" customWidth="1"/>
    <col min="2" max="8" width="17.875" style="65" customWidth="1"/>
    <col min="9" max="9" width="21.5" style="65" customWidth="1"/>
    <col min="10" max="10" width="21.875" style="65" customWidth="1"/>
    <col min="11" max="11" width="13.625" style="65" customWidth="1"/>
    <col min="12" max="16384" width="8.75" style="65"/>
  </cols>
  <sheetData>
    <row r="1" spans="1:11" s="71" customFormat="1" ht="27.75" x14ac:dyDescent="0.4">
      <c r="A1" s="65"/>
      <c r="B1" s="66" t="str">
        <f>"Juillet "&amp;AnnéeCalendrier</f>
        <v>Juillet 2019</v>
      </c>
      <c r="C1" s="67"/>
      <c r="D1" s="68"/>
      <c r="E1" s="69"/>
      <c r="F1" s="69"/>
      <c r="G1" s="69"/>
      <c r="H1" s="70"/>
      <c r="J1" s="72" t="s">
        <v>68</v>
      </c>
      <c r="K1" s="65"/>
    </row>
    <row r="2" spans="1:11" s="73" customFormat="1" ht="35.25" customHeight="1" x14ac:dyDescent="0.25">
      <c r="A2" s="65"/>
      <c r="B2" s="84" t="str">
        <f>DébutSemaine</f>
        <v>DIMANCHE</v>
      </c>
      <c r="C2" s="84" t="s">
        <v>75</v>
      </c>
      <c r="D2" s="84" t="s">
        <v>76</v>
      </c>
      <c r="E2" s="84" t="s">
        <v>77</v>
      </c>
      <c r="F2" s="84" t="s">
        <v>78</v>
      </c>
      <c r="G2" s="84" t="s">
        <v>79</v>
      </c>
      <c r="H2" s="84" t="s">
        <v>74</v>
      </c>
      <c r="I2" s="89" t="s">
        <v>73</v>
      </c>
      <c r="J2" s="74" t="s">
        <v>69</v>
      </c>
      <c r="K2" s="75">
        <f ca="1">YEAR(TODAY())</f>
        <v>2019</v>
      </c>
    </row>
    <row r="3" spans="1:11" s="76" customFormat="1" ht="15.75" x14ac:dyDescent="0.25">
      <c r="A3" s="65"/>
      <c r="B3" s="85">
        <v>30</v>
      </c>
      <c r="C3" s="85">
        <v>1</v>
      </c>
      <c r="D3" s="85">
        <v>2</v>
      </c>
      <c r="E3" s="85">
        <v>3</v>
      </c>
      <c r="F3" s="85">
        <v>4</v>
      </c>
      <c r="G3" s="85">
        <v>5</v>
      </c>
      <c r="H3" s="85">
        <v>6</v>
      </c>
      <c r="I3" s="83"/>
      <c r="J3" s="77" t="s">
        <v>70</v>
      </c>
      <c r="K3" s="75" t="s">
        <v>71</v>
      </c>
    </row>
    <row r="4" spans="1:11" ht="15" x14ac:dyDescent="0.3">
      <c r="B4" s="94" t="e">
        <f>VLOOKUP(B3,Dépôt!$A$1:$W364,21,TRUE)</f>
        <v>#N/A</v>
      </c>
      <c r="C4" s="94" t="e">
        <f>VLOOKUP(C3,Dépôt!$A$1:$W364,21,TRUE)</f>
        <v>#N/A</v>
      </c>
      <c r="D4" s="94" t="e">
        <f>VLOOKUP(D3,Dépôt!$A$1:$W364,21,TRUE)</f>
        <v>#N/A</v>
      </c>
      <c r="E4" s="94" t="e">
        <f>VLOOKUP(E3,Dépôt!$A$1:$W364,21,TRUE)</f>
        <v>#N/A</v>
      </c>
      <c r="F4" s="94" t="e">
        <f>VLOOKUP(F3,Dépôt!$A$1:$W364,21,TRUE)</f>
        <v>#N/A</v>
      </c>
      <c r="G4" s="94" t="e">
        <f>VLOOKUP(G3,Dépôt!$A$1:$W364,21,TRUE)</f>
        <v>#N/A</v>
      </c>
      <c r="H4" s="94" t="e">
        <f>VLOOKUP(H3,Dépôt!$A$1:$W364,21,TRUE)</f>
        <v>#N/A</v>
      </c>
      <c r="I4" s="91" t="e">
        <f>SUM(B4:H4)</f>
        <v>#N/A</v>
      </c>
      <c r="J4" s="78"/>
    </row>
    <row r="5" spans="1:11" s="76" customFormat="1" ht="15" x14ac:dyDescent="0.25">
      <c r="A5" s="65"/>
      <c r="B5" s="86">
        <v>7</v>
      </c>
      <c r="C5" s="86">
        <v>8</v>
      </c>
      <c r="D5" s="86">
        <v>9</v>
      </c>
      <c r="E5" s="86">
        <v>10</v>
      </c>
      <c r="F5" s="86">
        <v>11</v>
      </c>
      <c r="G5" s="86">
        <v>12</v>
      </c>
      <c r="H5" s="86">
        <v>13</v>
      </c>
      <c r="I5" s="83"/>
    </row>
    <row r="6" spans="1:11" ht="15" x14ac:dyDescent="0.2">
      <c r="B6" s="94" t="e">
        <f>VLOOKUP(B5,Dépôt!$A$1:$W366,21,TRUE)</f>
        <v>#N/A</v>
      </c>
      <c r="C6" s="94" t="e">
        <f>VLOOKUP(C5,Dépôt!$A$1:$W366,21,TRUE)</f>
        <v>#N/A</v>
      </c>
      <c r="D6" s="94" t="e">
        <f>VLOOKUP(D5,Dépôt!$A$1:$W366,21,TRUE)</f>
        <v>#N/A</v>
      </c>
      <c r="E6" s="94" t="e">
        <f>VLOOKUP(E5,Dépôt!$A$1:$W366,21,TRUE)</f>
        <v>#N/A</v>
      </c>
      <c r="F6" s="94" t="e">
        <f>VLOOKUP(F5,Dépôt!$A$1:$W366,21,TRUE)</f>
        <v>#N/A</v>
      </c>
      <c r="G6" s="94" t="e">
        <f>VLOOKUP(G5,Dépôt!$A$1:$W366,21,TRUE)</f>
        <v>#N/A</v>
      </c>
      <c r="H6" s="94" t="e">
        <f>VLOOKUP(H5,Dépôt!$A$1:$W366,21,TRUE)</f>
        <v>#N/A</v>
      </c>
      <c r="I6" s="91" t="e">
        <f>SUM(B6:H6)</f>
        <v>#N/A</v>
      </c>
      <c r="J6" s="81"/>
    </row>
    <row r="7" spans="1:11" s="76" customFormat="1" ht="15" x14ac:dyDescent="0.25">
      <c r="A7" s="65"/>
      <c r="B7" s="85">
        <v>14</v>
      </c>
      <c r="C7" s="85">
        <v>15</v>
      </c>
      <c r="D7" s="85">
        <v>16</v>
      </c>
      <c r="E7" s="85">
        <v>17</v>
      </c>
      <c r="F7" s="85">
        <v>18</v>
      </c>
      <c r="G7" s="85">
        <v>19</v>
      </c>
      <c r="H7" s="85">
        <v>20</v>
      </c>
      <c r="I7" s="83"/>
      <c r="J7" s="81"/>
    </row>
    <row r="8" spans="1:11" ht="15" x14ac:dyDescent="0.3">
      <c r="B8" s="94" t="e">
        <f>VLOOKUP(B7,Dépôt!$A$1:$W368,21,TRUE)</f>
        <v>#N/A</v>
      </c>
      <c r="C8" s="94" t="e">
        <f>VLOOKUP(C7,Dépôt!$A$1:$W368,21,TRUE)</f>
        <v>#N/A</v>
      </c>
      <c r="D8" s="94" t="e">
        <f>VLOOKUP(D7,Dépôt!$A$1:$W368,21,TRUE)</f>
        <v>#N/A</v>
      </c>
      <c r="E8" s="94" t="e">
        <f>VLOOKUP(E7,Dépôt!$A$1:$W368,21,TRUE)</f>
        <v>#N/A</v>
      </c>
      <c r="F8" s="94" t="e">
        <f>VLOOKUP(F7,Dépôt!$A$1:$W368,21,TRUE)</f>
        <v>#N/A</v>
      </c>
      <c r="G8" s="94" t="e">
        <f>VLOOKUP(G7,Dépôt!$A$1:$W368,21,TRUE)</f>
        <v>#N/A</v>
      </c>
      <c r="H8" s="94" t="e">
        <f>VLOOKUP(H7,Dépôt!$A$1:$W368,21,TRUE)</f>
        <v>#N/A</v>
      </c>
      <c r="I8" s="91" t="e">
        <f>SUM(B8:H8)</f>
        <v>#N/A</v>
      </c>
    </row>
    <row r="9" spans="1:11" s="76" customFormat="1" ht="15" x14ac:dyDescent="0.25">
      <c r="A9" s="65"/>
      <c r="B9" s="86">
        <v>21</v>
      </c>
      <c r="C9" s="86">
        <v>22</v>
      </c>
      <c r="D9" s="86">
        <v>23</v>
      </c>
      <c r="E9" s="86">
        <v>24</v>
      </c>
      <c r="F9" s="86">
        <v>25</v>
      </c>
      <c r="G9" s="86">
        <v>26</v>
      </c>
      <c r="H9" s="86">
        <v>27</v>
      </c>
      <c r="I9" s="83"/>
    </row>
    <row r="10" spans="1:11" ht="15" x14ac:dyDescent="0.3">
      <c r="B10" s="94" t="e">
        <f>VLOOKUP(B9,Dépôt!$A$1:$W370,21,TRUE)</f>
        <v>#N/A</v>
      </c>
      <c r="C10" s="94" t="e">
        <f>VLOOKUP(C9,Dépôt!$A$1:$W370,21,TRUE)</f>
        <v>#N/A</v>
      </c>
      <c r="D10" s="94" t="e">
        <f>VLOOKUP(D9,Dépôt!$A$1:$W370,21,TRUE)</f>
        <v>#N/A</v>
      </c>
      <c r="E10" s="94" t="e">
        <f>VLOOKUP(E9,Dépôt!$A$1:$W370,21,TRUE)</f>
        <v>#N/A</v>
      </c>
      <c r="F10" s="94" t="e">
        <f>VLOOKUP(F9,Dépôt!$A$1:$W370,21,TRUE)</f>
        <v>#N/A</v>
      </c>
      <c r="G10" s="94" t="e">
        <f>VLOOKUP(G9,Dépôt!$A$1:$W370,21,TRUE)</f>
        <v>#N/A</v>
      </c>
      <c r="H10" s="94" t="e">
        <f>VLOOKUP(H9,Dépôt!$A$1:$W370,21,TRUE)</f>
        <v>#N/A</v>
      </c>
      <c r="I10" s="91" t="e">
        <f>SUM(B10:H10)</f>
        <v>#N/A</v>
      </c>
    </row>
    <row r="11" spans="1:11" s="76" customFormat="1" ht="15" x14ac:dyDescent="0.25">
      <c r="A11" s="65"/>
      <c r="B11" s="88">
        <v>28</v>
      </c>
      <c r="C11" s="88">
        <v>29</v>
      </c>
      <c r="D11" s="88">
        <v>30</v>
      </c>
      <c r="E11" s="88">
        <v>31</v>
      </c>
      <c r="F11" s="88">
        <v>32</v>
      </c>
      <c r="G11" s="88">
        <v>33</v>
      </c>
      <c r="H11" s="88">
        <v>34</v>
      </c>
      <c r="I11" s="83"/>
    </row>
    <row r="12" spans="1:11" ht="15" x14ac:dyDescent="0.3">
      <c r="B12" s="94" t="e">
        <f>VLOOKUP(B11,Dépôt!$A$1:$W372,21,TRUE)</f>
        <v>#N/A</v>
      </c>
      <c r="C12" s="94" t="e">
        <f>VLOOKUP(C11,Dépôt!$A$1:$W372,21,TRUE)</f>
        <v>#N/A</v>
      </c>
      <c r="D12" s="94" t="e">
        <f>VLOOKUP(D11,Dépôt!$A$1:$W372,21,TRUE)</f>
        <v>#N/A</v>
      </c>
      <c r="E12" s="94" t="e">
        <f>VLOOKUP(E11,Dépôt!$A$1:$W372,21,TRUE)</f>
        <v>#N/A</v>
      </c>
      <c r="F12" s="94" t="e">
        <f>VLOOKUP(F11,Dépôt!$A$1:$W372,21,TRUE)</f>
        <v>#N/A</v>
      </c>
      <c r="G12" s="94" t="e">
        <f>VLOOKUP(G11,Dépôt!$A$1:$W372,21,TRUE)</f>
        <v>#N/A</v>
      </c>
      <c r="H12" s="94" t="e">
        <f>VLOOKUP(H11,Dépôt!$A$1:$W372,21,TRUE)</f>
        <v>#N/A</v>
      </c>
      <c r="I12" s="91" t="e">
        <f>SUM(B12:H12)</f>
        <v>#N/A</v>
      </c>
    </row>
    <row r="13" spans="1:11" s="76" customFormat="1" x14ac:dyDescent="0.2">
      <c r="A13" s="65"/>
      <c r="B13" s="79">
        <f t="array" ref="B13:C13">JoursEtSemaines+DATE(AnnéeCalendrier,1,1)-WEEKDAY(DATE(AnnéeCalendrier,1,1),(DébutSemaine="LUNDI")+1)+36</f>
        <v>43499</v>
      </c>
      <c r="C13" s="79">
        <v>43500</v>
      </c>
      <c r="D13" s="118" t="s">
        <v>72</v>
      </c>
      <c r="E13" s="121"/>
      <c r="F13" s="121"/>
      <c r="G13" s="121"/>
      <c r="H13" s="121"/>
    </row>
    <row r="14" spans="1:11" x14ac:dyDescent="0.3">
      <c r="B14" s="80"/>
      <c r="C14" s="80"/>
      <c r="D14" s="118"/>
      <c r="E14" s="121"/>
      <c r="F14" s="121"/>
      <c r="G14" s="121"/>
      <c r="H14" s="121"/>
    </row>
  </sheetData>
  <mergeCells count="2">
    <mergeCell ref="D13:D14"/>
    <mergeCell ref="E13:H14"/>
  </mergeCells>
  <conditionalFormatting sqref="B13:C13">
    <cfRule type="expression" dxfId="72" priority="4">
      <formula>AND(DAY(B13)&gt;=1,DAY(B13)&lt;=15)</formula>
    </cfRule>
  </conditionalFormatting>
  <conditionalFormatting sqref="B3">
    <cfRule type="expression" dxfId="71" priority="2">
      <formula>DAY(B3)&gt;8</formula>
    </cfRule>
  </conditionalFormatting>
  <conditionalFormatting sqref="B11:H11">
    <cfRule type="expression" dxfId="70" priority="1">
      <formula>AND(DAY(B11)&gt;=1,DAY(B11)&lt;=15)</formula>
    </cfRule>
  </conditionalFormatting>
  <dataValidations count="12">
    <dataValidation type="list" errorStyle="warning" allowBlank="1" showInputMessage="1" showErrorMessage="1" error="Sélectionnez un jour dans la liste. Sélectionnez ANNULER, puis appuyez sur ALT+FLÈCHE BAS pour choisir un jour dans la liste déroulante." prompt="Sélectionnez le jour de début de la semaine dans cette cellule. Appuyez sur ALT+FLÈCHE BAS pour ouvrir la liste déroulante, puis sur ENTRÉE pour sélectionner le jour de début de la semaine." sqref="K3" xr:uid="{00000000-0002-0000-0800-000000000000}">
      <formula1>"DIMANCHE,LUNDI"</formula1>
    </dataValidation>
    <dataValidation allowBlank="1" showInputMessage="1" showErrorMessage="1" prompt="Créez des calendriers personnalisés d’un mois dans ce classeur. Personnalisez l’année et le jour de début de la semaine pour tous les mois avec cette feuille de calcul Janvier. Chaque mois figure sur une feuille de calcul distincte" sqref="A1" xr:uid="{00000000-0002-0000-0800-000001000000}"/>
    <dataValidation allowBlank="1" showInputMessage="1" showErrorMessage="1" prompt="L’année figurant dans cette cellule est mise à jour automatiquement. Pour modifier l’année, sélectionnez une autre année dans la cellule K2" sqref="C1:D1" xr:uid="{00000000-0002-0000-0800-000002000000}"/>
    <dataValidation allowBlank="1" showInputMessage="1" showErrorMessage="1" prompt="Entrez l’année et sélectionnez le jour de début du calendrier dans les cellules ci-dessous. Ces cellules Paramètres du calendrier ne s’imprimeront pas" sqref="J1" xr:uid="{00000000-0002-0000-0800-000003000000}"/>
    <dataValidation allowBlank="1" showInputMessage="1" showErrorMessage="1" prompt="Entrez l’année dans la cellule à droite" sqref="J2" xr:uid="{00000000-0002-0000-0800-000004000000}"/>
    <dataValidation allowBlank="1" showInputMessage="1" showErrorMessage="1" prompt="Sélectionnez le jour de début de la semaine dans la cellule à droite" sqref="J3" xr:uid="{00000000-0002-0000-0800-000005000000}"/>
    <dataValidation allowBlank="1" showInputMessage="1" showErrorMessage="1" prompt="Entrez une année dans cette cellule" sqref="K2" xr:uid="{00000000-0002-0000-0800-000006000000}"/>
    <dataValidation allowBlank="1" showInputMessage="1" showErrorMessage="1" prompt="Cette ligne contient les noms des jours de la semaine pour ce calendrier. Cette cellule contient le jour de début de la semaine. Pour modifier le jour de début de la semaine, entrez un nouveau jour dans la cellule K3" sqref="B2" xr:uid="{00000000-0002-0000-0800-000007000000}"/>
    <dataValidation allowBlank="1" showInputMessage="1" showErrorMessage="1" prompt="L’année dans cette cellule est automatiquement mise à jour en fonction de l’année entrée dans la cellule K2. Le calendrier ci-dessous inclut les dates des mois précédent et suivant dans une teinte plus claire" sqref="B1" xr:uid="{00000000-0002-0000-0800-000008000000}"/>
    <dataValidation allowBlank="1" showInputMessage="1" showErrorMessage="1" prompt="Jour de la semaine déterminé automatiquement" sqref="C2:H2" xr:uid="{00000000-0002-0000-0800-000009000000}"/>
    <dataValidation allowBlank="1" showInputMessage="1" showErrorMessage="1" prompt="Entrez les Notes dans cette cellule" sqref="E13:H14" xr:uid="{00000000-0002-0000-0800-00000B000000}"/>
    <dataValidation allowBlank="1" showInputMessage="1" showErrorMessage="1" prompt="Entrez les Notes dans la cellule à droite" sqref="D13:D14" xr:uid="{00000000-0002-0000-0800-00000C000000}"/>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10"/>
  <dimension ref="A1:K14"/>
  <sheetViews>
    <sheetView zoomScale="85" zoomScaleNormal="85" workbookViewId="0">
      <selection activeCell="B12" sqref="B12:H12"/>
    </sheetView>
  </sheetViews>
  <sheetFormatPr baseColWidth="10" defaultColWidth="8.75" defaultRowHeight="14.25" x14ac:dyDescent="0.3"/>
  <cols>
    <col min="1" max="1" width="2.625" style="65" customWidth="1"/>
    <col min="2" max="8" width="17.875" style="65" customWidth="1"/>
    <col min="9" max="9" width="21.5" style="65" customWidth="1"/>
    <col min="10" max="10" width="21.875" style="65" customWidth="1"/>
    <col min="11" max="11" width="13.625" style="65" customWidth="1"/>
    <col min="12" max="16384" width="8.75" style="65"/>
  </cols>
  <sheetData>
    <row r="1" spans="1:11" s="71" customFormat="1" ht="27.75" x14ac:dyDescent="0.4">
      <c r="A1" s="65"/>
      <c r="B1" s="66" t="str">
        <f>"Août "&amp;AnnéeCalendrier</f>
        <v>Août 2019</v>
      </c>
      <c r="C1" s="67"/>
      <c r="D1" s="68"/>
      <c r="E1" s="69"/>
      <c r="F1" s="69"/>
      <c r="G1" s="69"/>
      <c r="H1" s="70"/>
      <c r="J1" s="72" t="s">
        <v>68</v>
      </c>
      <c r="K1" s="65"/>
    </row>
    <row r="2" spans="1:11" s="73" customFormat="1" ht="35.25" customHeight="1" x14ac:dyDescent="0.25">
      <c r="A2" s="65"/>
      <c r="B2" s="84" t="str">
        <f>DébutSemaine</f>
        <v>DIMANCHE</v>
      </c>
      <c r="C2" s="84" t="s">
        <v>75</v>
      </c>
      <c r="D2" s="84" t="s">
        <v>76</v>
      </c>
      <c r="E2" s="84" t="s">
        <v>77</v>
      </c>
      <c r="F2" s="84" t="s">
        <v>78</v>
      </c>
      <c r="G2" s="84" t="s">
        <v>79</v>
      </c>
      <c r="H2" s="84" t="s">
        <v>74</v>
      </c>
      <c r="I2" s="89" t="s">
        <v>73</v>
      </c>
      <c r="J2" s="74" t="s">
        <v>69</v>
      </c>
      <c r="K2" s="75">
        <f ca="1">YEAR(TODAY())</f>
        <v>2019</v>
      </c>
    </row>
    <row r="3" spans="1:11" s="76" customFormat="1" ht="15.75" x14ac:dyDescent="0.25">
      <c r="A3" s="65"/>
      <c r="B3" s="85">
        <v>28</v>
      </c>
      <c r="C3" s="85">
        <v>29</v>
      </c>
      <c r="D3" s="85">
        <v>30</v>
      </c>
      <c r="E3" s="85">
        <v>31</v>
      </c>
      <c r="F3" s="85">
        <v>1</v>
      </c>
      <c r="G3" s="85">
        <v>2</v>
      </c>
      <c r="H3" s="85">
        <v>3</v>
      </c>
      <c r="I3" s="83"/>
      <c r="J3" s="77"/>
      <c r="K3" s="75"/>
    </row>
    <row r="4" spans="1:11" ht="15" x14ac:dyDescent="0.3">
      <c r="B4" s="94" t="e">
        <f>VLOOKUP(B3,Dépôt!$A$1:$W364,21,TRUE)</f>
        <v>#N/A</v>
      </c>
      <c r="C4" s="94" t="e">
        <f>VLOOKUP(C3,Dépôt!$A$1:$W364,21,TRUE)</f>
        <v>#N/A</v>
      </c>
      <c r="D4" s="94" t="e">
        <f>VLOOKUP(D3,Dépôt!$A$1:$W364,21,TRUE)</f>
        <v>#N/A</v>
      </c>
      <c r="E4" s="94" t="e">
        <f>VLOOKUP(E3,Dépôt!$A$1:$W364,21,TRUE)</f>
        <v>#N/A</v>
      </c>
      <c r="F4" s="94" t="e">
        <f>VLOOKUP(F3,Dépôt!$A$1:$W364,21,TRUE)</f>
        <v>#N/A</v>
      </c>
      <c r="G4" s="94" t="e">
        <f>VLOOKUP(G3,Dépôt!$A$1:$W364,21,TRUE)</f>
        <v>#N/A</v>
      </c>
      <c r="H4" s="94" t="e">
        <f>VLOOKUP(H3,Dépôt!$A$1:$W364,21,TRUE)</f>
        <v>#N/A</v>
      </c>
      <c r="I4" s="91" t="e">
        <f>SUM(B4:H4)</f>
        <v>#N/A</v>
      </c>
      <c r="J4" s="78"/>
    </row>
    <row r="5" spans="1:11" s="76" customFormat="1" ht="15" x14ac:dyDescent="0.25">
      <c r="A5" s="65"/>
      <c r="B5" s="86">
        <v>4</v>
      </c>
      <c r="C5" s="86">
        <v>5</v>
      </c>
      <c r="D5" s="86">
        <v>6</v>
      </c>
      <c r="E5" s="86">
        <v>7</v>
      </c>
      <c r="F5" s="86">
        <v>8</v>
      </c>
      <c r="G5" s="86">
        <v>9</v>
      </c>
      <c r="H5" s="86">
        <v>10</v>
      </c>
      <c r="I5" s="83"/>
    </row>
    <row r="6" spans="1:11" ht="15" x14ac:dyDescent="0.2">
      <c r="B6" s="94" t="e">
        <f>VLOOKUP(B5,Dépôt!$A$1:$W366,21,TRUE)</f>
        <v>#N/A</v>
      </c>
      <c r="C6" s="94" t="e">
        <f>VLOOKUP(C5,Dépôt!$A$1:$W366,21,TRUE)</f>
        <v>#N/A</v>
      </c>
      <c r="D6" s="94" t="e">
        <f>VLOOKUP(D5,Dépôt!$A$1:$W366,21,TRUE)</f>
        <v>#N/A</v>
      </c>
      <c r="E6" s="94" t="e">
        <f>VLOOKUP(E5,Dépôt!$A$1:$W366,21,TRUE)</f>
        <v>#N/A</v>
      </c>
      <c r="F6" s="94" t="e">
        <f>VLOOKUP(F5,Dépôt!$A$1:$W366,21,TRUE)</f>
        <v>#N/A</v>
      </c>
      <c r="G6" s="94" t="e">
        <f>VLOOKUP(G5,Dépôt!$A$1:$W366,21,TRUE)</f>
        <v>#N/A</v>
      </c>
      <c r="H6" s="94" t="e">
        <f>VLOOKUP(H5,Dépôt!$A$1:$W366,21,TRUE)</f>
        <v>#N/A</v>
      </c>
      <c r="I6" s="91" t="e">
        <f>SUM(B6:H6)</f>
        <v>#N/A</v>
      </c>
      <c r="J6" s="81"/>
    </row>
    <row r="7" spans="1:11" s="76" customFormat="1" ht="15" x14ac:dyDescent="0.25">
      <c r="A7" s="65"/>
      <c r="B7" s="85">
        <v>11</v>
      </c>
      <c r="C7" s="85">
        <v>12</v>
      </c>
      <c r="D7" s="85">
        <v>13</v>
      </c>
      <c r="E7" s="85">
        <v>14</v>
      </c>
      <c r="F7" s="85">
        <v>15</v>
      </c>
      <c r="G7" s="85">
        <v>16</v>
      </c>
      <c r="H7" s="85">
        <v>17</v>
      </c>
      <c r="I7" s="83"/>
      <c r="J7" s="81"/>
    </row>
    <row r="8" spans="1:11" ht="15" x14ac:dyDescent="0.3">
      <c r="B8" s="94" t="e">
        <f>VLOOKUP(B7,Dépôt!$A$1:$W368,21,TRUE)</f>
        <v>#N/A</v>
      </c>
      <c r="C8" s="94" t="e">
        <f>VLOOKUP(C7,Dépôt!$A$1:$W368,21,TRUE)</f>
        <v>#N/A</v>
      </c>
      <c r="D8" s="94" t="e">
        <f>VLOOKUP(D7,Dépôt!$A$1:$W368,21,TRUE)</f>
        <v>#N/A</v>
      </c>
      <c r="E8" s="94" t="e">
        <f>VLOOKUP(E7,Dépôt!$A$1:$W368,21,TRUE)</f>
        <v>#N/A</v>
      </c>
      <c r="F8" s="94" t="e">
        <f>VLOOKUP(F7,Dépôt!$A$1:$W368,21,TRUE)</f>
        <v>#N/A</v>
      </c>
      <c r="G8" s="94" t="e">
        <f>VLOOKUP(G7,Dépôt!$A$1:$W368,21,TRUE)</f>
        <v>#N/A</v>
      </c>
      <c r="H8" s="94" t="e">
        <f>VLOOKUP(H7,Dépôt!$A$1:$W368,21,TRUE)</f>
        <v>#N/A</v>
      </c>
      <c r="I8" s="91" t="e">
        <f>SUM(B8:H8)</f>
        <v>#N/A</v>
      </c>
    </row>
    <row r="9" spans="1:11" s="76" customFormat="1" ht="15" x14ac:dyDescent="0.25">
      <c r="A9" s="65"/>
      <c r="B9" s="86">
        <v>18</v>
      </c>
      <c r="C9" s="86">
        <v>19</v>
      </c>
      <c r="D9" s="86">
        <v>20</v>
      </c>
      <c r="E9" s="86">
        <v>21</v>
      </c>
      <c r="F9" s="86">
        <v>22</v>
      </c>
      <c r="G9" s="86">
        <v>23</v>
      </c>
      <c r="H9" s="86">
        <v>24</v>
      </c>
      <c r="I9" s="83"/>
    </row>
    <row r="10" spans="1:11" ht="15" x14ac:dyDescent="0.3">
      <c r="B10" s="94" t="e">
        <f>VLOOKUP(B9,Dépôt!$A$1:$W370,21,TRUE)</f>
        <v>#N/A</v>
      </c>
      <c r="C10" s="94" t="e">
        <f>VLOOKUP(C9,Dépôt!$A$1:$W370,21,TRUE)</f>
        <v>#N/A</v>
      </c>
      <c r="D10" s="94" t="e">
        <f>VLOOKUP(D9,Dépôt!$A$1:$W370,21,TRUE)</f>
        <v>#N/A</v>
      </c>
      <c r="E10" s="94" t="e">
        <f>VLOOKUP(E9,Dépôt!$A$1:$W370,21,TRUE)</f>
        <v>#N/A</v>
      </c>
      <c r="F10" s="94" t="e">
        <f>VLOOKUP(F9,Dépôt!$A$1:$W370,21,TRUE)</f>
        <v>#N/A</v>
      </c>
      <c r="G10" s="94" t="e">
        <f>VLOOKUP(G9,Dépôt!$A$1:$W370,21,TRUE)</f>
        <v>#N/A</v>
      </c>
      <c r="H10" s="94" t="e">
        <f>VLOOKUP(H9,Dépôt!$A$1:$W370,21,TRUE)</f>
        <v>#N/A</v>
      </c>
      <c r="I10" s="91" t="e">
        <f>SUM(B10:H10)</f>
        <v>#N/A</v>
      </c>
    </row>
    <row r="11" spans="1:11" s="76" customFormat="1" ht="15" x14ac:dyDescent="0.25">
      <c r="A11" s="65"/>
      <c r="B11" s="88">
        <v>25</v>
      </c>
      <c r="C11" s="88">
        <v>26</v>
      </c>
      <c r="D11" s="88">
        <v>27</v>
      </c>
      <c r="E11" s="88">
        <v>28</v>
      </c>
      <c r="F11" s="88">
        <v>29</v>
      </c>
      <c r="G11" s="88">
        <v>30</v>
      </c>
      <c r="H11" s="88">
        <v>31</v>
      </c>
      <c r="I11" s="83"/>
    </row>
    <row r="12" spans="1:11" ht="15" x14ac:dyDescent="0.3">
      <c r="B12" s="94" t="e">
        <f>VLOOKUP(B11,Dépôt!$A$1:$W372,21,TRUE)</f>
        <v>#N/A</v>
      </c>
      <c r="C12" s="94" t="e">
        <f>VLOOKUP(C11,Dépôt!$A$1:$W372,21,TRUE)</f>
        <v>#N/A</v>
      </c>
      <c r="D12" s="94" t="e">
        <f>VLOOKUP(D11,Dépôt!$A$1:$W372,21,TRUE)</f>
        <v>#N/A</v>
      </c>
      <c r="E12" s="94" t="e">
        <f>VLOOKUP(E11,Dépôt!$A$1:$W372,21,TRUE)</f>
        <v>#N/A</v>
      </c>
      <c r="F12" s="94" t="e">
        <f>VLOOKUP(F11,Dépôt!$A$1:$W372,21,TRUE)</f>
        <v>#N/A</v>
      </c>
      <c r="G12" s="94" t="e">
        <f>VLOOKUP(G11,Dépôt!$A$1:$W372,21,TRUE)</f>
        <v>#N/A</v>
      </c>
      <c r="H12" s="94" t="e">
        <f>VLOOKUP(H11,Dépôt!$A$1:$W372,21,TRUE)</f>
        <v>#N/A</v>
      </c>
      <c r="I12" s="91" t="e">
        <f>SUM(B12:H12)</f>
        <v>#N/A</v>
      </c>
    </row>
    <row r="13" spans="1:11" s="76" customFormat="1" x14ac:dyDescent="0.2">
      <c r="A13" s="65"/>
      <c r="B13" s="79">
        <f t="array" ref="B13:C13">JoursEtSemaines+DATE(AnnéeCalendrier,1,1)-WEEKDAY(DATE(AnnéeCalendrier,1,1),(DébutSemaine="LUNDI")+1)+36</f>
        <v>43499</v>
      </c>
      <c r="C13" s="79">
        <v>43500</v>
      </c>
      <c r="D13" s="118" t="s">
        <v>72</v>
      </c>
      <c r="E13" s="121"/>
      <c r="F13" s="121"/>
      <c r="G13" s="121"/>
      <c r="H13" s="121"/>
    </row>
    <row r="14" spans="1:11" x14ac:dyDescent="0.3">
      <c r="B14" s="80"/>
      <c r="C14" s="80"/>
      <c r="D14" s="118"/>
      <c r="E14" s="121"/>
      <c r="F14" s="121"/>
      <c r="G14" s="121"/>
      <c r="H14" s="121"/>
    </row>
  </sheetData>
  <mergeCells count="2">
    <mergeCell ref="D13:D14"/>
    <mergeCell ref="E13:H14"/>
  </mergeCells>
  <conditionalFormatting sqref="B3:G3">
    <cfRule type="expression" dxfId="69" priority="1">
      <formula>DAY(B3)&gt;8</formula>
    </cfRule>
  </conditionalFormatting>
  <conditionalFormatting sqref="B11:H11 B13:C13">
    <cfRule type="expression" dxfId="68" priority="2">
      <formula>AND(DAY(B11)&gt;=1,DAY(B11)&lt;=15)</formula>
    </cfRule>
  </conditionalFormatting>
  <dataValidations count="13">
    <dataValidation allowBlank="1" showInputMessage="1" showErrorMessage="1" prompt="Cette ligne ainsi que les lignes 5, 7, 9, 11 et 13 contiennent les jours civils de la semaine. Si cette cellule ne contient pas le numéro 1, c’est qu’il s’agit d’un jour du mois précédent. Entrez des notes dans la cellule E13" sqref="B3" xr:uid="{00000000-0002-0000-0900-000000000000}"/>
    <dataValidation type="list" errorStyle="warning" allowBlank="1" showInputMessage="1" showErrorMessage="1" error="Sélectionnez un jour dans la liste. Sélectionnez ANNULER, puis appuyez sur ALT+FLÈCHE BAS pour choisir un jour dans la liste déroulante." prompt="Sélectionnez le jour de début de la semaine dans cette cellule. Appuyez sur ALT+FLÈCHE BAS pour ouvrir la liste déroulante, puis sur ENTRÉE pour sélectionner le jour de début de la semaine." sqref="K3" xr:uid="{00000000-0002-0000-0900-000001000000}">
      <formula1>"DIMANCHE,LUNDI"</formula1>
    </dataValidation>
    <dataValidation allowBlank="1" showInputMessage="1" showErrorMessage="1" prompt="Créez des calendriers personnalisés d’un mois dans ce classeur. Personnalisez l’année et le jour de début de la semaine pour tous les mois avec cette feuille de calcul Janvier. Chaque mois figure sur une feuille de calcul distincte" sqref="A1" xr:uid="{00000000-0002-0000-0900-000002000000}"/>
    <dataValidation allowBlank="1" showInputMessage="1" showErrorMessage="1" prompt="L’année figurant dans cette cellule est mise à jour automatiquement. Pour modifier l’année, sélectionnez une autre année dans la cellule K2" sqref="C1:D1" xr:uid="{00000000-0002-0000-0900-000003000000}"/>
    <dataValidation allowBlank="1" showInputMessage="1" showErrorMessage="1" prompt="Entrez l’année et sélectionnez le jour de début du calendrier dans les cellules ci-dessous. Ces cellules Paramètres du calendrier ne s’imprimeront pas" sqref="J1" xr:uid="{00000000-0002-0000-0900-000004000000}"/>
    <dataValidation allowBlank="1" showInputMessage="1" showErrorMessage="1" prompt="Entrez l’année dans la cellule à droite" sqref="J2" xr:uid="{00000000-0002-0000-0900-000005000000}"/>
    <dataValidation allowBlank="1" showInputMessage="1" showErrorMessage="1" prompt="Sélectionnez le jour de début de la semaine dans la cellule à droite" sqref="J3" xr:uid="{00000000-0002-0000-0900-000006000000}"/>
    <dataValidation allowBlank="1" showInputMessage="1" showErrorMessage="1" prompt="Entrez une année dans cette cellule" sqref="K2" xr:uid="{00000000-0002-0000-0900-000007000000}"/>
    <dataValidation allowBlank="1" showInputMessage="1" showErrorMessage="1" prompt="Cette ligne contient les noms des jours de la semaine pour ce calendrier. Cette cellule contient le jour de début de la semaine. Pour modifier le jour de début de la semaine, entrez un nouveau jour dans la cellule K3" sqref="B2" xr:uid="{00000000-0002-0000-0900-000008000000}"/>
    <dataValidation allowBlank="1" showInputMessage="1" showErrorMessage="1" prompt="L’année dans cette cellule est automatiquement mise à jour en fonction de l’année entrée dans la cellule K2. Le calendrier ci-dessous inclut les dates des mois précédent et suivant dans une teinte plus claire" sqref="B1" xr:uid="{00000000-0002-0000-0900-000009000000}"/>
    <dataValidation allowBlank="1" showInputMessage="1" showErrorMessage="1" prompt="Jour de la semaine déterminé automatiquement" sqref="C2:H2" xr:uid="{00000000-0002-0000-0900-00000A000000}"/>
    <dataValidation allowBlank="1" showInputMessage="1" showErrorMessage="1" prompt="Entrez les Notes dans cette cellule" sqref="E13:H14" xr:uid="{00000000-0002-0000-0900-00000C000000}"/>
    <dataValidation allowBlank="1" showInputMessage="1" showErrorMessage="1" prompt="Entrez les Notes dans la cellule à droite" sqref="D13:D14" xr:uid="{00000000-0002-0000-0900-00000D000000}"/>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11"/>
  <dimension ref="A1:K14"/>
  <sheetViews>
    <sheetView zoomScale="85" zoomScaleNormal="85" workbookViewId="0">
      <selection activeCell="B12" sqref="B12:H12"/>
    </sheetView>
  </sheetViews>
  <sheetFormatPr baseColWidth="10" defaultColWidth="8.75" defaultRowHeight="14.25" x14ac:dyDescent="0.3"/>
  <cols>
    <col min="1" max="1" width="2.625" style="65" customWidth="1"/>
    <col min="2" max="8" width="17.875" style="65" customWidth="1"/>
    <col min="9" max="9" width="21.5" style="65" customWidth="1"/>
    <col min="10" max="10" width="21.875" style="65" customWidth="1"/>
    <col min="11" max="11" width="13.625" style="65" customWidth="1"/>
    <col min="12" max="16384" width="8.75" style="65"/>
  </cols>
  <sheetData>
    <row r="1" spans="1:11" s="71" customFormat="1" ht="27.75" x14ac:dyDescent="0.4">
      <c r="A1" s="65"/>
      <c r="B1" s="66" t="str">
        <f>"Septembre "&amp;AnnéeCalendrier</f>
        <v>Septembre 2019</v>
      </c>
      <c r="C1" s="67"/>
      <c r="D1" s="68"/>
      <c r="E1" s="69"/>
      <c r="F1" s="69"/>
      <c r="G1" s="69"/>
      <c r="H1" s="70"/>
      <c r="J1" s="72" t="s">
        <v>68</v>
      </c>
      <c r="K1" s="65"/>
    </row>
    <row r="2" spans="1:11" s="73" customFormat="1" ht="35.25" customHeight="1" x14ac:dyDescent="0.25">
      <c r="A2" s="65"/>
      <c r="B2" s="84" t="str">
        <f>DébutSemaine</f>
        <v>DIMANCHE</v>
      </c>
      <c r="C2" s="84" t="s">
        <v>75</v>
      </c>
      <c r="D2" s="84" t="s">
        <v>76</v>
      </c>
      <c r="E2" s="84" t="s">
        <v>77</v>
      </c>
      <c r="F2" s="84" t="s">
        <v>78</v>
      </c>
      <c r="G2" s="84" t="s">
        <v>79</v>
      </c>
      <c r="H2" s="84" t="s">
        <v>74</v>
      </c>
      <c r="I2" s="89" t="s">
        <v>73</v>
      </c>
      <c r="J2" s="74" t="s">
        <v>69</v>
      </c>
      <c r="K2" s="75">
        <f ca="1">YEAR(TODAY())</f>
        <v>2019</v>
      </c>
    </row>
    <row r="3" spans="1:11" s="76" customFormat="1" ht="15.75" x14ac:dyDescent="0.25">
      <c r="A3" s="65"/>
      <c r="B3" s="85">
        <v>1</v>
      </c>
      <c r="C3" s="85">
        <v>2</v>
      </c>
      <c r="D3" s="85">
        <v>3</v>
      </c>
      <c r="E3" s="85">
        <v>4</v>
      </c>
      <c r="F3" s="85">
        <v>5</v>
      </c>
      <c r="G3" s="85">
        <v>6</v>
      </c>
      <c r="H3" s="85">
        <v>7</v>
      </c>
      <c r="I3" s="83"/>
      <c r="J3" s="77" t="s">
        <v>70</v>
      </c>
      <c r="K3" s="75" t="s">
        <v>71</v>
      </c>
    </row>
    <row r="4" spans="1:11" ht="15" x14ac:dyDescent="0.3">
      <c r="B4" s="94" t="e">
        <f>VLOOKUP(B3,Dépôt!$A$1:$W364,21,TRUE)</f>
        <v>#N/A</v>
      </c>
      <c r="C4" s="94" t="e">
        <f>VLOOKUP(C3,Dépôt!$A$1:$W364,21,TRUE)</f>
        <v>#N/A</v>
      </c>
      <c r="D4" s="94" t="e">
        <f>VLOOKUP(D3,Dépôt!$A$1:$W364,21,TRUE)</f>
        <v>#N/A</v>
      </c>
      <c r="E4" s="94" t="e">
        <f>VLOOKUP(E3,Dépôt!$A$1:$W364,21,TRUE)</f>
        <v>#N/A</v>
      </c>
      <c r="F4" s="94" t="e">
        <f>VLOOKUP(F3,Dépôt!$A$1:$W364,21,TRUE)</f>
        <v>#N/A</v>
      </c>
      <c r="G4" s="94" t="e">
        <f>VLOOKUP(G3,Dépôt!$A$1:$W364,21,TRUE)</f>
        <v>#N/A</v>
      </c>
      <c r="H4" s="94" t="e">
        <f>VLOOKUP(H3,Dépôt!$A$1:$W364,21,TRUE)</f>
        <v>#N/A</v>
      </c>
      <c r="I4" s="91" t="e">
        <f>SUM(B4:H4)</f>
        <v>#N/A</v>
      </c>
      <c r="J4" s="78"/>
    </row>
    <row r="5" spans="1:11" s="76" customFormat="1" ht="15" x14ac:dyDescent="0.25">
      <c r="A5" s="65"/>
      <c r="B5" s="86">
        <v>8</v>
      </c>
      <c r="C5" s="86">
        <v>9</v>
      </c>
      <c r="D5" s="86">
        <v>10</v>
      </c>
      <c r="E5" s="86">
        <v>11</v>
      </c>
      <c r="F5" s="86">
        <v>12</v>
      </c>
      <c r="G5" s="86">
        <v>13</v>
      </c>
      <c r="H5" s="86">
        <v>14</v>
      </c>
      <c r="I5" s="83"/>
    </row>
    <row r="6" spans="1:11" ht="15" x14ac:dyDescent="0.2">
      <c r="B6" s="94" t="e">
        <f>VLOOKUP(B5,Dépôt!$A$1:$W366,21,TRUE)</f>
        <v>#N/A</v>
      </c>
      <c r="C6" s="94" t="e">
        <f>VLOOKUP(C5,Dépôt!$A$1:$W366,21,TRUE)</f>
        <v>#N/A</v>
      </c>
      <c r="D6" s="94" t="e">
        <f>VLOOKUP(D5,Dépôt!$A$1:$W366,21,TRUE)</f>
        <v>#N/A</v>
      </c>
      <c r="E6" s="94" t="e">
        <f>VLOOKUP(E5,Dépôt!$A$1:$W366,21,TRUE)</f>
        <v>#N/A</v>
      </c>
      <c r="F6" s="94" t="e">
        <f>VLOOKUP(F5,Dépôt!$A$1:$W366,21,TRUE)</f>
        <v>#N/A</v>
      </c>
      <c r="G6" s="94" t="e">
        <f>VLOOKUP(G5,Dépôt!$A$1:$W366,21,TRUE)</f>
        <v>#N/A</v>
      </c>
      <c r="H6" s="94" t="e">
        <f>VLOOKUP(H5,Dépôt!$A$1:$W366,21,TRUE)</f>
        <v>#N/A</v>
      </c>
      <c r="I6" s="91" t="e">
        <f>SUM(B6:H6)</f>
        <v>#N/A</v>
      </c>
      <c r="J6" s="81"/>
    </row>
    <row r="7" spans="1:11" s="76" customFormat="1" ht="15" x14ac:dyDescent="0.25">
      <c r="A7" s="65"/>
      <c r="B7" s="85">
        <v>15</v>
      </c>
      <c r="C7" s="85">
        <v>16</v>
      </c>
      <c r="D7" s="85">
        <v>17</v>
      </c>
      <c r="E7" s="85">
        <v>18</v>
      </c>
      <c r="F7" s="85">
        <v>19</v>
      </c>
      <c r="G7" s="85">
        <v>20</v>
      </c>
      <c r="H7" s="85">
        <v>21</v>
      </c>
      <c r="I7" s="83"/>
      <c r="J7" s="81"/>
    </row>
    <row r="8" spans="1:11" ht="15" x14ac:dyDescent="0.3">
      <c r="B8" s="94" t="e">
        <f>VLOOKUP(B7,Dépôt!$A$1:$W368,21,TRUE)</f>
        <v>#N/A</v>
      </c>
      <c r="C8" s="94" t="e">
        <f>VLOOKUP(C7,Dépôt!$A$1:$W368,21,TRUE)</f>
        <v>#N/A</v>
      </c>
      <c r="D8" s="94" t="e">
        <f>VLOOKUP(D7,Dépôt!$A$1:$W368,21,TRUE)</f>
        <v>#N/A</v>
      </c>
      <c r="E8" s="94" t="e">
        <f>VLOOKUP(E7,Dépôt!$A$1:$W368,21,TRUE)</f>
        <v>#N/A</v>
      </c>
      <c r="F8" s="94" t="e">
        <f>VLOOKUP(F7,Dépôt!$A$1:$W368,21,TRUE)</f>
        <v>#N/A</v>
      </c>
      <c r="G8" s="94" t="e">
        <f>VLOOKUP(G7,Dépôt!$A$1:$W368,21,TRUE)</f>
        <v>#N/A</v>
      </c>
      <c r="H8" s="94" t="e">
        <f>VLOOKUP(H7,Dépôt!$A$1:$W368,21,TRUE)</f>
        <v>#N/A</v>
      </c>
      <c r="I8" s="91" t="e">
        <f>SUM(B8:H8)</f>
        <v>#N/A</v>
      </c>
    </row>
    <row r="9" spans="1:11" s="76" customFormat="1" ht="15" x14ac:dyDescent="0.25">
      <c r="A9" s="65"/>
      <c r="B9" s="86">
        <v>22</v>
      </c>
      <c r="C9" s="86">
        <v>23</v>
      </c>
      <c r="D9" s="86">
        <v>24</v>
      </c>
      <c r="E9" s="86">
        <v>25</v>
      </c>
      <c r="F9" s="86">
        <v>26</v>
      </c>
      <c r="G9" s="86">
        <v>27</v>
      </c>
      <c r="H9" s="86">
        <v>28</v>
      </c>
      <c r="I9" s="83"/>
    </row>
    <row r="10" spans="1:11" ht="15" x14ac:dyDescent="0.3">
      <c r="B10" s="94" t="e">
        <f>VLOOKUP(B9,Dépôt!$A$1:$W370,21,TRUE)</f>
        <v>#N/A</v>
      </c>
      <c r="C10" s="94" t="e">
        <f>VLOOKUP(C9,Dépôt!$A$1:$W370,21,TRUE)</f>
        <v>#N/A</v>
      </c>
      <c r="D10" s="94" t="e">
        <f>VLOOKUP(D9,Dépôt!$A$1:$W370,21,TRUE)</f>
        <v>#N/A</v>
      </c>
      <c r="E10" s="94" t="e">
        <f>VLOOKUP(E9,Dépôt!$A$1:$W370,21,TRUE)</f>
        <v>#N/A</v>
      </c>
      <c r="F10" s="94" t="e">
        <f>VLOOKUP(F9,Dépôt!$A$1:$W370,21,TRUE)</f>
        <v>#N/A</v>
      </c>
      <c r="G10" s="94" t="e">
        <f>VLOOKUP(G9,Dépôt!$A$1:$W370,21,TRUE)</f>
        <v>#N/A</v>
      </c>
      <c r="H10" s="94" t="e">
        <f>VLOOKUP(H9,Dépôt!$A$1:$W370,21,TRUE)</f>
        <v>#N/A</v>
      </c>
      <c r="I10" s="91" t="e">
        <f>SUM(B10:H10)</f>
        <v>#N/A</v>
      </c>
    </row>
    <row r="11" spans="1:11" s="76" customFormat="1" ht="15" x14ac:dyDescent="0.25">
      <c r="A11" s="65"/>
      <c r="B11" s="88">
        <v>29</v>
      </c>
      <c r="C11" s="88">
        <v>30</v>
      </c>
      <c r="D11" s="88">
        <v>32</v>
      </c>
      <c r="E11" s="88">
        <v>33</v>
      </c>
      <c r="F11" s="88">
        <v>34</v>
      </c>
      <c r="G11" s="88">
        <v>35</v>
      </c>
      <c r="H11" s="88">
        <v>36</v>
      </c>
      <c r="I11" s="83"/>
    </row>
    <row r="12" spans="1:11" ht="15" x14ac:dyDescent="0.3">
      <c r="B12" s="94" t="e">
        <f>VLOOKUP(B11,Dépôt!$A$1:$W372,21,TRUE)</f>
        <v>#N/A</v>
      </c>
      <c r="C12" s="94" t="e">
        <f>VLOOKUP(C11,Dépôt!$A$1:$W372,21,TRUE)</f>
        <v>#N/A</v>
      </c>
      <c r="D12" s="94" t="e">
        <f>VLOOKUP(D11,Dépôt!$A$1:$W372,21,TRUE)</f>
        <v>#N/A</v>
      </c>
      <c r="E12" s="94" t="e">
        <f>VLOOKUP(E11,Dépôt!$A$1:$W372,21,TRUE)</f>
        <v>#N/A</v>
      </c>
      <c r="F12" s="94" t="e">
        <f>VLOOKUP(F11,Dépôt!$A$1:$W372,21,TRUE)</f>
        <v>#N/A</v>
      </c>
      <c r="G12" s="94" t="e">
        <f>VLOOKUP(G11,Dépôt!$A$1:$W372,21,TRUE)</f>
        <v>#N/A</v>
      </c>
      <c r="H12" s="94" t="e">
        <f>VLOOKUP(H11,Dépôt!$A$1:$W372,21,TRUE)</f>
        <v>#N/A</v>
      </c>
      <c r="I12" s="91" t="e">
        <f>SUM(B12:H12)</f>
        <v>#N/A</v>
      </c>
    </row>
    <row r="13" spans="1:11" s="76" customFormat="1" x14ac:dyDescent="0.2">
      <c r="A13" s="65"/>
      <c r="B13" s="79">
        <f t="array" ref="B13:C13">JoursEtSemaines+DATE(AnnéeCalendrier,1,1)-WEEKDAY(DATE(AnnéeCalendrier,1,1),(DébutSemaine="LUNDI")+1)+36</f>
        <v>43499</v>
      </c>
      <c r="C13" s="79">
        <v>43500</v>
      </c>
      <c r="D13" s="118" t="s">
        <v>72</v>
      </c>
      <c r="E13" s="121"/>
      <c r="F13" s="121"/>
      <c r="G13" s="121"/>
      <c r="H13" s="121"/>
    </row>
    <row r="14" spans="1:11" x14ac:dyDescent="0.3">
      <c r="B14" s="80"/>
      <c r="C14" s="80"/>
      <c r="D14" s="118"/>
      <c r="E14" s="121"/>
      <c r="F14" s="121"/>
      <c r="G14" s="121"/>
      <c r="H14" s="121"/>
    </row>
  </sheetData>
  <mergeCells count="2">
    <mergeCell ref="D13:D14"/>
    <mergeCell ref="E13:H14"/>
  </mergeCells>
  <conditionalFormatting sqref="B3:H3">
    <cfRule type="expression" dxfId="67" priority="1">
      <formula>DAY(B3)&gt;8</formula>
    </cfRule>
  </conditionalFormatting>
  <conditionalFormatting sqref="B13:C13 B11:H11">
    <cfRule type="expression" dxfId="66" priority="2">
      <formula>AND(DAY(B11)&gt;=1,DAY(B11)&lt;=15)</formula>
    </cfRule>
  </conditionalFormatting>
  <dataValidations count="13">
    <dataValidation allowBlank="1" showInputMessage="1" showErrorMessage="1" prompt="Cette ligne ainsi que les lignes 5, 7, 9, 11 et 13 contiennent les jours civils de la semaine. Si cette cellule ne contient pas le numéro 1, c’est qu’il s’agit d’un jour du mois précédent. Entrez des notes dans la cellule E13" sqref="B3:H3" xr:uid="{00000000-0002-0000-0A00-000000000000}"/>
    <dataValidation type="list" errorStyle="warning" allowBlank="1" showInputMessage="1" showErrorMessage="1" error="Sélectionnez un jour dans la liste. Sélectionnez ANNULER, puis appuyez sur ALT+FLÈCHE BAS pour choisir un jour dans la liste déroulante." prompt="Sélectionnez le jour de début de la semaine dans cette cellule. Appuyez sur ALT+FLÈCHE BAS pour ouvrir la liste déroulante, puis sur ENTRÉE pour sélectionner le jour de début de la semaine." sqref="K3" xr:uid="{00000000-0002-0000-0A00-000001000000}">
      <formula1>"DIMANCHE,LUNDI"</formula1>
    </dataValidation>
    <dataValidation allowBlank="1" showInputMessage="1" showErrorMessage="1" prompt="Créez des calendriers personnalisés d’un mois dans ce classeur. Personnalisez l’année et le jour de début de la semaine pour tous les mois avec cette feuille de calcul Janvier. Chaque mois figure sur une feuille de calcul distincte" sqref="A1" xr:uid="{00000000-0002-0000-0A00-000002000000}"/>
    <dataValidation allowBlank="1" showInputMessage="1" showErrorMessage="1" prompt="L’année figurant dans cette cellule est mise à jour automatiquement. Pour modifier l’année, sélectionnez une autre année dans la cellule K2" sqref="C1:D1" xr:uid="{00000000-0002-0000-0A00-000003000000}"/>
    <dataValidation allowBlank="1" showInputMessage="1" showErrorMessage="1" prompt="Entrez l’année et sélectionnez le jour de début du calendrier dans les cellules ci-dessous. Ces cellules Paramètres du calendrier ne s’imprimeront pas" sqref="J1" xr:uid="{00000000-0002-0000-0A00-000004000000}"/>
    <dataValidation allowBlank="1" showInputMessage="1" showErrorMessage="1" prompt="Entrez l’année dans la cellule à droite" sqref="J2" xr:uid="{00000000-0002-0000-0A00-000005000000}"/>
    <dataValidation allowBlank="1" showInputMessage="1" showErrorMessage="1" prompt="Sélectionnez le jour de début de la semaine dans la cellule à droite" sqref="J3" xr:uid="{00000000-0002-0000-0A00-000006000000}"/>
    <dataValidation allowBlank="1" showInputMessage="1" showErrorMessage="1" prompt="Entrez une année dans cette cellule" sqref="K2" xr:uid="{00000000-0002-0000-0A00-000007000000}"/>
    <dataValidation allowBlank="1" showInputMessage="1" showErrorMessage="1" prompt="Cette ligne contient les noms des jours de la semaine pour ce calendrier. Cette cellule contient le jour de début de la semaine. Pour modifier le jour de début de la semaine, entrez un nouveau jour dans la cellule K3" sqref="B2" xr:uid="{00000000-0002-0000-0A00-000008000000}"/>
    <dataValidation allowBlank="1" showInputMessage="1" showErrorMessage="1" prompt="L’année dans cette cellule est automatiquement mise à jour en fonction de l’année entrée dans la cellule K2. Le calendrier ci-dessous inclut les dates des mois précédent et suivant dans une teinte plus claire" sqref="B1" xr:uid="{00000000-0002-0000-0A00-000009000000}"/>
    <dataValidation allowBlank="1" showInputMessage="1" showErrorMessage="1" prompt="Jour de la semaine déterminé automatiquement" sqref="C2:H2" xr:uid="{00000000-0002-0000-0A00-00000A000000}"/>
    <dataValidation allowBlank="1" showInputMessage="1" showErrorMessage="1" prompt="Entrez les Notes dans cette cellule" sqref="E13:H14" xr:uid="{00000000-0002-0000-0A00-00000C000000}"/>
    <dataValidation allowBlank="1" showInputMessage="1" showErrorMessage="1" prompt="Entrez les Notes dans la cellule à droite" sqref="D13:D14" xr:uid="{00000000-0002-0000-0A00-00000D000000}"/>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euil12"/>
  <dimension ref="A1:K14"/>
  <sheetViews>
    <sheetView zoomScale="85" zoomScaleNormal="85" workbookViewId="0">
      <selection activeCell="B12" sqref="B12:H12"/>
    </sheetView>
  </sheetViews>
  <sheetFormatPr baseColWidth="10" defaultColWidth="8.75" defaultRowHeight="14.25" x14ac:dyDescent="0.3"/>
  <cols>
    <col min="1" max="1" width="2.625" style="65" customWidth="1"/>
    <col min="2" max="8" width="17.875" style="65" customWidth="1"/>
    <col min="9" max="9" width="21.5" style="65" customWidth="1"/>
    <col min="10" max="10" width="21.875" style="65" customWidth="1"/>
    <col min="11" max="11" width="13.625" style="65" customWidth="1"/>
    <col min="12" max="16384" width="8.75" style="65"/>
  </cols>
  <sheetData>
    <row r="1" spans="1:11" s="71" customFormat="1" ht="27.75" x14ac:dyDescent="0.4">
      <c r="A1" s="65"/>
      <c r="B1" s="66" t="str">
        <f>"Octobre  "&amp;AnnéeCalendrier</f>
        <v>Octobre  2019</v>
      </c>
      <c r="C1" s="67"/>
      <c r="D1" s="68"/>
      <c r="E1" s="69"/>
      <c r="F1" s="69"/>
      <c r="G1" s="69"/>
      <c r="H1" s="70"/>
      <c r="J1" s="72" t="s">
        <v>68</v>
      </c>
      <c r="K1" s="65"/>
    </row>
    <row r="2" spans="1:11" s="73" customFormat="1" ht="35.25" customHeight="1" x14ac:dyDescent="0.25">
      <c r="A2" s="65"/>
      <c r="B2" s="84" t="str">
        <f>DébutSemaine</f>
        <v>DIMANCHE</v>
      </c>
      <c r="C2" s="84" t="s">
        <v>75</v>
      </c>
      <c r="D2" s="84" t="s">
        <v>76</v>
      </c>
      <c r="E2" s="84" t="s">
        <v>77</v>
      </c>
      <c r="F2" s="84" t="s">
        <v>78</v>
      </c>
      <c r="G2" s="84" t="s">
        <v>79</v>
      </c>
      <c r="H2" s="84" t="s">
        <v>74</v>
      </c>
      <c r="I2" s="89" t="s">
        <v>73</v>
      </c>
      <c r="J2" s="74" t="s">
        <v>69</v>
      </c>
      <c r="K2" s="75">
        <f ca="1">YEAR(TODAY())</f>
        <v>2019</v>
      </c>
    </row>
    <row r="3" spans="1:11" s="76" customFormat="1" ht="15.75" x14ac:dyDescent="0.25">
      <c r="A3" s="65"/>
      <c r="B3" s="85">
        <v>29</v>
      </c>
      <c r="C3" s="85">
        <v>30</v>
      </c>
      <c r="D3" s="85">
        <v>31</v>
      </c>
      <c r="E3" s="85">
        <v>32</v>
      </c>
      <c r="F3" s="85">
        <v>33</v>
      </c>
      <c r="G3" s="85">
        <v>34</v>
      </c>
      <c r="H3" s="85">
        <v>35</v>
      </c>
      <c r="I3" s="83"/>
      <c r="J3" s="77" t="s">
        <v>70</v>
      </c>
      <c r="K3" s="75" t="s">
        <v>71</v>
      </c>
    </row>
    <row r="4" spans="1:11" ht="15" x14ac:dyDescent="0.3">
      <c r="B4" s="94" t="e">
        <f>VLOOKUP(B3,Dépôt!$A$1:$W364,21,TRUE)</f>
        <v>#N/A</v>
      </c>
      <c r="C4" s="94" t="e">
        <f>VLOOKUP(C3,Dépôt!$A$1:$W364,21,TRUE)</f>
        <v>#N/A</v>
      </c>
      <c r="D4" s="94" t="e">
        <f>VLOOKUP(D3,Dépôt!$A$1:$W364,21,TRUE)</f>
        <v>#N/A</v>
      </c>
      <c r="E4" s="94" t="e">
        <f>VLOOKUP(E3,Dépôt!$A$1:$W364,21,TRUE)</f>
        <v>#N/A</v>
      </c>
      <c r="F4" s="94" t="e">
        <f>VLOOKUP(F3,Dépôt!$A$1:$W364,21,TRUE)</f>
        <v>#N/A</v>
      </c>
      <c r="G4" s="94" t="e">
        <f>VLOOKUP(G3,Dépôt!$A$1:$W364,21,TRUE)</f>
        <v>#N/A</v>
      </c>
      <c r="H4" s="94" t="e">
        <f>VLOOKUP(H3,Dépôt!$A$1:$W364,21,TRUE)</f>
        <v>#N/A</v>
      </c>
      <c r="I4" s="91" t="e">
        <f>SUM(B4:H4)</f>
        <v>#N/A</v>
      </c>
      <c r="J4" s="78"/>
    </row>
    <row r="5" spans="1:11" s="76" customFormat="1" ht="15" x14ac:dyDescent="0.25">
      <c r="A5" s="65"/>
      <c r="B5" s="86">
        <v>6</v>
      </c>
      <c r="C5" s="86">
        <v>7</v>
      </c>
      <c r="D5" s="86">
        <v>8</v>
      </c>
      <c r="E5" s="86">
        <v>9</v>
      </c>
      <c r="F5" s="86">
        <v>10</v>
      </c>
      <c r="G5" s="86">
        <v>11</v>
      </c>
      <c r="H5" s="86">
        <v>12</v>
      </c>
      <c r="I5" s="83"/>
    </row>
    <row r="6" spans="1:11" ht="15" x14ac:dyDescent="0.2">
      <c r="B6" s="94" t="e">
        <f>VLOOKUP(B5,Dépôt!$A$1:$W366,21,TRUE)</f>
        <v>#N/A</v>
      </c>
      <c r="C6" s="94" t="e">
        <f>VLOOKUP(C5,Dépôt!$A$1:$W366,21,TRUE)</f>
        <v>#N/A</v>
      </c>
      <c r="D6" s="94" t="e">
        <f>VLOOKUP(D5,Dépôt!$A$1:$W366,21,TRUE)</f>
        <v>#N/A</v>
      </c>
      <c r="E6" s="94" t="e">
        <f>VLOOKUP(E5,Dépôt!$A$1:$W366,21,TRUE)</f>
        <v>#N/A</v>
      </c>
      <c r="F6" s="94" t="e">
        <f>VLOOKUP(F5,Dépôt!$A$1:$W366,21,TRUE)</f>
        <v>#N/A</v>
      </c>
      <c r="G6" s="94" t="e">
        <f>VLOOKUP(G5,Dépôt!$A$1:$W366,21,TRUE)</f>
        <v>#N/A</v>
      </c>
      <c r="H6" s="94" t="e">
        <f>VLOOKUP(H5,Dépôt!$A$1:$W366,21,TRUE)</f>
        <v>#N/A</v>
      </c>
      <c r="I6" s="91" t="e">
        <f>SUM(B6:H6)</f>
        <v>#N/A</v>
      </c>
      <c r="J6" s="81"/>
    </row>
    <row r="7" spans="1:11" s="76" customFormat="1" ht="15" x14ac:dyDescent="0.25">
      <c r="A7" s="65"/>
      <c r="B7" s="85">
        <v>13</v>
      </c>
      <c r="C7" s="85">
        <v>14</v>
      </c>
      <c r="D7" s="85">
        <v>15</v>
      </c>
      <c r="E7" s="85">
        <v>16</v>
      </c>
      <c r="F7" s="85">
        <v>17</v>
      </c>
      <c r="G7" s="85">
        <v>18</v>
      </c>
      <c r="H7" s="85">
        <v>19</v>
      </c>
      <c r="I7" s="83"/>
      <c r="J7" s="81"/>
    </row>
    <row r="8" spans="1:11" ht="15" x14ac:dyDescent="0.3">
      <c r="B8" s="94" t="e">
        <f>VLOOKUP(B7,Dépôt!$A$1:$W368,21,TRUE)</f>
        <v>#N/A</v>
      </c>
      <c r="C8" s="94" t="e">
        <f>VLOOKUP(C7,Dépôt!$A$1:$W368,21,TRUE)</f>
        <v>#N/A</v>
      </c>
      <c r="D8" s="94" t="e">
        <f>VLOOKUP(D7,Dépôt!$A$1:$W368,21,TRUE)</f>
        <v>#N/A</v>
      </c>
      <c r="E8" s="94" t="e">
        <f>VLOOKUP(E7,Dépôt!$A$1:$W368,21,TRUE)</f>
        <v>#N/A</v>
      </c>
      <c r="F8" s="94" t="e">
        <f>VLOOKUP(F7,Dépôt!$A$1:$W368,21,TRUE)</f>
        <v>#N/A</v>
      </c>
      <c r="G8" s="94" t="e">
        <f>VLOOKUP(G7,Dépôt!$A$1:$W368,21,TRUE)</f>
        <v>#N/A</v>
      </c>
      <c r="H8" s="94" t="e">
        <f>VLOOKUP(H7,Dépôt!$A$1:$W368,21,TRUE)</f>
        <v>#N/A</v>
      </c>
      <c r="I8" s="91" t="e">
        <f>SUM(B8:H8)</f>
        <v>#N/A</v>
      </c>
    </row>
    <row r="9" spans="1:11" s="76" customFormat="1" ht="15" x14ac:dyDescent="0.25">
      <c r="A9" s="65"/>
      <c r="B9" s="86">
        <v>20</v>
      </c>
      <c r="C9" s="86">
        <v>21</v>
      </c>
      <c r="D9" s="86">
        <v>22</v>
      </c>
      <c r="E9" s="86">
        <v>23</v>
      </c>
      <c r="F9" s="86">
        <v>24</v>
      </c>
      <c r="G9" s="86">
        <v>25</v>
      </c>
      <c r="H9" s="86">
        <v>26</v>
      </c>
      <c r="I9" s="83"/>
    </row>
    <row r="10" spans="1:11" ht="15" x14ac:dyDescent="0.3">
      <c r="B10" s="94" t="e">
        <f>VLOOKUP(B9,Dépôt!$A$1:$W370,21,TRUE)</f>
        <v>#N/A</v>
      </c>
      <c r="C10" s="94" t="e">
        <f>VLOOKUP(C9,Dépôt!$A$1:$W370,21,TRUE)</f>
        <v>#N/A</v>
      </c>
      <c r="D10" s="94" t="e">
        <f>VLOOKUP(D9,Dépôt!$A$1:$W370,21,TRUE)</f>
        <v>#N/A</v>
      </c>
      <c r="E10" s="94" t="e">
        <f>VLOOKUP(E9,Dépôt!$A$1:$W370,21,TRUE)</f>
        <v>#N/A</v>
      </c>
      <c r="F10" s="94" t="e">
        <f>VLOOKUP(F9,Dépôt!$A$1:$W370,21,TRUE)</f>
        <v>#N/A</v>
      </c>
      <c r="G10" s="94" t="e">
        <f>VLOOKUP(G9,Dépôt!$A$1:$W370,21,TRUE)</f>
        <v>#N/A</v>
      </c>
      <c r="H10" s="94" t="e">
        <f>VLOOKUP(H9,Dépôt!$A$1:$W370,21,TRUE)</f>
        <v>#N/A</v>
      </c>
      <c r="I10" s="91" t="e">
        <f>SUM(B10:H10)</f>
        <v>#N/A</v>
      </c>
    </row>
    <row r="11" spans="1:11" s="76" customFormat="1" ht="15" x14ac:dyDescent="0.25">
      <c r="A11" s="65"/>
      <c r="B11" s="88">
        <v>27</v>
      </c>
      <c r="C11" s="88">
        <v>28</v>
      </c>
      <c r="D11" s="88">
        <v>29</v>
      </c>
      <c r="E11" s="88">
        <v>30</v>
      </c>
      <c r="F11" s="88">
        <v>31</v>
      </c>
      <c r="G11" s="88">
        <v>32</v>
      </c>
      <c r="H11" s="88">
        <v>33</v>
      </c>
      <c r="I11" s="83"/>
    </row>
    <row r="12" spans="1:11" ht="15" x14ac:dyDescent="0.3">
      <c r="B12" s="94" t="e">
        <f>VLOOKUP(B11,Dépôt!$A$1:$W372,21,TRUE)</f>
        <v>#N/A</v>
      </c>
      <c r="C12" s="94" t="e">
        <f>VLOOKUP(C11,Dépôt!$A$1:$W372,21,TRUE)</f>
        <v>#N/A</v>
      </c>
      <c r="D12" s="94" t="e">
        <f>VLOOKUP(D11,Dépôt!$A$1:$W372,21,TRUE)</f>
        <v>#N/A</v>
      </c>
      <c r="E12" s="94" t="e">
        <f>VLOOKUP(E11,Dépôt!$A$1:$W372,21,TRUE)</f>
        <v>#N/A</v>
      </c>
      <c r="F12" s="94" t="e">
        <f>VLOOKUP(F11,Dépôt!$A$1:$W372,21,TRUE)</f>
        <v>#N/A</v>
      </c>
      <c r="G12" s="94" t="e">
        <f>VLOOKUP(G11,Dépôt!$A$1:$W372,21,TRUE)</f>
        <v>#N/A</v>
      </c>
      <c r="H12" s="94" t="e">
        <f>VLOOKUP(H11,Dépôt!$A$1:$W372,21,TRUE)</f>
        <v>#N/A</v>
      </c>
      <c r="I12" s="91" t="e">
        <f>SUM(B12:H12)</f>
        <v>#N/A</v>
      </c>
    </row>
    <row r="13" spans="1:11" s="76" customFormat="1" x14ac:dyDescent="0.2">
      <c r="A13" s="65"/>
      <c r="B13" s="79">
        <f t="array" ref="B13:C13">JoursEtSemaines+DATE(AnnéeCalendrier,1,1)-WEEKDAY(DATE(AnnéeCalendrier,1,1),(DébutSemaine="LUNDI")+1)+36</f>
        <v>43499</v>
      </c>
      <c r="C13" s="79">
        <v>43500</v>
      </c>
      <c r="D13" s="118" t="s">
        <v>72</v>
      </c>
      <c r="E13" s="121"/>
      <c r="F13" s="121"/>
      <c r="G13" s="121"/>
      <c r="H13" s="121"/>
    </row>
    <row r="14" spans="1:11" x14ac:dyDescent="0.3">
      <c r="B14" s="80"/>
      <c r="C14" s="80"/>
      <c r="D14" s="118"/>
      <c r="E14" s="121"/>
      <c r="F14" s="121"/>
      <c r="G14" s="121"/>
      <c r="H14" s="121"/>
    </row>
  </sheetData>
  <mergeCells count="2">
    <mergeCell ref="D13:D14"/>
    <mergeCell ref="E13:H14"/>
  </mergeCells>
  <conditionalFormatting sqref="B3:H3">
    <cfRule type="expression" dxfId="65" priority="1">
      <formula>DAY(B3)&gt;8</formula>
    </cfRule>
  </conditionalFormatting>
  <conditionalFormatting sqref="B13:C13 B11:H11">
    <cfRule type="expression" dxfId="64" priority="2">
      <formula>AND(DAY(B11)&gt;=1,DAY(B11)&lt;=15)</formula>
    </cfRule>
  </conditionalFormatting>
  <dataValidations count="13">
    <dataValidation allowBlank="1" showInputMessage="1" showErrorMessage="1" prompt="Cette ligne ainsi que les lignes 5, 7, 9, 11 et 13 contiennent les jours civils de la semaine. Si cette cellule ne contient pas le numéro 1, c’est qu’il s’agit d’un jour du mois précédent. Entrez des notes dans la cellule E13" sqref="B3 D3 F3 H3" xr:uid="{00000000-0002-0000-0B00-000000000000}"/>
    <dataValidation type="list" errorStyle="warning" allowBlank="1" showInputMessage="1" showErrorMessage="1" error="Sélectionnez un jour dans la liste. Sélectionnez ANNULER, puis appuyez sur ALT+FLÈCHE BAS pour choisir un jour dans la liste déroulante." prompt="Sélectionnez le jour de début de la semaine dans cette cellule. Appuyez sur ALT+FLÈCHE BAS pour ouvrir la liste déroulante, puis sur ENTRÉE pour sélectionner le jour de début de la semaine." sqref="K3" xr:uid="{00000000-0002-0000-0B00-000001000000}">
      <formula1>"DIMANCHE,LUNDI"</formula1>
    </dataValidation>
    <dataValidation allowBlank="1" showInputMessage="1" showErrorMessage="1" prompt="Créez des calendriers personnalisés d’un mois dans ce classeur. Personnalisez l’année et le jour de début de la semaine pour tous les mois avec cette feuille de calcul Janvier. Chaque mois figure sur une feuille de calcul distincte" sqref="A1" xr:uid="{00000000-0002-0000-0B00-000002000000}"/>
    <dataValidation allowBlank="1" showInputMessage="1" showErrorMessage="1" prompt="L’année figurant dans cette cellule est mise à jour automatiquement. Pour modifier l’année, sélectionnez une autre année dans la cellule K2" sqref="C1:D1" xr:uid="{00000000-0002-0000-0B00-000003000000}"/>
    <dataValidation allowBlank="1" showInputMessage="1" showErrorMessage="1" prompt="Entrez l’année et sélectionnez le jour de début du calendrier dans les cellules ci-dessous. Ces cellules Paramètres du calendrier ne s’imprimeront pas" sqref="J1" xr:uid="{00000000-0002-0000-0B00-000004000000}"/>
    <dataValidation allowBlank="1" showInputMessage="1" showErrorMessage="1" prompt="Entrez l’année dans la cellule à droite" sqref="J2" xr:uid="{00000000-0002-0000-0B00-000005000000}"/>
    <dataValidation allowBlank="1" showInputMessage="1" showErrorMessage="1" prompt="Sélectionnez le jour de début de la semaine dans la cellule à droite" sqref="J3" xr:uid="{00000000-0002-0000-0B00-000006000000}"/>
    <dataValidation allowBlank="1" showInputMessage="1" showErrorMessage="1" prompt="Entrez une année dans cette cellule" sqref="K2" xr:uid="{00000000-0002-0000-0B00-000007000000}"/>
    <dataValidation allowBlank="1" showInputMessage="1" showErrorMessage="1" prompt="Cette ligne contient les noms des jours de la semaine pour ce calendrier. Cette cellule contient le jour de début de la semaine. Pour modifier le jour de début de la semaine, entrez un nouveau jour dans la cellule K3" sqref="B2" xr:uid="{00000000-0002-0000-0B00-000008000000}"/>
    <dataValidation allowBlank="1" showInputMessage="1" showErrorMessage="1" prompt="L’année dans cette cellule est automatiquement mise à jour en fonction de l’année entrée dans la cellule K2. Le calendrier ci-dessous inclut les dates des mois précédent et suivant dans une teinte plus claire" sqref="B1" xr:uid="{00000000-0002-0000-0B00-000009000000}"/>
    <dataValidation allowBlank="1" showInputMessage="1" showErrorMessage="1" prompt="Jour de la semaine déterminé automatiquement" sqref="C2:H2" xr:uid="{00000000-0002-0000-0B00-00000A000000}"/>
    <dataValidation allowBlank="1" showInputMessage="1" showErrorMessage="1" prompt="Entrez les Notes dans cette cellule" sqref="E13:H14" xr:uid="{00000000-0002-0000-0B00-00000C000000}"/>
    <dataValidation allowBlank="1" showInputMessage="1" showErrorMessage="1" prompt="Entrez les Notes dans la cellule à droite" sqref="D13:D14" xr:uid="{00000000-0002-0000-0B00-00000D000000}"/>
  </dataValidation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Feuil13"/>
  <dimension ref="A1:K14"/>
  <sheetViews>
    <sheetView zoomScale="85" zoomScaleNormal="85" workbookViewId="0">
      <selection activeCell="B12" sqref="B12:H12"/>
    </sheetView>
  </sheetViews>
  <sheetFormatPr baseColWidth="10" defaultColWidth="8.75" defaultRowHeight="14.25" x14ac:dyDescent="0.3"/>
  <cols>
    <col min="1" max="1" width="2.625" style="65" customWidth="1"/>
    <col min="2" max="8" width="17.875" style="65" customWidth="1"/>
    <col min="9" max="9" width="21.5" style="65" customWidth="1"/>
    <col min="10" max="10" width="21.875" style="65" customWidth="1"/>
    <col min="11" max="11" width="13.625" style="65" customWidth="1"/>
    <col min="12" max="16384" width="8.75" style="65"/>
  </cols>
  <sheetData>
    <row r="1" spans="1:11" s="71" customFormat="1" ht="27.75" x14ac:dyDescent="0.4">
      <c r="A1" s="65"/>
      <c r="B1" s="66" t="str">
        <f>"Novembre  "&amp;AnnéeCalendrier</f>
        <v>Novembre  2019</v>
      </c>
      <c r="C1" s="67"/>
      <c r="D1" s="68"/>
      <c r="E1" s="69"/>
      <c r="F1" s="69"/>
      <c r="G1" s="69"/>
      <c r="H1" s="70"/>
      <c r="J1" s="72" t="s">
        <v>68</v>
      </c>
      <c r="K1" s="65"/>
    </row>
    <row r="2" spans="1:11" s="73" customFormat="1" ht="35.25" customHeight="1" x14ac:dyDescent="0.25">
      <c r="A2" s="65"/>
      <c r="B2" s="84" t="str">
        <f>DébutSemaine</f>
        <v>DIMANCHE</v>
      </c>
      <c r="C2" s="84" t="s">
        <v>75</v>
      </c>
      <c r="D2" s="84" t="s">
        <v>76</v>
      </c>
      <c r="E2" s="84" t="s">
        <v>77</v>
      </c>
      <c r="F2" s="84" t="s">
        <v>78</v>
      </c>
      <c r="G2" s="84" t="s">
        <v>79</v>
      </c>
      <c r="H2" s="84" t="s">
        <v>74</v>
      </c>
      <c r="I2" s="89" t="s">
        <v>73</v>
      </c>
      <c r="J2" s="74" t="s">
        <v>69</v>
      </c>
      <c r="K2" s="75">
        <f ca="1">YEAR(TODAY())</f>
        <v>2019</v>
      </c>
    </row>
    <row r="3" spans="1:11" s="76" customFormat="1" ht="15.75" x14ac:dyDescent="0.25">
      <c r="A3" s="65"/>
      <c r="B3" s="85">
        <v>27</v>
      </c>
      <c r="C3" s="85">
        <v>28</v>
      </c>
      <c r="D3" s="85">
        <v>29</v>
      </c>
      <c r="E3" s="85">
        <v>30</v>
      </c>
      <c r="F3" s="85">
        <v>31</v>
      </c>
      <c r="G3" s="85">
        <v>32</v>
      </c>
      <c r="H3" s="85">
        <v>33</v>
      </c>
      <c r="I3" s="83"/>
      <c r="J3" s="77" t="s">
        <v>70</v>
      </c>
      <c r="K3" s="75" t="s">
        <v>71</v>
      </c>
    </row>
    <row r="4" spans="1:11" ht="15" x14ac:dyDescent="0.3">
      <c r="B4" s="94" t="e">
        <f>VLOOKUP(B3,Dépôt!$A$1:$W364,21,TRUE)</f>
        <v>#N/A</v>
      </c>
      <c r="C4" s="94" t="e">
        <f>VLOOKUP(C3,Dépôt!$A$1:$W364,21,TRUE)</f>
        <v>#N/A</v>
      </c>
      <c r="D4" s="94" t="e">
        <f>VLOOKUP(D3,Dépôt!$A$1:$W364,21,TRUE)</f>
        <v>#N/A</v>
      </c>
      <c r="E4" s="94" t="e">
        <f>VLOOKUP(E3,Dépôt!$A$1:$W364,21,TRUE)</f>
        <v>#N/A</v>
      </c>
      <c r="F4" s="94" t="e">
        <f>VLOOKUP(F3,Dépôt!$A$1:$W364,21,TRUE)</f>
        <v>#N/A</v>
      </c>
      <c r="G4" s="94" t="e">
        <f>VLOOKUP(G3,Dépôt!$A$1:$W364,21,TRUE)</f>
        <v>#N/A</v>
      </c>
      <c r="H4" s="94" t="e">
        <f>VLOOKUP(H3,Dépôt!$A$1:$W364,21,TRUE)</f>
        <v>#N/A</v>
      </c>
      <c r="I4" s="91" t="e">
        <f>SUM(B4:H4)</f>
        <v>#N/A</v>
      </c>
      <c r="J4" s="78"/>
    </row>
    <row r="5" spans="1:11" s="76" customFormat="1" ht="15" x14ac:dyDescent="0.25">
      <c r="A5" s="65"/>
      <c r="B5" s="86">
        <v>3</v>
      </c>
      <c r="C5" s="86">
        <v>4</v>
      </c>
      <c r="D5" s="86">
        <v>5</v>
      </c>
      <c r="E5" s="86">
        <v>6</v>
      </c>
      <c r="F5" s="86">
        <v>7</v>
      </c>
      <c r="G5" s="86">
        <v>8</v>
      </c>
      <c r="H5" s="86">
        <v>9</v>
      </c>
      <c r="I5" s="83"/>
    </row>
    <row r="6" spans="1:11" ht="15" x14ac:dyDescent="0.2">
      <c r="B6" s="94" t="e">
        <f>VLOOKUP(B5,Dépôt!$A$1:$W366,21,TRUE)</f>
        <v>#N/A</v>
      </c>
      <c r="C6" s="94" t="e">
        <f>VLOOKUP(C5,Dépôt!$A$1:$W366,21,TRUE)</f>
        <v>#N/A</v>
      </c>
      <c r="D6" s="94" t="e">
        <f>VLOOKUP(D5,Dépôt!$A$1:$W366,21,TRUE)</f>
        <v>#N/A</v>
      </c>
      <c r="E6" s="94" t="e">
        <f>VLOOKUP(E5,Dépôt!$A$1:$W366,21,TRUE)</f>
        <v>#N/A</v>
      </c>
      <c r="F6" s="94" t="e">
        <f>VLOOKUP(F5,Dépôt!$A$1:$W366,21,TRUE)</f>
        <v>#N/A</v>
      </c>
      <c r="G6" s="94" t="e">
        <f>VLOOKUP(G5,Dépôt!$A$1:$W366,21,TRUE)</f>
        <v>#N/A</v>
      </c>
      <c r="H6" s="94" t="e">
        <f>VLOOKUP(H5,Dépôt!$A$1:$W366,21,TRUE)</f>
        <v>#N/A</v>
      </c>
      <c r="I6" s="91" t="e">
        <f>SUM(B6:H6)</f>
        <v>#N/A</v>
      </c>
      <c r="J6" s="81"/>
    </row>
    <row r="7" spans="1:11" s="76" customFormat="1" ht="15" x14ac:dyDescent="0.25">
      <c r="A7" s="65"/>
      <c r="B7" s="85">
        <v>10</v>
      </c>
      <c r="C7" s="85">
        <v>11</v>
      </c>
      <c r="D7" s="85">
        <v>12</v>
      </c>
      <c r="E7" s="85">
        <v>13</v>
      </c>
      <c r="F7" s="85">
        <v>14</v>
      </c>
      <c r="G7" s="85">
        <v>15</v>
      </c>
      <c r="H7" s="85">
        <v>16</v>
      </c>
      <c r="I7" s="83"/>
      <c r="J7" s="81"/>
    </row>
    <row r="8" spans="1:11" ht="15" x14ac:dyDescent="0.3">
      <c r="B8" s="94" t="e">
        <f>VLOOKUP(B7,Dépôt!$A$1:$W368,21,TRUE)</f>
        <v>#N/A</v>
      </c>
      <c r="C8" s="94" t="e">
        <f>VLOOKUP(C7,Dépôt!$A$1:$W368,21,TRUE)</f>
        <v>#N/A</v>
      </c>
      <c r="D8" s="94" t="e">
        <f>VLOOKUP(D7,Dépôt!$A$1:$W368,21,TRUE)</f>
        <v>#N/A</v>
      </c>
      <c r="E8" s="94" t="e">
        <f>VLOOKUP(E7,Dépôt!$A$1:$W368,21,TRUE)</f>
        <v>#N/A</v>
      </c>
      <c r="F8" s="94" t="e">
        <f>VLOOKUP(F7,Dépôt!$A$1:$W368,21,TRUE)</f>
        <v>#N/A</v>
      </c>
      <c r="G8" s="94" t="e">
        <f>VLOOKUP(G7,Dépôt!$A$1:$W368,21,TRUE)</f>
        <v>#N/A</v>
      </c>
      <c r="H8" s="94" t="e">
        <f>VLOOKUP(H7,Dépôt!$A$1:$W368,21,TRUE)</f>
        <v>#N/A</v>
      </c>
      <c r="I8" s="91" t="e">
        <f>SUM(B8:H8)</f>
        <v>#N/A</v>
      </c>
    </row>
    <row r="9" spans="1:11" s="76" customFormat="1" ht="15" x14ac:dyDescent="0.25">
      <c r="A9" s="65"/>
      <c r="B9" s="86">
        <v>17</v>
      </c>
      <c r="C9" s="86">
        <v>18</v>
      </c>
      <c r="D9" s="86">
        <v>19</v>
      </c>
      <c r="E9" s="86">
        <v>20</v>
      </c>
      <c r="F9" s="86">
        <v>21</v>
      </c>
      <c r="G9" s="86">
        <v>22</v>
      </c>
      <c r="H9" s="86">
        <v>23</v>
      </c>
      <c r="I9" s="83"/>
    </row>
    <row r="10" spans="1:11" ht="15" x14ac:dyDescent="0.3">
      <c r="B10" s="94" t="e">
        <f>VLOOKUP(B9,Dépôt!$A$1:$W370,21,TRUE)</f>
        <v>#N/A</v>
      </c>
      <c r="C10" s="94" t="e">
        <f>VLOOKUP(C9,Dépôt!$A$1:$W370,21,TRUE)</f>
        <v>#N/A</v>
      </c>
      <c r="D10" s="94" t="e">
        <f>VLOOKUP(D9,Dépôt!$A$1:$W370,21,TRUE)</f>
        <v>#N/A</v>
      </c>
      <c r="E10" s="94" t="e">
        <f>VLOOKUP(E9,Dépôt!$A$1:$W370,21,TRUE)</f>
        <v>#N/A</v>
      </c>
      <c r="F10" s="94" t="e">
        <f>VLOOKUP(F9,Dépôt!$A$1:$W370,21,TRUE)</f>
        <v>#N/A</v>
      </c>
      <c r="G10" s="94" t="e">
        <f>VLOOKUP(G9,Dépôt!$A$1:$W370,21,TRUE)</f>
        <v>#N/A</v>
      </c>
      <c r="H10" s="94" t="e">
        <f>VLOOKUP(H9,Dépôt!$A$1:$W370,21,TRUE)</f>
        <v>#N/A</v>
      </c>
      <c r="I10" s="91" t="e">
        <f>SUM(B10:H10)</f>
        <v>#N/A</v>
      </c>
    </row>
    <row r="11" spans="1:11" s="76" customFormat="1" ht="15" x14ac:dyDescent="0.25">
      <c r="A11" s="65"/>
      <c r="B11" s="88">
        <v>24</v>
      </c>
      <c r="C11" s="88">
        <v>25</v>
      </c>
      <c r="D11" s="88">
        <v>26</v>
      </c>
      <c r="E11" s="88">
        <v>27</v>
      </c>
      <c r="F11" s="88">
        <v>28</v>
      </c>
      <c r="G11" s="88">
        <v>29</v>
      </c>
      <c r="H11" s="88">
        <v>30</v>
      </c>
      <c r="I11" s="83"/>
    </row>
    <row r="12" spans="1:11" ht="15" x14ac:dyDescent="0.3">
      <c r="B12" s="94" t="e">
        <f>VLOOKUP(B11,Dépôt!$A$1:$W372,21,TRUE)</f>
        <v>#N/A</v>
      </c>
      <c r="C12" s="94" t="e">
        <f>VLOOKUP(C11,Dépôt!$A$1:$W372,21,TRUE)</f>
        <v>#N/A</v>
      </c>
      <c r="D12" s="94" t="e">
        <f>VLOOKUP(D11,Dépôt!$A$1:$W372,21,TRUE)</f>
        <v>#N/A</v>
      </c>
      <c r="E12" s="94" t="e">
        <f>VLOOKUP(E11,Dépôt!$A$1:$W372,21,TRUE)</f>
        <v>#N/A</v>
      </c>
      <c r="F12" s="94" t="e">
        <f>VLOOKUP(F11,Dépôt!$A$1:$W372,21,TRUE)</f>
        <v>#N/A</v>
      </c>
      <c r="G12" s="94" t="e">
        <f>VLOOKUP(G11,Dépôt!$A$1:$W372,21,TRUE)</f>
        <v>#N/A</v>
      </c>
      <c r="H12" s="94" t="e">
        <f>VLOOKUP(H11,Dépôt!$A$1:$W372,21,TRUE)</f>
        <v>#N/A</v>
      </c>
      <c r="I12" s="91" t="e">
        <f>SUM(B12:H12)</f>
        <v>#N/A</v>
      </c>
    </row>
    <row r="13" spans="1:11" s="76" customFormat="1" x14ac:dyDescent="0.2">
      <c r="A13" s="65"/>
      <c r="B13" s="79">
        <f t="array" ref="B13:C13">JoursEtSemaines+DATE(AnnéeCalendrier,1,1)-WEEKDAY(DATE(AnnéeCalendrier,1,1),(DébutSemaine="LUNDI")+1)+36</f>
        <v>43499</v>
      </c>
      <c r="C13" s="79">
        <v>43500</v>
      </c>
      <c r="D13" s="118" t="s">
        <v>72</v>
      </c>
      <c r="E13" s="121"/>
      <c r="F13" s="121"/>
      <c r="G13" s="121"/>
      <c r="H13" s="121"/>
    </row>
    <row r="14" spans="1:11" x14ac:dyDescent="0.3">
      <c r="B14" s="80"/>
      <c r="C14" s="80"/>
      <c r="D14" s="118"/>
      <c r="E14" s="121"/>
      <c r="F14" s="121"/>
      <c r="G14" s="121"/>
      <c r="H14" s="121"/>
    </row>
  </sheetData>
  <mergeCells count="2">
    <mergeCell ref="D13:D14"/>
    <mergeCell ref="E13:H14"/>
  </mergeCells>
  <conditionalFormatting sqref="B3:H3">
    <cfRule type="expression" dxfId="63" priority="1">
      <formula>DAY(B3)&gt;8</formula>
    </cfRule>
  </conditionalFormatting>
  <conditionalFormatting sqref="B13:C13 B11:H11">
    <cfRule type="expression" dxfId="62" priority="2">
      <formula>AND(DAY(B11)&gt;=1,DAY(B11)&lt;=15)</formula>
    </cfRule>
  </conditionalFormatting>
  <dataValidations count="13">
    <dataValidation allowBlank="1" showInputMessage="1" showErrorMessage="1" prompt="Cette ligne ainsi que les lignes 5, 7, 9, 11 et 13 contiennent les jours civils de la semaine. Si cette cellule ne contient pas le numéro 1, c’est qu’il s’agit d’un jour du mois précédent. Entrez des notes dans la cellule E13" sqref="B3 D3 F3 H3" xr:uid="{00000000-0002-0000-0C00-000000000000}"/>
    <dataValidation type="list" errorStyle="warning" allowBlank="1" showInputMessage="1" showErrorMessage="1" error="Sélectionnez un jour dans la liste. Sélectionnez ANNULER, puis appuyez sur ALT+FLÈCHE BAS pour choisir un jour dans la liste déroulante." prompt="Sélectionnez le jour de début de la semaine dans cette cellule. Appuyez sur ALT+FLÈCHE BAS pour ouvrir la liste déroulante, puis sur ENTRÉE pour sélectionner le jour de début de la semaine." sqref="K3" xr:uid="{00000000-0002-0000-0C00-000001000000}">
      <formula1>"DIMANCHE,LUNDI"</formula1>
    </dataValidation>
    <dataValidation allowBlank="1" showInputMessage="1" showErrorMessage="1" prompt="Créez des calendriers personnalisés d’un mois dans ce classeur. Personnalisez l’année et le jour de début de la semaine pour tous les mois avec cette feuille de calcul Janvier. Chaque mois figure sur une feuille de calcul distincte" sqref="A1" xr:uid="{00000000-0002-0000-0C00-000002000000}"/>
    <dataValidation allowBlank="1" showInputMessage="1" showErrorMessage="1" prompt="L’année figurant dans cette cellule est mise à jour automatiquement. Pour modifier l’année, sélectionnez une autre année dans la cellule K2" sqref="C1:D1" xr:uid="{00000000-0002-0000-0C00-000003000000}"/>
    <dataValidation allowBlank="1" showInputMessage="1" showErrorMessage="1" prompt="Entrez l’année et sélectionnez le jour de début du calendrier dans les cellules ci-dessous. Ces cellules Paramètres du calendrier ne s’imprimeront pas" sqref="J1" xr:uid="{00000000-0002-0000-0C00-000004000000}"/>
    <dataValidation allowBlank="1" showInputMessage="1" showErrorMessage="1" prompt="Entrez l’année dans la cellule à droite" sqref="J2" xr:uid="{00000000-0002-0000-0C00-000005000000}"/>
    <dataValidation allowBlank="1" showInputMessage="1" showErrorMessage="1" prompt="Sélectionnez le jour de début de la semaine dans la cellule à droite" sqref="J3" xr:uid="{00000000-0002-0000-0C00-000006000000}"/>
    <dataValidation allowBlank="1" showInputMessage="1" showErrorMessage="1" prompt="Entrez une année dans cette cellule" sqref="K2" xr:uid="{00000000-0002-0000-0C00-000007000000}"/>
    <dataValidation allowBlank="1" showInputMessage="1" showErrorMessage="1" prompt="Cette ligne contient les noms des jours de la semaine pour ce calendrier. Cette cellule contient le jour de début de la semaine. Pour modifier le jour de début de la semaine, entrez un nouveau jour dans la cellule K3" sqref="B2" xr:uid="{00000000-0002-0000-0C00-000008000000}"/>
    <dataValidation allowBlank="1" showInputMessage="1" showErrorMessage="1" prompt="L’année dans cette cellule est automatiquement mise à jour en fonction de l’année entrée dans la cellule K2. Le calendrier ci-dessous inclut les dates des mois précédent et suivant dans une teinte plus claire" sqref="B1" xr:uid="{00000000-0002-0000-0C00-000009000000}"/>
    <dataValidation allowBlank="1" showInputMessage="1" showErrorMessage="1" prompt="Jour de la semaine déterminé automatiquement" sqref="C2:H2" xr:uid="{00000000-0002-0000-0C00-00000A000000}"/>
    <dataValidation allowBlank="1" showInputMessage="1" showErrorMessage="1" prompt="Entrez les Notes dans cette cellule" sqref="E13:H14" xr:uid="{00000000-0002-0000-0C00-00000C000000}"/>
    <dataValidation allowBlank="1" showInputMessage="1" showErrorMessage="1" prompt="Entrez les Notes dans la cellule à droite" sqref="D13:D14" xr:uid="{00000000-0002-0000-0C00-00000D000000}"/>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Feuil14"/>
  <dimension ref="A1:K14"/>
  <sheetViews>
    <sheetView zoomScale="85" zoomScaleNormal="85" workbookViewId="0">
      <selection activeCell="B12" sqref="B12:H12"/>
    </sheetView>
  </sheetViews>
  <sheetFormatPr baseColWidth="10" defaultColWidth="8.75" defaultRowHeight="14.25" x14ac:dyDescent="0.3"/>
  <cols>
    <col min="1" max="1" width="2.625" style="65" customWidth="1"/>
    <col min="2" max="8" width="17.875" style="65" customWidth="1"/>
    <col min="9" max="9" width="21.5" style="65" customWidth="1"/>
    <col min="10" max="10" width="21.875" style="65" customWidth="1"/>
    <col min="11" max="11" width="13.625" style="65" customWidth="1"/>
    <col min="12" max="16384" width="8.75" style="65"/>
  </cols>
  <sheetData>
    <row r="1" spans="1:11" s="71" customFormat="1" ht="27.75" x14ac:dyDescent="0.4">
      <c r="A1" s="65"/>
      <c r="B1" s="66" t="str">
        <f>"Décembre  "&amp;AnnéeCalendrier</f>
        <v>Décembre  2019</v>
      </c>
      <c r="C1" s="67"/>
      <c r="D1" s="68"/>
      <c r="E1" s="69"/>
      <c r="F1" s="69"/>
      <c r="G1" s="69"/>
      <c r="H1" s="70"/>
      <c r="J1" s="72" t="s">
        <v>68</v>
      </c>
      <c r="K1" s="65"/>
    </row>
    <row r="2" spans="1:11" s="73" customFormat="1" ht="35.25" customHeight="1" x14ac:dyDescent="0.25">
      <c r="A2" s="65"/>
      <c r="B2" s="84" t="str">
        <f>DébutSemaine</f>
        <v>DIMANCHE</v>
      </c>
      <c r="C2" s="84" t="s">
        <v>75</v>
      </c>
      <c r="D2" s="84" t="s">
        <v>76</v>
      </c>
      <c r="E2" s="84" t="s">
        <v>77</v>
      </c>
      <c r="F2" s="84" t="s">
        <v>78</v>
      </c>
      <c r="G2" s="84" t="s">
        <v>79</v>
      </c>
      <c r="H2" s="84" t="s">
        <v>74</v>
      </c>
      <c r="I2" s="89" t="s">
        <v>73</v>
      </c>
      <c r="J2" s="74" t="s">
        <v>69</v>
      </c>
      <c r="K2" s="75">
        <f ca="1">YEAR(TODAY())</f>
        <v>2019</v>
      </c>
    </row>
    <row r="3" spans="1:11" s="76" customFormat="1" ht="15.75" x14ac:dyDescent="0.25">
      <c r="A3" s="65"/>
      <c r="B3" s="85">
        <v>1</v>
      </c>
      <c r="C3" s="85">
        <v>2</v>
      </c>
      <c r="D3" s="85">
        <v>3</v>
      </c>
      <c r="E3" s="85">
        <v>4</v>
      </c>
      <c r="F3" s="85">
        <v>5</v>
      </c>
      <c r="G3" s="85">
        <v>6</v>
      </c>
      <c r="H3" s="85">
        <v>7</v>
      </c>
      <c r="I3" s="83"/>
      <c r="J3" s="77" t="s">
        <v>70</v>
      </c>
      <c r="K3" s="75" t="s">
        <v>71</v>
      </c>
    </row>
    <row r="4" spans="1:11" ht="15" x14ac:dyDescent="0.3">
      <c r="B4" s="94" t="e">
        <f>VLOOKUP(B3,Dépôt!$A$1:$W364,21,TRUE)</f>
        <v>#N/A</v>
      </c>
      <c r="C4" s="94" t="e">
        <f>VLOOKUP(C3,Dépôt!$A$1:$W364,21,TRUE)</f>
        <v>#N/A</v>
      </c>
      <c r="D4" s="94" t="e">
        <f>VLOOKUP(D3,Dépôt!$A$1:$W364,21,TRUE)</f>
        <v>#N/A</v>
      </c>
      <c r="E4" s="94" t="e">
        <f>VLOOKUP(E3,Dépôt!$A$1:$W364,21,TRUE)</f>
        <v>#N/A</v>
      </c>
      <c r="F4" s="94" t="e">
        <f>VLOOKUP(F3,Dépôt!$A$1:$W364,21,TRUE)</f>
        <v>#N/A</v>
      </c>
      <c r="G4" s="94" t="e">
        <f>VLOOKUP(G3,Dépôt!$A$1:$W364,21,TRUE)</f>
        <v>#N/A</v>
      </c>
      <c r="H4" s="94" t="e">
        <f>VLOOKUP(H3,Dépôt!$A$1:$W364,21,TRUE)</f>
        <v>#N/A</v>
      </c>
      <c r="I4" s="91" t="e">
        <f>SUM(B4:H4)</f>
        <v>#N/A</v>
      </c>
      <c r="J4" s="78"/>
    </row>
    <row r="5" spans="1:11" s="76" customFormat="1" ht="15" x14ac:dyDescent="0.25">
      <c r="A5" s="65"/>
      <c r="B5" s="86">
        <v>8</v>
      </c>
      <c r="C5" s="86">
        <v>9</v>
      </c>
      <c r="D5" s="86">
        <v>10</v>
      </c>
      <c r="E5" s="86">
        <v>11</v>
      </c>
      <c r="F5" s="86">
        <v>12</v>
      </c>
      <c r="G5" s="86">
        <v>13</v>
      </c>
      <c r="H5" s="86">
        <v>14</v>
      </c>
      <c r="I5" s="83"/>
    </row>
    <row r="6" spans="1:11" ht="15" x14ac:dyDescent="0.2">
      <c r="B6" s="94" t="e">
        <f>VLOOKUP(B5,Dépôt!$A$1:$W366,21,TRUE)</f>
        <v>#N/A</v>
      </c>
      <c r="C6" s="94" t="e">
        <f>VLOOKUP(C5,Dépôt!$A$1:$W366,21,TRUE)</f>
        <v>#N/A</v>
      </c>
      <c r="D6" s="94" t="e">
        <f>VLOOKUP(D5,Dépôt!$A$1:$W366,21,TRUE)</f>
        <v>#N/A</v>
      </c>
      <c r="E6" s="94" t="e">
        <f>VLOOKUP(E5,Dépôt!$A$1:$W366,21,TRUE)</f>
        <v>#N/A</v>
      </c>
      <c r="F6" s="94" t="e">
        <f>VLOOKUP(F5,Dépôt!$A$1:$W366,21,TRUE)</f>
        <v>#N/A</v>
      </c>
      <c r="G6" s="94" t="e">
        <f>VLOOKUP(G5,Dépôt!$A$1:$W366,21,TRUE)</f>
        <v>#N/A</v>
      </c>
      <c r="H6" s="94" t="e">
        <f>VLOOKUP(H5,Dépôt!$A$1:$W366,21,TRUE)</f>
        <v>#N/A</v>
      </c>
      <c r="I6" s="91" t="e">
        <f>SUM(B6:H6)</f>
        <v>#N/A</v>
      </c>
      <c r="J6" s="81"/>
    </row>
    <row r="7" spans="1:11" s="76" customFormat="1" ht="15" x14ac:dyDescent="0.25">
      <c r="A7" s="65"/>
      <c r="B7" s="85">
        <v>15</v>
      </c>
      <c r="C7" s="85">
        <v>16</v>
      </c>
      <c r="D7" s="85">
        <v>17</v>
      </c>
      <c r="E7" s="85">
        <v>18</v>
      </c>
      <c r="F7" s="85">
        <v>19</v>
      </c>
      <c r="G7" s="85">
        <v>20</v>
      </c>
      <c r="H7" s="85">
        <v>21</v>
      </c>
      <c r="I7" s="83"/>
      <c r="J7" s="81"/>
    </row>
    <row r="8" spans="1:11" ht="15" x14ac:dyDescent="0.3">
      <c r="B8" s="94" t="e">
        <f>VLOOKUP(B7,Dépôt!$A$1:$W368,21,TRUE)</f>
        <v>#N/A</v>
      </c>
      <c r="C8" s="94" t="e">
        <f>VLOOKUP(C7,Dépôt!$A$1:$W368,21,TRUE)</f>
        <v>#N/A</v>
      </c>
      <c r="D8" s="94" t="e">
        <f>VLOOKUP(D7,Dépôt!$A$1:$W368,21,TRUE)</f>
        <v>#N/A</v>
      </c>
      <c r="E8" s="94" t="e">
        <f>VLOOKUP(E7,Dépôt!$A$1:$W368,21,TRUE)</f>
        <v>#N/A</v>
      </c>
      <c r="F8" s="94" t="e">
        <f>VLOOKUP(F7,Dépôt!$A$1:$W368,21,TRUE)</f>
        <v>#N/A</v>
      </c>
      <c r="G8" s="94" t="e">
        <f>VLOOKUP(G7,Dépôt!$A$1:$W368,21,TRUE)</f>
        <v>#N/A</v>
      </c>
      <c r="H8" s="94" t="e">
        <f>VLOOKUP(H7,Dépôt!$A$1:$W368,21,TRUE)</f>
        <v>#N/A</v>
      </c>
      <c r="I8" s="91" t="e">
        <f>SUM(B8:H8)</f>
        <v>#N/A</v>
      </c>
    </row>
    <row r="9" spans="1:11" s="76" customFormat="1" ht="15" x14ac:dyDescent="0.25">
      <c r="A9" s="65"/>
      <c r="B9" s="86">
        <v>22</v>
      </c>
      <c r="C9" s="86">
        <v>23</v>
      </c>
      <c r="D9" s="86">
        <v>24</v>
      </c>
      <c r="E9" s="86">
        <v>25</v>
      </c>
      <c r="F9" s="86">
        <v>26</v>
      </c>
      <c r="G9" s="86">
        <v>27</v>
      </c>
      <c r="H9" s="86">
        <v>28</v>
      </c>
      <c r="I9" s="83"/>
    </row>
    <row r="10" spans="1:11" ht="15" x14ac:dyDescent="0.3">
      <c r="B10" s="94" t="e">
        <f>VLOOKUP(B9,Dépôt!$A$1:$W370,21,TRUE)</f>
        <v>#N/A</v>
      </c>
      <c r="C10" s="94" t="e">
        <f>VLOOKUP(C9,Dépôt!$A$1:$W370,21,TRUE)</f>
        <v>#N/A</v>
      </c>
      <c r="D10" s="94" t="e">
        <f>VLOOKUP(D9,Dépôt!$A$1:$W370,21,TRUE)</f>
        <v>#N/A</v>
      </c>
      <c r="E10" s="94" t="e">
        <f>VLOOKUP(E9,Dépôt!$A$1:$W370,21,TRUE)</f>
        <v>#N/A</v>
      </c>
      <c r="F10" s="94" t="e">
        <f>VLOOKUP(F9,Dépôt!$A$1:$W370,21,TRUE)</f>
        <v>#N/A</v>
      </c>
      <c r="G10" s="94" t="e">
        <f>VLOOKUP(G9,Dépôt!$A$1:$W370,21,TRUE)</f>
        <v>#N/A</v>
      </c>
      <c r="H10" s="94" t="e">
        <f>VLOOKUP(H9,Dépôt!$A$1:$W370,21,TRUE)</f>
        <v>#N/A</v>
      </c>
      <c r="I10" s="91" t="e">
        <f>SUM(B10:H10)</f>
        <v>#N/A</v>
      </c>
    </row>
    <row r="11" spans="1:11" s="76" customFormat="1" ht="15" x14ac:dyDescent="0.25">
      <c r="A11" s="65"/>
      <c r="B11" s="88">
        <v>29</v>
      </c>
      <c r="C11" s="88">
        <v>30</v>
      </c>
      <c r="D11" s="88">
        <v>31</v>
      </c>
      <c r="E11" s="88">
        <v>32</v>
      </c>
      <c r="F11" s="88">
        <v>33</v>
      </c>
      <c r="G11" s="88">
        <v>34</v>
      </c>
      <c r="H11" s="88">
        <v>35</v>
      </c>
      <c r="I11" s="83"/>
    </row>
    <row r="12" spans="1:11" ht="15" x14ac:dyDescent="0.3">
      <c r="B12" s="94" t="e">
        <f>VLOOKUP(B11,Dépôt!$A$1:$W372,21,TRUE)</f>
        <v>#N/A</v>
      </c>
      <c r="C12" s="94" t="e">
        <f>VLOOKUP(C11,Dépôt!$A$1:$W372,21,TRUE)</f>
        <v>#N/A</v>
      </c>
      <c r="D12" s="94" t="e">
        <f>VLOOKUP(D11,Dépôt!$A$1:$W372,21,TRUE)</f>
        <v>#N/A</v>
      </c>
      <c r="E12" s="94" t="e">
        <f>VLOOKUP(E11,Dépôt!$A$1:$W372,21,TRUE)</f>
        <v>#N/A</v>
      </c>
      <c r="F12" s="94" t="e">
        <f>VLOOKUP(F11,Dépôt!$A$1:$W372,21,TRUE)</f>
        <v>#N/A</v>
      </c>
      <c r="G12" s="94" t="e">
        <f>VLOOKUP(G11,Dépôt!$A$1:$W372,21,TRUE)</f>
        <v>#N/A</v>
      </c>
      <c r="H12" s="94" t="e">
        <f>VLOOKUP(H11,Dépôt!$A$1:$W372,21,TRUE)</f>
        <v>#N/A</v>
      </c>
      <c r="I12" s="91" t="e">
        <f>SUM(B12:H12)</f>
        <v>#N/A</v>
      </c>
    </row>
    <row r="13" spans="1:11" s="76" customFormat="1" x14ac:dyDescent="0.2">
      <c r="A13" s="65"/>
      <c r="B13" s="79">
        <f t="array" ref="B13:C13">JoursEtSemaines+DATE(AnnéeCalendrier,1,1)-WEEKDAY(DATE(AnnéeCalendrier,1,1),(DébutSemaine="LUNDI")+1)+36</f>
        <v>43499</v>
      </c>
      <c r="C13" s="79">
        <v>43500</v>
      </c>
      <c r="D13" s="118" t="s">
        <v>72</v>
      </c>
      <c r="E13" s="121"/>
      <c r="F13" s="121"/>
      <c r="G13" s="121"/>
      <c r="H13" s="121"/>
    </row>
    <row r="14" spans="1:11" x14ac:dyDescent="0.3">
      <c r="B14" s="80"/>
      <c r="C14" s="80"/>
      <c r="D14" s="118"/>
      <c r="E14" s="121"/>
      <c r="F14" s="121"/>
      <c r="G14" s="121"/>
      <c r="H14" s="121"/>
    </row>
  </sheetData>
  <mergeCells count="2">
    <mergeCell ref="D13:D14"/>
    <mergeCell ref="E13:H14"/>
  </mergeCells>
  <conditionalFormatting sqref="B3:H3">
    <cfRule type="expression" dxfId="61" priority="1">
      <formula>DAY(B3)&gt;8</formula>
    </cfRule>
  </conditionalFormatting>
  <conditionalFormatting sqref="B13:C13 B11:H11">
    <cfRule type="expression" dxfId="60" priority="2">
      <formula>AND(DAY(B11)&gt;=1,DAY(B11)&lt;=15)</formula>
    </cfRule>
  </conditionalFormatting>
  <dataValidations count="13">
    <dataValidation allowBlank="1" showInputMessage="1" showErrorMessage="1" prompt="Cette ligne ainsi que les lignes 5, 7, 9, 11 et 13 contiennent les jours civils de la semaine. Si cette cellule ne contient pas le numéro 1, c’est qu’il s’agit d’un jour du mois précédent. Entrez des notes dans la cellule E13" sqref="B3 D3 F3 H3" xr:uid="{00000000-0002-0000-0D00-000000000000}"/>
    <dataValidation type="list" errorStyle="warning" allowBlank="1" showInputMessage="1" showErrorMessage="1" error="Sélectionnez un jour dans la liste. Sélectionnez ANNULER, puis appuyez sur ALT+FLÈCHE BAS pour choisir un jour dans la liste déroulante." prompt="Sélectionnez le jour de début de la semaine dans cette cellule. Appuyez sur ALT+FLÈCHE BAS pour ouvrir la liste déroulante, puis sur ENTRÉE pour sélectionner le jour de début de la semaine." sqref="K3" xr:uid="{00000000-0002-0000-0D00-000001000000}">
      <formula1>"DIMANCHE,LUNDI"</formula1>
    </dataValidation>
    <dataValidation allowBlank="1" showInputMessage="1" showErrorMessage="1" prompt="Créez des calendriers personnalisés d’un mois dans ce classeur. Personnalisez l’année et le jour de début de la semaine pour tous les mois avec cette feuille de calcul Janvier. Chaque mois figure sur une feuille de calcul distincte" sqref="A1" xr:uid="{00000000-0002-0000-0D00-000002000000}"/>
    <dataValidation allowBlank="1" showInputMessage="1" showErrorMessage="1" prompt="L’année figurant dans cette cellule est mise à jour automatiquement. Pour modifier l’année, sélectionnez une autre année dans la cellule K2" sqref="C1:D1" xr:uid="{00000000-0002-0000-0D00-000003000000}"/>
    <dataValidation allowBlank="1" showInputMessage="1" showErrorMessage="1" prompt="Entrez l’année et sélectionnez le jour de début du calendrier dans les cellules ci-dessous. Ces cellules Paramètres du calendrier ne s’imprimeront pas" sqref="J1" xr:uid="{00000000-0002-0000-0D00-000004000000}"/>
    <dataValidation allowBlank="1" showInputMessage="1" showErrorMessage="1" prompt="Entrez l’année dans la cellule à droite" sqref="J2" xr:uid="{00000000-0002-0000-0D00-000005000000}"/>
    <dataValidation allowBlank="1" showInputMessage="1" showErrorMessage="1" prompt="Sélectionnez le jour de début de la semaine dans la cellule à droite" sqref="J3" xr:uid="{00000000-0002-0000-0D00-000006000000}"/>
    <dataValidation allowBlank="1" showInputMessage="1" showErrorMessage="1" prompt="Entrez une année dans cette cellule" sqref="K2" xr:uid="{00000000-0002-0000-0D00-000007000000}"/>
    <dataValidation allowBlank="1" showInputMessage="1" showErrorMessage="1" prompt="Cette ligne contient les noms des jours de la semaine pour ce calendrier. Cette cellule contient le jour de début de la semaine. Pour modifier le jour de début de la semaine, entrez un nouveau jour dans la cellule K3" sqref="B2" xr:uid="{00000000-0002-0000-0D00-000008000000}"/>
    <dataValidation allowBlank="1" showInputMessage="1" showErrorMessage="1" prompt="L’année dans cette cellule est automatiquement mise à jour en fonction de l’année entrée dans la cellule K2. Le calendrier ci-dessous inclut les dates des mois précédent et suivant dans une teinte plus claire" sqref="B1" xr:uid="{00000000-0002-0000-0D00-000009000000}"/>
    <dataValidation allowBlank="1" showInputMessage="1" showErrorMessage="1" prompt="Jour de la semaine déterminé automatiquement" sqref="C2:H2" xr:uid="{00000000-0002-0000-0D00-00000A000000}"/>
    <dataValidation allowBlank="1" showInputMessage="1" showErrorMessage="1" prompt="Entrez les Notes dans cette cellule" sqref="E13:H14" xr:uid="{00000000-0002-0000-0D00-00000C000000}"/>
    <dataValidation allowBlank="1" showInputMessage="1" showErrorMessage="1" prompt="Entrez les Notes dans la cellule à droite" sqref="D13:D14" xr:uid="{00000000-0002-0000-0D00-00000D000000}"/>
  </dataValidation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Feuil15">
    <tabColor theme="4" tint="0.39997558519241921"/>
    <pageSetUpPr fitToPage="1"/>
  </sheetPr>
  <dimension ref="A1:AD12"/>
  <sheetViews>
    <sheetView showGridLines="0" zoomScaleNormal="100" workbookViewId="0">
      <pane ySplit="3" topLeftCell="A7" activePane="bottomLeft" state="frozen"/>
      <selection pane="bottomLeft" activeCell="E10" sqref="E10"/>
    </sheetView>
  </sheetViews>
  <sheetFormatPr baseColWidth="10" defaultColWidth="9" defaultRowHeight="30" customHeight="1" x14ac:dyDescent="0.3"/>
  <cols>
    <col min="1" max="1" width="2.625" customWidth="1"/>
    <col min="2" max="2" width="30.375" customWidth="1"/>
    <col min="3" max="3" width="14" customWidth="1"/>
    <col min="4" max="15" width="10.125" customWidth="1"/>
    <col min="16" max="16" width="9.875" customWidth="1"/>
    <col min="17" max="29" width="10.25" customWidth="1"/>
    <col min="30" max="30" width="9.875" customWidth="1"/>
    <col min="31" max="31" width="2.625" customWidth="1"/>
  </cols>
  <sheetData>
    <row r="1" spans="1:30" ht="35.1" customHeight="1" x14ac:dyDescent="0.3">
      <c r="A1" s="6"/>
      <c r="B1" s="20" t="str">
        <f>Titre_Période_Prévisions</f>
        <v>Douze mois</v>
      </c>
      <c r="C1" s="11"/>
      <c r="J1" s="8"/>
      <c r="Q1" s="7"/>
      <c r="R1" s="7"/>
      <c r="S1" s="7"/>
      <c r="T1" s="7"/>
      <c r="U1" s="7"/>
      <c r="V1" s="7"/>
      <c r="W1" s="7"/>
      <c r="X1" s="7"/>
      <c r="Y1" s="7"/>
      <c r="Z1" s="7"/>
      <c r="AA1" s="7"/>
      <c r="AB1" s="7"/>
      <c r="AC1" s="7"/>
      <c r="AD1" s="17" t="str">
        <f>Nom_Entreprise</f>
        <v>Nom de l’entreprise</v>
      </c>
    </row>
    <row r="2" spans="1:30" ht="60" customHeight="1" x14ac:dyDescent="0.3">
      <c r="B2" s="28" t="str">
        <f>Titre_Feuille_Calcul</f>
        <v>DEPÔT en Banque</v>
      </c>
      <c r="E2" s="3"/>
      <c r="G2" s="3"/>
      <c r="K2" s="3"/>
      <c r="L2" s="3"/>
      <c r="M2" s="3"/>
      <c r="N2" s="3"/>
      <c r="O2" s="3"/>
      <c r="X2" s="5"/>
      <c r="Y2" s="5"/>
      <c r="Z2" s="5"/>
      <c r="AA2" s="5"/>
      <c r="AB2" s="18" t="s">
        <v>15</v>
      </c>
      <c r="AC2" s="18" t="str">
        <f>FYMonthStart</f>
        <v>JANV</v>
      </c>
      <c r="AD2" s="18">
        <f ca="1">FYStartYear</f>
        <v>2019</v>
      </c>
    </row>
    <row r="3" spans="1:30" ht="20.100000000000001" customHeight="1" x14ac:dyDescent="0.3">
      <c r="D3" s="33" t="str">
        <f ca="1">UPPER(TEXT(DATE(FYStartYear,FYMonthNo,1),"mmm-aa"))</f>
        <v>JANV-19</v>
      </c>
      <c r="E3" s="33" t="str">
        <f ca="1">UPPER(TEXT(DATE(FYStartYear,FYMonthNo+1,1),"mmm-aa"))</f>
        <v>FÉVR-19</v>
      </c>
      <c r="F3" s="33" t="str">
        <f ca="1">UPPER(TEXT(DATE(FYStartYear,FYMonthNo+2,1),"mmm-aa"))</f>
        <v>MARS-19</v>
      </c>
      <c r="G3" s="33" t="str">
        <f ca="1">UPPER(TEXT(DATE(FYStartYear,FYMonthNo+3,1),"mmm-aa"))</f>
        <v>AVR-19</v>
      </c>
      <c r="H3" s="33" t="str">
        <f ca="1">UPPER(TEXT(DATE(FYStartYear,FYMonthNo+4,1),"mmm-aa"))</f>
        <v>MAI-19</v>
      </c>
      <c r="I3" s="33" t="str">
        <f ca="1">UPPER(TEXT(DATE(FYStartYear,FYMonthNo+5,1),"mmm-aa"))</f>
        <v>JUIN-19</v>
      </c>
      <c r="J3" s="33" t="str">
        <f ca="1">UPPER(TEXT(DATE(FYStartYear,FYMonthNo+6,1),"mmm-aa"))</f>
        <v>JUIL-19</v>
      </c>
      <c r="K3" s="33" t="str">
        <f ca="1">UPPER(TEXT(DATE(FYStartYear,FYMonthNo+7,1),"mmm-aa"))</f>
        <v>AOÛT-19</v>
      </c>
      <c r="L3" s="33" t="str">
        <f ca="1">UPPER(TEXT(DATE(FYStartYear,FYMonthNo+8,1),"mmm-aa"))</f>
        <v>SEPT-19</v>
      </c>
      <c r="M3" s="33" t="str">
        <f ca="1">UPPER(TEXT(DATE(FYStartYear,FYMonthNo+9,1),"mmm-aa"))</f>
        <v>OCT-19</v>
      </c>
      <c r="N3" s="33" t="str">
        <f ca="1">UPPER(TEXT(DATE(FYStartYear,FYMonthNo+10,1),"mmm-aa"))</f>
        <v>NOV-19</v>
      </c>
      <c r="O3" s="33" t="str">
        <f ca="1">UPPER(TEXT(DATE(FYStartYear,FYMonthNo+11,1),"mmm-aa"))</f>
        <v>DÉC-19</v>
      </c>
      <c r="P3" s="33" t="s">
        <v>8</v>
      </c>
      <c r="Q3" s="33" t="s">
        <v>38</v>
      </c>
      <c r="R3" s="33" t="str">
        <f t="shared" ref="R3:AC3" ca="1" si="0">LEFT(D3,3)&amp;" %"</f>
        <v>JAN %</v>
      </c>
      <c r="S3" s="33" t="str">
        <f t="shared" ca="1" si="0"/>
        <v>FÉV %</v>
      </c>
      <c r="T3" s="33" t="str">
        <f t="shared" ca="1" si="0"/>
        <v>MAR %</v>
      </c>
      <c r="U3" s="33" t="str">
        <f t="shared" ca="1" si="0"/>
        <v>AVR %</v>
      </c>
      <c r="V3" s="33" t="str">
        <f t="shared" ca="1" si="0"/>
        <v>MAI %</v>
      </c>
      <c r="W3" s="33" t="str">
        <f t="shared" ca="1" si="0"/>
        <v>JUI %</v>
      </c>
      <c r="X3" s="33" t="str">
        <f t="shared" ca="1" si="0"/>
        <v>JUI %</v>
      </c>
      <c r="Y3" s="33" t="str">
        <f t="shared" ca="1" si="0"/>
        <v>AOÛ %</v>
      </c>
      <c r="Z3" s="33" t="str">
        <f t="shared" ca="1" si="0"/>
        <v>SEP %</v>
      </c>
      <c r="AA3" s="33" t="str">
        <f t="shared" ca="1" si="0"/>
        <v>OCT %</v>
      </c>
      <c r="AB3" s="33" t="str">
        <f t="shared" ca="1" si="0"/>
        <v>NOV %</v>
      </c>
      <c r="AC3" s="33" t="str">
        <f t="shared" ca="1" si="0"/>
        <v>DÉC %</v>
      </c>
      <c r="AD3" s="33" t="s">
        <v>39</v>
      </c>
    </row>
    <row r="4" spans="1:30" ht="30" customHeight="1" x14ac:dyDescent="0.3">
      <c r="B4" s="27" t="s">
        <v>12</v>
      </c>
      <c r="C4" s="27" t="s">
        <v>3</v>
      </c>
      <c r="D4" s="21" t="s">
        <v>41</v>
      </c>
      <c r="E4" s="21" t="s">
        <v>42</v>
      </c>
      <c r="F4" s="21" t="s">
        <v>4</v>
      </c>
      <c r="G4" s="21" t="s">
        <v>43</v>
      </c>
      <c r="H4" s="21" t="s">
        <v>5</v>
      </c>
      <c r="I4" s="21" t="s">
        <v>6</v>
      </c>
      <c r="J4" s="21" t="s">
        <v>44</v>
      </c>
      <c r="K4" s="21" t="s">
        <v>7</v>
      </c>
      <c r="L4" s="21" t="s">
        <v>45</v>
      </c>
      <c r="M4" s="21" t="s">
        <v>46</v>
      </c>
      <c r="N4" s="21" t="s">
        <v>47</v>
      </c>
      <c r="O4" s="21" t="s">
        <v>48</v>
      </c>
      <c r="P4" s="21" t="s">
        <v>9</v>
      </c>
      <c r="Q4" s="22" t="s">
        <v>49</v>
      </c>
      <c r="R4" s="22" t="s">
        <v>56</v>
      </c>
      <c r="S4" s="22" t="s">
        <v>57</v>
      </c>
      <c r="T4" s="22" t="s">
        <v>58</v>
      </c>
      <c r="U4" s="22" t="s">
        <v>50</v>
      </c>
      <c r="V4" s="22" t="s">
        <v>51</v>
      </c>
      <c r="W4" s="22" t="s">
        <v>59</v>
      </c>
      <c r="X4" s="22" t="s">
        <v>62</v>
      </c>
      <c r="Y4" s="22" t="s">
        <v>60</v>
      </c>
      <c r="Z4" s="22" t="s">
        <v>61</v>
      </c>
      <c r="AA4" s="22" t="s">
        <v>52</v>
      </c>
      <c r="AB4" s="22" t="s">
        <v>53</v>
      </c>
      <c r="AC4" s="22" t="s">
        <v>54</v>
      </c>
      <c r="AD4" s="21" t="s">
        <v>55</v>
      </c>
    </row>
    <row r="5" spans="1:30" ht="30" customHeight="1" x14ac:dyDescent="0.3">
      <c r="B5" s="53" t="s">
        <v>63</v>
      </c>
      <c r="C5" s="29"/>
      <c r="D5" s="23">
        <v>61</v>
      </c>
      <c r="E5" s="23">
        <v>78</v>
      </c>
      <c r="F5" s="23">
        <v>65</v>
      </c>
      <c r="G5" s="23">
        <v>29</v>
      </c>
      <c r="H5" s="23">
        <v>125</v>
      </c>
      <c r="I5" s="23">
        <v>49</v>
      </c>
      <c r="J5" s="23">
        <v>14</v>
      </c>
      <c r="K5" s="23">
        <v>26</v>
      </c>
      <c r="L5" s="23">
        <v>14</v>
      </c>
      <c r="M5" s="23">
        <v>129</v>
      </c>
      <c r="N5" s="23">
        <v>60</v>
      </c>
      <c r="O5" s="23">
        <v>65</v>
      </c>
      <c r="P5" s="36">
        <f>SUM(CoûtdesVentes[[#This Row],[Janv]:[Déc]])</f>
        <v>715</v>
      </c>
      <c r="Q5" s="24">
        <v>0.12</v>
      </c>
      <c r="R5" s="37">
        <f>IFERROR(CoûtdesVentes[[#This Row],[Janv]]/CoûtdesVentes[[#Totals],[Janv]],"-")</f>
        <v>0.28504672897196259</v>
      </c>
      <c r="S5" s="37">
        <f>IFERROR(CoûtdesVentes[[#This Row],[Févr]]/CoûtdesVentes[[#Totals],[Févr]],"-")</f>
        <v>0.27464788732394368</v>
      </c>
      <c r="T5" s="37">
        <f>IFERROR(CoûtdesVentes[[#This Row],[Mars]]/CoûtdesVentes[[#Totals],[Mars]],"-")</f>
        <v>0.26748971193415638</v>
      </c>
      <c r="U5" s="37">
        <f>IFERROR(CoûtdesVentes[[#This Row],[Avr]]/CoûtdesVentes[[#Totals],[Avr]],"-")</f>
        <v>0.15343915343915343</v>
      </c>
      <c r="V5" s="37">
        <f>IFERROR(CoûtdesVentes[[#This Row],[Mai]]/CoûtdesVentes[[#Totals],[Mai]],"-")</f>
        <v>0.39308176100628933</v>
      </c>
      <c r="W5" s="37">
        <f>IFERROR(CoûtdesVentes[[#This Row],[Juin]]/CoûtdesVentes[[#Totals],[Juin]],"-")</f>
        <v>0.27374301675977653</v>
      </c>
      <c r="X5" s="37">
        <f>IFERROR(CoûtdesVentes[[#This Row],[Juil]]/CoûtdesVentes[[#Totals],[Juil]],"-")</f>
        <v>9.2715231788079472E-2</v>
      </c>
      <c r="Y5" s="37">
        <f>IFERROR(CoûtdesVentes[[#This Row],[Août]]/CoûtdesVentes[[#Totals],[Août]],"-")</f>
        <v>0.15568862275449102</v>
      </c>
      <c r="Z5" s="37">
        <f>IFERROR(CoûtdesVentes[[#This Row],[Sept]]/CoûtdesVentes[[#Totals],[Sept]],"-")</f>
        <v>5.8823529411764705E-2</v>
      </c>
      <c r="AA5" s="37">
        <f>IFERROR(CoûtdesVentes[[#This Row],[Oct]]/CoûtdesVentes[[#Totals],[Oct]],"-")</f>
        <v>0.53749999999999998</v>
      </c>
      <c r="AB5" s="37">
        <f>IFERROR(CoûtdesVentes[[#This Row],[Nov]]/CoûtdesVentes[[#Totals],[Nov]],"-")</f>
        <v>0.30927835051546393</v>
      </c>
      <c r="AC5" s="37">
        <f>IFERROR(CoûtdesVentes[[#This Row],[Déc]]/CoûtdesVentes[[#Totals],[Déc]],"-")</f>
        <v>0.20061728395061729</v>
      </c>
      <c r="AD5" s="37">
        <f>IFERROR(CoûtdesVentes[[#This Row],[Annuel]]/CoûtdesVentes[[#Totals],[Annuel]],"-")</f>
        <v>0.26085370302809191</v>
      </c>
    </row>
    <row r="6" spans="1:30" ht="30" customHeight="1" x14ac:dyDescent="0.3">
      <c r="B6" s="53" t="s">
        <v>64</v>
      </c>
      <c r="C6" s="29"/>
      <c r="D6" s="23">
        <v>7</v>
      </c>
      <c r="E6" s="23">
        <v>5</v>
      </c>
      <c r="F6" s="23">
        <v>69</v>
      </c>
      <c r="G6" s="23">
        <v>32</v>
      </c>
      <c r="H6" s="23">
        <v>11</v>
      </c>
      <c r="I6" s="23">
        <v>30</v>
      </c>
      <c r="J6" s="23">
        <v>27</v>
      </c>
      <c r="K6" s="23">
        <v>32</v>
      </c>
      <c r="L6" s="23">
        <v>10</v>
      </c>
      <c r="M6" s="23">
        <v>41</v>
      </c>
      <c r="N6" s="23">
        <v>13</v>
      </c>
      <c r="O6" s="23">
        <v>105</v>
      </c>
      <c r="P6" s="36">
        <f>SUM(CoûtdesVentes[[#This Row],[Janv]:[Déc]])</f>
        <v>382</v>
      </c>
      <c r="Q6" s="24">
        <v>0.18</v>
      </c>
      <c r="R6" s="37">
        <f>IFERROR(CoûtdesVentes[[#This Row],[Janv]]/CoûtdesVentes[[#Totals],[Janv]],"-")</f>
        <v>3.2710280373831772E-2</v>
      </c>
      <c r="S6" s="37">
        <f>IFERROR(CoûtdesVentes[[#This Row],[Févr]]/CoûtdesVentes[[#Totals],[Févr]],"-")</f>
        <v>1.7605633802816902E-2</v>
      </c>
      <c r="T6" s="37">
        <f>IFERROR(CoûtdesVentes[[#This Row],[Mars]]/CoûtdesVentes[[#Totals],[Mars]],"-")</f>
        <v>0.2839506172839506</v>
      </c>
      <c r="U6" s="37">
        <f>IFERROR(CoûtdesVentes[[#This Row],[Avr]]/CoûtdesVentes[[#Totals],[Avr]],"-")</f>
        <v>0.1693121693121693</v>
      </c>
      <c r="V6" s="37">
        <f>IFERROR(CoûtdesVentes[[#This Row],[Mai]]/CoûtdesVentes[[#Totals],[Mai]],"-")</f>
        <v>3.4591194968553458E-2</v>
      </c>
      <c r="W6" s="37">
        <f>IFERROR(CoûtdesVentes[[#This Row],[Juin]]/CoûtdesVentes[[#Totals],[Juin]],"-")</f>
        <v>0.16759776536312848</v>
      </c>
      <c r="X6" s="37">
        <f>IFERROR(CoûtdesVentes[[#This Row],[Juil]]/CoûtdesVentes[[#Totals],[Juil]],"-")</f>
        <v>0.17880794701986755</v>
      </c>
      <c r="Y6" s="37">
        <f>IFERROR(CoûtdesVentes[[#This Row],[Août]]/CoûtdesVentes[[#Totals],[Août]],"-")</f>
        <v>0.19161676646706588</v>
      </c>
      <c r="Z6" s="37">
        <f>IFERROR(CoûtdesVentes[[#This Row],[Sept]]/CoûtdesVentes[[#Totals],[Sept]],"-")</f>
        <v>4.2016806722689079E-2</v>
      </c>
      <c r="AA6" s="37">
        <f>IFERROR(CoûtdesVentes[[#This Row],[Oct]]/CoûtdesVentes[[#Totals],[Oct]],"-")</f>
        <v>0.17083333333333334</v>
      </c>
      <c r="AB6" s="37">
        <f>IFERROR(CoûtdesVentes[[#This Row],[Nov]]/CoûtdesVentes[[#Totals],[Nov]],"-")</f>
        <v>6.7010309278350513E-2</v>
      </c>
      <c r="AC6" s="37">
        <f>IFERROR(CoûtdesVentes[[#This Row],[Déc]]/CoûtdesVentes[[#Totals],[Déc]],"-")</f>
        <v>0.32407407407407407</v>
      </c>
      <c r="AD6" s="37">
        <f>IFERROR(CoûtdesVentes[[#This Row],[Annuel]]/CoûtdesVentes[[#Totals],[Annuel]],"-")</f>
        <v>0.13936519518423932</v>
      </c>
    </row>
    <row r="7" spans="1:30" ht="30" customHeight="1" x14ac:dyDescent="0.3">
      <c r="B7" s="53" t="s">
        <v>65</v>
      </c>
      <c r="C7" s="29"/>
      <c r="D7" s="23">
        <v>99</v>
      </c>
      <c r="E7" s="23">
        <v>95</v>
      </c>
      <c r="F7" s="23">
        <v>51</v>
      </c>
      <c r="G7" s="23">
        <v>90</v>
      </c>
      <c r="H7" s="23">
        <v>21</v>
      </c>
      <c r="I7" s="23">
        <v>34</v>
      </c>
      <c r="J7" s="23">
        <v>30</v>
      </c>
      <c r="K7" s="23">
        <v>24</v>
      </c>
      <c r="L7" s="23">
        <v>109</v>
      </c>
      <c r="M7" s="23">
        <v>16</v>
      </c>
      <c r="N7" s="23">
        <v>21</v>
      </c>
      <c r="O7" s="23">
        <v>52</v>
      </c>
      <c r="P7" s="36">
        <f>SUM(CoûtdesVentes[[#This Row],[Janv]:[Déc]])</f>
        <v>642</v>
      </c>
      <c r="Q7" s="24">
        <v>0.19</v>
      </c>
      <c r="R7" s="37">
        <f>IFERROR(CoûtdesVentes[[#This Row],[Janv]]/CoûtdesVentes[[#Totals],[Janv]],"-")</f>
        <v>0.46261682242990654</v>
      </c>
      <c r="S7" s="37">
        <f>IFERROR(CoûtdesVentes[[#This Row],[Févr]]/CoûtdesVentes[[#Totals],[Févr]],"-")</f>
        <v>0.33450704225352113</v>
      </c>
      <c r="T7" s="37">
        <f>IFERROR(CoûtdesVentes[[#This Row],[Mars]]/CoûtdesVentes[[#Totals],[Mars]],"-")</f>
        <v>0.20987654320987653</v>
      </c>
      <c r="U7" s="37">
        <f>IFERROR(CoûtdesVentes[[#This Row],[Avr]]/CoûtdesVentes[[#Totals],[Avr]],"-")</f>
        <v>0.47619047619047616</v>
      </c>
      <c r="V7" s="37">
        <f>IFERROR(CoûtdesVentes[[#This Row],[Mai]]/CoûtdesVentes[[#Totals],[Mai]],"-")</f>
        <v>6.6037735849056603E-2</v>
      </c>
      <c r="W7" s="37">
        <f>IFERROR(CoûtdesVentes[[#This Row],[Juin]]/CoûtdesVentes[[#Totals],[Juin]],"-")</f>
        <v>0.18994413407821228</v>
      </c>
      <c r="X7" s="37">
        <f>IFERROR(CoûtdesVentes[[#This Row],[Juil]]/CoûtdesVentes[[#Totals],[Juil]],"-")</f>
        <v>0.19867549668874171</v>
      </c>
      <c r="Y7" s="37">
        <f>IFERROR(CoûtdesVentes[[#This Row],[Août]]/CoûtdesVentes[[#Totals],[Août]],"-")</f>
        <v>0.1437125748502994</v>
      </c>
      <c r="Z7" s="37">
        <f>IFERROR(CoûtdesVentes[[#This Row],[Sept]]/CoûtdesVentes[[#Totals],[Sept]],"-")</f>
        <v>0.45798319327731091</v>
      </c>
      <c r="AA7" s="37">
        <f>IFERROR(CoûtdesVentes[[#This Row],[Oct]]/CoûtdesVentes[[#Totals],[Oct]],"-")</f>
        <v>6.6666666666666666E-2</v>
      </c>
      <c r="AB7" s="37">
        <f>IFERROR(CoûtdesVentes[[#This Row],[Nov]]/CoûtdesVentes[[#Totals],[Nov]],"-")</f>
        <v>0.10824742268041238</v>
      </c>
      <c r="AC7" s="37">
        <f>IFERROR(CoûtdesVentes[[#This Row],[Déc]]/CoûtdesVentes[[#Totals],[Déc]],"-")</f>
        <v>0.16049382716049382</v>
      </c>
      <c r="AD7" s="37">
        <f>IFERROR(CoûtdesVentes[[#This Row],[Annuel]]/CoûtdesVentes[[#Totals],[Annuel]],"-")</f>
        <v>0.23422108719445459</v>
      </c>
    </row>
    <row r="8" spans="1:30" ht="30" customHeight="1" x14ac:dyDescent="0.3">
      <c r="B8" s="53" t="s">
        <v>66</v>
      </c>
      <c r="C8" s="29"/>
      <c r="D8" s="23">
        <v>13</v>
      </c>
      <c r="E8" s="23">
        <v>28</v>
      </c>
      <c r="F8" s="23">
        <v>15</v>
      </c>
      <c r="G8" s="23">
        <v>8</v>
      </c>
      <c r="H8" s="23">
        <v>84</v>
      </c>
      <c r="I8" s="23">
        <v>12</v>
      </c>
      <c r="J8" s="23">
        <v>54</v>
      </c>
      <c r="K8" s="23">
        <v>72</v>
      </c>
      <c r="L8" s="23">
        <v>49</v>
      </c>
      <c r="M8" s="23">
        <v>24</v>
      </c>
      <c r="N8" s="23">
        <v>60</v>
      </c>
      <c r="O8" s="23">
        <v>39</v>
      </c>
      <c r="P8" s="36">
        <f>SUM(CoûtdesVentes[[#This Row],[Janv]:[Déc]])</f>
        <v>458</v>
      </c>
      <c r="Q8" s="24">
        <v>0.11</v>
      </c>
      <c r="R8" s="37">
        <f>IFERROR(CoûtdesVentes[[#This Row],[Janv]]/CoûtdesVentes[[#Totals],[Janv]],"-")</f>
        <v>6.0747663551401869E-2</v>
      </c>
      <c r="S8" s="37">
        <f>IFERROR(CoûtdesVentes[[#This Row],[Févr]]/CoûtdesVentes[[#Totals],[Févr]],"-")</f>
        <v>9.8591549295774641E-2</v>
      </c>
      <c r="T8" s="37">
        <f>IFERROR(CoûtdesVentes[[#This Row],[Mars]]/CoûtdesVentes[[#Totals],[Mars]],"-")</f>
        <v>6.1728395061728392E-2</v>
      </c>
      <c r="U8" s="37">
        <f>IFERROR(CoûtdesVentes[[#This Row],[Avr]]/CoûtdesVentes[[#Totals],[Avr]],"-")</f>
        <v>4.2328042328042326E-2</v>
      </c>
      <c r="V8" s="37">
        <f>IFERROR(CoûtdesVentes[[#This Row],[Mai]]/CoûtdesVentes[[#Totals],[Mai]],"-")</f>
        <v>0.26415094339622641</v>
      </c>
      <c r="W8" s="37">
        <f>IFERROR(CoûtdesVentes[[#This Row],[Juin]]/CoûtdesVentes[[#Totals],[Juin]],"-")</f>
        <v>6.7039106145251395E-2</v>
      </c>
      <c r="X8" s="37">
        <f>IFERROR(CoûtdesVentes[[#This Row],[Juil]]/CoûtdesVentes[[#Totals],[Juil]],"-")</f>
        <v>0.35761589403973509</v>
      </c>
      <c r="Y8" s="37">
        <f>IFERROR(CoûtdesVentes[[#This Row],[Août]]/CoûtdesVentes[[#Totals],[Août]],"-")</f>
        <v>0.43113772455089822</v>
      </c>
      <c r="Z8" s="37">
        <f>IFERROR(CoûtdesVentes[[#This Row],[Sept]]/CoûtdesVentes[[#Totals],[Sept]],"-")</f>
        <v>0.20588235294117646</v>
      </c>
      <c r="AA8" s="37">
        <f>IFERROR(CoûtdesVentes[[#This Row],[Oct]]/CoûtdesVentes[[#Totals],[Oct]],"-")</f>
        <v>0.1</v>
      </c>
      <c r="AB8" s="37">
        <f>IFERROR(CoûtdesVentes[[#This Row],[Nov]]/CoûtdesVentes[[#Totals],[Nov]],"-")</f>
        <v>0.30927835051546393</v>
      </c>
      <c r="AC8" s="37">
        <f>IFERROR(CoûtdesVentes[[#This Row],[Déc]]/CoûtdesVentes[[#Totals],[Déc]],"-")</f>
        <v>0.12037037037037036</v>
      </c>
      <c r="AD8" s="37">
        <f>IFERROR(CoûtdesVentes[[#This Row],[Annuel]]/CoûtdesVentes[[#Totals],[Annuel]],"-")</f>
        <v>0.16709230207953302</v>
      </c>
    </row>
    <row r="9" spans="1:30" ht="30" customHeight="1" x14ac:dyDescent="0.3">
      <c r="B9" s="53" t="s">
        <v>67</v>
      </c>
      <c r="C9" s="29"/>
      <c r="D9" s="23">
        <v>34</v>
      </c>
      <c r="E9" s="23">
        <v>78</v>
      </c>
      <c r="F9" s="23">
        <v>43</v>
      </c>
      <c r="G9" s="23">
        <v>30</v>
      </c>
      <c r="H9" s="23">
        <v>77</v>
      </c>
      <c r="I9" s="23">
        <v>54</v>
      </c>
      <c r="J9" s="23">
        <v>26</v>
      </c>
      <c r="K9" s="23">
        <v>13</v>
      </c>
      <c r="L9" s="23">
        <v>56</v>
      </c>
      <c r="M9" s="23">
        <v>30</v>
      </c>
      <c r="N9" s="23">
        <v>40</v>
      </c>
      <c r="O9" s="23">
        <v>63</v>
      </c>
      <c r="P9" s="36">
        <f>SUM(CoûtdesVentes[[#This Row],[Janv]:[Déc]])</f>
        <v>544</v>
      </c>
      <c r="Q9" s="24">
        <v>0.2</v>
      </c>
      <c r="R9" s="37">
        <f>IFERROR(CoûtdesVentes[[#This Row],[Janv]]/CoûtdesVentes[[#Totals],[Janv]],"-")</f>
        <v>0.15887850467289719</v>
      </c>
      <c r="S9" s="37">
        <f>IFERROR(CoûtdesVentes[[#This Row],[Févr]]/CoûtdesVentes[[#Totals],[Févr]],"-")</f>
        <v>0.27464788732394368</v>
      </c>
      <c r="T9" s="37">
        <f>IFERROR(CoûtdesVentes[[#This Row],[Mars]]/CoûtdesVentes[[#Totals],[Mars]],"-")</f>
        <v>0.17695473251028807</v>
      </c>
      <c r="U9" s="37">
        <f>IFERROR(CoûtdesVentes[[#This Row],[Avr]]/CoûtdesVentes[[#Totals],[Avr]],"-")</f>
        <v>0.15873015873015872</v>
      </c>
      <c r="V9" s="37">
        <f>IFERROR(CoûtdesVentes[[#This Row],[Mai]]/CoûtdesVentes[[#Totals],[Mai]],"-")</f>
        <v>0.24213836477987422</v>
      </c>
      <c r="W9" s="37">
        <f>IFERROR(CoûtdesVentes[[#This Row],[Juin]]/CoûtdesVentes[[#Totals],[Juin]],"-")</f>
        <v>0.3016759776536313</v>
      </c>
      <c r="X9" s="37">
        <f>IFERROR(CoûtdesVentes[[#This Row],[Juil]]/CoûtdesVentes[[#Totals],[Juil]],"-")</f>
        <v>0.17218543046357615</v>
      </c>
      <c r="Y9" s="37">
        <f>IFERROR(CoûtdesVentes[[#This Row],[Août]]/CoûtdesVentes[[#Totals],[Août]],"-")</f>
        <v>7.7844311377245512E-2</v>
      </c>
      <c r="Z9" s="37">
        <f>IFERROR(CoûtdesVentes[[#This Row],[Sept]]/CoûtdesVentes[[#Totals],[Sept]],"-")</f>
        <v>0.23529411764705882</v>
      </c>
      <c r="AA9" s="37">
        <f>IFERROR(CoûtdesVentes[[#This Row],[Oct]]/CoûtdesVentes[[#Totals],[Oct]],"-")</f>
        <v>0.125</v>
      </c>
      <c r="AB9" s="37">
        <f>IFERROR(CoûtdesVentes[[#This Row],[Nov]]/CoûtdesVentes[[#Totals],[Nov]],"-")</f>
        <v>0.20618556701030927</v>
      </c>
      <c r="AC9" s="37">
        <f>IFERROR(CoûtdesVentes[[#This Row],[Déc]]/CoûtdesVentes[[#Totals],[Déc]],"-")</f>
        <v>0.19444444444444445</v>
      </c>
      <c r="AD9" s="37">
        <f>IFERROR(CoûtdesVentes[[#This Row],[Annuel]]/CoûtdesVentes[[#Totals],[Annuel]],"-")</f>
        <v>0.19846771251368114</v>
      </c>
    </row>
    <row r="10" spans="1:30" ht="30" customHeight="1" x14ac:dyDescent="0.3">
      <c r="B10" s="9" t="s">
        <v>13</v>
      </c>
      <c r="C10" s="25"/>
      <c r="D10" s="34">
        <f>SUBTOTAL(109,CoûtdesVentes[Janv])</f>
        <v>214</v>
      </c>
      <c r="E10" s="34">
        <f>SUBTOTAL(109,CoûtdesVentes[Févr])</f>
        <v>284</v>
      </c>
      <c r="F10" s="34">
        <f>SUBTOTAL(109,CoûtdesVentes[Mars])</f>
        <v>243</v>
      </c>
      <c r="G10" s="34">
        <f>SUBTOTAL(109,CoûtdesVentes[Avr])</f>
        <v>189</v>
      </c>
      <c r="H10" s="34">
        <f>SUBTOTAL(109,CoûtdesVentes[Mai])</f>
        <v>318</v>
      </c>
      <c r="I10" s="34">
        <f>SUBTOTAL(109,CoûtdesVentes[Juin])</f>
        <v>179</v>
      </c>
      <c r="J10" s="34">
        <f>SUBTOTAL(109,CoûtdesVentes[Juil])</f>
        <v>151</v>
      </c>
      <c r="K10" s="34">
        <f>SUBTOTAL(109,CoûtdesVentes[Août])</f>
        <v>167</v>
      </c>
      <c r="L10" s="34">
        <f>SUBTOTAL(109,CoûtdesVentes[Sept])</f>
        <v>238</v>
      </c>
      <c r="M10" s="34">
        <f>SUBTOTAL(109,CoûtdesVentes[Oct])</f>
        <v>240</v>
      </c>
      <c r="N10" s="34">
        <f>SUBTOTAL(109,CoûtdesVentes[Nov])</f>
        <v>194</v>
      </c>
      <c r="O10" s="34">
        <f>SUBTOTAL(109,CoûtdesVentes[Déc])</f>
        <v>324</v>
      </c>
      <c r="P10" s="34">
        <f>SUBTOTAL(109,CoûtdesVentes[Annuel])</f>
        <v>2741</v>
      </c>
      <c r="Q10" s="15">
        <f>SUBTOTAL(109,CoûtdesVentes[Index %])</f>
        <v>0.8</v>
      </c>
      <c r="R10" s="26">
        <f>SUBTOTAL(109,CoûtdesVentes[Jan %])</f>
        <v>1</v>
      </c>
      <c r="S10" s="26">
        <f>SUBTOTAL(109,CoûtdesVentes[Fév %])</f>
        <v>1</v>
      </c>
      <c r="T10" s="26">
        <f>SUBTOTAL(109,CoûtdesVentes[Mar %])</f>
        <v>1</v>
      </c>
      <c r="U10" s="26">
        <f>SUBTOTAL(109,CoûtdesVentes[Avr %])</f>
        <v>0.99999999999999989</v>
      </c>
      <c r="V10" s="26">
        <f>SUBTOTAL(109,CoûtdesVentes[Mai %])</f>
        <v>1</v>
      </c>
      <c r="W10" s="26">
        <f>SUBTOTAL(109,CoûtdesVentes[Jui %])</f>
        <v>1</v>
      </c>
      <c r="X10" s="26">
        <f>SUBTOTAL(109,CoûtdesVentes[Jui % ])</f>
        <v>1</v>
      </c>
      <c r="Y10" s="26">
        <f>SUBTOTAL(109,CoûtdesVentes[Aoû %])</f>
        <v>1</v>
      </c>
      <c r="Z10" s="26">
        <f>SUBTOTAL(109,CoûtdesVentes[Sep %])</f>
        <v>1</v>
      </c>
      <c r="AA10" s="26">
        <f>SUBTOTAL(109,CoûtdesVentes[Oct %])</f>
        <v>0.99999999999999989</v>
      </c>
      <c r="AB10" s="26">
        <f>SUBTOTAL(109,CoûtdesVentes[Nov %])</f>
        <v>1</v>
      </c>
      <c r="AC10" s="26">
        <f>SUBTOTAL(109,CoûtdesVentes[Déc %])</f>
        <v>0.99999999999999989</v>
      </c>
      <c r="AD10" s="26">
        <f>SUBTOTAL(109,CoûtdesVentes[Année %])</f>
        <v>1</v>
      </c>
    </row>
    <row r="11" spans="1:30" ht="30" customHeight="1" x14ac:dyDescent="0.3">
      <c r="B11" s="16"/>
      <c r="C11" s="16"/>
      <c r="D11" s="16"/>
      <c r="E11" s="16"/>
      <c r="F11" s="16"/>
      <c r="G11" s="16"/>
      <c r="H11" s="16"/>
      <c r="I11" s="16"/>
      <c r="J11" s="16"/>
      <c r="K11" s="16"/>
      <c r="L11" s="16"/>
      <c r="M11" s="16"/>
      <c r="N11" s="16"/>
      <c r="O11" s="16"/>
      <c r="P11" s="16"/>
      <c r="Q11" s="16"/>
      <c r="R11" s="16"/>
      <c r="S11" s="16"/>
      <c r="T11" s="16"/>
      <c r="U11" s="16"/>
      <c r="V11" s="16"/>
      <c r="W11" s="16"/>
      <c r="X11" s="16"/>
      <c r="Y11" s="16"/>
      <c r="Z11" s="16"/>
      <c r="AA11" s="16"/>
      <c r="AB11" s="16"/>
      <c r="AC11" s="16"/>
      <c r="AD11" s="16"/>
    </row>
    <row r="12" spans="1:30" ht="30" customHeight="1" x14ac:dyDescent="0.3">
      <c r="B12" s="12" t="s">
        <v>14</v>
      </c>
      <c r="C12" s="12"/>
      <c r="D12" s="35">
        <f>Chiffre_daffaires[[#Totals],[Janv]]-CoûtdesVentes[[#Totals],[Janv]]</f>
        <v>223783.75999999998</v>
      </c>
      <c r="E12" s="35" t="e">
        <f>Chiffre_daffaires[[#Totals],[Févr]]-CoûtdesVentes[[#Totals],[Févr]]</f>
        <v>#N/A</v>
      </c>
      <c r="F12" s="35" t="e">
        <f>Chiffre_daffaires[[#Totals],[Mars]]-CoûtdesVentes[[#Totals],[Mars]]</f>
        <v>#N/A</v>
      </c>
      <c r="G12" s="35" t="e">
        <f>Chiffre_daffaires[[#Totals],[Avr]]-CoûtdesVentes[[#Totals],[Avr]]</f>
        <v>#N/A</v>
      </c>
      <c r="H12" s="35" t="e">
        <f>Chiffre_daffaires[[#Totals],[Mai]]-CoûtdesVentes[[#Totals],[Mai]]</f>
        <v>#N/A</v>
      </c>
      <c r="I12" s="35" t="e">
        <f>Chiffre_daffaires[[#Totals],[Juin]]-CoûtdesVentes[[#Totals],[Juin]]</f>
        <v>#N/A</v>
      </c>
      <c r="J12" s="35" t="e">
        <f>Chiffre_daffaires[[#Totals],[Juil]]-CoûtdesVentes[[#Totals],[Juil]]</f>
        <v>#N/A</v>
      </c>
      <c r="K12" s="35" t="e">
        <f>Chiffre_daffaires[[#Totals],[Août]]-CoûtdesVentes[[#Totals],[Août]]</f>
        <v>#N/A</v>
      </c>
      <c r="L12" s="35" t="e">
        <f>Chiffre_daffaires[[#Totals],[Sept]]-CoûtdesVentes[[#Totals],[Sept]]</f>
        <v>#N/A</v>
      </c>
      <c r="M12" s="35" t="e">
        <f>Chiffre_daffaires[[#Totals],[Oct]]-CoûtdesVentes[[#Totals],[Oct]]</f>
        <v>#N/A</v>
      </c>
      <c r="N12" s="35" t="e">
        <f>Chiffre_daffaires[[#Totals],[Nov]]-CoûtdesVentes[[#Totals],[Nov]]</f>
        <v>#N/A</v>
      </c>
      <c r="O12" s="35" t="e">
        <f>Chiffre_daffaires[[#Totals],[Déc]]-CoûtdesVentes[[#Totals],[Déc]]</f>
        <v>#N/A</v>
      </c>
      <c r="P12" s="35" t="e">
        <f>Chiffre_daffaires[[#Totals],[Annuel]]-CoûtdesVentes[[#Totals],[Annuel]]</f>
        <v>#N/A</v>
      </c>
      <c r="Q12" s="12"/>
      <c r="R12" s="13" t="e">
        <f t="shared" ref="R12:AD12" si="1">D12/$P$12</f>
        <v>#N/A</v>
      </c>
      <c r="S12" s="13" t="e">
        <f t="shared" si="1"/>
        <v>#N/A</v>
      </c>
      <c r="T12" s="13" t="e">
        <f t="shared" si="1"/>
        <v>#N/A</v>
      </c>
      <c r="U12" s="13" t="e">
        <f t="shared" si="1"/>
        <v>#N/A</v>
      </c>
      <c r="V12" s="13" t="e">
        <f t="shared" si="1"/>
        <v>#N/A</v>
      </c>
      <c r="W12" s="13" t="e">
        <f t="shared" si="1"/>
        <v>#N/A</v>
      </c>
      <c r="X12" s="13" t="e">
        <f t="shared" si="1"/>
        <v>#N/A</v>
      </c>
      <c r="Y12" s="13" t="e">
        <f t="shared" si="1"/>
        <v>#N/A</v>
      </c>
      <c r="Z12" s="13" t="e">
        <f t="shared" si="1"/>
        <v>#N/A</v>
      </c>
      <c r="AA12" s="13" t="e">
        <f t="shared" si="1"/>
        <v>#N/A</v>
      </c>
      <c r="AB12" s="13" t="e">
        <f t="shared" si="1"/>
        <v>#N/A</v>
      </c>
      <c r="AC12" s="13" t="e">
        <f t="shared" si="1"/>
        <v>#N/A</v>
      </c>
      <c r="AD12" s="13" t="e">
        <f t="shared" si="1"/>
        <v>#N/A</v>
      </c>
    </row>
  </sheetData>
  <dataValidations xWindow="435" yWindow="418" count="18">
    <dataValidation allowBlank="1" showInputMessage="1" showErrorMessage="1" prompt="La marge brute pour chaque mois et année est calculée automatiquement dans cette ligne en fonction du total des ventes et du coût total des ventes" sqref="B12" xr:uid="{00000000-0002-0000-0E00-000000000000}"/>
    <dataValidation allowBlank="1" showInputMessage="1" showErrorMessage="1" prompt="Cette feuille de calcul calcule le coût total des ventes pour chaque mois et année, ainsi que le coût annuel des ventes pour les éléments. La marge brute est calculée automatiquement en fonction des entrées" sqref="A1" xr:uid="{00000000-0002-0000-0E00-000001000000}"/>
    <dataValidation allowBlank="1" showInputMessage="1" showErrorMessage="1" prompt="Cette cellule est automatiquement mise à jour à partir du titre de la période de prévision de la feuille de calcul Chiffre d’affaires (ventes)" sqref="B1" xr:uid="{00000000-0002-0000-0E00-000002000000}"/>
    <dataValidation allowBlank="1" showInputMessage="1" showErrorMessage="1" prompt="Le nom de l’entreprise est automatiquement mis à jour à l’aide de l’entrée indiquée dans la feuille de calcul Chiffre d’affaires (ventes)" sqref="AD1" xr:uid="{00000000-0002-0000-0E00-000003000000}"/>
    <dataValidation allowBlank="1" showInputMessage="1" showErrorMessage="1" prompt="Titre automatiquement mis à jour à partir de la feuille de calcul Chiffre d’affaires (ventes) Entrez des valeurs dans le tableau Coût des ventes ci-dessous pour calculer le coût total des ventes" sqref="B2" xr:uid="{00000000-0002-0000-0E00-000004000000}"/>
    <dataValidation allowBlank="1" showInputMessage="1" showErrorMessage="1" prompt="Le mois et l’année sont automatiquement mis à jour dans les cellules à droite. Pour modifier le mois ou l’année, modifiez les cellules AC2 et AD2 de la feuille de calcul Chiffre d’affaires (ventes)" sqref="AB2" xr:uid="{00000000-0002-0000-0E00-000005000000}"/>
    <dataValidation allowBlank="1" showInputMessage="1" showErrorMessage="1" prompt="Entrez le pourcentage d’index dans cette colonne" sqref="Q4" xr:uid="{00000000-0002-0000-0E00-000006000000}"/>
    <dataValidation allowBlank="1" showInputMessage="1" showErrorMessage="1" prompt="Entrez dans cette colonne le coût des sources répertoriées dans la colonne B" sqref="D4:O4" xr:uid="{00000000-0002-0000-0E00-000007000000}"/>
    <dataValidation allowBlank="1" showInputMessage="1" showErrorMessage="1" prompt="Un graphique de tendance représentant les coûts au fil du temps figure dans cette colonne" sqref="C4" xr:uid="{00000000-0002-0000-0E00-000008000000}"/>
    <dataValidation allowBlank="1" showInputMessage="1" showErrorMessage="1" prompt="Entrez le coût des ventes dans cette colonne" sqref="B4" xr:uid="{00000000-0002-0000-0E00-000009000000}"/>
    <dataValidation allowBlank="1" showInputMessage="1" showErrorMessage="1" prompt="Calcule automatiquement la proportion du coût des ventes des différentes sources par rapport aux ventes totales pour l’année figurant dans cette colonne" sqref="AD3" xr:uid="{00000000-0002-0000-0E00-00000A000000}"/>
    <dataValidation allowBlank="1" showInputMessage="1" showErrorMessage="1" prompt="Calcule automatiquement dans cette colonne la proportion du coût des ventes des différentes sources par rapport aux ventes totales pour le mois figurant dans cette cellule" sqref="R3:AC3" xr:uid="{00000000-0002-0000-0E00-00000B000000}"/>
    <dataValidation allowBlank="1" showInputMessage="1" showErrorMessage="1" prompt="Mois automatiquement mis à jour" sqref="E3:O3" xr:uid="{00000000-0002-0000-0E00-00000C000000}"/>
    <dataValidation allowBlank="1" showInputMessage="1" showErrorMessage="1" prompt="Les dates de cette ligne sont automatiquement mises à jour en fonction du mois de début de chaque exercice. Pour modifier le mois de début, modifiez la cellule AC2 de la feuille de calcul Chiffre d’affaires (ventes)" sqref="D3" xr:uid="{00000000-0002-0000-0E00-00000D000000}"/>
    <dataValidation allowBlank="1" showInputMessage="1" showErrorMessage="1" prompt="Le coût annuel est calculé automatiquement dans cette colonne" sqref="P3" xr:uid="{00000000-0002-0000-0E00-00000E000000}"/>
    <dataValidation allowBlank="1" showInputMessage="1" showErrorMessage="1" prompt="Le pourcentage d’index figure dans cette colonne" sqref="Q3" xr:uid="{00000000-0002-0000-0E00-00000F000000}"/>
    <dataValidation allowBlank="1" showInputMessage="1" showErrorMessage="1" prompt="Mois automatiquement mis à jour. Pour modifier, modifiez la cellule AC2 de la feuille de calcul Chiffre d’affaires (ventes)" sqref="AC2" xr:uid="{00000000-0002-0000-0E00-000010000000}"/>
    <dataValidation allowBlank="1" showInputMessage="1" showErrorMessage="1" prompt="Année automatiquement mise à jour Pour modifier, modifiez la cellule AD2 de la feuille de calcul Chiffre d’affaires (ventes)" sqref="AD2" xr:uid="{00000000-0002-0000-0E00-000011000000}"/>
  </dataValidations>
  <printOptions horizontalCentered="1"/>
  <pageMargins left="0.25" right="0.25" top="0.75" bottom="0.75" header="0.3" footer="0.3"/>
  <pageSetup paperSize="9" scale="40" fitToHeight="0" orientation="landscape" r:id="rId1"/>
  <headerFooter differentFirst="1">
    <oddFooter>Page &amp;P of &amp;N</oddFooter>
  </headerFooter>
  <tableParts count="1">
    <tablePart r:id="rId2"/>
  </tableParts>
  <extLst>
    <ext xmlns:x14="http://schemas.microsoft.com/office/spreadsheetml/2009/9/main" uri="{05C60535-1F16-4fd2-B633-F4F36F0B64E0}">
      <x14:sparklineGroups xmlns:xm="http://schemas.microsoft.com/office/excel/2006/main">
        <x14:sparklineGroup lineWeight="1" displayEmptyCellsAs="gap" high="1" low="1" xr2:uid="{00000000-0003-0000-0E00-000002000000}">
          <x14:colorSeries theme="3"/>
          <x14:colorNegative theme="5"/>
          <x14:colorAxis rgb="FF000000"/>
          <x14:colorMarkers theme="4" tint="-0.499984740745262"/>
          <x14:colorFirst theme="4" tint="0.39997558519241921"/>
          <x14:colorLast theme="4" tint="0.39997558519241921"/>
          <x14:colorHigh theme="3"/>
          <x14:colorLow theme="3"/>
          <x14:sparklines>
            <x14:sparkline>
              <xm:f>Frais!D5:O5</xm:f>
              <xm:sqref>C5</xm:sqref>
            </x14:sparkline>
            <x14:sparkline>
              <xm:f>Frais!D6:O6</xm:f>
              <xm:sqref>C6</xm:sqref>
            </x14:sparkline>
            <x14:sparkline>
              <xm:f>Frais!D7:O7</xm:f>
              <xm:sqref>C7</xm:sqref>
            </x14:sparkline>
            <x14:sparkline>
              <xm:f>Frais!D8:O8</xm:f>
              <xm:sqref>C8</xm:sqref>
            </x14:sparkline>
            <x14:sparkline>
              <xm:f>Frais!D9:O9</xm:f>
              <xm:sqref>C9</xm:sqref>
            </x14:sparkline>
          </x14:sparklines>
        </x14:sparklineGroup>
        <x14:sparklineGroup lineWeight="1" displayEmptyCellsAs="gap" high="1" low="1" xr2:uid="{00000000-0003-0000-0E00-000003000000}">
          <x14:colorSeries theme="3"/>
          <x14:colorNegative theme="5"/>
          <x14:colorAxis rgb="FF000000"/>
          <x14:colorMarkers theme="4" tint="-0.499984740745262"/>
          <x14:colorFirst theme="4" tint="0.39997558519241921"/>
          <x14:colorLast theme="4" tint="0.39997558519241921"/>
          <x14:colorHigh theme="3"/>
          <x14:colorLow theme="3"/>
          <x14:sparklines>
            <x14:sparkline>
              <xm:f>Frais!D10:O10</xm:f>
              <xm:sqref>C10</xm:sqref>
            </x14:sparkline>
          </x14:sparklines>
        </x14:sparklineGroup>
      </x14:sparklineGroup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Feuil16">
    <tabColor theme="6" tint="0.39997558519241921"/>
    <pageSetUpPr fitToPage="1"/>
  </sheetPr>
  <dimension ref="A1:AD26"/>
  <sheetViews>
    <sheetView showGridLines="0" workbookViewId="0">
      <pane ySplit="3" topLeftCell="A19" activePane="bottomLeft" state="frozen"/>
      <selection pane="bottomLeft" activeCell="D24" sqref="D24"/>
    </sheetView>
  </sheetViews>
  <sheetFormatPr baseColWidth="10" defaultColWidth="9" defaultRowHeight="30" customHeight="1" x14ac:dyDescent="0.3"/>
  <cols>
    <col min="1" max="1" width="2.625" customWidth="1"/>
    <col min="2" max="2" width="30.375" customWidth="1"/>
    <col min="3" max="3" width="14" customWidth="1"/>
    <col min="4" max="15" width="10.125" customWidth="1"/>
    <col min="16" max="16" width="9.875" customWidth="1"/>
    <col min="17" max="29" width="10.25" customWidth="1"/>
    <col min="30" max="30" width="9.875" customWidth="1"/>
    <col min="31" max="31" width="2.625" customWidth="1"/>
  </cols>
  <sheetData>
    <row r="1" spans="1:30" ht="35.1" customHeight="1" x14ac:dyDescent="0.3">
      <c r="A1" s="6"/>
      <c r="B1" s="20" t="str">
        <f>Titre_Période_Prévisions</f>
        <v>Douze mois</v>
      </c>
      <c r="C1" s="11"/>
      <c r="J1" s="8"/>
      <c r="Q1" s="7"/>
      <c r="R1" s="7"/>
      <c r="S1" s="7"/>
      <c r="T1" s="7"/>
      <c r="U1" s="7"/>
      <c r="V1" s="7"/>
      <c r="W1" s="7"/>
      <c r="X1" s="7"/>
      <c r="Y1" s="7"/>
      <c r="Z1" s="7"/>
      <c r="AA1" s="7"/>
      <c r="AB1" s="7"/>
      <c r="AC1" s="7"/>
      <c r="AD1" s="17" t="str">
        <f>Nom_Entreprise</f>
        <v>Nom de l’entreprise</v>
      </c>
    </row>
    <row r="2" spans="1:30" ht="60" customHeight="1" x14ac:dyDescent="0.3">
      <c r="B2" s="4" t="str">
        <f>'Chiffre d’affaires '!$B$2</f>
        <v>DEPÔT en Banque</v>
      </c>
      <c r="E2" s="3"/>
      <c r="G2" s="3"/>
      <c r="K2" s="3"/>
      <c r="L2" s="3"/>
      <c r="M2" s="3"/>
      <c r="N2" s="3"/>
      <c r="O2" s="3"/>
      <c r="X2" s="5"/>
      <c r="Y2" s="5"/>
      <c r="Z2" s="5"/>
      <c r="AA2" s="5"/>
      <c r="AB2" s="18" t="s">
        <v>15</v>
      </c>
      <c r="AC2" s="18" t="str">
        <f>FYMonthStart</f>
        <v>JANV</v>
      </c>
      <c r="AD2" s="18">
        <f ca="1">FYStartYear</f>
        <v>2019</v>
      </c>
    </row>
    <row r="3" spans="1:30" ht="20.100000000000001" customHeight="1" x14ac:dyDescent="0.3">
      <c r="D3" s="19" t="str">
        <f ca="1">UPPER(TEXT(DATE(FYStartYear,FYMonthNo,1),"mmm-aa"))</f>
        <v>JANV-19</v>
      </c>
      <c r="E3" s="19" t="str">
        <f ca="1">UPPER(TEXT(DATE(FYStartYear,FYMonthNo+1,1),"mmm-aa"))</f>
        <v>FÉVR-19</v>
      </c>
      <c r="F3" s="19" t="str">
        <f ca="1">UPPER(TEXT(DATE(FYStartYear,FYMonthNo+2,1),"mmm-aa"))</f>
        <v>MARS-19</v>
      </c>
      <c r="G3" s="19" t="str">
        <f ca="1">UPPER(TEXT(DATE(FYStartYear,FYMonthNo+3,1),"mmm-aa"))</f>
        <v>AVR-19</v>
      </c>
      <c r="H3" s="19" t="str">
        <f ca="1">UPPER(TEXT(DATE(FYStartYear,FYMonthNo+4,1),"mmm-aa"))</f>
        <v>MAI-19</v>
      </c>
      <c r="I3" s="19" t="str">
        <f ca="1">UPPER(TEXT(DATE(FYStartYear,FYMonthNo+5,1),"mmm-aa"))</f>
        <v>JUIN-19</v>
      </c>
      <c r="J3" s="19" t="str">
        <f ca="1">UPPER(TEXT(DATE(FYStartYear,FYMonthNo+6,1),"mmm-aa"))</f>
        <v>JUIL-19</v>
      </c>
      <c r="K3" s="19" t="str">
        <f ca="1">UPPER(TEXT(DATE(FYStartYear,FYMonthNo+7,1),"mmm-aa"))</f>
        <v>AOÛT-19</v>
      </c>
      <c r="L3" s="19" t="str">
        <f ca="1">UPPER(TEXT(DATE(FYStartYear,FYMonthNo+8,1),"mmm-aa"))</f>
        <v>SEPT-19</v>
      </c>
      <c r="M3" s="19" t="str">
        <f ca="1">UPPER(TEXT(DATE(FYStartYear,FYMonthNo+9,1),"mmm-aa"))</f>
        <v>OCT-19</v>
      </c>
      <c r="N3" s="19" t="str">
        <f ca="1">UPPER(TEXT(DATE(FYStartYear,FYMonthNo+10,1),"mmm-aa"))</f>
        <v>NOV-19</v>
      </c>
      <c r="O3" s="19" t="str">
        <f ca="1">UPPER(TEXT(DATE(FYStartYear,FYMonthNo+11,1),"mmm-aa"))</f>
        <v>DÉC-19</v>
      </c>
      <c r="P3" s="19" t="s">
        <v>8</v>
      </c>
      <c r="Q3" s="19" t="s">
        <v>38</v>
      </c>
      <c r="R3" s="19" t="str">
        <f t="shared" ref="R3:AC3" ca="1" si="0">LEFT(D3,3)&amp;" %"</f>
        <v>JAN %</v>
      </c>
      <c r="S3" s="19" t="str">
        <f t="shared" ca="1" si="0"/>
        <v>FÉV %</v>
      </c>
      <c r="T3" s="19" t="str">
        <f t="shared" ca="1" si="0"/>
        <v>MAR %</v>
      </c>
      <c r="U3" s="19" t="str">
        <f t="shared" ca="1" si="0"/>
        <v>AVR %</v>
      </c>
      <c r="V3" s="19" t="str">
        <f t="shared" ca="1" si="0"/>
        <v>MAI %</v>
      </c>
      <c r="W3" s="19" t="str">
        <f t="shared" ca="1" si="0"/>
        <v>JUI %</v>
      </c>
      <c r="X3" s="19" t="str">
        <f t="shared" ca="1" si="0"/>
        <v>JUI %</v>
      </c>
      <c r="Y3" s="19" t="str">
        <f t="shared" ca="1" si="0"/>
        <v>AOÛ %</v>
      </c>
      <c r="Z3" s="19" t="str">
        <f t="shared" ca="1" si="0"/>
        <v>SEP %</v>
      </c>
      <c r="AA3" s="19" t="str">
        <f t="shared" ca="1" si="0"/>
        <v>OCT %</v>
      </c>
      <c r="AB3" s="19" t="str">
        <f t="shared" ca="1" si="0"/>
        <v>NOV %</v>
      </c>
      <c r="AC3" s="19" t="str">
        <f t="shared" ca="1" si="0"/>
        <v>DÉC %</v>
      </c>
      <c r="AD3" s="19" t="s">
        <v>39</v>
      </c>
    </row>
    <row r="4" spans="1:30" ht="30" customHeight="1" x14ac:dyDescent="0.3">
      <c r="B4" s="27" t="s">
        <v>16</v>
      </c>
      <c r="C4" s="27" t="s">
        <v>3</v>
      </c>
      <c r="D4" s="21" t="s">
        <v>37</v>
      </c>
      <c r="E4" s="21" t="s">
        <v>42</v>
      </c>
      <c r="F4" s="21" t="s">
        <v>4</v>
      </c>
      <c r="G4" s="21" t="s">
        <v>43</v>
      </c>
      <c r="H4" s="21" t="s">
        <v>5</v>
      </c>
      <c r="I4" s="21" t="s">
        <v>6</v>
      </c>
      <c r="J4" s="21" t="s">
        <v>44</v>
      </c>
      <c r="K4" s="21" t="s">
        <v>7</v>
      </c>
      <c r="L4" s="21" t="s">
        <v>45</v>
      </c>
      <c r="M4" s="21" t="s">
        <v>46</v>
      </c>
      <c r="N4" s="21" t="s">
        <v>47</v>
      </c>
      <c r="O4" s="21" t="s">
        <v>48</v>
      </c>
      <c r="P4" s="21" t="s">
        <v>9</v>
      </c>
      <c r="Q4" s="22" t="s">
        <v>49</v>
      </c>
      <c r="R4" s="22" t="s">
        <v>56</v>
      </c>
      <c r="S4" s="22" t="s">
        <v>57</v>
      </c>
      <c r="T4" s="22" t="s">
        <v>58</v>
      </c>
      <c r="U4" s="22" t="s">
        <v>50</v>
      </c>
      <c r="V4" s="22" t="s">
        <v>51</v>
      </c>
      <c r="W4" s="22" t="s">
        <v>59</v>
      </c>
      <c r="X4" s="22" t="s">
        <v>62</v>
      </c>
      <c r="Y4" s="22" t="s">
        <v>60</v>
      </c>
      <c r="Z4" s="22" t="s">
        <v>61</v>
      </c>
      <c r="AA4" s="22" t="s">
        <v>52</v>
      </c>
      <c r="AB4" s="22" t="s">
        <v>53</v>
      </c>
      <c r="AC4" s="22" t="s">
        <v>54</v>
      </c>
      <c r="AD4" s="21" t="s">
        <v>55</v>
      </c>
    </row>
    <row r="5" spans="1:30" ht="30" customHeight="1" x14ac:dyDescent="0.3">
      <c r="B5" s="14" t="s">
        <v>17</v>
      </c>
      <c r="C5" s="30" t="s">
        <v>36</v>
      </c>
      <c r="D5" s="23">
        <v>10</v>
      </c>
      <c r="E5" s="23">
        <v>18</v>
      </c>
      <c r="F5" s="23">
        <v>13</v>
      </c>
      <c r="G5" s="23">
        <v>8</v>
      </c>
      <c r="H5" s="23">
        <v>22</v>
      </c>
      <c r="I5" s="23">
        <v>18</v>
      </c>
      <c r="J5" s="23">
        <v>8</v>
      </c>
      <c r="K5" s="23">
        <v>17</v>
      </c>
      <c r="L5" s="23">
        <v>20</v>
      </c>
      <c r="M5" s="23">
        <v>8</v>
      </c>
      <c r="N5" s="23">
        <v>4</v>
      </c>
      <c r="O5" s="23">
        <v>12</v>
      </c>
      <c r="P5" s="31">
        <f>SUM(tblDépenses[[#This Row],[Colonne1]:[Déc]])</f>
        <v>158</v>
      </c>
      <c r="Q5" s="24">
        <v>0.12</v>
      </c>
      <c r="R5" s="32">
        <f>tblDépenses[[#This Row],[Colonne1]]/tblDépenses[[#Totals],[Colonne1]]</f>
        <v>4.2372881355932202E-2</v>
      </c>
      <c r="S5" s="32">
        <f>tblDépenses[[#This Row],[Févr]]/tblDépenses[[#Totals],[Févr]]</f>
        <v>8.7804878048780483E-2</v>
      </c>
      <c r="T5" s="32">
        <f>tblDépenses[[#This Row],[Mars]]/tblDépenses[[#Totals],[Mars]]</f>
        <v>5.2208835341365459E-2</v>
      </c>
      <c r="U5" s="32">
        <f>tblDépenses[[#This Row],[Avr]]/tblDépenses[[#Totals],[Avr]]</f>
        <v>3.0651340996168581E-2</v>
      </c>
      <c r="V5" s="32">
        <f>tblDépenses[[#This Row],[Mai]]/tblDépenses[[#Totals],[Mai]]</f>
        <v>8.5603112840466927E-2</v>
      </c>
      <c r="W5" s="32">
        <f>tblDépenses[[#This Row],[Juin]]/tblDépenses[[#Totals],[Juin]]</f>
        <v>6.569343065693431E-2</v>
      </c>
      <c r="X5" s="32">
        <f>tblDépenses[[#This Row],[Juil]]/tblDépenses[[#Totals],[Juil]]</f>
        <v>3.007518796992481E-2</v>
      </c>
      <c r="Y5" s="32">
        <f>tblDépenses[[#This Row],[Août]]/tblDépenses[[#Totals],[Août]]</f>
        <v>7.2340425531914887E-2</v>
      </c>
      <c r="Z5" s="32">
        <f>tblDépenses[[#This Row],[Sept]]/tblDépenses[[#Totals],[Sept]]</f>
        <v>8.6956521739130432E-2</v>
      </c>
      <c r="AA5" s="32">
        <f>tblDépenses[[#This Row],[Oct]]/tblDépenses[[#Totals],[Oct]]</f>
        <v>3.0888030888030889E-2</v>
      </c>
      <c r="AB5" s="32">
        <f>tblDépenses[[#This Row],[Nov]]/tblDépenses[[#Totals],[Nov]]</f>
        <v>1.3513513513513514E-2</v>
      </c>
      <c r="AC5" s="32">
        <f>tblDépenses[[#This Row],[Déc]]/tblDépenses[[#Totals],[Déc]]</f>
        <v>5.1948051948051951E-2</v>
      </c>
      <c r="AD5" s="32">
        <f>tblDépenses[[#This Row],[Annuel]]/tblDépenses[[#Totals],[Annuel]]</f>
        <v>5.2684228076025338E-2</v>
      </c>
    </row>
    <row r="6" spans="1:30" ht="30" customHeight="1" x14ac:dyDescent="0.3">
      <c r="B6" s="14" t="s">
        <v>18</v>
      </c>
      <c r="C6" s="30" t="s">
        <v>36</v>
      </c>
      <c r="D6" s="23">
        <v>23</v>
      </c>
      <c r="E6" s="23">
        <v>11</v>
      </c>
      <c r="F6" s="23">
        <v>7</v>
      </c>
      <c r="G6" s="23">
        <v>14</v>
      </c>
      <c r="H6" s="23">
        <v>12</v>
      </c>
      <c r="I6" s="23">
        <v>19</v>
      </c>
      <c r="J6" s="23">
        <v>19</v>
      </c>
      <c r="K6" s="23">
        <v>4</v>
      </c>
      <c r="L6" s="23">
        <v>7</v>
      </c>
      <c r="M6" s="23">
        <v>13</v>
      </c>
      <c r="N6" s="23">
        <v>25</v>
      </c>
      <c r="O6" s="23">
        <v>5</v>
      </c>
      <c r="P6" s="31">
        <f>SUM(tblDépenses[[#This Row],[Colonne1]:[Déc]])</f>
        <v>159</v>
      </c>
      <c r="Q6" s="24">
        <v>0.09</v>
      </c>
      <c r="R6" s="32">
        <f>tblDépenses[[#This Row],[Colonne1]]/tblDépenses[[#Totals],[Colonne1]]</f>
        <v>9.7457627118644072E-2</v>
      </c>
      <c r="S6" s="32">
        <f>tblDépenses[[#This Row],[Févr]]/tblDépenses[[#Totals],[Févr]]</f>
        <v>5.3658536585365853E-2</v>
      </c>
      <c r="T6" s="32">
        <f>tblDépenses[[#This Row],[Mars]]/tblDépenses[[#Totals],[Mars]]</f>
        <v>2.8112449799196786E-2</v>
      </c>
      <c r="U6" s="32">
        <f>tblDépenses[[#This Row],[Avr]]/tblDépenses[[#Totals],[Avr]]</f>
        <v>5.3639846743295021E-2</v>
      </c>
      <c r="V6" s="32">
        <f>tblDépenses[[#This Row],[Mai]]/tblDépenses[[#Totals],[Mai]]</f>
        <v>4.6692607003891051E-2</v>
      </c>
      <c r="W6" s="32">
        <f>tblDépenses[[#This Row],[Juin]]/tblDépenses[[#Totals],[Juin]]</f>
        <v>6.9343065693430656E-2</v>
      </c>
      <c r="X6" s="32">
        <f>tblDépenses[[#This Row],[Juil]]/tblDépenses[[#Totals],[Juil]]</f>
        <v>7.1428571428571425E-2</v>
      </c>
      <c r="Y6" s="32">
        <f>tblDépenses[[#This Row],[Août]]/tblDépenses[[#Totals],[Août]]</f>
        <v>1.7021276595744681E-2</v>
      </c>
      <c r="Z6" s="32">
        <f>tblDépenses[[#This Row],[Sept]]/tblDépenses[[#Totals],[Sept]]</f>
        <v>3.0434782608695653E-2</v>
      </c>
      <c r="AA6" s="32">
        <f>tblDépenses[[#This Row],[Oct]]/tblDépenses[[#Totals],[Oct]]</f>
        <v>5.019305019305019E-2</v>
      </c>
      <c r="AB6" s="32">
        <f>tblDépenses[[#This Row],[Nov]]/tblDépenses[[#Totals],[Nov]]</f>
        <v>8.4459459459459457E-2</v>
      </c>
      <c r="AC6" s="32">
        <f>tblDépenses[[#This Row],[Déc]]/tblDépenses[[#Totals],[Déc]]</f>
        <v>2.1645021645021644E-2</v>
      </c>
      <c r="AD6" s="32">
        <f>tblDépenses[[#This Row],[Annuel]]/tblDépenses[[#Totals],[Annuel]]</f>
        <v>5.3017672557519172E-2</v>
      </c>
    </row>
    <row r="7" spans="1:30" ht="30" customHeight="1" x14ac:dyDescent="0.3">
      <c r="B7" s="14" t="s">
        <v>19</v>
      </c>
      <c r="C7" s="30" t="s">
        <v>36</v>
      </c>
      <c r="D7" s="23">
        <v>23</v>
      </c>
      <c r="E7" s="23">
        <v>20</v>
      </c>
      <c r="F7" s="23">
        <v>3</v>
      </c>
      <c r="G7" s="23">
        <v>16</v>
      </c>
      <c r="H7" s="23">
        <v>10</v>
      </c>
      <c r="I7" s="23">
        <v>5</v>
      </c>
      <c r="J7" s="23">
        <v>20</v>
      </c>
      <c r="K7" s="23">
        <v>7</v>
      </c>
      <c r="L7" s="23">
        <v>4</v>
      </c>
      <c r="M7" s="23">
        <v>22</v>
      </c>
      <c r="N7" s="23">
        <v>13</v>
      </c>
      <c r="O7" s="23">
        <v>14</v>
      </c>
      <c r="P7" s="31">
        <f>SUM(tblDépenses[[#This Row],[Colonne1]:[Déc]])</f>
        <v>157</v>
      </c>
      <c r="Q7" s="24">
        <v>0.02</v>
      </c>
      <c r="R7" s="32">
        <f>tblDépenses[[#This Row],[Colonne1]]/tblDépenses[[#Totals],[Colonne1]]</f>
        <v>9.7457627118644072E-2</v>
      </c>
      <c r="S7" s="32">
        <f>tblDépenses[[#This Row],[Févr]]/tblDépenses[[#Totals],[Févr]]</f>
        <v>9.7560975609756101E-2</v>
      </c>
      <c r="T7" s="32">
        <f>tblDépenses[[#This Row],[Mars]]/tblDépenses[[#Totals],[Mars]]</f>
        <v>1.2048192771084338E-2</v>
      </c>
      <c r="U7" s="32">
        <f>tblDépenses[[#This Row],[Avr]]/tblDépenses[[#Totals],[Avr]]</f>
        <v>6.1302681992337162E-2</v>
      </c>
      <c r="V7" s="32">
        <f>tblDépenses[[#This Row],[Mai]]/tblDépenses[[#Totals],[Mai]]</f>
        <v>3.8910505836575876E-2</v>
      </c>
      <c r="W7" s="32">
        <f>tblDépenses[[#This Row],[Juin]]/tblDépenses[[#Totals],[Juin]]</f>
        <v>1.824817518248175E-2</v>
      </c>
      <c r="X7" s="32">
        <f>tblDépenses[[#This Row],[Juil]]/tblDépenses[[#Totals],[Juil]]</f>
        <v>7.5187969924812026E-2</v>
      </c>
      <c r="Y7" s="32">
        <f>tblDépenses[[#This Row],[Août]]/tblDépenses[[#Totals],[Août]]</f>
        <v>2.9787234042553193E-2</v>
      </c>
      <c r="Z7" s="32">
        <f>tblDépenses[[#This Row],[Sept]]/tblDépenses[[#Totals],[Sept]]</f>
        <v>1.7391304347826087E-2</v>
      </c>
      <c r="AA7" s="32">
        <f>tblDépenses[[#This Row],[Oct]]/tblDépenses[[#Totals],[Oct]]</f>
        <v>8.4942084942084939E-2</v>
      </c>
      <c r="AB7" s="32">
        <f>tblDépenses[[#This Row],[Nov]]/tblDépenses[[#Totals],[Nov]]</f>
        <v>4.3918918918918921E-2</v>
      </c>
      <c r="AC7" s="32">
        <f>tblDépenses[[#This Row],[Déc]]/tblDépenses[[#Totals],[Déc]]</f>
        <v>6.0606060606060608E-2</v>
      </c>
      <c r="AD7" s="32">
        <f>tblDépenses[[#This Row],[Annuel]]/tblDépenses[[#Totals],[Annuel]]</f>
        <v>5.2350783594531512E-2</v>
      </c>
    </row>
    <row r="8" spans="1:30" ht="30" customHeight="1" x14ac:dyDescent="0.3">
      <c r="B8" s="14" t="s">
        <v>20</v>
      </c>
      <c r="C8" s="30" t="s">
        <v>36</v>
      </c>
      <c r="D8" s="23">
        <v>19</v>
      </c>
      <c r="E8" s="23">
        <v>4</v>
      </c>
      <c r="F8" s="23">
        <v>7</v>
      </c>
      <c r="G8" s="23">
        <v>14</v>
      </c>
      <c r="H8" s="23">
        <v>22</v>
      </c>
      <c r="I8" s="23">
        <v>10</v>
      </c>
      <c r="J8" s="23">
        <v>22</v>
      </c>
      <c r="K8" s="23">
        <v>5</v>
      </c>
      <c r="L8" s="23">
        <v>4</v>
      </c>
      <c r="M8" s="23">
        <v>12</v>
      </c>
      <c r="N8" s="23">
        <v>18</v>
      </c>
      <c r="O8" s="23">
        <v>24</v>
      </c>
      <c r="P8" s="31">
        <f>SUM(tblDépenses[[#This Row],[Colonne1]:[Déc]])</f>
        <v>161</v>
      </c>
      <c r="Q8" s="24">
        <v>0.08</v>
      </c>
      <c r="R8" s="32">
        <f>tblDépenses[[#This Row],[Colonne1]]/tblDépenses[[#Totals],[Colonne1]]</f>
        <v>8.050847457627118E-2</v>
      </c>
      <c r="S8" s="32">
        <f>tblDépenses[[#This Row],[Févr]]/tblDépenses[[#Totals],[Févr]]</f>
        <v>1.9512195121951219E-2</v>
      </c>
      <c r="T8" s="32">
        <f>tblDépenses[[#This Row],[Mars]]/tblDépenses[[#Totals],[Mars]]</f>
        <v>2.8112449799196786E-2</v>
      </c>
      <c r="U8" s="32">
        <f>tblDépenses[[#This Row],[Avr]]/tblDépenses[[#Totals],[Avr]]</f>
        <v>5.3639846743295021E-2</v>
      </c>
      <c r="V8" s="32">
        <f>tblDépenses[[#This Row],[Mai]]/tblDépenses[[#Totals],[Mai]]</f>
        <v>8.5603112840466927E-2</v>
      </c>
      <c r="W8" s="32">
        <f>tblDépenses[[#This Row],[Juin]]/tblDépenses[[#Totals],[Juin]]</f>
        <v>3.6496350364963501E-2</v>
      </c>
      <c r="X8" s="32">
        <f>tblDépenses[[#This Row],[Juil]]/tblDépenses[[#Totals],[Juil]]</f>
        <v>8.2706766917293228E-2</v>
      </c>
      <c r="Y8" s="32">
        <f>tblDépenses[[#This Row],[Août]]/tblDépenses[[#Totals],[Août]]</f>
        <v>2.1276595744680851E-2</v>
      </c>
      <c r="Z8" s="32">
        <f>tblDépenses[[#This Row],[Sept]]/tblDépenses[[#Totals],[Sept]]</f>
        <v>1.7391304347826087E-2</v>
      </c>
      <c r="AA8" s="32">
        <f>tblDépenses[[#This Row],[Oct]]/tblDépenses[[#Totals],[Oct]]</f>
        <v>4.633204633204633E-2</v>
      </c>
      <c r="AB8" s="32">
        <f>tblDépenses[[#This Row],[Nov]]/tblDépenses[[#Totals],[Nov]]</f>
        <v>6.0810810810810814E-2</v>
      </c>
      <c r="AC8" s="32">
        <f>tblDépenses[[#This Row],[Déc]]/tblDépenses[[#Totals],[Déc]]</f>
        <v>0.1038961038961039</v>
      </c>
      <c r="AD8" s="32">
        <f>tblDépenses[[#This Row],[Annuel]]/tblDépenses[[#Totals],[Annuel]]</f>
        <v>5.3684561520506838E-2</v>
      </c>
    </row>
    <row r="9" spans="1:30" ht="30" customHeight="1" x14ac:dyDescent="0.3">
      <c r="B9" s="14" t="s">
        <v>21</v>
      </c>
      <c r="C9" s="30" t="s">
        <v>36</v>
      </c>
      <c r="D9" s="23">
        <v>11</v>
      </c>
      <c r="E9" s="23">
        <v>11</v>
      </c>
      <c r="F9" s="23">
        <v>17</v>
      </c>
      <c r="G9" s="23">
        <v>12</v>
      </c>
      <c r="H9" s="23">
        <v>2</v>
      </c>
      <c r="I9" s="23">
        <v>14</v>
      </c>
      <c r="J9" s="23">
        <v>12</v>
      </c>
      <c r="K9" s="23">
        <v>10</v>
      </c>
      <c r="L9" s="23">
        <v>18</v>
      </c>
      <c r="M9" s="23">
        <v>11</v>
      </c>
      <c r="N9" s="23">
        <v>23</v>
      </c>
      <c r="O9" s="23">
        <v>11</v>
      </c>
      <c r="P9" s="31">
        <f>SUM(tblDépenses[[#This Row],[Colonne1]:[Déc]])</f>
        <v>152</v>
      </c>
      <c r="Q9" s="24">
        <v>0.03</v>
      </c>
      <c r="R9" s="32">
        <f>tblDépenses[[#This Row],[Colonne1]]/tblDépenses[[#Totals],[Colonne1]]</f>
        <v>4.6610169491525424E-2</v>
      </c>
      <c r="S9" s="32">
        <f>tblDépenses[[#This Row],[Févr]]/tblDépenses[[#Totals],[Févr]]</f>
        <v>5.3658536585365853E-2</v>
      </c>
      <c r="T9" s="32">
        <f>tblDépenses[[#This Row],[Mars]]/tblDépenses[[#Totals],[Mars]]</f>
        <v>6.8273092369477914E-2</v>
      </c>
      <c r="U9" s="32">
        <f>tblDépenses[[#This Row],[Avr]]/tblDépenses[[#Totals],[Avr]]</f>
        <v>4.5977011494252873E-2</v>
      </c>
      <c r="V9" s="32">
        <f>tblDépenses[[#This Row],[Mai]]/tblDépenses[[#Totals],[Mai]]</f>
        <v>7.7821011673151752E-3</v>
      </c>
      <c r="W9" s="32">
        <f>tblDépenses[[#This Row],[Juin]]/tblDépenses[[#Totals],[Juin]]</f>
        <v>5.1094890510948905E-2</v>
      </c>
      <c r="X9" s="32">
        <f>tblDépenses[[#This Row],[Juil]]/tblDépenses[[#Totals],[Juil]]</f>
        <v>4.5112781954887216E-2</v>
      </c>
      <c r="Y9" s="32">
        <f>tblDépenses[[#This Row],[Août]]/tblDépenses[[#Totals],[Août]]</f>
        <v>4.2553191489361701E-2</v>
      </c>
      <c r="Z9" s="32">
        <f>tblDépenses[[#This Row],[Sept]]/tblDépenses[[#Totals],[Sept]]</f>
        <v>7.8260869565217397E-2</v>
      </c>
      <c r="AA9" s="32">
        <f>tblDépenses[[#This Row],[Oct]]/tblDépenses[[#Totals],[Oct]]</f>
        <v>4.2471042471042469E-2</v>
      </c>
      <c r="AB9" s="32">
        <f>tblDépenses[[#This Row],[Nov]]/tblDépenses[[#Totals],[Nov]]</f>
        <v>7.77027027027027E-2</v>
      </c>
      <c r="AC9" s="32">
        <f>tblDépenses[[#This Row],[Déc]]/tblDépenses[[#Totals],[Déc]]</f>
        <v>4.7619047619047616E-2</v>
      </c>
      <c r="AD9" s="32">
        <f>tblDépenses[[#This Row],[Annuel]]/tblDépenses[[#Totals],[Annuel]]</f>
        <v>5.0683561187062354E-2</v>
      </c>
    </row>
    <row r="10" spans="1:30" ht="30" customHeight="1" x14ac:dyDescent="0.3">
      <c r="B10" s="14" t="s">
        <v>22</v>
      </c>
      <c r="C10" s="30" t="s">
        <v>36</v>
      </c>
      <c r="D10" s="23">
        <v>2</v>
      </c>
      <c r="E10" s="23">
        <v>16</v>
      </c>
      <c r="F10" s="23">
        <v>6</v>
      </c>
      <c r="G10" s="23">
        <v>13</v>
      </c>
      <c r="H10" s="23">
        <v>11</v>
      </c>
      <c r="I10" s="23">
        <v>22</v>
      </c>
      <c r="J10" s="23">
        <v>21</v>
      </c>
      <c r="K10" s="23">
        <v>3</v>
      </c>
      <c r="L10" s="23">
        <v>12</v>
      </c>
      <c r="M10" s="23">
        <v>7</v>
      </c>
      <c r="N10" s="23">
        <v>17</v>
      </c>
      <c r="O10" s="23">
        <v>20</v>
      </c>
      <c r="P10" s="31">
        <f>SUM(tblDépenses[[#This Row],[Colonne1]:[Déc]])</f>
        <v>150</v>
      </c>
      <c r="Q10" s="24">
        <v>0.15</v>
      </c>
      <c r="R10" s="32">
        <f>tblDépenses[[#This Row],[Colonne1]]/tblDépenses[[#Totals],[Colonne1]]</f>
        <v>8.4745762711864406E-3</v>
      </c>
      <c r="S10" s="32">
        <f>tblDépenses[[#This Row],[Févr]]/tblDépenses[[#Totals],[Févr]]</f>
        <v>7.8048780487804878E-2</v>
      </c>
      <c r="T10" s="32">
        <f>tblDépenses[[#This Row],[Mars]]/tblDépenses[[#Totals],[Mars]]</f>
        <v>2.4096385542168676E-2</v>
      </c>
      <c r="U10" s="32">
        <f>tblDépenses[[#This Row],[Avr]]/tblDépenses[[#Totals],[Avr]]</f>
        <v>4.9808429118773943E-2</v>
      </c>
      <c r="V10" s="32">
        <f>tblDépenses[[#This Row],[Mai]]/tblDépenses[[#Totals],[Mai]]</f>
        <v>4.2801556420233464E-2</v>
      </c>
      <c r="W10" s="32">
        <f>tblDépenses[[#This Row],[Juin]]/tblDépenses[[#Totals],[Juin]]</f>
        <v>8.0291970802919707E-2</v>
      </c>
      <c r="X10" s="32">
        <f>tblDépenses[[#This Row],[Juil]]/tblDépenses[[#Totals],[Juil]]</f>
        <v>7.8947368421052627E-2</v>
      </c>
      <c r="Y10" s="32">
        <f>tblDépenses[[#This Row],[Août]]/tblDépenses[[#Totals],[Août]]</f>
        <v>1.276595744680851E-2</v>
      </c>
      <c r="Z10" s="32">
        <f>tblDépenses[[#This Row],[Sept]]/tblDépenses[[#Totals],[Sept]]</f>
        <v>5.2173913043478258E-2</v>
      </c>
      <c r="AA10" s="32">
        <f>tblDépenses[[#This Row],[Oct]]/tblDépenses[[#Totals],[Oct]]</f>
        <v>2.7027027027027029E-2</v>
      </c>
      <c r="AB10" s="32">
        <f>tblDépenses[[#This Row],[Nov]]/tblDépenses[[#Totals],[Nov]]</f>
        <v>5.7432432432432436E-2</v>
      </c>
      <c r="AC10" s="32">
        <f>tblDépenses[[#This Row],[Déc]]/tblDépenses[[#Totals],[Déc]]</f>
        <v>8.6580086580086577E-2</v>
      </c>
      <c r="AD10" s="32">
        <f>tblDépenses[[#This Row],[Annuel]]/tblDépenses[[#Totals],[Annuel]]</f>
        <v>5.0016672224074694E-2</v>
      </c>
    </row>
    <row r="11" spans="1:30" ht="30" customHeight="1" x14ac:dyDescent="0.3">
      <c r="B11" s="14" t="s">
        <v>23</v>
      </c>
      <c r="C11" s="30" t="s">
        <v>36</v>
      </c>
      <c r="D11" s="23">
        <v>8</v>
      </c>
      <c r="E11" s="23">
        <v>17</v>
      </c>
      <c r="F11" s="23">
        <v>11</v>
      </c>
      <c r="G11" s="23">
        <v>11</v>
      </c>
      <c r="H11" s="23">
        <v>21</v>
      </c>
      <c r="I11" s="23">
        <v>9</v>
      </c>
      <c r="J11" s="23">
        <v>20</v>
      </c>
      <c r="K11" s="23">
        <v>3</v>
      </c>
      <c r="L11" s="23">
        <v>14</v>
      </c>
      <c r="M11" s="23">
        <v>22</v>
      </c>
      <c r="N11" s="23">
        <v>16</v>
      </c>
      <c r="O11" s="23">
        <v>12</v>
      </c>
      <c r="P11" s="31">
        <f>SUM(tblDépenses[[#This Row],[Colonne1]:[Déc]])</f>
        <v>164</v>
      </c>
      <c r="Q11" s="24">
        <v>0.12</v>
      </c>
      <c r="R11" s="32">
        <f>tblDépenses[[#This Row],[Colonne1]]/tblDépenses[[#Totals],[Colonne1]]</f>
        <v>3.3898305084745763E-2</v>
      </c>
      <c r="S11" s="32">
        <f>tblDépenses[[#This Row],[Févr]]/tblDépenses[[#Totals],[Févr]]</f>
        <v>8.2926829268292687E-2</v>
      </c>
      <c r="T11" s="32">
        <f>tblDépenses[[#This Row],[Mars]]/tblDépenses[[#Totals],[Mars]]</f>
        <v>4.4176706827309238E-2</v>
      </c>
      <c r="U11" s="32">
        <f>tblDépenses[[#This Row],[Avr]]/tblDépenses[[#Totals],[Avr]]</f>
        <v>4.2145593869731802E-2</v>
      </c>
      <c r="V11" s="32">
        <f>tblDépenses[[#This Row],[Mai]]/tblDépenses[[#Totals],[Mai]]</f>
        <v>8.171206225680934E-2</v>
      </c>
      <c r="W11" s="32">
        <f>tblDépenses[[#This Row],[Juin]]/tblDépenses[[#Totals],[Juin]]</f>
        <v>3.2846715328467155E-2</v>
      </c>
      <c r="X11" s="32">
        <f>tblDépenses[[#This Row],[Juil]]/tblDépenses[[#Totals],[Juil]]</f>
        <v>7.5187969924812026E-2</v>
      </c>
      <c r="Y11" s="32">
        <f>tblDépenses[[#This Row],[Août]]/tblDépenses[[#Totals],[Août]]</f>
        <v>1.276595744680851E-2</v>
      </c>
      <c r="Z11" s="32">
        <f>tblDépenses[[#This Row],[Sept]]/tblDépenses[[#Totals],[Sept]]</f>
        <v>6.0869565217391307E-2</v>
      </c>
      <c r="AA11" s="32">
        <f>tblDépenses[[#This Row],[Oct]]/tblDépenses[[#Totals],[Oct]]</f>
        <v>8.4942084942084939E-2</v>
      </c>
      <c r="AB11" s="32">
        <f>tblDépenses[[#This Row],[Nov]]/tblDépenses[[#Totals],[Nov]]</f>
        <v>5.4054054054054057E-2</v>
      </c>
      <c r="AC11" s="32">
        <f>tblDépenses[[#This Row],[Déc]]/tblDépenses[[#Totals],[Déc]]</f>
        <v>5.1948051948051951E-2</v>
      </c>
      <c r="AD11" s="32">
        <f>tblDépenses[[#This Row],[Annuel]]/tblDépenses[[#Totals],[Annuel]]</f>
        <v>5.468489496498833E-2</v>
      </c>
    </row>
    <row r="12" spans="1:30" ht="30" customHeight="1" x14ac:dyDescent="0.3">
      <c r="B12" s="14" t="s">
        <v>24</v>
      </c>
      <c r="C12" s="30" t="s">
        <v>36</v>
      </c>
      <c r="D12" s="23">
        <v>5</v>
      </c>
      <c r="E12" s="23">
        <v>13</v>
      </c>
      <c r="F12" s="23">
        <v>6</v>
      </c>
      <c r="G12" s="23">
        <v>15</v>
      </c>
      <c r="H12" s="23">
        <v>19</v>
      </c>
      <c r="I12" s="23">
        <v>10</v>
      </c>
      <c r="J12" s="23">
        <v>12</v>
      </c>
      <c r="K12" s="23">
        <v>9</v>
      </c>
      <c r="L12" s="23">
        <v>15</v>
      </c>
      <c r="M12" s="23">
        <v>16</v>
      </c>
      <c r="N12" s="23">
        <v>4</v>
      </c>
      <c r="O12" s="23">
        <v>9</v>
      </c>
      <c r="P12" s="31">
        <f>SUM(tblDépenses[[#This Row],[Colonne1]:[Déc]])</f>
        <v>133</v>
      </c>
      <c r="Q12" s="24">
        <v>0.09</v>
      </c>
      <c r="R12" s="32">
        <f>tblDépenses[[#This Row],[Colonne1]]/tblDépenses[[#Totals],[Colonne1]]</f>
        <v>2.1186440677966101E-2</v>
      </c>
      <c r="S12" s="32">
        <f>tblDépenses[[#This Row],[Févr]]/tblDépenses[[#Totals],[Févr]]</f>
        <v>6.3414634146341464E-2</v>
      </c>
      <c r="T12" s="32">
        <f>tblDépenses[[#This Row],[Mars]]/tblDépenses[[#Totals],[Mars]]</f>
        <v>2.4096385542168676E-2</v>
      </c>
      <c r="U12" s="32">
        <f>tblDépenses[[#This Row],[Avr]]/tblDépenses[[#Totals],[Avr]]</f>
        <v>5.7471264367816091E-2</v>
      </c>
      <c r="V12" s="32">
        <f>tblDépenses[[#This Row],[Mai]]/tblDépenses[[#Totals],[Mai]]</f>
        <v>7.3929961089494164E-2</v>
      </c>
      <c r="W12" s="32">
        <f>tblDépenses[[#This Row],[Juin]]/tblDépenses[[#Totals],[Juin]]</f>
        <v>3.6496350364963501E-2</v>
      </c>
      <c r="X12" s="32">
        <f>tblDépenses[[#This Row],[Juil]]/tblDépenses[[#Totals],[Juil]]</f>
        <v>4.5112781954887216E-2</v>
      </c>
      <c r="Y12" s="32">
        <f>tblDépenses[[#This Row],[Août]]/tblDépenses[[#Totals],[Août]]</f>
        <v>3.8297872340425532E-2</v>
      </c>
      <c r="Z12" s="32">
        <f>tblDépenses[[#This Row],[Sept]]/tblDépenses[[#Totals],[Sept]]</f>
        <v>6.5217391304347824E-2</v>
      </c>
      <c r="AA12" s="32">
        <f>tblDépenses[[#This Row],[Oct]]/tblDépenses[[#Totals],[Oct]]</f>
        <v>6.1776061776061778E-2</v>
      </c>
      <c r="AB12" s="32">
        <f>tblDépenses[[#This Row],[Nov]]/tblDépenses[[#Totals],[Nov]]</f>
        <v>1.3513513513513514E-2</v>
      </c>
      <c r="AC12" s="32">
        <f>tblDépenses[[#This Row],[Déc]]/tblDépenses[[#Totals],[Déc]]</f>
        <v>3.896103896103896E-2</v>
      </c>
      <c r="AD12" s="32">
        <f>tblDépenses[[#This Row],[Annuel]]/tblDépenses[[#Totals],[Annuel]]</f>
        <v>4.4348116038679559E-2</v>
      </c>
    </row>
    <row r="13" spans="1:30" ht="30" customHeight="1" x14ac:dyDescent="0.3">
      <c r="B13" s="14" t="s">
        <v>25</v>
      </c>
      <c r="C13" s="30" t="s">
        <v>36</v>
      </c>
      <c r="D13" s="23">
        <v>8</v>
      </c>
      <c r="E13" s="23">
        <v>4</v>
      </c>
      <c r="F13" s="23">
        <v>23</v>
      </c>
      <c r="G13" s="23">
        <v>25</v>
      </c>
      <c r="H13" s="23">
        <v>10</v>
      </c>
      <c r="I13" s="23">
        <v>24</v>
      </c>
      <c r="J13" s="23">
        <v>22</v>
      </c>
      <c r="K13" s="23">
        <v>5</v>
      </c>
      <c r="L13" s="23">
        <v>12</v>
      </c>
      <c r="M13" s="23">
        <v>24</v>
      </c>
      <c r="N13" s="23">
        <v>24</v>
      </c>
      <c r="O13" s="23">
        <v>12</v>
      </c>
      <c r="P13" s="31">
        <f>SUM(tblDépenses[[#This Row],[Colonne1]:[Déc]])</f>
        <v>193</v>
      </c>
      <c r="Q13" s="24">
        <v>0.01</v>
      </c>
      <c r="R13" s="32">
        <f>tblDépenses[[#This Row],[Colonne1]]/tblDépenses[[#Totals],[Colonne1]]</f>
        <v>3.3898305084745763E-2</v>
      </c>
      <c r="S13" s="32">
        <f>tblDépenses[[#This Row],[Févr]]/tblDépenses[[#Totals],[Févr]]</f>
        <v>1.9512195121951219E-2</v>
      </c>
      <c r="T13" s="32">
        <f>tblDépenses[[#This Row],[Mars]]/tblDépenses[[#Totals],[Mars]]</f>
        <v>9.2369477911646583E-2</v>
      </c>
      <c r="U13" s="32">
        <f>tblDépenses[[#This Row],[Avr]]/tblDépenses[[#Totals],[Avr]]</f>
        <v>9.5785440613026823E-2</v>
      </c>
      <c r="V13" s="32">
        <f>tblDépenses[[#This Row],[Mai]]/tblDépenses[[#Totals],[Mai]]</f>
        <v>3.8910505836575876E-2</v>
      </c>
      <c r="W13" s="32">
        <f>tblDépenses[[#This Row],[Juin]]/tblDépenses[[#Totals],[Juin]]</f>
        <v>8.7591240875912413E-2</v>
      </c>
      <c r="X13" s="32">
        <f>tblDépenses[[#This Row],[Juil]]/tblDépenses[[#Totals],[Juil]]</f>
        <v>8.2706766917293228E-2</v>
      </c>
      <c r="Y13" s="32">
        <f>tblDépenses[[#This Row],[Août]]/tblDépenses[[#Totals],[Août]]</f>
        <v>2.1276595744680851E-2</v>
      </c>
      <c r="Z13" s="32">
        <f>tblDépenses[[#This Row],[Sept]]/tblDépenses[[#Totals],[Sept]]</f>
        <v>5.2173913043478258E-2</v>
      </c>
      <c r="AA13" s="32">
        <f>tblDépenses[[#This Row],[Oct]]/tblDépenses[[#Totals],[Oct]]</f>
        <v>9.2664092664092659E-2</v>
      </c>
      <c r="AB13" s="32">
        <f>tblDépenses[[#This Row],[Nov]]/tblDépenses[[#Totals],[Nov]]</f>
        <v>8.1081081081081086E-2</v>
      </c>
      <c r="AC13" s="32">
        <f>tblDépenses[[#This Row],[Déc]]/tblDépenses[[#Totals],[Déc]]</f>
        <v>5.1948051948051951E-2</v>
      </c>
      <c r="AD13" s="32">
        <f>tblDépenses[[#This Row],[Annuel]]/tblDépenses[[#Totals],[Annuel]]</f>
        <v>6.4354784928309441E-2</v>
      </c>
    </row>
    <row r="14" spans="1:30" ht="30" customHeight="1" x14ac:dyDescent="0.3">
      <c r="B14" s="14" t="s">
        <v>26</v>
      </c>
      <c r="C14" s="30" t="s">
        <v>36</v>
      </c>
      <c r="D14" s="23">
        <v>25</v>
      </c>
      <c r="E14" s="23">
        <v>2</v>
      </c>
      <c r="F14" s="23">
        <v>12</v>
      </c>
      <c r="G14" s="23">
        <v>25</v>
      </c>
      <c r="H14" s="23">
        <v>10</v>
      </c>
      <c r="I14" s="23">
        <v>24</v>
      </c>
      <c r="J14" s="23">
        <v>3</v>
      </c>
      <c r="K14" s="23">
        <v>20</v>
      </c>
      <c r="L14" s="23">
        <v>3</v>
      </c>
      <c r="M14" s="23">
        <v>9</v>
      </c>
      <c r="N14" s="23">
        <v>20</v>
      </c>
      <c r="O14" s="23">
        <v>18</v>
      </c>
      <c r="P14" s="31">
        <f>SUM(tblDépenses[[#This Row],[Colonne1]:[Déc]])</f>
        <v>171</v>
      </c>
      <c r="Q14" s="24">
        <v>0.01</v>
      </c>
      <c r="R14" s="32">
        <f>tblDépenses[[#This Row],[Colonne1]]/tblDépenses[[#Totals],[Colonne1]]</f>
        <v>0.1059322033898305</v>
      </c>
      <c r="S14" s="32">
        <f>tblDépenses[[#This Row],[Févr]]/tblDépenses[[#Totals],[Févr]]</f>
        <v>9.7560975609756097E-3</v>
      </c>
      <c r="T14" s="32">
        <f>tblDépenses[[#This Row],[Mars]]/tblDépenses[[#Totals],[Mars]]</f>
        <v>4.8192771084337352E-2</v>
      </c>
      <c r="U14" s="32">
        <f>tblDépenses[[#This Row],[Avr]]/tblDépenses[[#Totals],[Avr]]</f>
        <v>9.5785440613026823E-2</v>
      </c>
      <c r="V14" s="32">
        <f>tblDépenses[[#This Row],[Mai]]/tblDépenses[[#Totals],[Mai]]</f>
        <v>3.8910505836575876E-2</v>
      </c>
      <c r="W14" s="32">
        <f>tblDépenses[[#This Row],[Juin]]/tblDépenses[[#Totals],[Juin]]</f>
        <v>8.7591240875912413E-2</v>
      </c>
      <c r="X14" s="32">
        <f>tblDépenses[[#This Row],[Juil]]/tblDépenses[[#Totals],[Juil]]</f>
        <v>1.1278195488721804E-2</v>
      </c>
      <c r="Y14" s="32">
        <f>tblDépenses[[#This Row],[Août]]/tblDépenses[[#Totals],[Août]]</f>
        <v>8.5106382978723402E-2</v>
      </c>
      <c r="Z14" s="32">
        <f>tblDépenses[[#This Row],[Sept]]/tblDépenses[[#Totals],[Sept]]</f>
        <v>1.3043478260869565E-2</v>
      </c>
      <c r="AA14" s="32">
        <f>tblDépenses[[#This Row],[Oct]]/tblDépenses[[#Totals],[Oct]]</f>
        <v>3.4749034749034749E-2</v>
      </c>
      <c r="AB14" s="32">
        <f>tblDépenses[[#This Row],[Nov]]/tblDépenses[[#Totals],[Nov]]</f>
        <v>6.7567567567567571E-2</v>
      </c>
      <c r="AC14" s="32">
        <f>tblDépenses[[#This Row],[Déc]]/tblDépenses[[#Totals],[Déc]]</f>
        <v>7.792207792207792E-2</v>
      </c>
      <c r="AD14" s="32">
        <f>tblDépenses[[#This Row],[Annuel]]/tblDépenses[[#Totals],[Annuel]]</f>
        <v>5.7019006335445148E-2</v>
      </c>
    </row>
    <row r="15" spans="1:30" ht="30" customHeight="1" x14ac:dyDescent="0.3">
      <c r="B15" s="14" t="s">
        <v>27</v>
      </c>
      <c r="C15" s="30" t="s">
        <v>36</v>
      </c>
      <c r="D15" s="23">
        <v>16</v>
      </c>
      <c r="E15" s="23">
        <v>19</v>
      </c>
      <c r="F15" s="23">
        <v>9</v>
      </c>
      <c r="G15" s="23">
        <v>16</v>
      </c>
      <c r="H15" s="23">
        <v>13</v>
      </c>
      <c r="I15" s="23">
        <v>2</v>
      </c>
      <c r="J15" s="23">
        <v>4</v>
      </c>
      <c r="K15" s="23">
        <v>24</v>
      </c>
      <c r="L15" s="23">
        <v>16</v>
      </c>
      <c r="M15" s="23">
        <v>22</v>
      </c>
      <c r="N15" s="23">
        <v>7</v>
      </c>
      <c r="O15" s="23">
        <v>18</v>
      </c>
      <c r="P15" s="31">
        <f>SUM(tblDépenses[[#This Row],[Colonne1]:[Déc]])</f>
        <v>166</v>
      </c>
      <c r="Q15" s="24">
        <v>0.01</v>
      </c>
      <c r="R15" s="32">
        <f>tblDépenses[[#This Row],[Colonne1]]/tblDépenses[[#Totals],[Colonne1]]</f>
        <v>6.7796610169491525E-2</v>
      </c>
      <c r="S15" s="32">
        <f>tblDépenses[[#This Row],[Févr]]/tblDépenses[[#Totals],[Févr]]</f>
        <v>9.2682926829268292E-2</v>
      </c>
      <c r="T15" s="32">
        <f>tblDépenses[[#This Row],[Mars]]/tblDépenses[[#Totals],[Mars]]</f>
        <v>3.614457831325301E-2</v>
      </c>
      <c r="U15" s="32">
        <f>tblDépenses[[#This Row],[Avr]]/tblDépenses[[#Totals],[Avr]]</f>
        <v>6.1302681992337162E-2</v>
      </c>
      <c r="V15" s="32">
        <f>tblDépenses[[#This Row],[Mai]]/tblDépenses[[#Totals],[Mai]]</f>
        <v>5.0583657587548639E-2</v>
      </c>
      <c r="W15" s="32">
        <f>tblDépenses[[#This Row],[Juin]]/tblDépenses[[#Totals],[Juin]]</f>
        <v>7.2992700729927005E-3</v>
      </c>
      <c r="X15" s="32">
        <f>tblDépenses[[#This Row],[Juil]]/tblDépenses[[#Totals],[Juil]]</f>
        <v>1.5037593984962405E-2</v>
      </c>
      <c r="Y15" s="32">
        <f>tblDépenses[[#This Row],[Août]]/tblDépenses[[#Totals],[Août]]</f>
        <v>0.10212765957446808</v>
      </c>
      <c r="Z15" s="32">
        <f>tblDépenses[[#This Row],[Sept]]/tblDépenses[[#Totals],[Sept]]</f>
        <v>6.9565217391304349E-2</v>
      </c>
      <c r="AA15" s="32">
        <f>tblDépenses[[#This Row],[Oct]]/tblDépenses[[#Totals],[Oct]]</f>
        <v>8.4942084942084939E-2</v>
      </c>
      <c r="AB15" s="32">
        <f>tblDépenses[[#This Row],[Nov]]/tblDépenses[[#Totals],[Nov]]</f>
        <v>2.364864864864865E-2</v>
      </c>
      <c r="AC15" s="32">
        <f>tblDépenses[[#This Row],[Déc]]/tblDépenses[[#Totals],[Déc]]</f>
        <v>7.792207792207792E-2</v>
      </c>
      <c r="AD15" s="32">
        <f>tblDépenses[[#This Row],[Annuel]]/tblDépenses[[#Totals],[Annuel]]</f>
        <v>5.5351783927975989E-2</v>
      </c>
    </row>
    <row r="16" spans="1:30" ht="30" customHeight="1" x14ac:dyDescent="0.3">
      <c r="B16" s="14" t="s">
        <v>28</v>
      </c>
      <c r="C16" s="30" t="s">
        <v>36</v>
      </c>
      <c r="D16" s="23">
        <v>12</v>
      </c>
      <c r="E16" s="23">
        <v>9</v>
      </c>
      <c r="F16" s="23">
        <v>16</v>
      </c>
      <c r="G16" s="23">
        <v>19</v>
      </c>
      <c r="H16" s="23">
        <v>25</v>
      </c>
      <c r="I16" s="23">
        <v>17</v>
      </c>
      <c r="J16" s="23">
        <v>20</v>
      </c>
      <c r="K16" s="23">
        <v>14</v>
      </c>
      <c r="L16" s="23">
        <v>5</v>
      </c>
      <c r="M16" s="23">
        <v>14</v>
      </c>
      <c r="N16" s="23">
        <v>5</v>
      </c>
      <c r="O16" s="23">
        <v>2</v>
      </c>
      <c r="P16" s="31">
        <f>SUM(tblDépenses[[#This Row],[Colonne1]:[Déc]])</f>
        <v>158</v>
      </c>
      <c r="Q16" s="24">
        <v>0.01</v>
      </c>
      <c r="R16" s="32">
        <f>tblDépenses[[#This Row],[Colonne1]]/tblDépenses[[#Totals],[Colonne1]]</f>
        <v>5.0847457627118647E-2</v>
      </c>
      <c r="S16" s="32">
        <f>tblDépenses[[#This Row],[Févr]]/tblDépenses[[#Totals],[Févr]]</f>
        <v>4.3902439024390241E-2</v>
      </c>
      <c r="T16" s="32">
        <f>tblDépenses[[#This Row],[Mars]]/tblDépenses[[#Totals],[Mars]]</f>
        <v>6.4257028112449793E-2</v>
      </c>
      <c r="U16" s="32">
        <f>tblDépenses[[#This Row],[Avr]]/tblDépenses[[#Totals],[Avr]]</f>
        <v>7.2796934865900387E-2</v>
      </c>
      <c r="V16" s="32">
        <f>tblDépenses[[#This Row],[Mai]]/tblDépenses[[#Totals],[Mai]]</f>
        <v>9.727626459143969E-2</v>
      </c>
      <c r="W16" s="32">
        <f>tblDépenses[[#This Row],[Juin]]/tblDépenses[[#Totals],[Juin]]</f>
        <v>6.2043795620437957E-2</v>
      </c>
      <c r="X16" s="32">
        <f>tblDépenses[[#This Row],[Juil]]/tblDépenses[[#Totals],[Juil]]</f>
        <v>7.5187969924812026E-2</v>
      </c>
      <c r="Y16" s="32">
        <f>tblDépenses[[#This Row],[Août]]/tblDépenses[[#Totals],[Août]]</f>
        <v>5.9574468085106386E-2</v>
      </c>
      <c r="Z16" s="32">
        <f>tblDépenses[[#This Row],[Sept]]/tblDépenses[[#Totals],[Sept]]</f>
        <v>2.1739130434782608E-2</v>
      </c>
      <c r="AA16" s="32">
        <f>tblDépenses[[#This Row],[Oct]]/tblDépenses[[#Totals],[Oct]]</f>
        <v>5.4054054054054057E-2</v>
      </c>
      <c r="AB16" s="32">
        <f>tblDépenses[[#This Row],[Nov]]/tblDépenses[[#Totals],[Nov]]</f>
        <v>1.6891891891891893E-2</v>
      </c>
      <c r="AC16" s="32">
        <f>tblDépenses[[#This Row],[Déc]]/tblDépenses[[#Totals],[Déc]]</f>
        <v>8.658008658008658E-3</v>
      </c>
      <c r="AD16" s="32">
        <f>tblDépenses[[#This Row],[Annuel]]/tblDépenses[[#Totals],[Annuel]]</f>
        <v>5.2684228076025338E-2</v>
      </c>
    </row>
    <row r="17" spans="1:30" ht="30" customHeight="1" x14ac:dyDescent="0.3">
      <c r="B17" s="14" t="s">
        <v>29</v>
      </c>
      <c r="C17" s="30" t="s">
        <v>36</v>
      </c>
      <c r="D17" s="23">
        <v>16</v>
      </c>
      <c r="E17" s="23">
        <v>13</v>
      </c>
      <c r="F17" s="23">
        <v>10</v>
      </c>
      <c r="G17" s="23">
        <v>7</v>
      </c>
      <c r="H17" s="23">
        <v>13</v>
      </c>
      <c r="I17" s="23">
        <v>3</v>
      </c>
      <c r="J17" s="23">
        <v>13</v>
      </c>
      <c r="K17" s="23">
        <v>17</v>
      </c>
      <c r="L17" s="23">
        <v>9</v>
      </c>
      <c r="M17" s="23">
        <v>4</v>
      </c>
      <c r="N17" s="23">
        <v>22</v>
      </c>
      <c r="O17" s="23">
        <v>18</v>
      </c>
      <c r="P17" s="31">
        <f>SUM(tblDépenses[[#This Row],[Colonne1]:[Déc]])</f>
        <v>145</v>
      </c>
      <c r="Q17" s="24">
        <v>0.14000000000000001</v>
      </c>
      <c r="R17" s="32">
        <f>tblDépenses[[#This Row],[Colonne1]]/tblDépenses[[#Totals],[Colonne1]]</f>
        <v>6.7796610169491525E-2</v>
      </c>
      <c r="S17" s="32">
        <f>tblDépenses[[#This Row],[Févr]]/tblDépenses[[#Totals],[Févr]]</f>
        <v>6.3414634146341464E-2</v>
      </c>
      <c r="T17" s="32">
        <f>tblDépenses[[#This Row],[Mars]]/tblDépenses[[#Totals],[Mars]]</f>
        <v>4.0160642570281124E-2</v>
      </c>
      <c r="U17" s="32">
        <f>tblDépenses[[#This Row],[Avr]]/tblDépenses[[#Totals],[Avr]]</f>
        <v>2.681992337164751E-2</v>
      </c>
      <c r="V17" s="32">
        <f>tblDépenses[[#This Row],[Mai]]/tblDépenses[[#Totals],[Mai]]</f>
        <v>5.0583657587548639E-2</v>
      </c>
      <c r="W17" s="32">
        <f>tblDépenses[[#This Row],[Juin]]/tblDépenses[[#Totals],[Juin]]</f>
        <v>1.0948905109489052E-2</v>
      </c>
      <c r="X17" s="32">
        <f>tblDépenses[[#This Row],[Juil]]/tblDépenses[[#Totals],[Juil]]</f>
        <v>4.8872180451127817E-2</v>
      </c>
      <c r="Y17" s="32">
        <f>tblDépenses[[#This Row],[Août]]/tblDépenses[[#Totals],[Août]]</f>
        <v>7.2340425531914887E-2</v>
      </c>
      <c r="Z17" s="32">
        <f>tblDépenses[[#This Row],[Sept]]/tblDépenses[[#Totals],[Sept]]</f>
        <v>3.9130434782608699E-2</v>
      </c>
      <c r="AA17" s="32">
        <f>tblDépenses[[#This Row],[Oct]]/tblDépenses[[#Totals],[Oct]]</f>
        <v>1.5444015444015444E-2</v>
      </c>
      <c r="AB17" s="32">
        <f>tblDépenses[[#This Row],[Nov]]/tblDépenses[[#Totals],[Nov]]</f>
        <v>7.4324324324324328E-2</v>
      </c>
      <c r="AC17" s="32">
        <f>tblDépenses[[#This Row],[Déc]]/tblDépenses[[#Totals],[Déc]]</f>
        <v>7.792207792207792E-2</v>
      </c>
      <c r="AD17" s="32">
        <f>tblDépenses[[#This Row],[Annuel]]/tblDépenses[[#Totals],[Annuel]]</f>
        <v>4.8349449816605536E-2</v>
      </c>
    </row>
    <row r="18" spans="1:30" ht="30" customHeight="1" x14ac:dyDescent="0.3">
      <c r="B18" s="14" t="s">
        <v>30</v>
      </c>
      <c r="C18" s="30" t="s">
        <v>36</v>
      </c>
      <c r="D18" s="23">
        <v>3</v>
      </c>
      <c r="E18" s="23">
        <v>2</v>
      </c>
      <c r="F18" s="23">
        <v>19</v>
      </c>
      <c r="G18" s="23">
        <v>21</v>
      </c>
      <c r="H18" s="23">
        <v>13</v>
      </c>
      <c r="I18" s="23">
        <v>9</v>
      </c>
      <c r="J18" s="23">
        <v>7</v>
      </c>
      <c r="K18" s="23">
        <v>13</v>
      </c>
      <c r="L18" s="23">
        <v>3</v>
      </c>
      <c r="M18" s="23">
        <v>6</v>
      </c>
      <c r="N18" s="23">
        <v>10</v>
      </c>
      <c r="O18" s="23">
        <v>13</v>
      </c>
      <c r="P18" s="31">
        <f>SUM(tblDépenses[[#This Row],[Colonne1]:[Déc]])</f>
        <v>119</v>
      </c>
      <c r="Q18" s="24">
        <v>0.06</v>
      </c>
      <c r="R18" s="32">
        <f>tblDépenses[[#This Row],[Colonne1]]/tblDépenses[[#Totals],[Colonne1]]</f>
        <v>1.2711864406779662E-2</v>
      </c>
      <c r="S18" s="32">
        <f>tblDépenses[[#This Row],[Févr]]/tblDépenses[[#Totals],[Févr]]</f>
        <v>9.7560975609756097E-3</v>
      </c>
      <c r="T18" s="32">
        <f>tblDépenses[[#This Row],[Mars]]/tblDépenses[[#Totals],[Mars]]</f>
        <v>7.6305220883534142E-2</v>
      </c>
      <c r="U18" s="32">
        <f>tblDépenses[[#This Row],[Avr]]/tblDépenses[[#Totals],[Avr]]</f>
        <v>8.0459770114942528E-2</v>
      </c>
      <c r="V18" s="32">
        <f>tblDépenses[[#This Row],[Mai]]/tblDépenses[[#Totals],[Mai]]</f>
        <v>5.0583657587548639E-2</v>
      </c>
      <c r="W18" s="32">
        <f>tblDépenses[[#This Row],[Juin]]/tblDépenses[[#Totals],[Juin]]</f>
        <v>3.2846715328467155E-2</v>
      </c>
      <c r="X18" s="32">
        <f>tblDépenses[[#This Row],[Juil]]/tblDépenses[[#Totals],[Juil]]</f>
        <v>2.6315789473684209E-2</v>
      </c>
      <c r="Y18" s="32">
        <f>tblDépenses[[#This Row],[Août]]/tblDépenses[[#Totals],[Août]]</f>
        <v>5.5319148936170209E-2</v>
      </c>
      <c r="Z18" s="32">
        <f>tblDépenses[[#This Row],[Sept]]/tblDépenses[[#Totals],[Sept]]</f>
        <v>1.3043478260869565E-2</v>
      </c>
      <c r="AA18" s="32">
        <f>tblDépenses[[#This Row],[Oct]]/tblDépenses[[#Totals],[Oct]]</f>
        <v>2.3166023166023165E-2</v>
      </c>
      <c r="AB18" s="32">
        <f>tblDépenses[[#This Row],[Nov]]/tblDépenses[[#Totals],[Nov]]</f>
        <v>3.3783783783783786E-2</v>
      </c>
      <c r="AC18" s="32">
        <f>tblDépenses[[#This Row],[Déc]]/tblDépenses[[#Totals],[Déc]]</f>
        <v>5.627705627705628E-2</v>
      </c>
      <c r="AD18" s="32">
        <f>tblDépenses[[#This Row],[Annuel]]/tblDépenses[[#Totals],[Annuel]]</f>
        <v>3.9679893297765924E-2</v>
      </c>
    </row>
    <row r="19" spans="1:30" ht="30" customHeight="1" x14ac:dyDescent="0.3">
      <c r="B19" s="14" t="s">
        <v>31</v>
      </c>
      <c r="C19" s="30" t="s">
        <v>36</v>
      </c>
      <c r="D19" s="23">
        <v>8</v>
      </c>
      <c r="E19" s="23">
        <v>7</v>
      </c>
      <c r="F19" s="23">
        <v>6</v>
      </c>
      <c r="G19" s="23">
        <v>7</v>
      </c>
      <c r="H19" s="23">
        <v>7</v>
      </c>
      <c r="I19" s="23">
        <v>6</v>
      </c>
      <c r="J19" s="23">
        <v>15</v>
      </c>
      <c r="K19" s="23">
        <v>23</v>
      </c>
      <c r="L19" s="23">
        <v>21</v>
      </c>
      <c r="M19" s="23">
        <v>16</v>
      </c>
      <c r="N19" s="23">
        <v>19</v>
      </c>
      <c r="O19" s="23">
        <v>7</v>
      </c>
      <c r="P19" s="31">
        <f>SUM(tblDépenses[[#This Row],[Colonne1]:[Déc]])</f>
        <v>142</v>
      </c>
      <c r="Q19" s="24">
        <v>0.01</v>
      </c>
      <c r="R19" s="32">
        <f>tblDépenses[[#This Row],[Colonne1]]/tblDépenses[[#Totals],[Colonne1]]</f>
        <v>3.3898305084745763E-2</v>
      </c>
      <c r="S19" s="32">
        <f>tblDépenses[[#This Row],[Févr]]/tblDépenses[[#Totals],[Févr]]</f>
        <v>3.4146341463414637E-2</v>
      </c>
      <c r="T19" s="32">
        <f>tblDépenses[[#This Row],[Mars]]/tblDépenses[[#Totals],[Mars]]</f>
        <v>2.4096385542168676E-2</v>
      </c>
      <c r="U19" s="32">
        <f>tblDépenses[[#This Row],[Avr]]/tblDépenses[[#Totals],[Avr]]</f>
        <v>2.681992337164751E-2</v>
      </c>
      <c r="V19" s="32">
        <f>tblDépenses[[#This Row],[Mai]]/tblDépenses[[#Totals],[Mai]]</f>
        <v>2.7237354085603113E-2</v>
      </c>
      <c r="W19" s="32">
        <f>tblDépenses[[#This Row],[Juin]]/tblDépenses[[#Totals],[Juin]]</f>
        <v>2.1897810218978103E-2</v>
      </c>
      <c r="X19" s="32">
        <f>tblDépenses[[#This Row],[Juil]]/tblDépenses[[#Totals],[Juil]]</f>
        <v>5.6390977443609019E-2</v>
      </c>
      <c r="Y19" s="32">
        <f>tblDépenses[[#This Row],[Août]]/tblDépenses[[#Totals],[Août]]</f>
        <v>9.7872340425531917E-2</v>
      </c>
      <c r="Z19" s="32">
        <f>tblDépenses[[#This Row],[Sept]]/tblDépenses[[#Totals],[Sept]]</f>
        <v>9.1304347826086957E-2</v>
      </c>
      <c r="AA19" s="32">
        <f>tblDépenses[[#This Row],[Oct]]/tblDépenses[[#Totals],[Oct]]</f>
        <v>6.1776061776061778E-2</v>
      </c>
      <c r="AB19" s="32">
        <f>tblDépenses[[#This Row],[Nov]]/tblDépenses[[#Totals],[Nov]]</f>
        <v>6.4189189189189186E-2</v>
      </c>
      <c r="AC19" s="32">
        <f>tblDépenses[[#This Row],[Déc]]/tblDépenses[[#Totals],[Déc]]</f>
        <v>3.0303030303030304E-2</v>
      </c>
      <c r="AD19" s="32">
        <f>tblDépenses[[#This Row],[Annuel]]/tblDépenses[[#Totals],[Annuel]]</f>
        <v>4.7349116372124044E-2</v>
      </c>
    </row>
    <row r="20" spans="1:30" ht="30" customHeight="1" x14ac:dyDescent="0.3">
      <c r="B20" s="14" t="s">
        <v>32</v>
      </c>
      <c r="C20" s="30" t="s">
        <v>36</v>
      </c>
      <c r="D20" s="23">
        <v>14</v>
      </c>
      <c r="E20" s="23">
        <v>4</v>
      </c>
      <c r="F20" s="23">
        <v>24</v>
      </c>
      <c r="G20" s="23">
        <v>6</v>
      </c>
      <c r="H20" s="23">
        <v>20</v>
      </c>
      <c r="I20" s="23">
        <v>14</v>
      </c>
      <c r="J20" s="23">
        <v>21</v>
      </c>
      <c r="K20" s="23">
        <v>20</v>
      </c>
      <c r="L20" s="23">
        <v>22</v>
      </c>
      <c r="M20" s="23">
        <v>3</v>
      </c>
      <c r="N20" s="23">
        <v>14</v>
      </c>
      <c r="O20" s="23">
        <v>6</v>
      </c>
      <c r="P20" s="31">
        <f>SUM(tblDépenses[[#This Row],[Colonne1]:[Déc]])</f>
        <v>168</v>
      </c>
      <c r="Q20" s="24">
        <v>0.01</v>
      </c>
      <c r="R20" s="32">
        <f>tblDépenses[[#This Row],[Colonne1]]/tblDépenses[[#Totals],[Colonne1]]</f>
        <v>5.9322033898305086E-2</v>
      </c>
      <c r="S20" s="32">
        <f>tblDépenses[[#This Row],[Févr]]/tblDépenses[[#Totals],[Févr]]</f>
        <v>1.9512195121951219E-2</v>
      </c>
      <c r="T20" s="32">
        <f>tblDépenses[[#This Row],[Mars]]/tblDépenses[[#Totals],[Mars]]</f>
        <v>9.6385542168674704E-2</v>
      </c>
      <c r="U20" s="32">
        <f>tblDépenses[[#This Row],[Avr]]/tblDépenses[[#Totals],[Avr]]</f>
        <v>2.2988505747126436E-2</v>
      </c>
      <c r="V20" s="32">
        <f>tblDépenses[[#This Row],[Mai]]/tblDépenses[[#Totals],[Mai]]</f>
        <v>7.7821011673151752E-2</v>
      </c>
      <c r="W20" s="32">
        <f>tblDépenses[[#This Row],[Juin]]/tblDépenses[[#Totals],[Juin]]</f>
        <v>5.1094890510948905E-2</v>
      </c>
      <c r="X20" s="32">
        <f>tblDépenses[[#This Row],[Juil]]/tblDépenses[[#Totals],[Juil]]</f>
        <v>7.8947368421052627E-2</v>
      </c>
      <c r="Y20" s="32">
        <f>tblDépenses[[#This Row],[Août]]/tblDépenses[[#Totals],[Août]]</f>
        <v>8.5106382978723402E-2</v>
      </c>
      <c r="Z20" s="32">
        <f>tblDépenses[[#This Row],[Sept]]/tblDépenses[[#Totals],[Sept]]</f>
        <v>9.5652173913043481E-2</v>
      </c>
      <c r="AA20" s="32">
        <f>tblDépenses[[#This Row],[Oct]]/tblDépenses[[#Totals],[Oct]]</f>
        <v>1.1583011583011582E-2</v>
      </c>
      <c r="AB20" s="32">
        <f>tblDépenses[[#This Row],[Nov]]/tblDépenses[[#Totals],[Nov]]</f>
        <v>4.72972972972973E-2</v>
      </c>
      <c r="AC20" s="32">
        <f>tblDépenses[[#This Row],[Déc]]/tblDépenses[[#Totals],[Déc]]</f>
        <v>2.5974025974025976E-2</v>
      </c>
      <c r="AD20" s="32">
        <f>tblDépenses[[#This Row],[Annuel]]/tblDépenses[[#Totals],[Annuel]]</f>
        <v>5.6018672890963656E-2</v>
      </c>
    </row>
    <row r="21" spans="1:30" ht="30" customHeight="1" x14ac:dyDescent="0.3">
      <c r="B21" s="14" t="s">
        <v>32</v>
      </c>
      <c r="C21" s="30" t="s">
        <v>36</v>
      </c>
      <c r="D21" s="23">
        <v>14</v>
      </c>
      <c r="E21" s="23">
        <v>7</v>
      </c>
      <c r="F21" s="23">
        <v>24</v>
      </c>
      <c r="G21" s="23">
        <v>10</v>
      </c>
      <c r="H21" s="23">
        <v>7</v>
      </c>
      <c r="I21" s="23">
        <v>24</v>
      </c>
      <c r="J21" s="23">
        <v>2</v>
      </c>
      <c r="K21" s="23">
        <v>11</v>
      </c>
      <c r="L21" s="23">
        <v>21</v>
      </c>
      <c r="M21" s="23">
        <v>19</v>
      </c>
      <c r="N21" s="23">
        <v>19</v>
      </c>
      <c r="O21" s="23">
        <v>20</v>
      </c>
      <c r="P21" s="31">
        <f>SUM(tblDépenses[[#This Row],[Colonne1]:[Déc]])</f>
        <v>178</v>
      </c>
      <c r="Q21" s="24">
        <v>0.01</v>
      </c>
      <c r="R21" s="32">
        <f>tblDépenses[[#This Row],[Colonne1]]/tblDépenses[[#Totals],[Colonne1]]</f>
        <v>5.9322033898305086E-2</v>
      </c>
      <c r="S21" s="32">
        <f>tblDépenses[[#This Row],[Févr]]/tblDépenses[[#Totals],[Févr]]</f>
        <v>3.4146341463414637E-2</v>
      </c>
      <c r="T21" s="32">
        <f>tblDépenses[[#This Row],[Mars]]/tblDépenses[[#Totals],[Mars]]</f>
        <v>9.6385542168674704E-2</v>
      </c>
      <c r="U21" s="32">
        <f>tblDépenses[[#This Row],[Avr]]/tblDépenses[[#Totals],[Avr]]</f>
        <v>3.8314176245210725E-2</v>
      </c>
      <c r="V21" s="32">
        <f>tblDépenses[[#This Row],[Mai]]/tblDépenses[[#Totals],[Mai]]</f>
        <v>2.7237354085603113E-2</v>
      </c>
      <c r="W21" s="32">
        <f>tblDépenses[[#This Row],[Juin]]/tblDépenses[[#Totals],[Juin]]</f>
        <v>8.7591240875912413E-2</v>
      </c>
      <c r="X21" s="32">
        <f>tblDépenses[[#This Row],[Juil]]/tblDépenses[[#Totals],[Juil]]</f>
        <v>7.5187969924812026E-3</v>
      </c>
      <c r="Y21" s="32">
        <f>tblDépenses[[#This Row],[Août]]/tblDépenses[[#Totals],[Août]]</f>
        <v>4.6808510638297871E-2</v>
      </c>
      <c r="Z21" s="32">
        <f>tblDépenses[[#This Row],[Sept]]/tblDépenses[[#Totals],[Sept]]</f>
        <v>9.1304347826086957E-2</v>
      </c>
      <c r="AA21" s="32">
        <f>tblDépenses[[#This Row],[Oct]]/tblDépenses[[#Totals],[Oct]]</f>
        <v>7.3359073359073365E-2</v>
      </c>
      <c r="AB21" s="32">
        <f>tblDépenses[[#This Row],[Nov]]/tblDépenses[[#Totals],[Nov]]</f>
        <v>6.4189189189189186E-2</v>
      </c>
      <c r="AC21" s="32">
        <f>tblDépenses[[#This Row],[Déc]]/tblDépenses[[#Totals],[Déc]]</f>
        <v>8.6580086580086577E-2</v>
      </c>
      <c r="AD21" s="32">
        <f>tblDépenses[[#This Row],[Annuel]]/tblDépenses[[#Totals],[Annuel]]</f>
        <v>5.9353117705901966E-2</v>
      </c>
    </row>
    <row r="22" spans="1:30" ht="30" customHeight="1" x14ac:dyDescent="0.3">
      <c r="A22" s="1"/>
      <c r="B22" s="14" t="s">
        <v>32</v>
      </c>
      <c r="C22" s="30" t="s">
        <v>36</v>
      </c>
      <c r="D22" s="23">
        <v>11</v>
      </c>
      <c r="E22" s="23">
        <v>8</v>
      </c>
      <c r="F22" s="23">
        <v>25</v>
      </c>
      <c r="G22" s="23">
        <v>11</v>
      </c>
      <c r="H22" s="23">
        <v>9</v>
      </c>
      <c r="I22" s="23">
        <v>24</v>
      </c>
      <c r="J22" s="23">
        <v>13</v>
      </c>
      <c r="K22" s="23">
        <v>14</v>
      </c>
      <c r="L22" s="23">
        <v>19</v>
      </c>
      <c r="M22" s="23">
        <v>24</v>
      </c>
      <c r="N22" s="23">
        <v>15</v>
      </c>
      <c r="O22" s="23">
        <v>7</v>
      </c>
      <c r="P22" s="31">
        <f>SUM(tblDépenses[[#This Row],[Colonne1]:[Déc]])</f>
        <v>180</v>
      </c>
      <c r="Q22" s="24">
        <v>0.01</v>
      </c>
      <c r="R22" s="32">
        <f>tblDépenses[[#This Row],[Colonne1]]/tblDépenses[[#Totals],[Colonne1]]</f>
        <v>4.6610169491525424E-2</v>
      </c>
      <c r="S22" s="32">
        <f>tblDépenses[[#This Row],[Févr]]/tblDépenses[[#Totals],[Févr]]</f>
        <v>3.9024390243902439E-2</v>
      </c>
      <c r="T22" s="32">
        <f>tblDépenses[[#This Row],[Mars]]/tblDépenses[[#Totals],[Mars]]</f>
        <v>0.10040160642570281</v>
      </c>
      <c r="U22" s="32">
        <f>tblDépenses[[#This Row],[Avr]]/tblDépenses[[#Totals],[Avr]]</f>
        <v>4.2145593869731802E-2</v>
      </c>
      <c r="V22" s="32">
        <f>tblDépenses[[#This Row],[Mai]]/tblDépenses[[#Totals],[Mai]]</f>
        <v>3.5019455252918288E-2</v>
      </c>
      <c r="W22" s="32">
        <f>tblDépenses[[#This Row],[Juin]]/tblDépenses[[#Totals],[Juin]]</f>
        <v>8.7591240875912413E-2</v>
      </c>
      <c r="X22" s="32">
        <f>tblDépenses[[#This Row],[Juil]]/tblDépenses[[#Totals],[Juil]]</f>
        <v>4.8872180451127817E-2</v>
      </c>
      <c r="Y22" s="32">
        <f>tblDépenses[[#This Row],[Août]]/tblDépenses[[#Totals],[Août]]</f>
        <v>5.9574468085106386E-2</v>
      </c>
      <c r="Z22" s="32">
        <f>tblDépenses[[#This Row],[Sept]]/tblDépenses[[#Totals],[Sept]]</f>
        <v>8.2608695652173908E-2</v>
      </c>
      <c r="AA22" s="32">
        <f>tblDépenses[[#This Row],[Oct]]/tblDépenses[[#Totals],[Oct]]</f>
        <v>9.2664092664092659E-2</v>
      </c>
      <c r="AB22" s="32">
        <f>tblDépenses[[#This Row],[Nov]]/tblDépenses[[#Totals],[Nov]]</f>
        <v>5.0675675675675678E-2</v>
      </c>
      <c r="AC22" s="32">
        <f>tblDépenses[[#This Row],[Déc]]/tblDépenses[[#Totals],[Déc]]</f>
        <v>3.0303030303030304E-2</v>
      </c>
      <c r="AD22" s="32">
        <f>tblDépenses[[#This Row],[Annuel]]/tblDépenses[[#Totals],[Annuel]]</f>
        <v>6.0020006668889632E-2</v>
      </c>
    </row>
    <row r="23" spans="1:30" ht="30" customHeight="1" x14ac:dyDescent="0.3">
      <c r="A23" s="2"/>
      <c r="B23" s="14" t="s">
        <v>33</v>
      </c>
      <c r="C23" s="30" t="s">
        <v>36</v>
      </c>
      <c r="D23" s="23">
        <v>8</v>
      </c>
      <c r="E23" s="23">
        <v>20</v>
      </c>
      <c r="F23" s="23">
        <v>11</v>
      </c>
      <c r="G23" s="23">
        <v>11</v>
      </c>
      <c r="H23" s="23">
        <v>11</v>
      </c>
      <c r="I23" s="23">
        <v>20</v>
      </c>
      <c r="J23" s="23">
        <v>12</v>
      </c>
      <c r="K23" s="23">
        <v>16</v>
      </c>
      <c r="L23" s="23">
        <v>5</v>
      </c>
      <c r="M23" s="23">
        <v>7</v>
      </c>
      <c r="N23" s="23">
        <v>21</v>
      </c>
      <c r="O23" s="23">
        <v>3</v>
      </c>
      <c r="P23" s="31">
        <f>SUM(tblDépenses[[#This Row],[Colonne1]:[Déc]])</f>
        <v>145</v>
      </c>
      <c r="Q23" s="24">
        <v>0.02</v>
      </c>
      <c r="R23" s="32">
        <f>tblDépenses[[#This Row],[Colonne1]]/tblDépenses[[#Totals],[Colonne1]]</f>
        <v>3.3898305084745763E-2</v>
      </c>
      <c r="S23" s="32">
        <f>tblDépenses[[#This Row],[Févr]]/tblDépenses[[#Totals],[Févr]]</f>
        <v>9.7560975609756101E-2</v>
      </c>
      <c r="T23" s="32">
        <f>tblDépenses[[#This Row],[Mars]]/tblDépenses[[#Totals],[Mars]]</f>
        <v>4.4176706827309238E-2</v>
      </c>
      <c r="U23" s="32">
        <f>tblDépenses[[#This Row],[Avr]]/tblDépenses[[#Totals],[Avr]]</f>
        <v>4.2145593869731802E-2</v>
      </c>
      <c r="V23" s="32">
        <f>tblDépenses[[#This Row],[Mai]]/tblDépenses[[#Totals],[Mai]]</f>
        <v>4.2801556420233464E-2</v>
      </c>
      <c r="W23" s="32">
        <f>tblDépenses[[#This Row],[Juin]]/tblDépenses[[#Totals],[Juin]]</f>
        <v>7.2992700729927001E-2</v>
      </c>
      <c r="X23" s="32">
        <f>tblDépenses[[#This Row],[Juil]]/tblDépenses[[#Totals],[Juil]]</f>
        <v>4.5112781954887216E-2</v>
      </c>
      <c r="Y23" s="32">
        <f>tblDépenses[[#This Row],[Août]]/tblDépenses[[#Totals],[Août]]</f>
        <v>6.8085106382978725E-2</v>
      </c>
      <c r="Z23" s="32">
        <f>tblDépenses[[#This Row],[Sept]]/tblDépenses[[#Totals],[Sept]]</f>
        <v>2.1739130434782608E-2</v>
      </c>
      <c r="AA23" s="32">
        <f>tblDépenses[[#This Row],[Oct]]/tblDépenses[[#Totals],[Oct]]</f>
        <v>2.7027027027027029E-2</v>
      </c>
      <c r="AB23" s="32">
        <f>tblDépenses[[#This Row],[Nov]]/tblDépenses[[#Totals],[Nov]]</f>
        <v>7.0945945945945943E-2</v>
      </c>
      <c r="AC23" s="32">
        <f>tblDépenses[[#This Row],[Déc]]/tblDépenses[[#Totals],[Déc]]</f>
        <v>1.2987012987012988E-2</v>
      </c>
      <c r="AD23" s="32">
        <f>tblDépenses[[#This Row],[Annuel]]/tblDépenses[[#Totals],[Annuel]]</f>
        <v>4.8349449816605536E-2</v>
      </c>
    </row>
    <row r="24" spans="1:30" ht="30" customHeight="1" x14ac:dyDescent="0.3">
      <c r="B24" s="9" t="s">
        <v>34</v>
      </c>
      <c r="C24" s="10" t="s">
        <v>36</v>
      </c>
      <c r="D24" s="34">
        <f>SUBTOTAL(109,tblDépenses[Colonne1])</f>
        <v>236</v>
      </c>
      <c r="E24" s="34">
        <f>SUBTOTAL(109,tblDépenses[Févr])</f>
        <v>205</v>
      </c>
      <c r="F24" s="34">
        <f>SUBTOTAL(109,tblDépenses[Mars])</f>
        <v>249</v>
      </c>
      <c r="G24" s="34">
        <f>SUBTOTAL(109,tblDépenses[Avr])</f>
        <v>261</v>
      </c>
      <c r="H24" s="34">
        <f>SUBTOTAL(109,tblDépenses[Mai])</f>
        <v>257</v>
      </c>
      <c r="I24" s="34">
        <f>SUBTOTAL(109,tblDépenses[Juin])</f>
        <v>274</v>
      </c>
      <c r="J24" s="34">
        <f>SUBTOTAL(109,tblDépenses[Juil])</f>
        <v>266</v>
      </c>
      <c r="K24" s="34">
        <f>SUBTOTAL(109,tblDépenses[Août])</f>
        <v>235</v>
      </c>
      <c r="L24" s="34">
        <f>SUBTOTAL(109,tblDépenses[Sept])</f>
        <v>230</v>
      </c>
      <c r="M24" s="34">
        <f>SUBTOTAL(109,tblDépenses[Oct])</f>
        <v>259</v>
      </c>
      <c r="N24" s="34">
        <f>SUBTOTAL(109,tblDépenses[Nov])</f>
        <v>296</v>
      </c>
      <c r="O24" s="34">
        <f>SUBTOTAL(109,tblDépenses[Déc])</f>
        <v>231</v>
      </c>
      <c r="P24" s="34">
        <f>SUBTOTAL(109,tblDépenses[Annuel])</f>
        <v>2999</v>
      </c>
      <c r="Q24" s="26">
        <f>SUBTOTAL(109,tblDépenses[Index %])</f>
        <v>1</v>
      </c>
      <c r="R24" s="26">
        <f>SUBTOTAL(109,tblDépenses[Jan %])</f>
        <v>1</v>
      </c>
      <c r="S24" s="26">
        <f>SUBTOTAL(109,tblDépenses[Fév %])</f>
        <v>1.0000000000000002</v>
      </c>
      <c r="T24" s="26">
        <f>SUBTOTAL(109,tblDépenses[Mar %])</f>
        <v>1.0000000000000002</v>
      </c>
      <c r="U24" s="26">
        <f>SUBTOTAL(109,tblDépenses[Avr %])</f>
        <v>1</v>
      </c>
      <c r="V24" s="26">
        <f>SUBTOTAL(109,tblDépenses[Mai %])</f>
        <v>1.0000000000000002</v>
      </c>
      <c r="W24" s="26">
        <f>SUBTOTAL(109,tblDépenses[Jui %])</f>
        <v>1</v>
      </c>
      <c r="X24" s="26">
        <f>SUBTOTAL(109,tblDépenses[Jui % ])</f>
        <v>1</v>
      </c>
      <c r="Y24" s="26">
        <f>SUBTOTAL(109,tblDépenses[Aoû %])</f>
        <v>0.99999999999999989</v>
      </c>
      <c r="Z24" s="26">
        <f>SUBTOTAL(109,tblDépenses[Sep %])</f>
        <v>1</v>
      </c>
      <c r="AA24" s="26">
        <f>SUBTOTAL(109,tblDépenses[Oct %])</f>
        <v>1</v>
      </c>
      <c r="AB24" s="26">
        <f>SUBTOTAL(109,tblDépenses[Nov %])</f>
        <v>0.99999999999999989</v>
      </c>
      <c r="AC24" s="26">
        <f>SUBTOTAL(109,tblDépenses[Déc %])</f>
        <v>1</v>
      </c>
      <c r="AD24" s="26">
        <f>SUBTOTAL(109,tblDépenses[Année %])</f>
        <v>0.99999999999999989</v>
      </c>
    </row>
    <row r="25" spans="1:30" ht="30" customHeight="1" x14ac:dyDescent="0.3">
      <c r="B25" s="16"/>
      <c r="C25" s="16"/>
      <c r="D25" s="16"/>
      <c r="E25" s="16"/>
      <c r="F25" s="16"/>
      <c r="G25" s="16"/>
      <c r="H25" s="16"/>
      <c r="I25" s="16"/>
      <c r="J25" s="16"/>
      <c r="K25" s="16"/>
      <c r="L25" s="16"/>
      <c r="M25" s="16"/>
      <c r="N25" s="16"/>
      <c r="O25" s="16"/>
      <c r="P25" s="16"/>
      <c r="Q25" s="16"/>
      <c r="R25" s="16"/>
      <c r="S25" s="16"/>
      <c r="T25" s="16"/>
      <c r="U25" s="16"/>
      <c r="V25" s="16"/>
      <c r="W25" s="16"/>
      <c r="X25" s="16"/>
      <c r="Y25" s="16"/>
      <c r="Z25" s="16"/>
      <c r="AA25" s="16"/>
      <c r="AB25" s="16"/>
      <c r="AC25" s="16"/>
      <c r="AD25" s="16"/>
    </row>
    <row r="26" spans="1:30" ht="30" customHeight="1" x14ac:dyDescent="0.3">
      <c r="B26" s="12" t="s">
        <v>35</v>
      </c>
      <c r="C26" s="12"/>
      <c r="D26" s="35">
        <f>Frais!$D$12-tblDépenses[[#Totals],[Colonne1]]</f>
        <v>223547.75999999998</v>
      </c>
      <c r="E26" s="35" t="e">
        <f>Frais!E12-tblDépenses[[#Totals],[Févr]]</f>
        <v>#N/A</v>
      </c>
      <c r="F26" s="35" t="e">
        <f>Frais!F12-tblDépenses[[#Totals],[Mars]]</f>
        <v>#N/A</v>
      </c>
      <c r="G26" s="35" t="e">
        <f>Frais!G12-tblDépenses[[#Totals],[Avr]]</f>
        <v>#N/A</v>
      </c>
      <c r="H26" s="35" t="e">
        <f>Frais!H12-tblDépenses[[#Totals],[Mai]]</f>
        <v>#N/A</v>
      </c>
      <c r="I26" s="35" t="e">
        <f>Frais!I12-tblDépenses[[#Totals],[Juin]]</f>
        <v>#N/A</v>
      </c>
      <c r="J26" s="35" t="e">
        <f>Frais!J12-tblDépenses[[#Totals],[Juil]]</f>
        <v>#N/A</v>
      </c>
      <c r="K26" s="35" t="e">
        <f>Frais!K12-tblDépenses[[#Totals],[Août]]</f>
        <v>#N/A</v>
      </c>
      <c r="L26" s="35" t="e">
        <f>Frais!L12-tblDépenses[[#Totals],[Sept]]</f>
        <v>#N/A</v>
      </c>
      <c r="M26" s="35" t="e">
        <f>Frais!M12-tblDépenses[[#Totals],[Oct]]</f>
        <v>#N/A</v>
      </c>
      <c r="N26" s="35" t="e">
        <f>Frais!N12-tblDépenses[[#Totals],[Nov]]</f>
        <v>#N/A</v>
      </c>
      <c r="O26" s="35" t="e">
        <f>Frais!O12-tblDépenses[[#Totals],[Déc]]</f>
        <v>#N/A</v>
      </c>
      <c r="P26" s="35" t="e">
        <f>SUM(D26:O26)</f>
        <v>#N/A</v>
      </c>
      <c r="Q26" s="12"/>
      <c r="R26" s="13" t="e">
        <f>D26/$P$26</f>
        <v>#N/A</v>
      </c>
      <c r="S26" s="13" t="e">
        <f t="shared" ref="S26:AD26" si="1">E26/$P$26</f>
        <v>#N/A</v>
      </c>
      <c r="T26" s="13" t="e">
        <f t="shared" si="1"/>
        <v>#N/A</v>
      </c>
      <c r="U26" s="13" t="e">
        <f t="shared" si="1"/>
        <v>#N/A</v>
      </c>
      <c r="V26" s="13" t="e">
        <f t="shared" si="1"/>
        <v>#N/A</v>
      </c>
      <c r="W26" s="13" t="e">
        <f t="shared" si="1"/>
        <v>#N/A</v>
      </c>
      <c r="X26" s="13" t="e">
        <f t="shared" si="1"/>
        <v>#N/A</v>
      </c>
      <c r="Y26" s="13" t="e">
        <f t="shared" si="1"/>
        <v>#N/A</v>
      </c>
      <c r="Z26" s="13" t="e">
        <f t="shared" si="1"/>
        <v>#N/A</v>
      </c>
      <c r="AA26" s="13" t="e">
        <f t="shared" si="1"/>
        <v>#N/A</v>
      </c>
      <c r="AB26" s="13" t="e">
        <f t="shared" si="1"/>
        <v>#N/A</v>
      </c>
      <c r="AC26" s="13" t="e">
        <f t="shared" si="1"/>
        <v>#N/A</v>
      </c>
      <c r="AD26" s="13" t="e">
        <f t="shared" si="1"/>
        <v>#N/A</v>
      </c>
    </row>
  </sheetData>
  <dataValidations count="18">
    <dataValidation allowBlank="1" showInputMessage="1" showErrorMessage="1" prompt="Cette feuille de calcul calcule le total des dépenses par mois et par an, ainsi que le total des dépenses annuelles pour chaque élément. Les bénéfices nets sont calculés automatiquement en fonction de la marge brute et des dépenses totales " sqref="A1:A1048576" xr:uid="{00000000-0002-0000-0F00-000000000000}"/>
    <dataValidation allowBlank="1" showInputMessage="1" showErrorMessage="1" prompt="Le nom de l’entreprise est automatiquement mis à jour à l’aide de l’entrée indiquée dans la feuille de calcul Chiffre d’affaires (ventes)" sqref="AD1" xr:uid="{00000000-0002-0000-0F00-000001000000}"/>
    <dataValidation allowBlank="1" showInputMessage="1" showErrorMessage="1" prompt="Titre automatiquement mis à jour à partir de la feuille de calcul Chiffre d’affaires (ventes) Entrez des valeurs dans le tableau Dépenses ci-dessous pour calculer le total des dépenses" sqref="B2" xr:uid="{00000000-0002-0000-0F00-000002000000}"/>
    <dataValidation allowBlank="1" showInputMessage="1" showErrorMessage="1" prompt="Entrez le pourcentage d’index dans cette colonne" sqref="Q4" xr:uid="{00000000-0002-0000-0F00-000003000000}"/>
    <dataValidation allowBlank="1" showInputMessage="1" showErrorMessage="1" prompt="Les bénéfices nets sont calculés automatiquement par mois et par an en fonction de la marge brute et des dépenses totales" sqref="B26" xr:uid="{00000000-0002-0000-0F00-000004000000}"/>
    <dataValidation allowBlank="1" showInputMessage="1" showErrorMessage="1" prompt="Entrez dans cette colonne les dépenses liées aux sources répertoriées dans la colonne B" sqref="D4:O4" xr:uid="{00000000-0002-0000-0F00-000005000000}"/>
    <dataValidation allowBlank="1" showInputMessage="1" showErrorMessage="1" prompt="Un graphique de tendance représentant les dépenses au fil du temps figure dans cette colonne" sqref="C4" xr:uid="{00000000-0002-0000-0F00-000006000000}"/>
    <dataValidation allowBlank="1" showInputMessage="1" showErrorMessage="1" prompt="Entrez les dépenses dans cette colonne" sqref="B4" xr:uid="{00000000-0002-0000-0F00-000007000000}"/>
    <dataValidation allowBlank="1" showInputMessage="1" showErrorMessage="1" prompt="Calcule automatiquement la proportion de dépenses des différentes sources par rapport aux dépenses totales pour l’année dans cette colonne" sqref="AD3" xr:uid="{00000000-0002-0000-0F00-000008000000}"/>
    <dataValidation allowBlank="1" showInputMessage="1" showErrorMessage="1" prompt="Calcule automatiquement la proportion de dépenses des différentes sources par rapport aux dépenses totales dans cette colonne, pour le mois figurant dans cette cellule" sqref="R3:AC3" xr:uid="{00000000-0002-0000-0F00-000009000000}"/>
    <dataValidation allowBlank="1" showInputMessage="1" showErrorMessage="1" prompt="Mois automatiquement mis à jour" sqref="E3:O3" xr:uid="{00000000-0002-0000-0F00-00000A000000}"/>
    <dataValidation allowBlank="1" showInputMessage="1" showErrorMessage="1" prompt="Les dates de cette ligne sont automatiquement mises à jour en fonction du mois de début de chaque exercice. Pour modifier le mois de début, modifiez la cellule AC2" sqref="D3" xr:uid="{00000000-0002-0000-0F00-00000B000000}"/>
    <dataValidation allowBlank="1" showInputMessage="1" showErrorMessage="1" prompt="Les dépenses annuelles sont calculées automatiquement dans cette colonne" sqref="P3" xr:uid="{00000000-0002-0000-0F00-00000C000000}"/>
    <dataValidation allowBlank="1" showInputMessage="1" showErrorMessage="1" prompt="Le pourcentage d’index figure dans cette colonne" sqref="Q3" xr:uid="{00000000-0002-0000-0F00-00000D000000}"/>
    <dataValidation allowBlank="1" showInputMessage="1" showErrorMessage="1" prompt="Cette cellule est automatiquement mise à jour à partir du titre de la période de prévision de la feuille de calcul Chiffre d’affaires (ventes)" sqref="B1" xr:uid="{00000000-0002-0000-0F00-00000E000000}"/>
    <dataValidation allowBlank="1" showInputMessage="1" showErrorMessage="1" prompt="Le mois et l’année sont automatiquement mis à jour dans les cellules à droite. Pour modifier le mois ou l’année, modifiez les cellules AC2 et AD2 de la feuille de calcul Chiffre d’affaires (ventes)" sqref="AB2" xr:uid="{00000000-0002-0000-0F00-00000F000000}"/>
    <dataValidation allowBlank="1" showInputMessage="1" showErrorMessage="1" prompt="Mois automatiquement mis à jour. Pour modifier, modifiez la cellule AC2 de la feuille de calcul Chiffre d’affaires (ventes)" sqref="AC2" xr:uid="{00000000-0002-0000-0F00-000010000000}"/>
    <dataValidation allowBlank="1" showInputMessage="1" showErrorMessage="1" prompt="Année automatiquement mis à jour. Pour modifier, modifiez la cellule AD2 de la feuille de calcul Chiffre d’affaires (ventes)" sqref="AD2" xr:uid="{00000000-0002-0000-0F00-000011000000}"/>
  </dataValidations>
  <printOptions horizontalCentered="1"/>
  <pageMargins left="0.25" right="0.25" top="0.75" bottom="0.75" header="0.3" footer="0.3"/>
  <pageSetup paperSize="9" scale="40" fitToHeight="0" orientation="landscape" r:id="rId1"/>
  <headerFooter differentFirst="1">
    <oddFooter>Page &amp;P of &amp;N</oddFooter>
  </headerFooter>
  <tableParts count="1">
    <tablePart r:id="rId2"/>
  </tableParts>
  <extLst>
    <ext xmlns:x14="http://schemas.microsoft.com/office/spreadsheetml/2009/9/main" uri="{05C60535-1F16-4fd2-B633-F4F36F0B64E0}">
      <x14:sparklineGroups xmlns:xm="http://schemas.microsoft.com/office/excel/2006/main">
        <x14:sparklineGroup lineWeight="1" displayEmptyCellsAs="gap" high="1" low="1" xr2:uid="{00000000-0003-0000-0F00-000004000000}">
          <x14:colorSeries theme="3"/>
          <x14:colorNegative theme="5"/>
          <x14:colorAxis rgb="FF000000"/>
          <x14:colorMarkers theme="4" tint="-0.499984740745262"/>
          <x14:colorFirst theme="4" tint="0.39997558519241921"/>
          <x14:colorLast theme="4" tint="0.39997558519241921"/>
          <x14:colorHigh theme="3"/>
          <x14:colorLow theme="3"/>
          <x14:sparklines>
            <x14:sparkline>
              <xm:f>Charge!D5:O5</xm:f>
              <xm:sqref>C5</xm:sqref>
            </x14:sparkline>
            <x14:sparkline>
              <xm:f>Charge!D6:O6</xm:f>
              <xm:sqref>C6</xm:sqref>
            </x14:sparkline>
            <x14:sparkline>
              <xm:f>Charge!D7:O7</xm:f>
              <xm:sqref>C7</xm:sqref>
            </x14:sparkline>
            <x14:sparkline>
              <xm:f>Charge!D8:O8</xm:f>
              <xm:sqref>C8</xm:sqref>
            </x14:sparkline>
            <x14:sparkline>
              <xm:f>Charge!D9:O9</xm:f>
              <xm:sqref>C9</xm:sqref>
            </x14:sparkline>
            <x14:sparkline>
              <xm:f>Charge!D10:O10</xm:f>
              <xm:sqref>C10</xm:sqref>
            </x14:sparkline>
            <x14:sparkline>
              <xm:f>Charge!D11:O11</xm:f>
              <xm:sqref>C11</xm:sqref>
            </x14:sparkline>
            <x14:sparkline>
              <xm:f>Charge!D12:O12</xm:f>
              <xm:sqref>C12</xm:sqref>
            </x14:sparkline>
            <x14:sparkline>
              <xm:f>Charge!D13:O13</xm:f>
              <xm:sqref>C13</xm:sqref>
            </x14:sparkline>
            <x14:sparkline>
              <xm:f>Charge!D14:O14</xm:f>
              <xm:sqref>C14</xm:sqref>
            </x14:sparkline>
            <x14:sparkline>
              <xm:f>Charge!D15:O15</xm:f>
              <xm:sqref>C15</xm:sqref>
            </x14:sparkline>
            <x14:sparkline>
              <xm:f>Charge!D16:O16</xm:f>
              <xm:sqref>C16</xm:sqref>
            </x14:sparkline>
            <x14:sparkline>
              <xm:f>Charge!D17:O17</xm:f>
              <xm:sqref>C17</xm:sqref>
            </x14:sparkline>
            <x14:sparkline>
              <xm:f>Charge!D18:O18</xm:f>
              <xm:sqref>C18</xm:sqref>
            </x14:sparkline>
            <x14:sparkline>
              <xm:f>Charge!D19:O19</xm:f>
              <xm:sqref>C19</xm:sqref>
            </x14:sparkline>
            <x14:sparkline>
              <xm:f>Charge!D20:O20</xm:f>
              <xm:sqref>C20</xm:sqref>
            </x14:sparkline>
            <x14:sparkline>
              <xm:f>Charge!D21:O21</xm:f>
              <xm:sqref>C21</xm:sqref>
            </x14:sparkline>
            <x14:sparkline>
              <xm:f>Charge!D22:O22</xm:f>
              <xm:sqref>C22</xm:sqref>
            </x14:sparkline>
            <x14:sparkline>
              <xm:f>Charge!D23:O23</xm:f>
              <xm:sqref>C23</xm:sqref>
            </x14:sparkline>
          </x14:sparklines>
        </x14:sparklineGroup>
        <x14:sparklineGroup lineWeight="1" displayEmptyCellsAs="gap" high="1" low="1" xr2:uid="{00000000-0003-0000-0F00-000005000000}">
          <x14:colorSeries theme="3"/>
          <x14:colorNegative theme="5"/>
          <x14:colorAxis rgb="FF000000"/>
          <x14:colorMarkers theme="4" tint="-0.499984740745262"/>
          <x14:colorFirst theme="4" tint="0.39997558519241921"/>
          <x14:colorLast theme="4" tint="0.39997558519241921"/>
          <x14:colorHigh theme="3"/>
          <x14:colorLow theme="3"/>
          <x14:sparklines>
            <x14:sparkline>
              <xm:f>Charge!D24:O24</xm:f>
              <xm:sqref>C24</xm:sqref>
            </x14:sparkline>
          </x14:sparklines>
        </x14:sparklineGroup>
      </x14:sparklineGroups>
    </ext>
  </extLs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16</vt:i4>
      </vt:variant>
      <vt:variant>
        <vt:lpstr>Plages nommées</vt:lpstr>
      </vt:variant>
      <vt:variant>
        <vt:i4>13</vt:i4>
      </vt:variant>
    </vt:vector>
  </HeadingPairs>
  <TitlesOfParts>
    <vt:vector size="29" baseType="lpstr">
      <vt:lpstr>Dépôt</vt:lpstr>
      <vt:lpstr>Chiffre d’affaires </vt:lpstr>
      <vt:lpstr>Janvier</vt:lpstr>
      <vt:lpstr>Fevrier</vt:lpstr>
      <vt:lpstr>Mars</vt:lpstr>
      <vt:lpstr>Avril</vt:lpstr>
      <vt:lpstr>Mai</vt:lpstr>
      <vt:lpstr>Juin</vt:lpstr>
      <vt:lpstr>Juillet</vt:lpstr>
      <vt:lpstr>Août</vt:lpstr>
      <vt:lpstr>Septembre</vt:lpstr>
      <vt:lpstr>Otobre</vt:lpstr>
      <vt:lpstr>Novembre</vt:lpstr>
      <vt:lpstr>Décembre</vt:lpstr>
      <vt:lpstr>Frais</vt:lpstr>
      <vt:lpstr>Charge</vt:lpstr>
      <vt:lpstr>AnnéeCalendrier</vt:lpstr>
      <vt:lpstr>DébutSemaine</vt:lpstr>
      <vt:lpstr>FYMonthStart</vt:lpstr>
      <vt:lpstr>FYStartYear</vt:lpstr>
      <vt:lpstr>Charge!Impression_des_titres</vt:lpstr>
      <vt:lpstr>'Chiffre d’affaires '!Impression_des_titres</vt:lpstr>
      <vt:lpstr>Frais!Impression_des_titres</vt:lpstr>
      <vt:lpstr>Nom_Entreprise</vt:lpstr>
      <vt:lpstr>Titre_Feuille_Calcul</vt:lpstr>
      <vt:lpstr>Titre_Période_Prévisions</vt:lpstr>
      <vt:lpstr>Titre1</vt:lpstr>
      <vt:lpstr>Titre2</vt:lpstr>
      <vt:lpstr>Titre3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LIEGEOIS</dc:creator>
  <cp:lastModifiedBy>LIEGEOIS</cp:lastModifiedBy>
  <dcterms:created xsi:type="dcterms:W3CDTF">2016-12-06T05:59:57Z</dcterms:created>
  <dcterms:modified xsi:type="dcterms:W3CDTF">2019-02-12T12:59:14Z</dcterms:modified>
</cp:coreProperties>
</file>