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codeName="ThisWorkbook"/>
  <mc:AlternateContent xmlns:mc="http://schemas.openxmlformats.org/markup-compatibility/2006">
    <mc:Choice Requires="x15">
      <x15ac:absPath xmlns:x15ac="http://schemas.microsoft.com/office/spreadsheetml/2010/11/ac" url="C:\Users\LIEGEOIS\Desktop\BV 1\"/>
    </mc:Choice>
  </mc:AlternateContent>
  <xr:revisionPtr revIDLastSave="0" documentId="13_ncr:1_{76BA3FF3-0D8D-4845-B7AF-34EFCE528592}" xr6:coauthVersionLast="40" xr6:coauthVersionMax="40" xr10:uidLastSave="{00000000-0000-0000-0000-000000000000}"/>
  <bookViews>
    <workbookView xWindow="0" yWindow="0" windowWidth="21600" windowHeight="9510" tabRatio="929" xr2:uid="{00000000-000D-0000-FFFF-FFFF00000000}"/>
  </bookViews>
  <sheets>
    <sheet name="Chiffre d’affaires" sheetId="2" r:id="rId1"/>
    <sheet name="Janvier" sheetId="5" r:id="rId2"/>
    <sheet name="Fevrier" sheetId="7" r:id="rId3"/>
    <sheet name="Mars" sheetId="8" r:id="rId4"/>
    <sheet name="Avril" sheetId="9" r:id="rId5"/>
    <sheet name="Mai" sheetId="10" r:id="rId6"/>
    <sheet name="Juin" sheetId="11" r:id="rId7"/>
    <sheet name="Juillet" sheetId="12" r:id="rId8"/>
    <sheet name="Août" sheetId="13" r:id="rId9"/>
    <sheet name="Septembre" sheetId="14" r:id="rId10"/>
    <sheet name="Otobre" sheetId="15" r:id="rId11"/>
    <sheet name="Novembre" sheetId="16" r:id="rId12"/>
    <sheet name="Décembre" sheetId="17" r:id="rId13"/>
    <sheet name="Frais" sheetId="3" r:id="rId14"/>
    <sheet name="Charge" sheetId="4" r:id="rId15"/>
  </sheets>
  <definedNames>
    <definedName name="AnnéeCalendrier">Janvier!$K$2</definedName>
    <definedName name="DébutSemaine">Janvier!$K$3</definedName>
    <definedName name="FYMonthNo">IF(FYMonthStart="JANV",1,IF(FYMonthStart="FÉVR",2,IF(FYMonthStart="MARS",3,IF(FYMonthStart="AVR",4,IF(FYMonthStart="MAI",5,IF(FYMonthStart="JUIN",6,IF(FYMonthStart="JUIL",7,IF(FYMonthStart="AOÛT",8,IF(FYMonthStart="SEPT",9,IF(FYMonthStart="OCT",10,IF(FYMonthStart="NOV",11,12)))))))))))</definedName>
    <definedName name="FYMonthStart">'Chiffre d’affaires'!$AC$2</definedName>
    <definedName name="FYStartYear">'Chiffre d’affaires'!$AD$2</definedName>
    <definedName name="_xlnm.Print_Titles" localSheetId="14">Charge!$3:$4</definedName>
    <definedName name="_xlnm.Print_Titles" localSheetId="0">'Chiffre d’affaires'!$3:$4</definedName>
    <definedName name="_xlnm.Print_Titles" localSheetId="13">Frais!$3:$4</definedName>
    <definedName name="JoursEtSemaines">{0,1,2,3,4,5,6} + {0;1;2;3;4;5}*7</definedName>
    <definedName name="Nom_Entreprise">'Chiffre d’affaires'!$AD$1</definedName>
    <definedName name="Titre_Feuille_Calcul">'Chiffre d’affaires'!$B$2</definedName>
    <definedName name="Titre_Période_Prévisions">'Chiffre d’affaires'!$B$1</definedName>
    <definedName name="Titre1">Chiffre_daffaires[[#Headers],[CHIFFRE D’AFFAIRES (VENTES)]]</definedName>
    <definedName name="Titre2">CoûtdesVentes[[#Headers],[COÛT DES VENTES]]</definedName>
    <definedName name="Titre3">tblDépenses[[#Headers],[DÉPENSES]]</definedName>
  </definedNames>
  <calcPr calcId="181029"/>
</workbook>
</file>

<file path=xl/calcChain.xml><?xml version="1.0" encoding="utf-8"?>
<calcChain xmlns="http://schemas.openxmlformats.org/spreadsheetml/2006/main">
  <c r="H7" i="2" l="1"/>
  <c r="G7" i="2"/>
  <c r="F7" i="2"/>
  <c r="E9" i="2"/>
  <c r="E8" i="2"/>
  <c r="I14" i="11" l="1"/>
  <c r="K2" i="17"/>
  <c r="K2" i="16"/>
  <c r="K2" i="15"/>
  <c r="K2" i="14"/>
  <c r="K2" i="13"/>
  <c r="K2" i="12"/>
  <c r="K2" i="11"/>
  <c r="K2" i="10"/>
  <c r="K2" i="9"/>
  <c r="K2" i="8"/>
  <c r="K2" i="7"/>
  <c r="I10" i="7"/>
  <c r="I12" i="7"/>
  <c r="I10" i="8"/>
  <c r="I12" i="8"/>
  <c r="I10" i="9"/>
  <c r="I12" i="9"/>
  <c r="I10" i="10"/>
  <c r="I12" i="10"/>
  <c r="I10" i="11"/>
  <c r="I12" i="11"/>
  <c r="I10" i="12"/>
  <c r="I12" i="12"/>
  <c r="I10" i="13"/>
  <c r="I12" i="13"/>
  <c r="I10" i="14"/>
  <c r="I12" i="14"/>
  <c r="I10" i="15"/>
  <c r="I12" i="15"/>
  <c r="I10" i="16"/>
  <c r="I12" i="16"/>
  <c r="I10" i="17"/>
  <c r="I12" i="17"/>
  <c r="I10" i="5"/>
  <c r="I12" i="5"/>
  <c r="I8" i="7"/>
  <c r="I8" i="8"/>
  <c r="I8" i="9"/>
  <c r="I8" i="10"/>
  <c r="I8" i="11"/>
  <c r="I8" i="12"/>
  <c r="I8" i="13"/>
  <c r="I8" i="14"/>
  <c r="I8" i="15"/>
  <c r="I8" i="16"/>
  <c r="I8" i="17"/>
  <c r="I8" i="5"/>
  <c r="I6" i="7"/>
  <c r="I6" i="8"/>
  <c r="I6" i="9"/>
  <c r="I6" i="10"/>
  <c r="I6" i="11"/>
  <c r="I6" i="12"/>
  <c r="I6" i="13"/>
  <c r="I6" i="14"/>
  <c r="I6" i="15"/>
  <c r="I6" i="16"/>
  <c r="I6" i="17"/>
  <c r="I6" i="5"/>
  <c r="D6" i="2" s="1"/>
  <c r="I4" i="7"/>
  <c r="I4" i="8"/>
  <c r="I4" i="9"/>
  <c r="I4" i="10"/>
  <c r="I4" i="11"/>
  <c r="I4" i="12"/>
  <c r="I4" i="13"/>
  <c r="I4" i="14"/>
  <c r="I4" i="15"/>
  <c r="I4" i="16"/>
  <c r="I4" i="17"/>
  <c r="I4" i="5"/>
  <c r="D5" i="2" s="1"/>
  <c r="E7" i="2"/>
  <c r="E6" i="2"/>
  <c r="E5" i="2"/>
  <c r="D9" i="2"/>
  <c r="D8" i="2"/>
  <c r="D7" i="2"/>
  <c r="O7" i="2" l="1"/>
  <c r="O8" i="2"/>
  <c r="O9" i="2"/>
  <c r="O6" i="2"/>
  <c r="O5" i="2"/>
  <c r="N7" i="2"/>
  <c r="N8" i="2"/>
  <c r="N9" i="2"/>
  <c r="N6" i="2"/>
  <c r="N5" i="2"/>
  <c r="M7" i="2"/>
  <c r="M8" i="2"/>
  <c r="M9" i="2"/>
  <c r="M6" i="2"/>
  <c r="M5" i="2"/>
  <c r="L7" i="2"/>
  <c r="L8" i="2"/>
  <c r="L9" i="2"/>
  <c r="L6" i="2"/>
  <c r="L5" i="2"/>
  <c r="K7" i="2"/>
  <c r="K8" i="2"/>
  <c r="K9" i="2"/>
  <c r="K6" i="2"/>
  <c r="K5" i="2"/>
  <c r="J7" i="2"/>
  <c r="J8" i="2"/>
  <c r="J9" i="2"/>
  <c r="J6" i="2"/>
  <c r="J5" i="2"/>
  <c r="I7" i="2"/>
  <c r="I8" i="2"/>
  <c r="I9" i="2"/>
  <c r="I6" i="2"/>
  <c r="I5" i="2"/>
  <c r="H8" i="2"/>
  <c r="H9" i="2"/>
  <c r="H6" i="2"/>
  <c r="H5" i="2"/>
  <c r="G8" i="2"/>
  <c r="G9" i="2"/>
  <c r="G6" i="2"/>
  <c r="G5" i="2"/>
  <c r="F8" i="2"/>
  <c r="F9" i="2"/>
  <c r="F6" i="2"/>
  <c r="F5" i="2"/>
  <c r="B2" i="8"/>
  <c r="B2" i="9"/>
  <c r="B2" i="10"/>
  <c r="B2" i="11"/>
  <c r="B2" i="12"/>
  <c r="B2" i="13"/>
  <c r="B2" i="14"/>
  <c r="B2" i="15"/>
  <c r="B2" i="16"/>
  <c r="B2" i="17"/>
  <c r="B2" i="7"/>
  <c r="AD2" i="2"/>
  <c r="Q10" i="2"/>
  <c r="B1" i="7"/>
  <c r="B2" i="5"/>
  <c r="B1" i="9" l="1"/>
  <c r="B1" i="17"/>
  <c r="B1" i="16"/>
  <c r="B1" i="15"/>
  <c r="B1" i="13"/>
  <c r="B1" i="14"/>
  <c r="B1" i="12"/>
  <c r="B1" i="11"/>
  <c r="B1" i="10"/>
  <c r="B1" i="8"/>
  <c r="B13" i="10" a="1"/>
  <c r="C13" i="10" s="1"/>
  <c r="B11" i="5" a="1"/>
  <c r="D11" i="5" s="1"/>
  <c r="B13" i="13" a="1"/>
  <c r="B13" i="12" a="1"/>
  <c r="B13" i="14" a="1"/>
  <c r="B13" i="16" a="1"/>
  <c r="B13" i="7" a="1"/>
  <c r="B13" i="17" a="1"/>
  <c r="B13" i="15" a="1"/>
  <c r="B13" i="5" a="1"/>
  <c r="C13" i="5" s="1"/>
  <c r="B1" i="5"/>
  <c r="B3" i="5" a="1"/>
  <c r="B5" i="5" a="1"/>
  <c r="B7" i="5" a="1"/>
  <c r="B9" i="5" a="1"/>
  <c r="P6" i="4"/>
  <c r="P7" i="4"/>
  <c r="P8" i="4"/>
  <c r="P9" i="4"/>
  <c r="P10" i="4"/>
  <c r="P11" i="4"/>
  <c r="P12" i="4"/>
  <c r="P13" i="4"/>
  <c r="P14" i="4"/>
  <c r="P15" i="4"/>
  <c r="P16" i="4"/>
  <c r="P17" i="4"/>
  <c r="P18" i="4"/>
  <c r="P19" i="4"/>
  <c r="P20" i="4"/>
  <c r="P21" i="4"/>
  <c r="P22" i="4"/>
  <c r="P23" i="4"/>
  <c r="P5" i="4"/>
  <c r="AD1" i="4"/>
  <c r="B2" i="4"/>
  <c r="B1" i="4"/>
  <c r="P6" i="3"/>
  <c r="P7" i="3"/>
  <c r="P8" i="3"/>
  <c r="P9" i="3"/>
  <c r="P5" i="3"/>
  <c r="AC2" i="3"/>
  <c r="AD1" i="3"/>
  <c r="B2" i="3"/>
  <c r="B1" i="3"/>
  <c r="P6" i="2"/>
  <c r="P7" i="2"/>
  <c r="P8" i="2"/>
  <c r="P9" i="2"/>
  <c r="P5" i="2"/>
  <c r="H11" i="5" l="1"/>
  <c r="B13" i="10"/>
  <c r="F11" i="5"/>
  <c r="E11" i="5"/>
  <c r="B11" i="5"/>
  <c r="B13" i="17"/>
  <c r="C13" i="17"/>
  <c r="C13" i="7"/>
  <c r="B13" i="7"/>
  <c r="C13" i="14"/>
  <c r="B13" i="14"/>
  <c r="B13" i="12"/>
  <c r="C13" i="12"/>
  <c r="G11" i="5"/>
  <c r="C11" i="5"/>
  <c r="B13" i="15"/>
  <c r="C13" i="15"/>
  <c r="C13" i="16"/>
  <c r="B13" i="16"/>
  <c r="C13" i="13"/>
  <c r="B13" i="13"/>
  <c r="B13" i="5"/>
  <c r="G9" i="5"/>
  <c r="E9" i="5"/>
  <c r="C9" i="5"/>
  <c r="H9" i="5"/>
  <c r="F9" i="5"/>
  <c r="D9" i="5"/>
  <c r="B9" i="5"/>
  <c r="G5" i="5"/>
  <c r="E5" i="5"/>
  <c r="C5" i="5"/>
  <c r="H5" i="5"/>
  <c r="F5" i="5"/>
  <c r="D5" i="5"/>
  <c r="B5" i="5"/>
  <c r="G7" i="5"/>
  <c r="E7" i="5"/>
  <c r="C7" i="5"/>
  <c r="H7" i="5"/>
  <c r="F7" i="5"/>
  <c r="D7" i="5"/>
  <c r="B7" i="5"/>
  <c r="G3" i="5"/>
  <c r="G2" i="5" s="1"/>
  <c r="E3" i="5"/>
  <c r="E2" i="5" s="1"/>
  <c r="C3" i="5"/>
  <c r="C2" i="5" s="1"/>
  <c r="H3" i="5"/>
  <c r="H2" i="5" s="1"/>
  <c r="F3" i="5"/>
  <c r="F2" i="5" s="1"/>
  <c r="D3" i="5"/>
  <c r="D2" i="5" s="1"/>
  <c r="B3" i="5"/>
  <c r="O3" i="4" l="1"/>
  <c r="AC3" i="4" s="1"/>
  <c r="M3" i="4"/>
  <c r="AA3" i="4" s="1"/>
  <c r="K3" i="4"/>
  <c r="Y3" i="4" s="1"/>
  <c r="I3" i="4"/>
  <c r="W3" i="4" s="1"/>
  <c r="G3" i="4"/>
  <c r="U3" i="4" s="1"/>
  <c r="E3" i="4"/>
  <c r="S3" i="4" s="1"/>
  <c r="N3" i="4"/>
  <c r="AB3" i="4" s="1"/>
  <c r="L3" i="4"/>
  <c r="Z3" i="4" s="1"/>
  <c r="J3" i="4"/>
  <c r="X3" i="4" s="1"/>
  <c r="H3" i="4"/>
  <c r="V3" i="4" s="1"/>
  <c r="F3" i="4"/>
  <c r="T3" i="4" s="1"/>
  <c r="D3" i="4"/>
  <c r="R3" i="4" s="1"/>
  <c r="I3" i="3"/>
  <c r="W3" i="3" s="1"/>
  <c r="N3" i="3"/>
  <c r="AB3" i="3" s="1"/>
  <c r="L3" i="3"/>
  <c r="Z3" i="3" s="1"/>
  <c r="J3" i="3"/>
  <c r="X3" i="3" s="1"/>
  <c r="H3" i="3"/>
  <c r="V3" i="3" s="1"/>
  <c r="F3" i="3"/>
  <c r="T3" i="3" s="1"/>
  <c r="D3" i="3"/>
  <c r="R3" i="3" s="1"/>
  <c r="O3" i="3"/>
  <c r="AC3" i="3" s="1"/>
  <c r="M3" i="3"/>
  <c r="AA3" i="3" s="1"/>
  <c r="K3" i="3"/>
  <c r="Y3" i="3" s="1"/>
  <c r="G3" i="3"/>
  <c r="U3" i="3" s="1"/>
  <c r="E3" i="3"/>
  <c r="S3" i="3" s="1"/>
  <c r="D3" i="2"/>
  <c r="R3" i="2" s="1"/>
  <c r="O3" i="2"/>
  <c r="AC3" i="2" s="1"/>
  <c r="M3" i="2"/>
  <c r="AA3" i="2" s="1"/>
  <c r="K3" i="2"/>
  <c r="Y3" i="2" s="1"/>
  <c r="I3" i="2"/>
  <c r="W3" i="2" s="1"/>
  <c r="G3" i="2"/>
  <c r="U3" i="2" s="1"/>
  <c r="E3" i="2"/>
  <c r="S3" i="2" s="1"/>
  <c r="N3" i="2"/>
  <c r="AB3" i="2" s="1"/>
  <c r="L3" i="2"/>
  <c r="Z3" i="2" s="1"/>
  <c r="J3" i="2"/>
  <c r="X3" i="2" s="1"/>
  <c r="H3" i="2"/>
  <c r="V3" i="2" s="1"/>
  <c r="F3" i="2"/>
  <c r="T3" i="2" s="1"/>
  <c r="AD2" i="4"/>
  <c r="AC2" i="4"/>
  <c r="AD2" i="3"/>
  <c r="Q24" i="4" l="1"/>
  <c r="O24" i="4"/>
  <c r="N24" i="4"/>
  <c r="M24" i="4"/>
  <c r="L24" i="4"/>
  <c r="K24" i="4"/>
  <c r="J24" i="4"/>
  <c r="I24" i="4"/>
  <c r="H24" i="4"/>
  <c r="G24" i="4"/>
  <c r="F24" i="4"/>
  <c r="E24" i="4"/>
  <c r="D24" i="4"/>
  <c r="D10" i="2"/>
  <c r="E10" i="2"/>
  <c r="F10" i="2"/>
  <c r="G10" i="2"/>
  <c r="H10" i="2"/>
  <c r="I10" i="2"/>
  <c r="J10" i="2"/>
  <c r="K10" i="2"/>
  <c r="L10" i="2"/>
  <c r="M10" i="2"/>
  <c r="N10" i="2"/>
  <c r="O10" i="2"/>
  <c r="Q10" i="3"/>
  <c r="O10" i="3"/>
  <c r="N10" i="3"/>
  <c r="M10" i="3"/>
  <c r="L10" i="3"/>
  <c r="K10" i="3"/>
  <c r="J10" i="3"/>
  <c r="I10" i="3"/>
  <c r="H10" i="3"/>
  <c r="G10" i="3"/>
  <c r="F10" i="3"/>
  <c r="E10" i="3"/>
  <c r="D10" i="3"/>
  <c r="AB6" i="2" l="1"/>
  <c r="AB8" i="2"/>
  <c r="AB5" i="2"/>
  <c r="AB7" i="2"/>
  <c r="AB9" i="2"/>
  <c r="Z6" i="2"/>
  <c r="Z8" i="2"/>
  <c r="Z5" i="2"/>
  <c r="Z7" i="2"/>
  <c r="Z9" i="2"/>
  <c r="X6" i="2"/>
  <c r="X8" i="2"/>
  <c r="X5" i="2"/>
  <c r="X7" i="2"/>
  <c r="X9" i="2"/>
  <c r="V6" i="2"/>
  <c r="V8" i="2"/>
  <c r="V5" i="2"/>
  <c r="V7" i="2"/>
  <c r="V9" i="2"/>
  <c r="T6" i="2"/>
  <c r="T8" i="2"/>
  <c r="T5" i="2"/>
  <c r="T7" i="2"/>
  <c r="T9" i="2"/>
  <c r="R6" i="2"/>
  <c r="R8" i="2"/>
  <c r="R5" i="2"/>
  <c r="R7" i="2"/>
  <c r="R9" i="2"/>
  <c r="AC5" i="2"/>
  <c r="AC7" i="2"/>
  <c r="AC9" i="2"/>
  <c r="AC6" i="2"/>
  <c r="AC8" i="2"/>
  <c r="AA5" i="2"/>
  <c r="AA7" i="2"/>
  <c r="AA9" i="2"/>
  <c r="AA6" i="2"/>
  <c r="AA8" i="2"/>
  <c r="Y5" i="2"/>
  <c r="Y7" i="2"/>
  <c r="Y9" i="2"/>
  <c r="Y6" i="2"/>
  <c r="Y8" i="2"/>
  <c r="W5" i="2"/>
  <c r="W7" i="2"/>
  <c r="W9" i="2"/>
  <c r="W6" i="2"/>
  <c r="W8" i="2"/>
  <c r="U5" i="2"/>
  <c r="U7" i="2"/>
  <c r="U9" i="2"/>
  <c r="U6" i="2"/>
  <c r="U8" i="2"/>
  <c r="S5" i="2"/>
  <c r="S7" i="2"/>
  <c r="S9" i="2"/>
  <c r="S6" i="2"/>
  <c r="S8" i="2"/>
  <c r="U6" i="3"/>
  <c r="U8" i="3"/>
  <c r="U5" i="3"/>
  <c r="U7" i="3"/>
  <c r="U9" i="3"/>
  <c r="W6" i="3"/>
  <c r="W8" i="3"/>
  <c r="W5" i="3"/>
  <c r="W7" i="3"/>
  <c r="W9" i="3"/>
  <c r="Y6" i="3"/>
  <c r="Y8" i="3"/>
  <c r="Y5" i="3"/>
  <c r="Y7" i="3"/>
  <c r="Y9" i="3"/>
  <c r="AA7" i="3"/>
  <c r="AA9" i="3"/>
  <c r="AA8" i="3"/>
  <c r="AA5" i="3"/>
  <c r="AA6" i="3"/>
  <c r="AC7" i="3"/>
  <c r="AC9" i="3"/>
  <c r="AC6" i="3"/>
  <c r="AC8" i="3"/>
  <c r="AC5" i="3"/>
  <c r="N12" i="3"/>
  <c r="N26" i="4" s="1"/>
  <c r="L12" i="3"/>
  <c r="L26" i="4" s="1"/>
  <c r="J12" i="3"/>
  <c r="J26" i="4" s="1"/>
  <c r="H12" i="3"/>
  <c r="H26" i="4" s="1"/>
  <c r="F12" i="3"/>
  <c r="F26" i="4" s="1"/>
  <c r="D12" i="3"/>
  <c r="D26" i="4" s="1"/>
  <c r="S7" i="4"/>
  <c r="S9" i="4"/>
  <c r="S11" i="4"/>
  <c r="S13" i="4"/>
  <c r="S15" i="4"/>
  <c r="S17" i="4"/>
  <c r="S19" i="4"/>
  <c r="S21" i="4"/>
  <c r="S23" i="4"/>
  <c r="S6" i="4"/>
  <c r="S8" i="4"/>
  <c r="S10" i="4"/>
  <c r="S12" i="4"/>
  <c r="S14" i="4"/>
  <c r="S16" i="4"/>
  <c r="S18" i="4"/>
  <c r="S20" i="4"/>
  <c r="S22" i="4"/>
  <c r="S5" i="4"/>
  <c r="U6" i="4"/>
  <c r="U8" i="4"/>
  <c r="U10" i="4"/>
  <c r="U7" i="4"/>
  <c r="U11" i="4"/>
  <c r="U13" i="4"/>
  <c r="U15" i="4"/>
  <c r="U17" i="4"/>
  <c r="U19" i="4"/>
  <c r="U21" i="4"/>
  <c r="U23" i="4"/>
  <c r="U9" i="4"/>
  <c r="U12" i="4"/>
  <c r="U14" i="4"/>
  <c r="U16" i="4"/>
  <c r="U18" i="4"/>
  <c r="U20" i="4"/>
  <c r="U22" i="4"/>
  <c r="U5" i="4"/>
  <c r="W6" i="4"/>
  <c r="W8" i="4"/>
  <c r="W10" i="4"/>
  <c r="W12" i="4"/>
  <c r="W14" i="4"/>
  <c r="W16" i="4"/>
  <c r="W18" i="4"/>
  <c r="W20" i="4"/>
  <c r="W22" i="4"/>
  <c r="W5" i="4"/>
  <c r="W9" i="4"/>
  <c r="W13" i="4"/>
  <c r="W17" i="4"/>
  <c r="W21" i="4"/>
  <c r="W7" i="4"/>
  <c r="W11" i="4"/>
  <c r="W15" i="4"/>
  <c r="W19" i="4"/>
  <c r="W23" i="4"/>
  <c r="Y6" i="4"/>
  <c r="Y8" i="4"/>
  <c r="Y10" i="4"/>
  <c r="Y12" i="4"/>
  <c r="Y14" i="4"/>
  <c r="Y16" i="4"/>
  <c r="Y18" i="4"/>
  <c r="Y20" i="4"/>
  <c r="Y22" i="4"/>
  <c r="Y5" i="4"/>
  <c r="Y7" i="4"/>
  <c r="Y11" i="4"/>
  <c r="Y15" i="4"/>
  <c r="Y19" i="4"/>
  <c r="Y23" i="4"/>
  <c r="Y9" i="4"/>
  <c r="Y13" i="4"/>
  <c r="Y17" i="4"/>
  <c r="Y21" i="4"/>
  <c r="AA6" i="4"/>
  <c r="AA8" i="4"/>
  <c r="AA10" i="4"/>
  <c r="AA12" i="4"/>
  <c r="AA14" i="4"/>
  <c r="AA16" i="4"/>
  <c r="AA18" i="4"/>
  <c r="AA20" i="4"/>
  <c r="AA22" i="4"/>
  <c r="AA5" i="4"/>
  <c r="AA9" i="4"/>
  <c r="AA13" i="4"/>
  <c r="AA17" i="4"/>
  <c r="AA21" i="4"/>
  <c r="AA7" i="4"/>
  <c r="AA11" i="4"/>
  <c r="AA15" i="4"/>
  <c r="AA19" i="4"/>
  <c r="AA23" i="4"/>
  <c r="AC6" i="4"/>
  <c r="AC8" i="4"/>
  <c r="AC10" i="4"/>
  <c r="AC12" i="4"/>
  <c r="AC14" i="4"/>
  <c r="AC16" i="4"/>
  <c r="AC18" i="4"/>
  <c r="AC20" i="4"/>
  <c r="AC22" i="4"/>
  <c r="AC5" i="4"/>
  <c r="AC7" i="4"/>
  <c r="AC11" i="4"/>
  <c r="AC15" i="4"/>
  <c r="AC19" i="4"/>
  <c r="AC23" i="4"/>
  <c r="AC9" i="4"/>
  <c r="AC13" i="4"/>
  <c r="AC17" i="4"/>
  <c r="AC21" i="4"/>
  <c r="S6" i="3"/>
  <c r="S8" i="3"/>
  <c r="S5" i="3"/>
  <c r="S7" i="3"/>
  <c r="S9" i="3"/>
  <c r="R7" i="3"/>
  <c r="R9" i="3"/>
  <c r="R6" i="3"/>
  <c r="R8" i="3"/>
  <c r="R5" i="3"/>
  <c r="T7" i="3"/>
  <c r="T9" i="3"/>
  <c r="T6" i="3"/>
  <c r="T8" i="3"/>
  <c r="T5" i="3"/>
  <c r="V7" i="3"/>
  <c r="V9" i="3"/>
  <c r="V6" i="3"/>
  <c r="V8" i="3"/>
  <c r="V5" i="3"/>
  <c r="X7" i="3"/>
  <c r="X9" i="3"/>
  <c r="X6" i="3"/>
  <c r="X8" i="3"/>
  <c r="X5" i="3"/>
  <c r="Z6" i="3"/>
  <c r="Z8" i="3"/>
  <c r="Z9" i="3"/>
  <c r="Z7" i="3"/>
  <c r="Z5" i="3"/>
  <c r="AB6" i="3"/>
  <c r="AB8" i="3"/>
  <c r="AB5" i="3"/>
  <c r="AB7" i="3"/>
  <c r="AB9" i="3"/>
  <c r="O12" i="3"/>
  <c r="O26" i="4" s="1"/>
  <c r="M12" i="3"/>
  <c r="M26" i="4" s="1"/>
  <c r="K12" i="3"/>
  <c r="K26" i="4" s="1"/>
  <c r="I12" i="3"/>
  <c r="I26" i="4" s="1"/>
  <c r="G12" i="3"/>
  <c r="G26" i="4" s="1"/>
  <c r="E12" i="3"/>
  <c r="E26" i="4" s="1"/>
  <c r="R6" i="4"/>
  <c r="R8" i="4"/>
  <c r="R10" i="4"/>
  <c r="R12" i="4"/>
  <c r="R14" i="4"/>
  <c r="R16" i="4"/>
  <c r="R18" i="4"/>
  <c r="R20" i="4"/>
  <c r="R22" i="4"/>
  <c r="R7" i="4"/>
  <c r="R9" i="4"/>
  <c r="R11" i="4"/>
  <c r="R13" i="4"/>
  <c r="R15" i="4"/>
  <c r="R17" i="4"/>
  <c r="R19" i="4"/>
  <c r="R21" i="4"/>
  <c r="R23" i="4"/>
  <c r="T6" i="4"/>
  <c r="T8" i="4"/>
  <c r="T10" i="4"/>
  <c r="T12" i="4"/>
  <c r="T14" i="4"/>
  <c r="T16" i="4"/>
  <c r="T18" i="4"/>
  <c r="T20" i="4"/>
  <c r="T22" i="4"/>
  <c r="T5" i="4"/>
  <c r="T7" i="4"/>
  <c r="T9" i="4"/>
  <c r="T11" i="4"/>
  <c r="T13" i="4"/>
  <c r="T15" i="4"/>
  <c r="T17" i="4"/>
  <c r="T19" i="4"/>
  <c r="T21" i="4"/>
  <c r="T23" i="4"/>
  <c r="V7" i="4"/>
  <c r="V9" i="4"/>
  <c r="V11" i="4"/>
  <c r="V13" i="4"/>
  <c r="V15" i="4"/>
  <c r="V17" i="4"/>
  <c r="V19" i="4"/>
  <c r="V21" i="4"/>
  <c r="V23" i="4"/>
  <c r="V6" i="4"/>
  <c r="V10" i="4"/>
  <c r="V14" i="4"/>
  <c r="V18" i="4"/>
  <c r="V22" i="4"/>
  <c r="V8" i="4"/>
  <c r="V12" i="4"/>
  <c r="V16" i="4"/>
  <c r="V20" i="4"/>
  <c r="V5" i="4"/>
  <c r="X7" i="4"/>
  <c r="X9" i="4"/>
  <c r="X11" i="4"/>
  <c r="X13" i="4"/>
  <c r="X15" i="4"/>
  <c r="X17" i="4"/>
  <c r="X19" i="4"/>
  <c r="X21" i="4"/>
  <c r="X23" i="4"/>
  <c r="X8" i="4"/>
  <c r="X12" i="4"/>
  <c r="X16" i="4"/>
  <c r="X20" i="4"/>
  <c r="X5" i="4"/>
  <c r="X6" i="4"/>
  <c r="X10" i="4"/>
  <c r="X14" i="4"/>
  <c r="X18" i="4"/>
  <c r="X22" i="4"/>
  <c r="Z7" i="4"/>
  <c r="Z9" i="4"/>
  <c r="Z11" i="4"/>
  <c r="Z13" i="4"/>
  <c r="Z15" i="4"/>
  <c r="Z17" i="4"/>
  <c r="Z19" i="4"/>
  <c r="Z21" i="4"/>
  <c r="Z23" i="4"/>
  <c r="Z6" i="4"/>
  <c r="Z10" i="4"/>
  <c r="Z14" i="4"/>
  <c r="Z18" i="4"/>
  <c r="Z22" i="4"/>
  <c r="Z8" i="4"/>
  <c r="Z12" i="4"/>
  <c r="Z16" i="4"/>
  <c r="Z20" i="4"/>
  <c r="Z5" i="4"/>
  <c r="AB7" i="4"/>
  <c r="AB9" i="4"/>
  <c r="AB11" i="4"/>
  <c r="AB13" i="4"/>
  <c r="AB15" i="4"/>
  <c r="AB17" i="4"/>
  <c r="AB19" i="4"/>
  <c r="AB21" i="4"/>
  <c r="AB23" i="4"/>
  <c r="AB8" i="4"/>
  <c r="AB12" i="4"/>
  <c r="AB16" i="4"/>
  <c r="AB20" i="4"/>
  <c r="AB5" i="4"/>
  <c r="AB6" i="4"/>
  <c r="AB10" i="4"/>
  <c r="AB14" i="4"/>
  <c r="AB18" i="4"/>
  <c r="AB22" i="4"/>
  <c r="R5" i="4"/>
  <c r="Y24" i="4"/>
  <c r="T24" i="4"/>
  <c r="U24" i="4"/>
  <c r="AC24" i="4"/>
  <c r="P24" i="4"/>
  <c r="AB24" i="4"/>
  <c r="X24" i="4"/>
  <c r="P10" i="2"/>
  <c r="P10" i="3"/>
  <c r="AD5" i="2" l="1"/>
  <c r="AD6" i="2"/>
  <c r="AD7" i="2"/>
  <c r="AD8" i="2"/>
  <c r="AD9" i="2"/>
  <c r="S10" i="2"/>
  <c r="W10" i="2"/>
  <c r="AA10" i="2"/>
  <c r="R10" i="2"/>
  <c r="V10" i="2"/>
  <c r="Z10" i="2"/>
  <c r="U10" i="2"/>
  <c r="Y10" i="2"/>
  <c r="AC10" i="2"/>
  <c r="T10" i="2"/>
  <c r="X10" i="2"/>
  <c r="AB10" i="2"/>
  <c r="P12" i="3"/>
  <c r="Z12" i="3" s="1"/>
  <c r="AD7" i="4"/>
  <c r="AD9" i="4"/>
  <c r="AD11" i="4"/>
  <c r="AD13" i="4"/>
  <c r="AD15" i="4"/>
  <c r="AD17" i="4"/>
  <c r="AD19" i="4"/>
  <c r="AD21" i="4"/>
  <c r="AD23" i="4"/>
  <c r="AD20" i="4"/>
  <c r="AD16" i="4"/>
  <c r="AD12" i="4"/>
  <c r="AD8" i="4"/>
  <c r="AD22" i="4"/>
  <c r="AD18" i="4"/>
  <c r="AD14" i="4"/>
  <c r="AD10" i="4"/>
  <c r="AD6" i="4"/>
  <c r="AD5" i="4"/>
  <c r="AD7" i="3"/>
  <c r="AD8" i="3"/>
  <c r="AD9" i="3"/>
  <c r="AD6" i="3"/>
  <c r="AD5" i="3"/>
  <c r="X10" i="3"/>
  <c r="AC10" i="3"/>
  <c r="AB10" i="3"/>
  <c r="V24" i="4"/>
  <c r="R24" i="4"/>
  <c r="Z24" i="4"/>
  <c r="W24" i="4"/>
  <c r="S24" i="4"/>
  <c r="P26" i="4"/>
  <c r="X26" i="4" s="1"/>
  <c r="AA24" i="4"/>
  <c r="U10" i="3"/>
  <c r="T10" i="3"/>
  <c r="W10" i="3"/>
  <c r="Y10" i="3"/>
  <c r="S10" i="3"/>
  <c r="AA10" i="3"/>
  <c r="Z10" i="3"/>
  <c r="R10" i="3"/>
  <c r="V10" i="3"/>
  <c r="AD10" i="2" l="1"/>
  <c r="AD10" i="3"/>
  <c r="AD24" i="4"/>
  <c r="T26" i="4"/>
  <c r="V26" i="4"/>
  <c r="AB26" i="4"/>
  <c r="U26" i="4"/>
  <c r="R26" i="4"/>
  <c r="AD26" i="4"/>
  <c r="S26" i="4"/>
  <c r="W26" i="4"/>
  <c r="AA26" i="4"/>
  <c r="AC26" i="4"/>
  <c r="Z26" i="4"/>
  <c r="Y26" i="4"/>
  <c r="AA12" i="3"/>
  <c r="U12" i="3"/>
  <c r="AD12" i="3"/>
  <c r="V12" i="3"/>
  <c r="T12" i="3"/>
  <c r="X12" i="3"/>
  <c r="W12" i="3"/>
  <c r="AB12" i="3"/>
  <c r="Y12" i="3"/>
  <c r="AC12" i="3"/>
  <c r="R12" i="3"/>
  <c r="S12" i="3"/>
</calcChain>
</file>

<file path=xl/sharedStrings.xml><?xml version="1.0" encoding="utf-8"?>
<sst xmlns="http://schemas.openxmlformats.org/spreadsheetml/2006/main" count="291" uniqueCount="81">
  <si>
    <t>Douze mois</t>
  </si>
  <si>
    <t>CHIFFRE D’AFFAIRES (VENTES)</t>
  </si>
  <si>
    <t>TOTAL DES VENTES</t>
  </si>
  <si>
    <t>TENDANCE</t>
  </si>
  <si>
    <t>Mars</t>
  </si>
  <si>
    <t>Mai</t>
  </si>
  <si>
    <t>Juin</t>
  </si>
  <si>
    <t>Août</t>
  </si>
  <si>
    <t>ANNUEL</t>
  </si>
  <si>
    <t>Annuel</t>
  </si>
  <si>
    <t>DÉBUT DE L’EXERCICE :</t>
  </si>
  <si>
    <t>Nom de l’entreprise</t>
  </si>
  <si>
    <t>COÛT DES VENTES</t>
  </si>
  <si>
    <t>COÛT TOTAL DES VENTES</t>
  </si>
  <si>
    <t>Marge brute</t>
  </si>
  <si>
    <t>EXERCICE :</t>
  </si>
  <si>
    <t>DÉPENSES</t>
  </si>
  <si>
    <t xml:space="preserve">Dépenses salariales </t>
  </si>
  <si>
    <t xml:space="preserve">Charges sociales </t>
  </si>
  <si>
    <t>Services extérieurs</t>
  </si>
  <si>
    <t>Fournitures (bureau et exploitation)</t>
  </si>
  <si>
    <t>Réparations et entretien</t>
  </si>
  <si>
    <t>Publicité</t>
  </si>
  <si>
    <t>Voiture, livraison et transport</t>
  </si>
  <si>
    <t>Comptabilité et juridique</t>
  </si>
  <si>
    <t>Loyer</t>
  </si>
  <si>
    <t>Téléphone</t>
  </si>
  <si>
    <t>Charges</t>
  </si>
  <si>
    <t>Assurance</t>
  </si>
  <si>
    <t>Taxes (immobilier, etc.)</t>
  </si>
  <si>
    <t>Intérêts</t>
  </si>
  <si>
    <t>Amortissement</t>
  </si>
  <si>
    <t>Autres dépenses (à préciser)</t>
  </si>
  <si>
    <t>Divers (non spécifié)</t>
  </si>
  <si>
    <t>DÉPENSES TOTALES</t>
  </si>
  <si>
    <t>Bénéfices nets</t>
  </si>
  <si>
    <t xml:space="preserve"> </t>
  </si>
  <si>
    <t>Colonne1</t>
  </si>
  <si>
    <t>INDEX %</t>
  </si>
  <si>
    <t>ANNÉE %</t>
  </si>
  <si>
    <t>JANV</t>
  </si>
  <si>
    <t>Janv</t>
  </si>
  <si>
    <t>Févr</t>
  </si>
  <si>
    <t>Avr</t>
  </si>
  <si>
    <t>Juil</t>
  </si>
  <si>
    <t>Sept</t>
  </si>
  <si>
    <t>Oct</t>
  </si>
  <si>
    <t>Nov</t>
  </si>
  <si>
    <t>Déc</t>
  </si>
  <si>
    <t>Index %</t>
  </si>
  <si>
    <t>Avr %</t>
  </si>
  <si>
    <t>Mai %</t>
  </si>
  <si>
    <t>Oct %</t>
  </si>
  <si>
    <t>Nov %</t>
  </si>
  <si>
    <t>Déc %</t>
  </si>
  <si>
    <t>Année %</t>
  </si>
  <si>
    <t>Jan %</t>
  </si>
  <si>
    <t>Fév %</t>
  </si>
  <si>
    <t>Mar %</t>
  </si>
  <si>
    <t>Jui %</t>
  </si>
  <si>
    <t>Aoû %</t>
  </si>
  <si>
    <t>Sep %</t>
  </si>
  <si>
    <t xml:space="preserve">Jui % </t>
  </si>
  <si>
    <t>Semaine 1</t>
  </si>
  <si>
    <t>Semaine 2</t>
  </si>
  <si>
    <t>Semaine 3</t>
  </si>
  <si>
    <t>Semaine 4</t>
  </si>
  <si>
    <t>Semaine 5</t>
  </si>
  <si>
    <t>PARAMÈTRES DU CALENDRIER</t>
  </si>
  <si>
    <t>ANNÉE</t>
  </si>
  <si>
    <t>DÉBUT DE LA SEMAINE</t>
  </si>
  <si>
    <t>DIMANCHE</t>
  </si>
  <si>
    <t>NOTES</t>
  </si>
  <si>
    <t>CA de la semaine</t>
  </si>
  <si>
    <t>SAMEDI</t>
  </si>
  <si>
    <t>LUNDI</t>
  </si>
  <si>
    <t>MARDI</t>
  </si>
  <si>
    <t>MERCREDI</t>
  </si>
  <si>
    <t>JEUDI</t>
  </si>
  <si>
    <t>VENDREDI</t>
  </si>
  <si>
    <t>DEPÔT en Banque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</si>
</sst>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42" formatCode="_-* #,##0\ &quot;€&quot;_-;\-* #,##0\ &quot;€&quot;_-;_-* &quot;-&quot;\ &quot;€&quot;_-;_-@_-"/>
    <numFmt numFmtId="164" formatCode="_(&quot;$&quot;* #,##0_);_(&quot;$&quot;* \(#,##0\);_(&quot;$&quot;* &quot;-&quot;_);_(@_)"/>
    <numFmt numFmtId="165" formatCode="_(* #,##0_);_(* \(#,##0\);_(* &quot;-&quot;_);_(@_)"/>
    <numFmt numFmtId="166" formatCode="_(* #,##0.00_);_(* \(#,##0.00\);_(* &quot;-&quot;??_);_(@_)"/>
    <numFmt numFmtId="167" formatCode=";;;"/>
    <numFmt numFmtId="168" formatCode="0%;;&quot;-&quot;;"/>
    <numFmt numFmtId="169" formatCode="[$-40C]mmm\-yy;@"/>
    <numFmt numFmtId="170" formatCode="d"/>
    <numFmt numFmtId="171" formatCode="#,##0.00\ &quot;€&quot;"/>
  </numFmts>
  <fonts count="35" x14ac:knownFonts="1">
    <font>
      <sz val="11"/>
      <color theme="1"/>
      <name val="Century Gothic"/>
      <family val="2"/>
      <scheme val="minor"/>
    </font>
    <font>
      <sz val="11"/>
      <color theme="1"/>
      <name val="Century Gothic"/>
      <family val="2"/>
      <scheme val="minor"/>
    </font>
    <font>
      <b/>
      <sz val="12"/>
      <color theme="0"/>
      <name val="Century Gothic"/>
      <family val="2"/>
      <scheme val="minor"/>
    </font>
    <font>
      <b/>
      <sz val="12"/>
      <color theme="8"/>
      <name val="Bookman Old Style"/>
      <family val="1"/>
      <scheme val="major"/>
    </font>
    <font>
      <b/>
      <sz val="26"/>
      <color theme="3"/>
      <name val="Century Gothic"/>
      <family val="2"/>
      <scheme val="minor"/>
    </font>
    <font>
      <b/>
      <sz val="22"/>
      <color theme="3"/>
      <name val="Century Gothic"/>
      <family val="2"/>
      <scheme val="minor"/>
    </font>
    <font>
      <b/>
      <sz val="12"/>
      <color theme="3"/>
      <name val="Century Gothic"/>
      <family val="2"/>
      <scheme val="minor"/>
    </font>
    <font>
      <b/>
      <i/>
      <sz val="22"/>
      <color theme="7"/>
      <name val="Bookman Old Style"/>
      <family val="1"/>
      <scheme val="major"/>
    </font>
    <font>
      <b/>
      <sz val="11"/>
      <color theme="8"/>
      <name val="Century Gothic"/>
      <family val="2"/>
      <scheme val="minor"/>
    </font>
    <font>
      <b/>
      <sz val="11"/>
      <color theme="0"/>
      <name val="Century Gothic"/>
      <family val="2"/>
      <scheme val="minor"/>
    </font>
    <font>
      <sz val="11"/>
      <color theme="3"/>
      <name val="Bookman Old Style"/>
      <family val="1"/>
      <scheme val="major"/>
    </font>
    <font>
      <sz val="11"/>
      <name val="Century Gothic"/>
      <family val="2"/>
      <scheme val="minor"/>
    </font>
    <font>
      <b/>
      <i/>
      <sz val="16"/>
      <color theme="7" tint="-0.24994659260841701"/>
      <name val="Bookman Old Style"/>
      <family val="1"/>
      <scheme val="major"/>
    </font>
    <font>
      <b/>
      <i/>
      <sz val="22"/>
      <color theme="7" tint="-0.24994659260841701"/>
      <name val="Bookman Old Style"/>
      <family val="1"/>
      <scheme val="major"/>
    </font>
    <font>
      <sz val="11"/>
      <color theme="1"/>
      <name val="Arial"/>
      <family val="2"/>
    </font>
    <font>
      <b/>
      <i/>
      <sz val="16"/>
      <color theme="7" tint="-0.24994659260841701"/>
      <name val="Arial"/>
      <family val="2"/>
    </font>
    <font>
      <b/>
      <i/>
      <sz val="22"/>
      <color theme="7"/>
      <name val="Arial"/>
      <family val="2"/>
    </font>
    <font>
      <b/>
      <i/>
      <sz val="22"/>
      <color theme="7" tint="-0.24994659260841701"/>
      <name val="Arial"/>
      <family val="2"/>
    </font>
    <font>
      <b/>
      <sz val="22"/>
      <color theme="3"/>
      <name val="Arial"/>
      <family val="2"/>
    </font>
    <font>
      <b/>
      <sz val="26"/>
      <color theme="3"/>
      <name val="Arial"/>
      <family val="2"/>
    </font>
    <font>
      <b/>
      <sz val="11"/>
      <color theme="8"/>
      <name val="Arial"/>
      <family val="2"/>
    </font>
    <font>
      <b/>
      <sz val="12"/>
      <color theme="8"/>
      <name val="Arial"/>
      <family val="2"/>
    </font>
    <font>
      <sz val="11"/>
      <color theme="3"/>
      <name val="Arial"/>
      <family val="2"/>
    </font>
    <font>
      <b/>
      <sz val="12"/>
      <color theme="3"/>
      <name val="Arial"/>
      <family val="2"/>
    </font>
    <font>
      <sz val="10"/>
      <color theme="1"/>
      <name val="Arial"/>
      <family val="2"/>
    </font>
    <font>
      <sz val="11"/>
      <name val="Arial"/>
      <family val="2"/>
    </font>
    <font>
      <b/>
      <sz val="11"/>
      <color theme="1"/>
      <name val="Arial"/>
      <family val="2"/>
    </font>
    <font>
      <sz val="12"/>
      <color theme="4" tint="-0.24994659260841701"/>
      <name val="Bookman Old Style"/>
      <family val="1"/>
      <scheme val="major"/>
    </font>
    <font>
      <sz val="11"/>
      <color theme="1" tint="0.34998626667073579"/>
      <name val="Century Gothic"/>
      <family val="2"/>
      <scheme val="minor"/>
    </font>
    <font>
      <sz val="10"/>
      <name val="Arial"/>
      <family val="2"/>
    </font>
    <font>
      <sz val="12"/>
      <color theme="4" tint="-0.24994659260841701"/>
      <name val="Arial"/>
      <family val="2"/>
    </font>
    <font>
      <sz val="11"/>
      <color theme="1" tint="0.34998626667073579"/>
      <name val="Arial"/>
      <family val="2"/>
    </font>
    <font>
      <b/>
      <sz val="11"/>
      <color theme="1" tint="0.34998626667073579"/>
      <name val="Arial"/>
      <family val="2"/>
    </font>
    <font>
      <sz val="11"/>
      <color theme="0"/>
      <name val="Arial"/>
      <family val="2"/>
    </font>
    <font>
      <b/>
      <sz val="11"/>
      <color rgb="FFFF0000"/>
      <name val="Arial"/>
      <family val="2"/>
    </font>
  </fonts>
  <fills count="14">
    <fill>
      <patternFill patternType="none"/>
    </fill>
    <fill>
      <patternFill patternType="gray125"/>
    </fill>
    <fill>
      <patternFill patternType="solid">
        <fgColor theme="3"/>
        <bgColor indexed="64"/>
      </patternFill>
    </fill>
    <fill>
      <patternFill patternType="solid">
        <fgColor theme="4" tint="0.39997558519241921"/>
        <bgColor indexed="64"/>
      </patternFill>
    </fill>
    <fill>
      <patternFill patternType="solid">
        <fgColor rgb="FFFFFFCC"/>
      </patternFill>
    </fill>
    <fill>
      <patternFill patternType="solid">
        <fgColor theme="5" tint="0.39994506668294322"/>
        <bgColor indexed="64"/>
      </patternFill>
    </fill>
    <fill>
      <patternFill patternType="solid">
        <fgColor theme="6" tint="0.39994506668294322"/>
        <bgColor indexed="64"/>
      </patternFill>
    </fill>
    <fill>
      <patternFill patternType="solid">
        <fgColor rgb="FFFFFF00"/>
        <bgColor indexed="64"/>
      </patternFill>
    </fill>
    <fill>
      <patternFill patternType="solid">
        <fgColor indexed="9"/>
        <bgColor indexed="64"/>
      </patternFill>
    </fill>
    <fill>
      <patternFill patternType="solid">
        <fgColor theme="2"/>
        <bgColor indexed="64"/>
      </patternFill>
    </fill>
    <fill>
      <patternFill patternType="solid">
        <fgColor theme="3" tint="0.749992370372631"/>
        <bgColor indexed="64"/>
      </patternFill>
    </fill>
    <fill>
      <patternFill patternType="solid">
        <fgColor theme="0"/>
        <bgColor indexed="64"/>
      </patternFill>
    </fill>
    <fill>
      <patternFill patternType="solid">
        <fgColor rgb="FF00FF00"/>
        <bgColor indexed="64"/>
      </patternFill>
    </fill>
    <fill>
      <patternFill patternType="solid">
        <fgColor theme="2" tint="-4.9989318521683403E-2"/>
        <bgColor indexed="64"/>
      </patternFill>
    </fill>
  </fills>
  <borders count="6">
    <border>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style="thin">
        <color auto="1"/>
      </bottom>
      <diagonal/>
    </border>
    <border>
      <left/>
      <right/>
      <top/>
      <bottom style="dotted">
        <color theme="3"/>
      </bottom>
      <diagonal/>
    </border>
    <border>
      <left/>
      <right/>
      <top style="thin">
        <color theme="0"/>
      </top>
      <bottom/>
      <diagonal/>
    </border>
    <border>
      <left style="thin">
        <color indexed="64"/>
      </left>
      <right style="thin">
        <color indexed="64"/>
      </right>
      <top style="thin">
        <color indexed="64"/>
      </top>
      <bottom style="thin">
        <color indexed="64"/>
      </bottom>
      <diagonal/>
    </border>
  </borders>
  <cellStyleXfs count="22">
    <xf numFmtId="0" fontId="0" fillId="0" borderId="0"/>
    <xf numFmtId="9" fontId="11" fillId="0" borderId="0" applyFill="0" applyBorder="0" applyProtection="0">
      <alignment horizontal="right"/>
    </xf>
    <xf numFmtId="0" fontId="5" fillId="0" borderId="0" applyNumberFormat="0" applyFill="0" applyBorder="0" applyProtection="0">
      <alignment vertical="center"/>
    </xf>
    <xf numFmtId="0" fontId="12" fillId="0" borderId="3" applyProtection="0">
      <alignment vertical="center"/>
    </xf>
    <xf numFmtId="166" fontId="1" fillId="0" borderId="0" applyFont="0" applyFill="0" applyBorder="0" applyAlignment="0" applyProtection="0"/>
    <xf numFmtId="165" fontId="1" fillId="0" borderId="0" applyFont="0" applyFill="0" applyBorder="0" applyAlignment="0" applyProtection="0"/>
    <xf numFmtId="42" fontId="11" fillId="0" borderId="0" applyFill="0" applyBorder="0" applyAlignment="0" applyProtection="0"/>
    <xf numFmtId="0" fontId="1" fillId="4" borderId="1" applyNumberFormat="0" applyFont="0" applyAlignment="0" applyProtection="0"/>
    <xf numFmtId="0" fontId="2" fillId="2" borderId="0">
      <alignment horizontal="right" vertical="center" indent="1"/>
    </xf>
    <xf numFmtId="42" fontId="9" fillId="2" borderId="0" applyBorder="0" applyAlignment="0" applyProtection="0"/>
    <xf numFmtId="9" fontId="9" fillId="2" borderId="0" applyBorder="0" applyAlignment="0" applyProtection="0"/>
    <xf numFmtId="0" fontId="1" fillId="0" borderId="0">
      <alignment horizontal="right" wrapText="1" indent="1"/>
    </xf>
    <xf numFmtId="0" fontId="13" fillId="0" borderId="0" applyFill="0" applyProtection="0">
      <alignment horizontal="right" vertical="center"/>
    </xf>
    <xf numFmtId="0" fontId="3" fillId="0" borderId="0" applyFill="0" applyProtection="0">
      <alignment horizontal="right" vertical="center"/>
    </xf>
    <xf numFmtId="169" fontId="10" fillId="0" borderId="2" applyFill="0" applyProtection="0">
      <alignment horizontal="center" vertical="center"/>
    </xf>
    <xf numFmtId="0" fontId="6" fillId="0" borderId="0">
      <alignment horizontal="right" indent="1"/>
    </xf>
    <xf numFmtId="164" fontId="1" fillId="5" borderId="4" applyNumberFormat="0" applyFont="0" applyAlignment="0">
      <alignment horizontal="center"/>
    </xf>
    <xf numFmtId="42" fontId="11" fillId="3" borderId="4" applyNumberFormat="0" applyFont="0" applyAlignment="0"/>
    <xf numFmtId="164" fontId="11" fillId="6" borderId="4" applyNumberFormat="0" applyFont="0" applyAlignment="0"/>
    <xf numFmtId="0" fontId="27" fillId="0" borderId="0">
      <alignment horizontal="left" indent="1"/>
    </xf>
    <xf numFmtId="170" fontId="28" fillId="0" borderId="0">
      <alignment horizontal="left" indent="1"/>
    </xf>
    <xf numFmtId="0" fontId="11" fillId="9" borderId="0" applyNumberFormat="0" applyFont="0" applyBorder="0" applyAlignment="0">
      <alignment horizontal="left" vertical="center" indent="1"/>
    </xf>
  </cellStyleXfs>
  <cellXfs count="97">
    <xf numFmtId="0" fontId="0" fillId="0" borderId="0" xfId="0"/>
    <xf numFmtId="0" fontId="0" fillId="0" borderId="0" xfId="0" applyBorder="1"/>
    <xf numFmtId="0" fontId="0" fillId="0" borderId="0" xfId="0" applyAlignment="1"/>
    <xf numFmtId="0" fontId="4" fillId="0" borderId="0" xfId="0" applyFont="1" applyBorder="1" applyAlignment="1">
      <alignment vertical="center"/>
    </xf>
    <xf numFmtId="0" fontId="5" fillId="0" borderId="0" xfId="2" applyBorder="1" applyAlignment="1">
      <alignment vertical="center"/>
    </xf>
    <xf numFmtId="0" fontId="8" fillId="0" borderId="0" xfId="0" applyFont="1"/>
    <xf numFmtId="0" fontId="0" fillId="0" borderId="0" xfId="0" applyNumberFormat="1"/>
    <xf numFmtId="0" fontId="7" fillId="0" borderId="0" xfId="0" applyFont="1" applyBorder="1" applyAlignment="1">
      <alignment horizontal="right" vertical="center"/>
    </xf>
    <xf numFmtId="0" fontId="0" fillId="0" borderId="0" xfId="0" applyAlignment="1">
      <alignment horizontal="center"/>
    </xf>
    <xf numFmtId="0" fontId="0" fillId="0" borderId="0" xfId="0" applyFont="1" applyFill="1" applyBorder="1" applyAlignment="1">
      <alignment horizontal="right" indent="1"/>
    </xf>
    <xf numFmtId="0" fontId="0" fillId="0" borderId="0" xfId="0" applyFont="1" applyFill="1" applyBorder="1" applyAlignment="1">
      <alignment horizontal="center"/>
    </xf>
    <xf numFmtId="0" fontId="0" fillId="0" borderId="0" xfId="0"/>
    <xf numFmtId="0" fontId="2" fillId="2" borderId="0" xfId="8">
      <alignment horizontal="right" vertical="center" indent="1"/>
    </xf>
    <xf numFmtId="9" fontId="9" fillId="2" borderId="0" xfId="10" applyFill="1" applyAlignment="1">
      <alignment horizontal="right" vertical="center" indent="1"/>
    </xf>
    <xf numFmtId="0" fontId="1" fillId="0" borderId="0" xfId="11">
      <alignment horizontal="right" wrapText="1" indent="1"/>
    </xf>
    <xf numFmtId="168" fontId="0" fillId="0" borderId="0" xfId="0" applyNumberFormat="1" applyFont="1" applyFill="1" applyBorder="1" applyAlignment="1">
      <alignment horizontal="right"/>
    </xf>
    <xf numFmtId="0" fontId="0" fillId="0" borderId="0" xfId="0" applyAlignment="1">
      <alignment horizontal="center"/>
    </xf>
    <xf numFmtId="0" fontId="13" fillId="0" borderId="0" xfId="12">
      <alignment horizontal="right" vertical="center"/>
    </xf>
    <xf numFmtId="0" fontId="3" fillId="0" borderId="0" xfId="13">
      <alignment horizontal="right" vertical="center"/>
    </xf>
    <xf numFmtId="169" fontId="10" fillId="0" borderId="2" xfId="14">
      <alignment horizontal="center" vertical="center"/>
    </xf>
    <xf numFmtId="0" fontId="12" fillId="0" borderId="3" xfId="3">
      <alignment vertical="center"/>
    </xf>
    <xf numFmtId="167" fontId="0" fillId="0" borderId="0" xfId="0" applyNumberFormat="1" applyFont="1" applyFill="1" applyBorder="1" applyAlignment="1">
      <alignment horizontal="center"/>
    </xf>
    <xf numFmtId="167" fontId="0" fillId="0" borderId="0" xfId="0" applyNumberFormat="1" applyFont="1" applyFill="1" applyBorder="1" applyAlignment="1">
      <alignment horizontal="right"/>
    </xf>
    <xf numFmtId="42" fontId="0" fillId="0" borderId="0" xfId="6" applyFont="1" applyFill="1" applyBorder="1"/>
    <xf numFmtId="9" fontId="0" fillId="0" borderId="0" xfId="1" applyFont="1" applyFill="1" applyBorder="1" applyAlignment="1">
      <alignment horizontal="right"/>
    </xf>
    <xf numFmtId="0" fontId="0" fillId="0" borderId="0" xfId="0" applyFont="1" applyFill="1" applyBorder="1"/>
    <xf numFmtId="9" fontId="0" fillId="0" borderId="0" xfId="0" applyNumberFormat="1" applyFont="1" applyFill="1" applyBorder="1" applyAlignment="1">
      <alignment horizontal="right"/>
    </xf>
    <xf numFmtId="0" fontId="6" fillId="0" borderId="0" xfId="15">
      <alignment horizontal="right" indent="1"/>
    </xf>
    <xf numFmtId="0" fontId="5" fillId="0" borderId="0" xfId="2" applyBorder="1">
      <alignment vertical="center"/>
    </xf>
    <xf numFmtId="0" fontId="0" fillId="3" borderId="4" xfId="17" applyNumberFormat="1" applyFont="1"/>
    <xf numFmtId="0" fontId="0" fillId="6" borderId="4" xfId="18" applyNumberFormat="1" applyFont="1" applyAlignment="1">
      <alignment horizontal="center"/>
    </xf>
    <xf numFmtId="42" fontId="11" fillId="6" borderId="4" xfId="6" applyFill="1" applyBorder="1"/>
    <xf numFmtId="9" fontId="11" fillId="6" borderId="4" xfId="1" applyFill="1" applyBorder="1" applyAlignment="1">
      <alignment horizontal="right"/>
    </xf>
    <xf numFmtId="169" fontId="10" fillId="0" borderId="2" xfId="14" applyNumberFormat="1">
      <alignment horizontal="center" vertical="center"/>
    </xf>
    <xf numFmtId="42" fontId="0" fillId="0" borderId="0" xfId="0" applyNumberFormat="1" applyFont="1" applyFill="1" applyBorder="1"/>
    <xf numFmtId="42" fontId="9" fillId="2" borderId="0" xfId="9" applyNumberFormat="1" applyFill="1" applyAlignment="1">
      <alignment horizontal="right" vertical="center" indent="1"/>
    </xf>
    <xf numFmtId="42" fontId="11" fillId="3" borderId="4" xfId="6" applyFill="1" applyBorder="1"/>
    <xf numFmtId="9" fontId="11" fillId="3" borderId="4" xfId="1" applyFill="1" applyBorder="1">
      <alignment horizontal="right"/>
    </xf>
    <xf numFmtId="0" fontId="14" fillId="0" borderId="0" xfId="0" applyNumberFormat="1" applyFont="1"/>
    <xf numFmtId="0" fontId="15" fillId="0" borderId="3" xfId="3" applyFont="1">
      <alignment vertical="center"/>
    </xf>
    <xf numFmtId="0" fontId="14" fillId="0" borderId="0" xfId="0" applyFont="1"/>
    <xf numFmtId="0" fontId="14" fillId="0" borderId="0" xfId="0" applyFont="1" applyAlignment="1">
      <alignment horizontal="center"/>
    </xf>
    <xf numFmtId="0" fontId="16" fillId="0" borderId="0" xfId="0" applyFont="1" applyBorder="1" applyAlignment="1">
      <alignment horizontal="right" vertical="center"/>
    </xf>
    <xf numFmtId="0" fontId="17" fillId="0" borderId="0" xfId="12" applyFont="1">
      <alignment horizontal="right" vertical="center"/>
    </xf>
    <xf numFmtId="0" fontId="18" fillId="0" borderId="0" xfId="2" applyFont="1" applyBorder="1" applyAlignment="1">
      <alignment vertical="center"/>
    </xf>
    <xf numFmtId="0" fontId="19" fillId="0" borderId="0" xfId="0" applyFont="1" applyBorder="1" applyAlignment="1">
      <alignment vertical="center"/>
    </xf>
    <xf numFmtId="0" fontId="20" fillId="0" borderId="0" xfId="0" applyFont="1"/>
    <xf numFmtId="0" fontId="21" fillId="0" borderId="0" xfId="13" applyFont="1">
      <alignment horizontal="right" vertical="center"/>
    </xf>
    <xf numFmtId="0" fontId="21" fillId="0" borderId="0" xfId="13" applyNumberFormat="1" applyFont="1">
      <alignment horizontal="right" vertical="center"/>
    </xf>
    <xf numFmtId="169" fontId="22" fillId="0" borderId="2" xfId="14" applyNumberFormat="1" applyFont="1">
      <alignment horizontal="center" vertical="center"/>
    </xf>
    <xf numFmtId="0" fontId="23" fillId="0" borderId="0" xfId="15" applyFont="1">
      <alignment horizontal="right" indent="1"/>
    </xf>
    <xf numFmtId="167" fontId="14" fillId="0" borderId="0" xfId="0" applyNumberFormat="1" applyFont="1" applyFill="1" applyBorder="1" applyAlignment="1">
      <alignment horizontal="center"/>
    </xf>
    <xf numFmtId="167" fontId="14" fillId="0" borderId="0" xfId="0" applyNumberFormat="1" applyFont="1" applyFill="1" applyBorder="1" applyAlignment="1">
      <alignment horizontal="right"/>
    </xf>
    <xf numFmtId="0" fontId="14" fillId="0" borderId="0" xfId="11" applyFont="1">
      <alignment horizontal="right" wrapText="1" indent="1"/>
    </xf>
    <xf numFmtId="0" fontId="24" fillId="5" borderId="4" xfId="16" applyNumberFormat="1" applyFont="1" applyAlignment="1">
      <alignment horizontal="center"/>
    </xf>
    <xf numFmtId="42" fontId="25" fillId="0" borderId="0" xfId="6" applyNumberFormat="1" applyFont="1" applyFill="1" applyBorder="1"/>
    <xf numFmtId="42" fontId="25" fillId="5" borderId="4" xfId="6" applyNumberFormat="1" applyFont="1" applyFill="1" applyBorder="1" applyAlignment="1">
      <alignment horizontal="center"/>
    </xf>
    <xf numFmtId="9" fontId="25" fillId="0" borderId="0" xfId="1" applyFont="1" applyFill="1" applyBorder="1" applyAlignment="1">
      <alignment horizontal="right"/>
    </xf>
    <xf numFmtId="9" fontId="25" fillId="5" borderId="4" xfId="1" applyFont="1" applyFill="1" applyBorder="1" applyAlignment="1">
      <alignment horizontal="right"/>
    </xf>
    <xf numFmtId="9" fontId="25" fillId="5" borderId="4" xfId="1" applyFont="1" applyFill="1" applyBorder="1">
      <alignment horizontal="right"/>
    </xf>
    <xf numFmtId="0" fontId="14" fillId="0" borderId="0" xfId="0" applyFont="1" applyFill="1" applyBorder="1" applyAlignment="1">
      <alignment horizontal="right" indent="1"/>
    </xf>
    <xf numFmtId="42" fontId="14" fillId="0" borderId="0" xfId="0" applyNumberFormat="1" applyFont="1" applyFill="1" applyBorder="1"/>
    <xf numFmtId="9" fontId="14" fillId="0" borderId="0" xfId="0" applyNumberFormat="1" applyFont="1" applyFill="1" applyBorder="1" applyAlignment="1">
      <alignment horizontal="right"/>
    </xf>
    <xf numFmtId="9" fontId="14" fillId="0" borderId="0" xfId="0" applyNumberFormat="1" applyFont="1"/>
    <xf numFmtId="0" fontId="26" fillId="7" borderId="0" xfId="0" applyFont="1" applyFill="1" applyBorder="1"/>
    <xf numFmtId="0" fontId="14" fillId="0" borderId="0" xfId="0" applyFont="1" applyAlignment="1">
      <alignment vertical="top"/>
    </xf>
    <xf numFmtId="0" fontId="18" fillId="8" borderId="0" xfId="2" applyFont="1" applyFill="1" applyBorder="1">
      <alignment vertical="center"/>
    </xf>
    <xf numFmtId="0" fontId="18" fillId="8" borderId="0" xfId="2" applyFont="1" applyFill="1" applyBorder="1" applyAlignment="1">
      <alignment horizontal="left" vertical="center"/>
    </xf>
    <xf numFmtId="0" fontId="18" fillId="8" borderId="0" xfId="2" applyNumberFormat="1" applyFont="1" applyFill="1" applyBorder="1" applyAlignment="1">
      <alignment horizontal="left" vertical="center"/>
    </xf>
    <xf numFmtId="0" fontId="15" fillId="8" borderId="0" xfId="3" applyFont="1" applyFill="1" applyBorder="1" applyAlignment="1">
      <alignment vertical="center"/>
    </xf>
    <xf numFmtId="0" fontId="18" fillId="8" borderId="0" xfId="2" applyFont="1" applyFill="1" applyAlignment="1">
      <alignment horizontal="left" vertical="center"/>
    </xf>
    <xf numFmtId="0" fontId="14" fillId="8" borderId="0" xfId="0" applyFont="1" applyFill="1" applyAlignment="1">
      <alignment vertical="top"/>
    </xf>
    <xf numFmtId="0" fontId="17" fillId="8" borderId="0" xfId="12" applyFont="1" applyFill="1" applyAlignment="1"/>
    <xf numFmtId="0" fontId="29" fillId="0" borderId="0" xfId="0" applyFont="1" applyAlignment="1">
      <alignment vertical="top"/>
    </xf>
    <xf numFmtId="0" fontId="21" fillId="0" borderId="0" xfId="13" applyFont="1" applyAlignment="1"/>
    <xf numFmtId="0" fontId="30" fillId="0" borderId="0" xfId="19" applyFont="1">
      <alignment horizontal="left" indent="1"/>
    </xf>
    <xf numFmtId="0" fontId="14" fillId="0" borderId="0" xfId="0" applyFont="1" applyAlignment="1">
      <alignment horizontal="left" indent="1"/>
    </xf>
    <xf numFmtId="0" fontId="14" fillId="0" borderId="0" xfId="13" applyFont="1" applyAlignment="1"/>
    <xf numFmtId="170" fontId="14" fillId="0" borderId="0" xfId="0" applyNumberFormat="1" applyFont="1" applyAlignment="1">
      <alignment vertical="top"/>
    </xf>
    <xf numFmtId="170" fontId="31" fillId="9" borderId="0" xfId="21" applyNumberFormat="1" applyFont="1" applyAlignment="1">
      <alignment horizontal="left" wrapText="1" indent="1"/>
    </xf>
    <xf numFmtId="0" fontId="14" fillId="9" borderId="0" xfId="21" applyFont="1" applyAlignment="1">
      <alignment vertical="top"/>
    </xf>
    <xf numFmtId="0" fontId="14" fillId="8" borderId="0" xfId="0" applyFont="1" applyFill="1" applyAlignment="1">
      <alignment horizontal="right"/>
    </xf>
    <xf numFmtId="0" fontId="23" fillId="0" borderId="0" xfId="15" applyFont="1" applyAlignment="1">
      <alignment horizontal="left" wrapText="1" indent="1"/>
    </xf>
    <xf numFmtId="0" fontId="14" fillId="0" borderId="5" xfId="0" applyFont="1" applyBorder="1" applyAlignment="1">
      <alignment horizontal="left" indent="1"/>
    </xf>
    <xf numFmtId="0" fontId="15" fillId="0" borderId="0" xfId="3" applyFont="1" applyFill="1" applyBorder="1" applyAlignment="1">
      <alignment horizontal="left" vertical="center" indent="1"/>
    </xf>
    <xf numFmtId="170" fontId="32" fillId="0" borderId="5" xfId="20" applyFont="1" applyBorder="1">
      <alignment horizontal="left" indent="1"/>
    </xf>
    <xf numFmtId="170" fontId="32" fillId="9" borderId="5" xfId="21" applyNumberFormat="1" applyFont="1" applyBorder="1" applyAlignment="1">
      <alignment horizontal="left" wrapText="1" indent="1"/>
    </xf>
    <xf numFmtId="0" fontId="26" fillId="10" borderId="5" xfId="21" applyFont="1" applyFill="1" applyBorder="1" applyAlignment="1">
      <alignment vertical="top"/>
    </xf>
    <xf numFmtId="170" fontId="32" fillId="11" borderId="5" xfId="20" applyFont="1" applyFill="1" applyBorder="1">
      <alignment horizontal="left" indent="1"/>
    </xf>
    <xf numFmtId="0" fontId="15" fillId="0" borderId="0" xfId="3" applyFont="1" applyFill="1" applyBorder="1" applyAlignment="1">
      <alignment horizontal="center" vertical="center" wrapText="1"/>
    </xf>
    <xf numFmtId="171" fontId="14" fillId="0" borderId="5" xfId="0" applyNumberFormat="1" applyFont="1" applyBorder="1" applyAlignment="1">
      <alignment vertical="top"/>
    </xf>
    <xf numFmtId="171" fontId="14" fillId="12" borderId="5" xfId="0" applyNumberFormat="1" applyFont="1" applyFill="1" applyBorder="1" applyAlignment="1">
      <alignment vertical="top"/>
    </xf>
    <xf numFmtId="170" fontId="33" fillId="11" borderId="0" xfId="21" applyNumberFormat="1" applyFont="1" applyFill="1" applyAlignment="1">
      <alignment horizontal="left" wrapText="1" indent="1"/>
    </xf>
    <xf numFmtId="171" fontId="34" fillId="13" borderId="5" xfId="21" applyNumberFormat="1" applyFont="1" applyFill="1" applyBorder="1" applyAlignment="1">
      <alignment vertical="top"/>
    </xf>
    <xf numFmtId="171" fontId="34" fillId="13" borderId="5" xfId="0" applyNumberFormat="1" applyFont="1" applyFill="1" applyBorder="1" applyAlignment="1">
      <alignment vertical="top"/>
    </xf>
    <xf numFmtId="169" fontId="22" fillId="0" borderId="2" xfId="14" applyFont="1" applyAlignment="1">
      <alignment horizontal="left" vertical="top" wrapText="1" indent="1"/>
    </xf>
    <xf numFmtId="0" fontId="14" fillId="9" borderId="0" xfId="21" applyFont="1" applyAlignment="1">
      <alignment vertical="top"/>
    </xf>
  </cellXfs>
  <cellStyles count="22">
    <cellStyle name="Bandes de couleur" xfId="21" xr:uid="{FFF5FC26-22DB-42B1-85CD-CD7D2560B1AF}"/>
    <cellStyle name="Bénéfices" xfId="8" xr:uid="{00000000-0005-0000-0000-000000000000}"/>
    <cellStyle name="Détails du tableau" xfId="11" xr:uid="{00000000-0005-0000-0000-000001000000}"/>
    <cellStyle name="Entrée des paramètres" xfId="19" xr:uid="{C4178E56-3CAC-4F0C-A7C7-8561BC43A25A}"/>
    <cellStyle name="Jour" xfId="20" xr:uid="{A6A4B198-7E3A-43C1-9D9C-E65F93103DF7}"/>
    <cellStyle name="Milliers" xfId="4" builtinId="3" customBuiltin="1"/>
    <cellStyle name="Milliers [0]" xfId="5" builtinId="6" customBuiltin="1"/>
    <cellStyle name="Monétaire [0]" xfId="6" builtinId="7" customBuiltin="1"/>
    <cellStyle name="Montant des bénéfices" xfId="9" xr:uid="{00000000-0005-0000-0000-000005000000}"/>
    <cellStyle name="Normal" xfId="0" builtinId="0" customBuiltin="1"/>
    <cellStyle name="Note" xfId="7" builtinId="10" customBuiltin="1"/>
    <cellStyle name="Pourcentage" xfId="1" builtinId="5" customBuiltin="1"/>
    <cellStyle name="Pourcentage de marge" xfId="10" xr:uid="{00000000-0005-0000-0000-000009000000}"/>
    <cellStyle name="Remplissage Chiffre d’affaires" xfId="16" xr:uid="{00000000-0005-0000-0000-00000A000000}"/>
    <cellStyle name="Remplissage Coût des ventes" xfId="17" xr:uid="{00000000-0005-0000-0000-00000B000000}"/>
    <cellStyle name="Remplissage Dépenses" xfId="18" xr:uid="{00000000-0005-0000-0000-00000C000000}"/>
    <cellStyle name="Titre" xfId="2" builtinId="15" customBuiltin="1"/>
    <cellStyle name="Titre de tableau 1" xfId="15" xr:uid="{00000000-0005-0000-0000-00000E000000}"/>
    <cellStyle name="Titre 1" xfId="3" builtinId="16" customBuiltin="1"/>
    <cellStyle name="Titre 2" xfId="12" builtinId="17" customBuiltin="1"/>
    <cellStyle name="Titre 3" xfId="13" builtinId="18" customBuiltin="1"/>
    <cellStyle name="Titre 4" xfId="14" builtinId="19" customBuiltin="1"/>
  </cellStyles>
  <dxfs count="163">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68" formatCode="0%;;&quot;-&quot;;"/>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family val="2"/>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family val="2"/>
        <scheme val="minor"/>
      </font>
      <numFmt numFmtId="13" formatCode="0%"/>
      <fill>
        <patternFill patternType="none">
          <fgColor indexed="64"/>
          <bgColor indexed="65"/>
        </patternFill>
      </fill>
      <alignment horizontal="right" vertical="bottom" textRotation="0" wrapText="0" indent="0" justifyLastLine="0" shrinkToFit="0" readingOrder="0"/>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b val="0"/>
        <i val="0"/>
        <strike val="0"/>
        <condense val="0"/>
        <extend val="0"/>
        <outline val="0"/>
        <shadow val="0"/>
        <u val="none"/>
        <vertAlign val="baseline"/>
        <sz val="11"/>
        <color theme="1"/>
        <name val="Arial"/>
        <family val="2"/>
        <scheme val="none"/>
      </font>
      <numFmt numFmtId="13" formatCode="0%"/>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val="0"/>
        <i val="0"/>
        <strike val="0"/>
        <condense val="0"/>
        <extend val="0"/>
        <outline val="0"/>
        <shadow val="0"/>
        <u val="none"/>
        <vertAlign val="baseline"/>
        <sz val="11"/>
        <color theme="1"/>
        <name val="Arial"/>
        <family val="2"/>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family val="2"/>
        <scheme val="none"/>
      </font>
      <numFmt numFmtId="32" formatCode="_-* #,##0\ &quot;€&quot;_-;\-* #,##0\ &quot;€&quot;_-;_-* &quot;-&quot;\ &quot;€&quot;_-;_-@_-"/>
    </dxf>
    <dxf>
      <font>
        <b/>
        <i val="0"/>
        <strike val="0"/>
        <condense val="0"/>
        <extend val="0"/>
        <outline val="0"/>
        <shadow val="0"/>
        <u val="none"/>
        <vertAlign val="baseline"/>
        <sz val="11"/>
        <color theme="1"/>
        <name val="Arial"/>
        <family val="2"/>
        <scheme val="none"/>
      </font>
      <fill>
        <patternFill patternType="solid">
          <fgColor indexed="64"/>
          <bgColor rgb="FFFFFF00"/>
        </patternFill>
      </fill>
      <border diagonalUp="0" diagonalDown="0" outline="0">
        <left/>
        <right/>
        <top/>
        <bottom/>
      </border>
    </dxf>
    <dxf>
      <font>
        <b val="0"/>
        <i val="0"/>
        <strike val="0"/>
        <condense val="0"/>
        <extend val="0"/>
        <outline val="0"/>
        <shadow val="0"/>
        <u val="none"/>
        <vertAlign val="baseline"/>
        <sz val="10"/>
        <color theme="1"/>
        <name val="Arial"/>
        <family val="2"/>
        <scheme val="none"/>
      </font>
      <alignment horizontal="center" vertical="bottom" textRotation="0" wrapText="0" indent="0" justifyLastLine="0" shrinkToFit="0" readingOrder="0"/>
    </dxf>
    <dxf>
      <font>
        <b val="0"/>
        <i val="0"/>
        <strike val="0"/>
        <condense val="0"/>
        <extend val="0"/>
        <outline val="0"/>
        <shadow val="0"/>
        <u val="none"/>
        <vertAlign val="baseline"/>
        <sz val="11"/>
        <color theme="1"/>
        <name val="Arial"/>
        <family val="2"/>
        <scheme val="none"/>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family val="2"/>
        <scheme val="none"/>
      </font>
    </dxf>
    <dxf>
      <font>
        <b val="0"/>
        <i val="0"/>
        <strike val="0"/>
        <condense val="0"/>
        <extend val="0"/>
        <outline val="0"/>
        <shadow val="0"/>
        <u val="none"/>
        <vertAlign val="baseline"/>
        <sz val="11"/>
        <color theme="1"/>
        <name val="Arial"/>
        <family val="2"/>
        <scheme val="none"/>
      </font>
      <numFmt numFmtId="13" formatCode="0%"/>
      <fill>
        <patternFill patternType="none">
          <fgColor indexed="64"/>
          <bgColor indexed="65"/>
        </patternFill>
      </fill>
      <alignment horizontal="right" vertical="bottom" textRotation="0" wrapText="0" indent="0" justifyLastLine="0" shrinkToFit="0" readingOrder="0"/>
    </dxf>
    <dxf>
      <font>
        <strike val="0"/>
        <outline val="0"/>
        <shadow val="0"/>
        <u val="none"/>
        <vertAlign val="baseline"/>
        <name val="Arial"/>
        <family val="2"/>
        <scheme val="none"/>
      </font>
    </dxf>
    <dxf>
      <font>
        <strike val="0"/>
        <outline val="0"/>
        <shadow val="0"/>
        <u val="none"/>
        <vertAlign val="baseline"/>
        <name val="Arial"/>
        <family val="2"/>
        <scheme val="none"/>
      </font>
    </dxf>
    <dxf>
      <border>
        <left/>
        <right style="dotted">
          <color theme="4" tint="0.39994506668294322"/>
        </right>
        <top style="thin">
          <color theme="4" tint="0.39994506668294322"/>
        </top>
        <bottom style="thin">
          <color theme="4" tint="0.39994506668294322"/>
        </bottom>
        <vertical style="dotted">
          <color theme="4" tint="0.39994506668294322"/>
        </vertical>
        <horizontal style="thin">
          <color theme="4" tint="0.39994506668294322"/>
        </horizontal>
      </border>
    </dxf>
    <dxf>
      <border>
        <left/>
        <right style="dotted">
          <color theme="4" tint="0.39994506668294322"/>
        </right>
        <top style="thin">
          <color theme="4" tint="0.39994506668294322"/>
        </top>
        <bottom style="thin">
          <color theme="4" tint="0.39994506668294322"/>
        </bottom>
        <vertical style="dotted">
          <color theme="4"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5" tint="0.39991454817346722"/>
        </right>
        <top style="thin">
          <color theme="5" tint="0.39994506668294322"/>
        </top>
        <bottom style="thin">
          <color theme="5" tint="0.39994506668294322"/>
        </bottom>
        <vertical style="dotted">
          <color theme="5" tint="0.39994506668294322"/>
        </vertical>
        <horizontal style="thin">
          <color theme="5" tint="0.39994506668294322"/>
        </horizontal>
      </border>
    </dxf>
    <dxf>
      <border>
        <left/>
        <right style="dotted">
          <color theme="5" tint="0.39991454817346722"/>
        </right>
        <top style="thin">
          <color theme="5" tint="0.39994506668294322"/>
        </top>
        <bottom style="thin">
          <color theme="5" tint="0.39994506668294322"/>
        </bottom>
        <vertical style="dotted">
          <color theme="5" tint="0.399914548173467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style="thin">
          <color theme="6" tint="0.39994506668294322"/>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s>
  <tableStyles count="3" defaultTableStyle="Chiffres d’affaires Bénéfices et pertes" defaultPivotStyle="PivotStyleLight16">
    <tableStyle name="Dépenses Bénéfices et pertes" pivot="0" count="5" xr9:uid="{00000000-0011-0000-FFFF-FFFF00000000}">
      <tableStyleElement type="wholeTable" dxfId="162"/>
      <tableStyleElement type="headerRow" dxfId="161"/>
      <tableStyleElement type="totalRow" dxfId="160"/>
      <tableStyleElement type="firstRowStripe" dxfId="159"/>
      <tableStyleElement type="secondRowStripe" dxfId="158"/>
    </tableStyle>
    <tableStyle name="Chiffres d’affaires Bénéfices et pertes" pivot="0" count="5" xr9:uid="{00000000-0011-0000-FFFF-FFFF01000000}">
      <tableStyleElement type="wholeTable" dxfId="157"/>
      <tableStyleElement type="headerRow" dxfId="156"/>
      <tableStyleElement type="totalRow" dxfId="155"/>
      <tableStyleElement type="firstRowStripe" dxfId="154"/>
      <tableStyleElement type="secondRowStripe" dxfId="153"/>
    </tableStyle>
    <tableStyle name="Ventes Bénéfices et pertes" pivot="0" count="5" xr9:uid="{00000000-0011-0000-FFFF-FFFF02000000}">
      <tableStyleElement type="wholeTable" dxfId="152"/>
      <tableStyleElement type="headerRow" dxfId="151"/>
      <tableStyleElement type="totalRow" dxfId="150"/>
      <tableStyleElement type="firstRowStripe" dxfId="149"/>
      <tableStyleElement type="secondRowStripe" dxfId="148"/>
    </tableStyle>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Chiffre_daffaires" displayName="Chiffre_daffaires" ref="B4:AD10" totalsRowCount="1" headerRowDxfId="147" dataDxfId="146" totalsRowDxfId="145">
  <autoFilter ref="B4:AD9"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xr3:uid="{00000000-0010-0000-0000-000001000000}" name="CHIFFRE D’AFFAIRES (VENTES)" totalsRowLabel="TOTAL DES VENTES" dataDxfId="144" totalsRowDxfId="143"/>
    <tableColumn id="29" xr3:uid="{00000000-0010-0000-0000-00001D000000}" name="TENDANCE" dataDxfId="142" totalsRowDxfId="141"/>
    <tableColumn id="2" xr3:uid="{00000000-0010-0000-0000-000002000000}" name="Janv" totalsRowFunction="sum" dataDxfId="140" totalsRowDxfId="139"/>
    <tableColumn id="3" xr3:uid="{00000000-0010-0000-0000-000003000000}" name="Févr" totalsRowFunction="sum" dataDxfId="138" totalsRowDxfId="137"/>
    <tableColumn id="4" xr3:uid="{00000000-0010-0000-0000-000004000000}" name="Mars" totalsRowFunction="sum" dataDxfId="136" totalsRowDxfId="135"/>
    <tableColumn id="5" xr3:uid="{00000000-0010-0000-0000-000005000000}" name="Avr" totalsRowFunction="sum" dataDxfId="134" totalsRowDxfId="133"/>
    <tableColumn id="6" xr3:uid="{00000000-0010-0000-0000-000006000000}" name="Mai" totalsRowFunction="sum" dataDxfId="132" totalsRowDxfId="131"/>
    <tableColumn id="7" xr3:uid="{00000000-0010-0000-0000-000007000000}" name="Juin" totalsRowFunction="sum" dataDxfId="130" totalsRowDxfId="129"/>
    <tableColumn id="8" xr3:uid="{00000000-0010-0000-0000-000008000000}" name="Juil" totalsRowFunction="sum" dataDxfId="128" totalsRowDxfId="127"/>
    <tableColumn id="9" xr3:uid="{00000000-0010-0000-0000-000009000000}" name="Août" totalsRowFunction="sum" dataDxfId="126" totalsRowDxfId="125"/>
    <tableColumn id="10" xr3:uid="{00000000-0010-0000-0000-00000A000000}" name="Sept" totalsRowFunction="sum" dataDxfId="124" totalsRowDxfId="123"/>
    <tableColumn id="11" xr3:uid="{00000000-0010-0000-0000-00000B000000}" name="Oct" totalsRowFunction="sum" dataDxfId="122" totalsRowDxfId="121"/>
    <tableColumn id="12" xr3:uid="{00000000-0010-0000-0000-00000C000000}" name="Nov" totalsRowFunction="sum" dataDxfId="120" totalsRowDxfId="119"/>
    <tableColumn id="13" xr3:uid="{00000000-0010-0000-0000-00000D000000}" name="Déc" totalsRowFunction="sum" dataDxfId="118" totalsRowDxfId="117"/>
    <tableColumn id="14" xr3:uid="{00000000-0010-0000-0000-00000E000000}" name="Annuel" totalsRowFunction="sum" dataDxfId="116" totalsRowDxfId="115">
      <calculatedColumnFormula>SUM(Chiffre_daffaires[[#This Row],[Janv]:[Déc]])</calculatedColumnFormula>
    </tableColumn>
    <tableColumn id="15" xr3:uid="{00000000-0010-0000-0000-00000F000000}" name="Index %" totalsRowFunction="sum" dataDxfId="114" totalsRowDxfId="113"/>
    <tableColumn id="16" xr3:uid="{00000000-0010-0000-0000-000010000000}" name="Jan %" totalsRowFunction="sum" dataDxfId="112" totalsRowDxfId="111">
      <calculatedColumnFormula>IFERROR(Chiffre_daffaires[[#This Row],[Janv]]/Chiffre_daffaires[[#Totals],[Janv]],"-")</calculatedColumnFormula>
    </tableColumn>
    <tableColumn id="17" xr3:uid="{00000000-0010-0000-0000-000011000000}" name="Fév %" totalsRowFunction="sum" dataDxfId="110" totalsRowDxfId="109">
      <calculatedColumnFormula>IFERROR(Chiffre_daffaires[[#This Row],[Févr]]/Chiffre_daffaires[[#Totals],[Févr]],"-")</calculatedColumnFormula>
    </tableColumn>
    <tableColumn id="18" xr3:uid="{00000000-0010-0000-0000-000012000000}" name="Mar %" totalsRowFunction="sum" dataDxfId="108" totalsRowDxfId="107">
      <calculatedColumnFormula>IFERROR(Chiffre_daffaires[[#This Row],[Mars]]/Chiffre_daffaires[[#Totals],[Mars]],"-")</calculatedColumnFormula>
    </tableColumn>
    <tableColumn id="19" xr3:uid="{00000000-0010-0000-0000-000013000000}" name="Avr %" totalsRowFunction="sum" dataDxfId="106" totalsRowDxfId="105">
      <calculatedColumnFormula>IFERROR(Chiffre_daffaires[[#This Row],[Avr]]/Chiffre_daffaires[[#Totals],[Avr]],"-")</calculatedColumnFormula>
    </tableColumn>
    <tableColumn id="20" xr3:uid="{00000000-0010-0000-0000-000014000000}" name="Mai %" totalsRowFunction="sum" dataDxfId="104" totalsRowDxfId="103">
      <calculatedColumnFormula>IFERROR(Chiffre_daffaires[[#This Row],[Mai]]/Chiffre_daffaires[[#Totals],[Mai]],"-")</calculatedColumnFormula>
    </tableColumn>
    <tableColumn id="21" xr3:uid="{00000000-0010-0000-0000-000015000000}" name="Jui %" totalsRowFunction="sum" dataDxfId="102" totalsRowDxfId="101">
      <calculatedColumnFormula>IFERROR(Chiffre_daffaires[[#This Row],[Juin]]/Chiffre_daffaires[[#Totals],[Juin]],"-")</calculatedColumnFormula>
    </tableColumn>
    <tableColumn id="22" xr3:uid="{00000000-0010-0000-0000-000016000000}" name="Jui % " totalsRowFunction="sum" dataDxfId="100" totalsRowDxfId="99">
      <calculatedColumnFormula>IFERROR(Chiffre_daffaires[[#This Row],[Juil]]/Chiffre_daffaires[[#Totals],[Juil]],"-")</calculatedColumnFormula>
    </tableColumn>
    <tableColumn id="23" xr3:uid="{00000000-0010-0000-0000-000017000000}" name="Aoû %" totalsRowFunction="sum" dataDxfId="98" totalsRowDxfId="97">
      <calculatedColumnFormula>IFERROR(Chiffre_daffaires[[#This Row],[Août]]/Chiffre_daffaires[[#Totals],[Août]],"-")</calculatedColumnFormula>
    </tableColumn>
    <tableColumn id="24" xr3:uid="{00000000-0010-0000-0000-000018000000}" name="Sep %" totalsRowFunction="sum" dataDxfId="96" totalsRowDxfId="95">
      <calculatedColumnFormula>IFERROR(Chiffre_daffaires[[#This Row],[Sept]]/Chiffre_daffaires[[#Totals],[Sept]],"-")</calculatedColumnFormula>
    </tableColumn>
    <tableColumn id="25" xr3:uid="{00000000-0010-0000-0000-000019000000}" name="Oct %" totalsRowFunction="sum" dataDxfId="94" totalsRowDxfId="93">
      <calculatedColumnFormula>IFERROR(Chiffre_daffaires[[#This Row],[Oct]]/Chiffre_daffaires[[#Totals],[Oct]],"-")</calculatedColumnFormula>
    </tableColumn>
    <tableColumn id="26" xr3:uid="{00000000-0010-0000-0000-00001A000000}" name="Nov %" totalsRowFunction="sum" dataDxfId="92" totalsRowDxfId="91">
      <calculatedColumnFormula>IFERROR(Chiffre_daffaires[[#This Row],[Nov]]/Chiffre_daffaires[[#Totals],[Nov]],"-")</calculatedColumnFormula>
    </tableColumn>
    <tableColumn id="27" xr3:uid="{00000000-0010-0000-0000-00001B000000}" name="Déc %" totalsRowFunction="sum" dataDxfId="90" totalsRowDxfId="89">
      <calculatedColumnFormula>IFERROR(Chiffre_daffaires[[#This Row],[Déc]]/Chiffre_daffaires[[#Totals],[Déc]],"-")</calculatedColumnFormula>
    </tableColumn>
    <tableColumn id="28" xr3:uid="{00000000-0010-0000-0000-00001C000000}" name="Année %" totalsRowFunction="sum" dataDxfId="88" totalsRowDxfId="87">
      <calculatedColumnFormula>IFERROR(Chiffre_daffaires[[#This Row],[Annuel]]/Chiffre_daffaires[[#Totals],[Annuel]],"-")</calculatedColumnFormula>
    </tableColumn>
  </tableColumns>
  <tableStyleInfo name="Chiffres d’affaires Bénéfices et pertes" showFirstColumn="0" showLastColumn="0" showRowStripes="1" showColumnStripes="0"/>
  <extLst>
    <ext xmlns:x14="http://schemas.microsoft.com/office/spreadsheetml/2009/9/main" uri="{504A1905-F514-4f6f-8877-14C23A59335A}">
      <x14:table altTextSummary="Synthèse des ventes mensuelles, total annuel et pourcentage par mois pour chaque élément de chiffre d’affair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CoûtdesVentes" displayName="CoûtdesVentes" ref="B4:AD10" totalsRowCount="1" totalsRowDxfId="59">
  <tableColumns count="29">
    <tableColumn id="1" xr3:uid="{00000000-0010-0000-0100-000001000000}" name="COÛT DES VENTES" totalsRowLabel="COÛT TOTAL DES VENTES" totalsRowDxfId="58"/>
    <tableColumn id="2" xr3:uid="{00000000-0010-0000-0100-000002000000}" name="TENDANCE" totalsRowDxfId="57"/>
    <tableColumn id="3" xr3:uid="{00000000-0010-0000-0100-000003000000}" name="Janv" totalsRowFunction="sum" totalsRowDxfId="56"/>
    <tableColumn id="4" xr3:uid="{00000000-0010-0000-0100-000004000000}" name="Févr" totalsRowFunction="sum" totalsRowDxfId="55"/>
    <tableColumn id="5" xr3:uid="{00000000-0010-0000-0100-000005000000}" name="Mars" totalsRowFunction="sum" totalsRowDxfId="54"/>
    <tableColumn id="6" xr3:uid="{00000000-0010-0000-0100-000006000000}" name="Avr" totalsRowFunction="sum" totalsRowDxfId="53"/>
    <tableColumn id="7" xr3:uid="{00000000-0010-0000-0100-000007000000}" name="Mai" totalsRowFunction="sum" totalsRowDxfId="52"/>
    <tableColumn id="8" xr3:uid="{00000000-0010-0000-0100-000008000000}" name="Juin" totalsRowFunction="sum" totalsRowDxfId="51"/>
    <tableColumn id="9" xr3:uid="{00000000-0010-0000-0100-000009000000}" name="Juil" totalsRowFunction="sum" totalsRowDxfId="50"/>
    <tableColumn id="10" xr3:uid="{00000000-0010-0000-0100-00000A000000}" name="Août" totalsRowFunction="sum" totalsRowDxfId="49"/>
    <tableColumn id="11" xr3:uid="{00000000-0010-0000-0100-00000B000000}" name="Sept" totalsRowFunction="sum" totalsRowDxfId="48"/>
    <tableColumn id="12" xr3:uid="{00000000-0010-0000-0100-00000C000000}" name="Oct" totalsRowFunction="sum" totalsRowDxfId="47"/>
    <tableColumn id="13" xr3:uid="{00000000-0010-0000-0100-00000D000000}" name="Nov" totalsRowFunction="sum" totalsRowDxfId="46"/>
    <tableColumn id="14" xr3:uid="{00000000-0010-0000-0100-00000E000000}" name="Déc" totalsRowFunction="sum" totalsRowDxfId="45"/>
    <tableColumn id="15" xr3:uid="{00000000-0010-0000-0100-00000F000000}" name="Annuel" totalsRowFunction="sum" totalsRowDxfId="44" dataCellStyle="Monétaire [0]">
      <calculatedColumnFormula>SUM(CoûtdesVentes[[#This Row],[Janv]:[Déc]])</calculatedColumnFormula>
    </tableColumn>
    <tableColumn id="16" xr3:uid="{00000000-0010-0000-0100-000010000000}" name="Index %" totalsRowFunction="sum" totalsRowDxfId="43"/>
    <tableColumn id="17" xr3:uid="{00000000-0010-0000-0100-000011000000}" name="Jan %" totalsRowFunction="sum" totalsRowDxfId="42" dataCellStyle="Pourcentage">
      <calculatedColumnFormula>IFERROR(CoûtdesVentes[[#This Row],[Janv]]/CoûtdesVentes[[#Totals],[Janv]],"-")</calculatedColumnFormula>
    </tableColumn>
    <tableColumn id="18" xr3:uid="{00000000-0010-0000-0100-000012000000}" name="Fév %" totalsRowFunction="sum" totalsRowDxfId="41" dataCellStyle="Pourcentage">
      <calculatedColumnFormula>IFERROR(CoûtdesVentes[[#This Row],[Févr]]/CoûtdesVentes[[#Totals],[Févr]],"-")</calculatedColumnFormula>
    </tableColumn>
    <tableColumn id="19" xr3:uid="{00000000-0010-0000-0100-000013000000}" name="Mar %" totalsRowFunction="sum" totalsRowDxfId="40" dataCellStyle="Pourcentage">
      <calculatedColumnFormula>IFERROR(CoûtdesVentes[[#This Row],[Mars]]/CoûtdesVentes[[#Totals],[Mars]],"-")</calculatedColumnFormula>
    </tableColumn>
    <tableColumn id="20" xr3:uid="{00000000-0010-0000-0100-000014000000}" name="Avr %" totalsRowFunction="sum" totalsRowDxfId="39" dataCellStyle="Pourcentage">
      <calculatedColumnFormula>IFERROR(CoûtdesVentes[[#This Row],[Avr]]/CoûtdesVentes[[#Totals],[Avr]],"-")</calculatedColumnFormula>
    </tableColumn>
    <tableColumn id="21" xr3:uid="{00000000-0010-0000-0100-000015000000}" name="Mai %" totalsRowFunction="sum" totalsRowDxfId="38" dataCellStyle="Pourcentage">
      <calculatedColumnFormula>IFERROR(CoûtdesVentes[[#This Row],[Mai]]/CoûtdesVentes[[#Totals],[Mai]],"-")</calculatedColumnFormula>
    </tableColumn>
    <tableColumn id="22" xr3:uid="{00000000-0010-0000-0100-000016000000}" name="Jui %" totalsRowFunction="sum" totalsRowDxfId="37" dataCellStyle="Pourcentage">
      <calculatedColumnFormula>IFERROR(CoûtdesVentes[[#This Row],[Juin]]/CoûtdesVentes[[#Totals],[Juin]],"-")</calculatedColumnFormula>
    </tableColumn>
    <tableColumn id="23" xr3:uid="{00000000-0010-0000-0100-000017000000}" name="Jui % " totalsRowFunction="sum" totalsRowDxfId="36" dataCellStyle="Pourcentage">
      <calculatedColumnFormula>IFERROR(CoûtdesVentes[[#This Row],[Juil]]/CoûtdesVentes[[#Totals],[Juil]],"-")</calculatedColumnFormula>
    </tableColumn>
    <tableColumn id="24" xr3:uid="{00000000-0010-0000-0100-000018000000}" name="Aoû %" totalsRowFunction="sum" totalsRowDxfId="35" dataCellStyle="Pourcentage">
      <calculatedColumnFormula>IFERROR(CoûtdesVentes[[#This Row],[Août]]/CoûtdesVentes[[#Totals],[Août]],"-")</calculatedColumnFormula>
    </tableColumn>
    <tableColumn id="25" xr3:uid="{00000000-0010-0000-0100-000019000000}" name="Sep %" totalsRowFunction="sum" totalsRowDxfId="34" dataCellStyle="Pourcentage">
      <calculatedColumnFormula>IFERROR(CoûtdesVentes[[#This Row],[Sept]]/CoûtdesVentes[[#Totals],[Sept]],"-")</calculatedColumnFormula>
    </tableColumn>
    <tableColumn id="26" xr3:uid="{00000000-0010-0000-0100-00001A000000}" name="Oct %" totalsRowFunction="sum" totalsRowDxfId="33" dataCellStyle="Pourcentage">
      <calculatedColumnFormula>IFERROR(CoûtdesVentes[[#This Row],[Oct]]/CoûtdesVentes[[#Totals],[Oct]],"-")</calculatedColumnFormula>
    </tableColumn>
    <tableColumn id="27" xr3:uid="{00000000-0010-0000-0100-00001B000000}" name="Nov %" totalsRowFunction="sum" totalsRowDxfId="32" dataCellStyle="Pourcentage">
      <calculatedColumnFormula>IFERROR(CoûtdesVentes[[#This Row],[Nov]]/CoûtdesVentes[[#Totals],[Nov]],"-")</calculatedColumnFormula>
    </tableColumn>
    <tableColumn id="28" xr3:uid="{00000000-0010-0000-0100-00001C000000}" name="Déc %" totalsRowFunction="sum" totalsRowDxfId="31" dataCellStyle="Pourcentage">
      <calculatedColumnFormula>IFERROR(CoûtdesVentes[[#This Row],[Déc]]/CoûtdesVentes[[#Totals],[Déc]],"-")</calculatedColumnFormula>
    </tableColumn>
    <tableColumn id="29" xr3:uid="{00000000-0010-0000-0100-00001D000000}" name="Année %" totalsRowFunction="sum" totalsRowDxfId="30" dataCellStyle="Pourcentage">
      <calculatedColumnFormula>IFERROR(CoûtdesVentes[[#This Row],[Annuel]]/CoûtdesVentes[[#Totals],[Annuel]],"-")</calculatedColumnFormula>
    </tableColumn>
  </tableColumns>
  <tableStyleInfo name="Ventes Bénéfices et pertes" showFirstColumn="0" showLastColumn="0" showRowStripes="1" showColumnStripes="0"/>
  <extLst>
    <ext xmlns:x14="http://schemas.microsoft.com/office/spreadsheetml/2009/9/main" uri="{504A1905-F514-4f6f-8877-14C23A59335A}">
      <x14:table altTextSummary="Synthèse du coût des ventes, total annuel et pourcentage par mois pour chaque élément de coût"/>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2000000}" name="tblDépenses" displayName="tblDépenses" ref="B4:AD24" totalsRowCount="1" totalsRowDxfId="29">
  <tableColumns count="29">
    <tableColumn id="1" xr3:uid="{00000000-0010-0000-0200-000001000000}" name="DÉPENSES" totalsRowLabel="DÉPENSES TOTALES" totalsRowDxfId="28"/>
    <tableColumn id="2" xr3:uid="{00000000-0010-0000-0200-000002000000}" name="TENDANCE" totalsRowLabel=" " totalsRowDxfId="27"/>
    <tableColumn id="3" xr3:uid="{00000000-0010-0000-0200-000003000000}" name="Colonne1" totalsRowFunction="sum" totalsRowDxfId="26"/>
    <tableColumn id="4" xr3:uid="{00000000-0010-0000-0200-000004000000}" name="Févr" totalsRowFunction="sum" totalsRowDxfId="25"/>
    <tableColumn id="5" xr3:uid="{00000000-0010-0000-0200-000005000000}" name="Mars" totalsRowFunction="sum" totalsRowDxfId="24"/>
    <tableColumn id="6" xr3:uid="{00000000-0010-0000-0200-000006000000}" name="Avr" totalsRowFunction="sum" totalsRowDxfId="23"/>
    <tableColumn id="7" xr3:uid="{00000000-0010-0000-0200-000007000000}" name="Mai" totalsRowFunction="sum" totalsRowDxfId="22"/>
    <tableColumn id="8" xr3:uid="{00000000-0010-0000-0200-000008000000}" name="Juin" totalsRowFunction="sum" totalsRowDxfId="21"/>
    <tableColumn id="9" xr3:uid="{00000000-0010-0000-0200-000009000000}" name="Juil" totalsRowFunction="sum" totalsRowDxfId="20"/>
    <tableColumn id="10" xr3:uid="{00000000-0010-0000-0200-00000A000000}" name="Août" totalsRowFunction="sum" totalsRowDxfId="19"/>
    <tableColumn id="11" xr3:uid="{00000000-0010-0000-0200-00000B000000}" name="Sept" totalsRowFunction="sum" totalsRowDxfId="18"/>
    <tableColumn id="12" xr3:uid="{00000000-0010-0000-0200-00000C000000}" name="Oct" totalsRowFunction="sum" totalsRowDxfId="17"/>
    <tableColumn id="13" xr3:uid="{00000000-0010-0000-0200-00000D000000}" name="Nov" totalsRowFunction="sum" totalsRowDxfId="16"/>
    <tableColumn id="14" xr3:uid="{00000000-0010-0000-0200-00000E000000}" name="Déc" totalsRowFunction="sum" totalsRowDxfId="15"/>
    <tableColumn id="15" xr3:uid="{00000000-0010-0000-0200-00000F000000}" name="Annuel" totalsRowFunction="sum" totalsRowDxfId="14">
      <calculatedColumnFormula>SUM(tblDépenses[[#This Row],[Colonne1]:[Déc]])</calculatedColumnFormula>
    </tableColumn>
    <tableColumn id="16" xr3:uid="{00000000-0010-0000-0200-000010000000}" name="Index %" totalsRowFunction="sum" totalsRowDxfId="13"/>
    <tableColumn id="17" xr3:uid="{00000000-0010-0000-0200-000011000000}" name="Jan %" totalsRowFunction="sum" totalsRowDxfId="12">
      <calculatedColumnFormula>tblDépenses[[#This Row],[Colonne1]]/tblDépenses[[#Totals],[Colonne1]]</calculatedColumnFormula>
    </tableColumn>
    <tableColumn id="18" xr3:uid="{00000000-0010-0000-0200-000012000000}" name="Fév %" totalsRowFunction="sum" totalsRowDxfId="11">
      <calculatedColumnFormula>tblDépenses[[#This Row],[Févr]]/tblDépenses[[#Totals],[Févr]]</calculatedColumnFormula>
    </tableColumn>
    <tableColumn id="19" xr3:uid="{00000000-0010-0000-0200-000013000000}" name="Mar %" totalsRowFunction="sum" totalsRowDxfId="10">
      <calculatedColumnFormula>tblDépenses[[#This Row],[Mars]]/tblDépenses[[#Totals],[Mars]]</calculatedColumnFormula>
    </tableColumn>
    <tableColumn id="20" xr3:uid="{00000000-0010-0000-0200-000014000000}" name="Avr %" totalsRowFunction="sum" totalsRowDxfId="9">
      <calculatedColumnFormula>tblDépenses[[#This Row],[Avr]]/tblDépenses[[#Totals],[Avr]]</calculatedColumnFormula>
    </tableColumn>
    <tableColumn id="21" xr3:uid="{00000000-0010-0000-0200-000015000000}" name="Mai %" totalsRowFunction="sum" totalsRowDxfId="8">
      <calculatedColumnFormula>tblDépenses[[#This Row],[Mai]]/tblDépenses[[#Totals],[Mai]]</calculatedColumnFormula>
    </tableColumn>
    <tableColumn id="22" xr3:uid="{00000000-0010-0000-0200-000016000000}" name="Jui %" totalsRowFunction="sum" totalsRowDxfId="7">
      <calculatedColumnFormula>tblDépenses[[#This Row],[Juin]]/tblDépenses[[#Totals],[Juin]]</calculatedColumnFormula>
    </tableColumn>
    <tableColumn id="23" xr3:uid="{00000000-0010-0000-0200-000017000000}" name="Jui % " totalsRowFunction="sum" totalsRowDxfId="6">
      <calculatedColumnFormula>tblDépenses[[#This Row],[Juil]]/tblDépenses[[#Totals],[Juil]]</calculatedColumnFormula>
    </tableColumn>
    <tableColumn id="24" xr3:uid="{00000000-0010-0000-0200-000018000000}" name="Aoû %" totalsRowFunction="sum" totalsRowDxfId="5">
      <calculatedColumnFormula>tblDépenses[[#This Row],[Août]]/tblDépenses[[#Totals],[Août]]</calculatedColumnFormula>
    </tableColumn>
    <tableColumn id="25" xr3:uid="{00000000-0010-0000-0200-000019000000}" name="Sep %" totalsRowFunction="sum" totalsRowDxfId="4">
      <calculatedColumnFormula>tblDépenses[[#This Row],[Sept]]/tblDépenses[[#Totals],[Sept]]</calculatedColumnFormula>
    </tableColumn>
    <tableColumn id="26" xr3:uid="{00000000-0010-0000-0200-00001A000000}" name="Oct %" totalsRowFunction="sum" totalsRowDxfId="3">
      <calculatedColumnFormula>tblDépenses[[#This Row],[Oct]]/tblDépenses[[#Totals],[Oct]]</calculatedColumnFormula>
    </tableColumn>
    <tableColumn id="27" xr3:uid="{00000000-0010-0000-0200-00001B000000}" name="Nov %" totalsRowFunction="sum" totalsRowDxfId="2">
      <calculatedColumnFormula>tblDépenses[[#This Row],[Nov]]/tblDépenses[[#Totals],[Nov]]</calculatedColumnFormula>
    </tableColumn>
    <tableColumn id="28" xr3:uid="{00000000-0010-0000-0200-00001C000000}" name="Déc %" totalsRowFunction="sum" totalsRowDxfId="1">
      <calculatedColumnFormula>tblDépenses[[#This Row],[Déc]]/tblDépenses[[#Totals],[Déc]]</calculatedColumnFormula>
    </tableColumn>
    <tableColumn id="29" xr3:uid="{00000000-0010-0000-0200-00001D000000}" name="Année %" totalsRowFunction="sum" totalsRowDxfId="0">
      <calculatedColumnFormula>tblDépenses[[#This Row],[Annuel]]/tblDépenses[[#Totals],[Annuel]]</calculatedColumnFormula>
    </tableColumn>
  </tableColumns>
  <tableStyleInfo name="Dépenses Bénéfices et pertes" showFirstColumn="0" showLastColumn="0" showRowStripes="1" showColumnStripes="0"/>
  <extLst>
    <ext xmlns:x14="http://schemas.microsoft.com/office/spreadsheetml/2009/9/main" uri="{504A1905-F514-4f6f-8877-14C23A59335A}">
      <x14:table altTextSummary="Synthèse des dépenses, total annuel et pourcentage par mois pour chaque élément de dépense"/>
    </ext>
  </extLst>
</table>
</file>

<file path=xl/theme/theme1.xml><?xml version="1.0" encoding="utf-8"?>
<a:theme xmlns:a="http://schemas.openxmlformats.org/drawingml/2006/main" name="Office Theme">
  <a:themeElements>
    <a:clrScheme name="Profit and Loss">
      <a:dk1>
        <a:sysClr val="windowText" lastClr="000000"/>
      </a:dk1>
      <a:lt1>
        <a:srgbClr val="FFFFFF"/>
      </a:lt1>
      <a:dk2>
        <a:srgbClr val="38321C"/>
      </a:dk2>
      <a:lt2>
        <a:srgbClr val="FFFFFF"/>
      </a:lt2>
      <a:accent1>
        <a:srgbClr val="DE8D26"/>
      </a:accent1>
      <a:accent2>
        <a:srgbClr val="2F7B6A"/>
      </a:accent2>
      <a:accent3>
        <a:srgbClr val="3BA0D6"/>
      </a:accent3>
      <a:accent4>
        <a:srgbClr val="8E9ACA"/>
      </a:accent4>
      <a:accent5>
        <a:srgbClr val="6F6857"/>
      </a:accent5>
      <a:accent6>
        <a:srgbClr val="F79646"/>
      </a:accent6>
      <a:hlink>
        <a:srgbClr val="0000FF"/>
      </a:hlink>
      <a:folHlink>
        <a:srgbClr val="800080"/>
      </a:folHlink>
    </a:clrScheme>
    <a:fontScheme name="Profit Loss Statement">
      <a:majorFont>
        <a:latin typeface="Bookman Old Style"/>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5" tint="0.39997558519241921"/>
    <pageSetUpPr autoPageBreaks="0" fitToPage="1"/>
  </sheetPr>
  <dimension ref="A1:AD10"/>
  <sheetViews>
    <sheetView showGridLines="0" tabSelected="1" zoomScaleNormal="100" workbookViewId="0">
      <pane ySplit="3" topLeftCell="A4" activePane="bottomLeft" state="frozen"/>
      <selection pane="bottomLeft" activeCell="D5" sqref="D5"/>
    </sheetView>
  </sheetViews>
  <sheetFormatPr baseColWidth="10" defaultColWidth="9" defaultRowHeight="30" customHeight="1" x14ac:dyDescent="0.2"/>
  <cols>
    <col min="1" max="1" width="2.625" style="40" customWidth="1"/>
    <col min="2" max="2" width="23.625" style="40" customWidth="1"/>
    <col min="3" max="3" width="14" style="40" customWidth="1"/>
    <col min="4" max="15" width="10.125" style="40" customWidth="1"/>
    <col min="16" max="16" width="9.875" style="40" customWidth="1"/>
    <col min="17" max="29" width="10.25" style="40" customWidth="1"/>
    <col min="30" max="30" width="9.875" style="40" customWidth="1"/>
    <col min="31" max="31" width="2.625" style="40" customWidth="1"/>
    <col min="32" max="16384" width="9" style="40"/>
  </cols>
  <sheetData>
    <row r="1" spans="1:30" ht="35.1" customHeight="1" x14ac:dyDescent="0.2">
      <c r="A1" s="38"/>
      <c r="B1" s="39" t="s">
        <v>0</v>
      </c>
      <c r="J1" s="41"/>
      <c r="Q1" s="42"/>
      <c r="R1" s="42"/>
      <c r="S1" s="42"/>
      <c r="T1" s="42"/>
      <c r="U1" s="42"/>
      <c r="V1" s="42"/>
      <c r="W1" s="42"/>
      <c r="X1" s="42"/>
      <c r="Y1" s="42"/>
      <c r="Z1" s="42"/>
      <c r="AA1" s="42"/>
      <c r="AB1" s="42"/>
      <c r="AC1" s="42"/>
      <c r="AD1" s="43" t="s">
        <v>11</v>
      </c>
    </row>
    <row r="2" spans="1:30" ht="60" customHeight="1" x14ac:dyDescent="0.25">
      <c r="B2" s="44" t="s">
        <v>80</v>
      </c>
      <c r="E2" s="45"/>
      <c r="G2" s="45"/>
      <c r="K2" s="45"/>
      <c r="L2" s="45"/>
      <c r="M2" s="45"/>
      <c r="N2" s="45"/>
      <c r="O2" s="45"/>
      <c r="X2" s="46"/>
      <c r="Y2" s="46"/>
      <c r="Z2" s="46"/>
      <c r="AA2" s="46"/>
      <c r="AB2" s="47" t="s">
        <v>10</v>
      </c>
      <c r="AC2" s="47" t="s">
        <v>40</v>
      </c>
      <c r="AD2" s="48">
        <f ca="1">YEAR(TODAY())</f>
        <v>2019</v>
      </c>
    </row>
    <row r="3" spans="1:30" ht="20.100000000000001" customHeight="1" x14ac:dyDescent="0.2">
      <c r="D3" s="49" t="str">
        <f ca="1">UPPER(TEXT(DATE(FYStartYear,FYMonthNo,1),"mmm-aa"))</f>
        <v>JANV-19</v>
      </c>
      <c r="E3" s="49" t="str">
        <f ca="1">UPPER(TEXT(DATE(FYStartYear,FYMonthNo+1,1),"mmm-aa"))</f>
        <v>FÉVR-19</v>
      </c>
      <c r="F3" s="49" t="str">
        <f ca="1">UPPER(TEXT(DATE(FYStartYear,FYMonthNo+2,1),"mmm-aa"))</f>
        <v>MARS-19</v>
      </c>
      <c r="G3" s="49" t="str">
        <f ca="1">UPPER(TEXT(DATE(FYStartYear,FYMonthNo+3,1),"mmm-aa"))</f>
        <v>AVR-19</v>
      </c>
      <c r="H3" s="49" t="str">
        <f ca="1">UPPER(TEXT(DATE(FYStartYear,FYMonthNo+4,1),"mmm-aa"))</f>
        <v>MAI-19</v>
      </c>
      <c r="I3" s="49" t="str">
        <f ca="1">UPPER(TEXT(DATE(FYStartYear,FYMonthNo+5,1),"mmm-aa"))</f>
        <v>JUIN-19</v>
      </c>
      <c r="J3" s="49" t="str">
        <f ca="1">UPPER(TEXT(DATE(FYStartYear,FYMonthNo+6,1),"mmm-aa"))</f>
        <v>JUIL-19</v>
      </c>
      <c r="K3" s="49" t="str">
        <f ca="1">UPPER(TEXT(DATE(FYStartYear,FYMonthNo+7,1),"mmm-aa"))</f>
        <v>AOÛT-19</v>
      </c>
      <c r="L3" s="49" t="str">
        <f ca="1">UPPER(TEXT(DATE(FYStartYear,FYMonthNo+8,1),"mmm-aa"))</f>
        <v>SEPT-19</v>
      </c>
      <c r="M3" s="49" t="str">
        <f ca="1">UPPER(TEXT(DATE(FYStartYear,FYMonthNo+9,1),"mmm-aa"))</f>
        <v>OCT-19</v>
      </c>
      <c r="N3" s="49" t="str">
        <f ca="1">UPPER(TEXT(DATE(FYStartYear,FYMonthNo+10,1),"mmm-aa"))</f>
        <v>NOV-19</v>
      </c>
      <c r="O3" s="49" t="str">
        <f ca="1">UPPER(TEXT(DATE(FYStartYear,FYMonthNo+11,1),"mmm-aa"))</f>
        <v>DÉC-19</v>
      </c>
      <c r="P3" s="49" t="s">
        <v>8</v>
      </c>
      <c r="Q3" s="49" t="s">
        <v>38</v>
      </c>
      <c r="R3" s="49" t="str">
        <f t="shared" ref="R3:AC3" ca="1" si="0">LEFT(D3,3)&amp;" %"</f>
        <v>JAN %</v>
      </c>
      <c r="S3" s="49" t="str">
        <f t="shared" ca="1" si="0"/>
        <v>FÉV %</v>
      </c>
      <c r="T3" s="49" t="str">
        <f t="shared" ca="1" si="0"/>
        <v>MAR %</v>
      </c>
      <c r="U3" s="49" t="str">
        <f t="shared" ca="1" si="0"/>
        <v>AVR %</v>
      </c>
      <c r="V3" s="49" t="str">
        <f t="shared" ca="1" si="0"/>
        <v>MAI %</v>
      </c>
      <c r="W3" s="49" t="str">
        <f t="shared" ca="1" si="0"/>
        <v>JUI %</v>
      </c>
      <c r="X3" s="49" t="str">
        <f t="shared" ca="1" si="0"/>
        <v>JUI %</v>
      </c>
      <c r="Y3" s="49" t="str">
        <f t="shared" ca="1" si="0"/>
        <v>AOÛ %</v>
      </c>
      <c r="Z3" s="49" t="str">
        <f t="shared" ca="1" si="0"/>
        <v>SEP %</v>
      </c>
      <c r="AA3" s="49" t="str">
        <f t="shared" ca="1" si="0"/>
        <v>OCT %</v>
      </c>
      <c r="AB3" s="49" t="str">
        <f t="shared" ca="1" si="0"/>
        <v>NOV %</v>
      </c>
      <c r="AC3" s="49" t="str">
        <f t="shared" ca="1" si="0"/>
        <v>DÉC %</v>
      </c>
      <c r="AD3" s="49" t="s">
        <v>39</v>
      </c>
    </row>
    <row r="4" spans="1:30" ht="47.25" customHeight="1" x14ac:dyDescent="0.25">
      <c r="B4" s="82" t="s">
        <v>1</v>
      </c>
      <c r="C4" s="50" t="s">
        <v>3</v>
      </c>
      <c r="D4" s="51" t="s">
        <v>41</v>
      </c>
      <c r="E4" s="51" t="s">
        <v>42</v>
      </c>
      <c r="F4" s="51" t="s">
        <v>4</v>
      </c>
      <c r="G4" s="51" t="s">
        <v>43</v>
      </c>
      <c r="H4" s="51" t="s">
        <v>5</v>
      </c>
      <c r="I4" s="51" t="s">
        <v>6</v>
      </c>
      <c r="J4" s="51" t="s">
        <v>44</v>
      </c>
      <c r="K4" s="51" t="s">
        <v>7</v>
      </c>
      <c r="L4" s="51" t="s">
        <v>45</v>
      </c>
      <c r="M4" s="51" t="s">
        <v>46</v>
      </c>
      <c r="N4" s="51" t="s">
        <v>47</v>
      </c>
      <c r="O4" s="51" t="s">
        <v>48</v>
      </c>
      <c r="P4" s="51" t="s">
        <v>9</v>
      </c>
      <c r="Q4" s="52" t="s">
        <v>49</v>
      </c>
      <c r="R4" s="52" t="s">
        <v>56</v>
      </c>
      <c r="S4" s="52" t="s">
        <v>57</v>
      </c>
      <c r="T4" s="52" t="s">
        <v>58</v>
      </c>
      <c r="U4" s="52" t="s">
        <v>50</v>
      </c>
      <c r="V4" s="52" t="s">
        <v>51</v>
      </c>
      <c r="W4" s="52" t="s">
        <v>59</v>
      </c>
      <c r="X4" s="52" t="s">
        <v>62</v>
      </c>
      <c r="Y4" s="52" t="s">
        <v>60</v>
      </c>
      <c r="Z4" s="52" t="s">
        <v>61</v>
      </c>
      <c r="AA4" s="52" t="s">
        <v>52</v>
      </c>
      <c r="AB4" s="52" t="s">
        <v>53</v>
      </c>
      <c r="AC4" s="52" t="s">
        <v>54</v>
      </c>
      <c r="AD4" s="51" t="s">
        <v>55</v>
      </c>
    </row>
    <row r="5" spans="1:30" ht="30" customHeight="1" x14ac:dyDescent="0.2">
      <c r="B5" s="53" t="s">
        <v>63</v>
      </c>
      <c r="C5" s="54"/>
      <c r="D5" s="55">
        <f>Janvier!I4</f>
        <v>0</v>
      </c>
      <c r="E5" s="55">
        <f>Fevrier!I4</f>
        <v>0</v>
      </c>
      <c r="F5" s="55">
        <f>Mars!I4</f>
        <v>0</v>
      </c>
      <c r="G5" s="55">
        <f>Avril!I4</f>
        <v>0</v>
      </c>
      <c r="H5" s="55">
        <f>Mai!I4</f>
        <v>0</v>
      </c>
      <c r="I5" s="55">
        <f>Juin!I4</f>
        <v>0</v>
      </c>
      <c r="J5" s="55">
        <f>Juillet!I4</f>
        <v>0</v>
      </c>
      <c r="K5" s="55">
        <f>Août!I4</f>
        <v>0</v>
      </c>
      <c r="L5" s="55">
        <f>Septembre!I4</f>
        <v>0</v>
      </c>
      <c r="M5" s="55">
        <f>Otobre!I4</f>
        <v>0</v>
      </c>
      <c r="N5" s="55">
        <f>Novembre!I4</f>
        <v>0</v>
      </c>
      <c r="O5" s="55">
        <f>Décembre!I4</f>
        <v>0</v>
      </c>
      <c r="P5" s="56">
        <f>SUM(Chiffre_daffaires[[#This Row],[Janv]:[Déc]])</f>
        <v>0</v>
      </c>
      <c r="Q5" s="57">
        <v>0.12</v>
      </c>
      <c r="R5" s="58" t="str">
        <f>IFERROR(Chiffre_daffaires[[#This Row],[Janv]]/Chiffre_daffaires[[#Totals],[Janv]],"-")</f>
        <v>-</v>
      </c>
      <c r="S5" s="58" t="str">
        <f>IFERROR(Chiffre_daffaires[[#This Row],[Févr]]/Chiffre_daffaires[[#Totals],[Févr]],"-")</f>
        <v>-</v>
      </c>
      <c r="T5" s="58" t="str">
        <f>IFERROR(Chiffre_daffaires[[#This Row],[Mars]]/Chiffre_daffaires[[#Totals],[Mars]],"-")</f>
        <v>-</v>
      </c>
      <c r="U5" s="58" t="str">
        <f>IFERROR(Chiffre_daffaires[[#This Row],[Avr]]/Chiffre_daffaires[[#Totals],[Avr]],"-")</f>
        <v>-</v>
      </c>
      <c r="V5" s="58" t="str">
        <f>IFERROR(Chiffre_daffaires[[#This Row],[Mai]]/Chiffre_daffaires[[#Totals],[Mai]],"-")</f>
        <v>-</v>
      </c>
      <c r="W5" s="58" t="str">
        <f>IFERROR(Chiffre_daffaires[[#This Row],[Juin]]/Chiffre_daffaires[[#Totals],[Juin]],"-")</f>
        <v>-</v>
      </c>
      <c r="X5" s="58" t="str">
        <f>IFERROR(Chiffre_daffaires[[#This Row],[Juil]]/Chiffre_daffaires[[#Totals],[Juil]],"-")</f>
        <v>-</v>
      </c>
      <c r="Y5" s="58" t="str">
        <f>IFERROR(Chiffre_daffaires[[#This Row],[Août]]/Chiffre_daffaires[[#Totals],[Août]],"-")</f>
        <v>-</v>
      </c>
      <c r="Z5" s="58" t="str">
        <f>IFERROR(Chiffre_daffaires[[#This Row],[Sept]]/Chiffre_daffaires[[#Totals],[Sept]],"-")</f>
        <v>-</v>
      </c>
      <c r="AA5" s="58" t="str">
        <f>IFERROR(Chiffre_daffaires[[#This Row],[Oct]]/Chiffre_daffaires[[#Totals],[Oct]],"-")</f>
        <v>-</v>
      </c>
      <c r="AB5" s="58" t="str">
        <f>IFERROR(Chiffre_daffaires[[#This Row],[Nov]]/Chiffre_daffaires[[#Totals],[Nov]],"-")</f>
        <v>-</v>
      </c>
      <c r="AC5" s="58" t="str">
        <f>IFERROR(Chiffre_daffaires[[#This Row],[Déc]]/Chiffre_daffaires[[#Totals],[Déc]],"-")</f>
        <v>-</v>
      </c>
      <c r="AD5" s="59" t="str">
        <f>IFERROR(Chiffre_daffaires[[#This Row],[Annuel]]/Chiffre_daffaires[[#Totals],[Annuel]],"-")</f>
        <v>-</v>
      </c>
    </row>
    <row r="6" spans="1:30" ht="30" customHeight="1" x14ac:dyDescent="0.2">
      <c r="B6" s="53" t="s">
        <v>64</v>
      </c>
      <c r="C6" s="54"/>
      <c r="D6" s="55">
        <f>Janvier!I6</f>
        <v>0</v>
      </c>
      <c r="E6" s="55">
        <f>Fevrier!I6</f>
        <v>0</v>
      </c>
      <c r="F6" s="55">
        <f>Mars!I6</f>
        <v>0</v>
      </c>
      <c r="G6" s="55">
        <f>Avril!I6</f>
        <v>0</v>
      </c>
      <c r="H6" s="55">
        <f>Mai!I6</f>
        <v>0</v>
      </c>
      <c r="I6" s="55">
        <f>Juin!I6</f>
        <v>0</v>
      </c>
      <c r="J6" s="55">
        <f>Juillet!I6</f>
        <v>0</v>
      </c>
      <c r="K6" s="55">
        <f>Août!I6</f>
        <v>0</v>
      </c>
      <c r="L6" s="55">
        <f>Septembre!I6</f>
        <v>0</v>
      </c>
      <c r="M6" s="55">
        <f>Otobre!I6</f>
        <v>0</v>
      </c>
      <c r="N6" s="55">
        <f>Novembre!I6</f>
        <v>0</v>
      </c>
      <c r="O6" s="55">
        <f>Décembre!I6</f>
        <v>0</v>
      </c>
      <c r="P6" s="56">
        <f>SUM(Chiffre_daffaires[[#This Row],[Janv]:[Déc]])</f>
        <v>0</v>
      </c>
      <c r="Q6" s="57">
        <v>0.18</v>
      </c>
      <c r="R6" s="58" t="str">
        <f>IFERROR(Chiffre_daffaires[[#This Row],[Janv]]/Chiffre_daffaires[[#Totals],[Janv]],"-")</f>
        <v>-</v>
      </c>
      <c r="S6" s="58" t="str">
        <f>IFERROR(Chiffre_daffaires[[#This Row],[Févr]]/Chiffre_daffaires[[#Totals],[Févr]],"-")</f>
        <v>-</v>
      </c>
      <c r="T6" s="58" t="str">
        <f>IFERROR(Chiffre_daffaires[[#This Row],[Mars]]/Chiffre_daffaires[[#Totals],[Mars]],"-")</f>
        <v>-</v>
      </c>
      <c r="U6" s="58" t="str">
        <f>IFERROR(Chiffre_daffaires[[#This Row],[Avr]]/Chiffre_daffaires[[#Totals],[Avr]],"-")</f>
        <v>-</v>
      </c>
      <c r="V6" s="58" t="str">
        <f>IFERROR(Chiffre_daffaires[[#This Row],[Mai]]/Chiffre_daffaires[[#Totals],[Mai]],"-")</f>
        <v>-</v>
      </c>
      <c r="W6" s="58" t="str">
        <f>IFERROR(Chiffre_daffaires[[#This Row],[Juin]]/Chiffre_daffaires[[#Totals],[Juin]],"-")</f>
        <v>-</v>
      </c>
      <c r="X6" s="58" t="str">
        <f>IFERROR(Chiffre_daffaires[[#This Row],[Juil]]/Chiffre_daffaires[[#Totals],[Juil]],"-")</f>
        <v>-</v>
      </c>
      <c r="Y6" s="58" t="str">
        <f>IFERROR(Chiffre_daffaires[[#This Row],[Août]]/Chiffre_daffaires[[#Totals],[Août]],"-")</f>
        <v>-</v>
      </c>
      <c r="Z6" s="58" t="str">
        <f>IFERROR(Chiffre_daffaires[[#This Row],[Sept]]/Chiffre_daffaires[[#Totals],[Sept]],"-")</f>
        <v>-</v>
      </c>
      <c r="AA6" s="58" t="str">
        <f>IFERROR(Chiffre_daffaires[[#This Row],[Oct]]/Chiffre_daffaires[[#Totals],[Oct]],"-")</f>
        <v>-</v>
      </c>
      <c r="AB6" s="58" t="str">
        <f>IFERROR(Chiffre_daffaires[[#This Row],[Nov]]/Chiffre_daffaires[[#Totals],[Nov]],"-")</f>
        <v>-</v>
      </c>
      <c r="AC6" s="58" t="str">
        <f>IFERROR(Chiffre_daffaires[[#This Row],[Déc]]/Chiffre_daffaires[[#Totals],[Déc]],"-")</f>
        <v>-</v>
      </c>
      <c r="AD6" s="59" t="str">
        <f>IFERROR(Chiffre_daffaires[[#This Row],[Annuel]]/Chiffre_daffaires[[#Totals],[Annuel]],"-")</f>
        <v>-</v>
      </c>
    </row>
    <row r="7" spans="1:30" ht="30" customHeight="1" x14ac:dyDescent="0.2">
      <c r="B7" s="53" t="s">
        <v>65</v>
      </c>
      <c r="C7" s="54"/>
      <c r="D7" s="55">
        <f>Janvier!I8</f>
        <v>0</v>
      </c>
      <c r="E7" s="55">
        <f>Fevrier!I8</f>
        <v>0</v>
      </c>
      <c r="F7" s="55">
        <f>Mars!I8</f>
        <v>0</v>
      </c>
      <c r="G7" s="55">
        <f>Avril!I8</f>
        <v>0</v>
      </c>
      <c r="H7" s="55">
        <f>Mai!I8</f>
        <v>0</v>
      </c>
      <c r="I7" s="55">
        <f>Juin!I6</f>
        <v>0</v>
      </c>
      <c r="J7" s="55">
        <f>Juillet!I6</f>
        <v>0</v>
      </c>
      <c r="K7" s="55">
        <f>Août!I6</f>
        <v>0</v>
      </c>
      <c r="L7" s="55">
        <f>Septembre!I6</f>
        <v>0</v>
      </c>
      <c r="M7" s="55">
        <f>Otobre!I6</f>
        <v>0</v>
      </c>
      <c r="N7" s="55">
        <f>Novembre!I6</f>
        <v>0</v>
      </c>
      <c r="O7" s="55">
        <f>Décembre!I6</f>
        <v>0</v>
      </c>
      <c r="P7" s="56">
        <f>SUM(Chiffre_daffaires[[#This Row],[Janv]:[Déc]])</f>
        <v>0</v>
      </c>
      <c r="Q7" s="57">
        <v>0.19</v>
      </c>
      <c r="R7" s="58" t="str">
        <f>IFERROR(Chiffre_daffaires[[#This Row],[Janv]]/Chiffre_daffaires[[#Totals],[Janv]],"-")</f>
        <v>-</v>
      </c>
      <c r="S7" s="58" t="str">
        <f>IFERROR(Chiffre_daffaires[[#This Row],[Févr]]/Chiffre_daffaires[[#Totals],[Févr]],"-")</f>
        <v>-</v>
      </c>
      <c r="T7" s="58" t="str">
        <f>IFERROR(Chiffre_daffaires[[#This Row],[Mars]]/Chiffre_daffaires[[#Totals],[Mars]],"-")</f>
        <v>-</v>
      </c>
      <c r="U7" s="58" t="str">
        <f>IFERROR(Chiffre_daffaires[[#This Row],[Avr]]/Chiffre_daffaires[[#Totals],[Avr]],"-")</f>
        <v>-</v>
      </c>
      <c r="V7" s="58" t="str">
        <f>IFERROR(Chiffre_daffaires[[#This Row],[Mai]]/Chiffre_daffaires[[#Totals],[Mai]],"-")</f>
        <v>-</v>
      </c>
      <c r="W7" s="58" t="str">
        <f>IFERROR(Chiffre_daffaires[[#This Row],[Juin]]/Chiffre_daffaires[[#Totals],[Juin]],"-")</f>
        <v>-</v>
      </c>
      <c r="X7" s="58" t="str">
        <f>IFERROR(Chiffre_daffaires[[#This Row],[Juil]]/Chiffre_daffaires[[#Totals],[Juil]],"-")</f>
        <v>-</v>
      </c>
      <c r="Y7" s="58" t="str">
        <f>IFERROR(Chiffre_daffaires[[#This Row],[Août]]/Chiffre_daffaires[[#Totals],[Août]],"-")</f>
        <v>-</v>
      </c>
      <c r="Z7" s="58" t="str">
        <f>IFERROR(Chiffre_daffaires[[#This Row],[Sept]]/Chiffre_daffaires[[#Totals],[Sept]],"-")</f>
        <v>-</v>
      </c>
      <c r="AA7" s="58" t="str">
        <f>IFERROR(Chiffre_daffaires[[#This Row],[Oct]]/Chiffre_daffaires[[#Totals],[Oct]],"-")</f>
        <v>-</v>
      </c>
      <c r="AB7" s="58" t="str">
        <f>IFERROR(Chiffre_daffaires[[#This Row],[Nov]]/Chiffre_daffaires[[#Totals],[Nov]],"-")</f>
        <v>-</v>
      </c>
      <c r="AC7" s="58" t="str">
        <f>IFERROR(Chiffre_daffaires[[#This Row],[Déc]]/Chiffre_daffaires[[#Totals],[Déc]],"-")</f>
        <v>-</v>
      </c>
      <c r="AD7" s="59" t="str">
        <f>IFERROR(Chiffre_daffaires[[#This Row],[Annuel]]/Chiffre_daffaires[[#Totals],[Annuel]],"-")</f>
        <v>-</v>
      </c>
    </row>
    <row r="8" spans="1:30" ht="30" customHeight="1" x14ac:dyDescent="0.2">
      <c r="B8" s="53" t="s">
        <v>66</v>
      </c>
      <c r="C8" s="54"/>
      <c r="D8" s="55">
        <f>Janvier!I10</f>
        <v>0</v>
      </c>
      <c r="E8" s="55">
        <f>Fevrier!I10</f>
        <v>0</v>
      </c>
      <c r="F8" s="55">
        <f>Mars!I8</f>
        <v>0</v>
      </c>
      <c r="G8" s="55">
        <f>Avril!I8</f>
        <v>0</v>
      </c>
      <c r="H8" s="55">
        <f>Mai!I8</f>
        <v>0</v>
      </c>
      <c r="I8" s="55">
        <f>Juin!I8</f>
        <v>0</v>
      </c>
      <c r="J8" s="55">
        <f>Juillet!I8</f>
        <v>0</v>
      </c>
      <c r="K8" s="55">
        <f>Août!I8</f>
        <v>0</v>
      </c>
      <c r="L8" s="55">
        <f>Septembre!I8</f>
        <v>0</v>
      </c>
      <c r="M8" s="55">
        <f>Otobre!I8</f>
        <v>0</v>
      </c>
      <c r="N8" s="55">
        <f>Novembre!I8</f>
        <v>0</v>
      </c>
      <c r="O8" s="55">
        <f>Décembre!I8</f>
        <v>0</v>
      </c>
      <c r="P8" s="56">
        <f>SUM(Chiffre_daffaires[[#This Row],[Janv]:[Déc]])</f>
        <v>0</v>
      </c>
      <c r="Q8" s="57">
        <v>0.11</v>
      </c>
      <c r="R8" s="58" t="str">
        <f>IFERROR(Chiffre_daffaires[[#This Row],[Janv]]/Chiffre_daffaires[[#Totals],[Janv]],"-")</f>
        <v>-</v>
      </c>
      <c r="S8" s="58" t="str">
        <f>IFERROR(Chiffre_daffaires[[#This Row],[Févr]]/Chiffre_daffaires[[#Totals],[Févr]],"-")</f>
        <v>-</v>
      </c>
      <c r="T8" s="58" t="str">
        <f>IFERROR(Chiffre_daffaires[[#This Row],[Mars]]/Chiffre_daffaires[[#Totals],[Mars]],"-")</f>
        <v>-</v>
      </c>
      <c r="U8" s="58" t="str">
        <f>IFERROR(Chiffre_daffaires[[#This Row],[Avr]]/Chiffre_daffaires[[#Totals],[Avr]],"-")</f>
        <v>-</v>
      </c>
      <c r="V8" s="58" t="str">
        <f>IFERROR(Chiffre_daffaires[[#This Row],[Mai]]/Chiffre_daffaires[[#Totals],[Mai]],"-")</f>
        <v>-</v>
      </c>
      <c r="W8" s="58" t="str">
        <f>IFERROR(Chiffre_daffaires[[#This Row],[Juin]]/Chiffre_daffaires[[#Totals],[Juin]],"-")</f>
        <v>-</v>
      </c>
      <c r="X8" s="58" t="str">
        <f>IFERROR(Chiffre_daffaires[[#This Row],[Juil]]/Chiffre_daffaires[[#Totals],[Juil]],"-")</f>
        <v>-</v>
      </c>
      <c r="Y8" s="58" t="str">
        <f>IFERROR(Chiffre_daffaires[[#This Row],[Août]]/Chiffre_daffaires[[#Totals],[Août]],"-")</f>
        <v>-</v>
      </c>
      <c r="Z8" s="58" t="str">
        <f>IFERROR(Chiffre_daffaires[[#This Row],[Sept]]/Chiffre_daffaires[[#Totals],[Sept]],"-")</f>
        <v>-</v>
      </c>
      <c r="AA8" s="58" t="str">
        <f>IFERROR(Chiffre_daffaires[[#This Row],[Oct]]/Chiffre_daffaires[[#Totals],[Oct]],"-")</f>
        <v>-</v>
      </c>
      <c r="AB8" s="58" t="str">
        <f>IFERROR(Chiffre_daffaires[[#This Row],[Nov]]/Chiffre_daffaires[[#Totals],[Nov]],"-")</f>
        <v>-</v>
      </c>
      <c r="AC8" s="58" t="str">
        <f>IFERROR(Chiffre_daffaires[[#This Row],[Déc]]/Chiffre_daffaires[[#Totals],[Déc]],"-")</f>
        <v>-</v>
      </c>
      <c r="AD8" s="59" t="str">
        <f>IFERROR(Chiffre_daffaires[[#This Row],[Annuel]]/Chiffre_daffaires[[#Totals],[Annuel]],"-")</f>
        <v>-</v>
      </c>
    </row>
    <row r="9" spans="1:30" ht="30" customHeight="1" x14ac:dyDescent="0.2">
      <c r="B9" s="53" t="s">
        <v>67</v>
      </c>
      <c r="C9" s="54"/>
      <c r="D9" s="55">
        <f>Janvier!I12</f>
        <v>0</v>
      </c>
      <c r="E9" s="55">
        <f>Fevrier!I12</f>
        <v>0</v>
      </c>
      <c r="F9" s="55">
        <f>Mars!I8</f>
        <v>0</v>
      </c>
      <c r="G9" s="55">
        <f>Avril!I8</f>
        <v>0</v>
      </c>
      <c r="H9" s="55">
        <f>Mai!I8</f>
        <v>0</v>
      </c>
      <c r="I9" s="55">
        <f>Juin!I8</f>
        <v>0</v>
      </c>
      <c r="J9" s="55">
        <f>Juillet!I8</f>
        <v>0</v>
      </c>
      <c r="K9" s="55">
        <f>Août!I8</f>
        <v>0</v>
      </c>
      <c r="L9" s="55">
        <f>Septembre!I8</f>
        <v>0</v>
      </c>
      <c r="M9" s="55">
        <f>Otobre!I8</f>
        <v>0</v>
      </c>
      <c r="N9" s="55">
        <f>Novembre!I8</f>
        <v>0</v>
      </c>
      <c r="O9" s="55">
        <f>Décembre!I8</f>
        <v>0</v>
      </c>
      <c r="P9" s="56">
        <f>SUM(Chiffre_daffaires[[#This Row],[Janv]:[Déc]])</f>
        <v>0</v>
      </c>
      <c r="Q9" s="57">
        <v>0.2</v>
      </c>
      <c r="R9" s="58" t="str">
        <f>IFERROR(Chiffre_daffaires[[#This Row],[Janv]]/Chiffre_daffaires[[#Totals],[Janv]],"-")</f>
        <v>-</v>
      </c>
      <c r="S9" s="58" t="str">
        <f>IFERROR(Chiffre_daffaires[[#This Row],[Févr]]/Chiffre_daffaires[[#Totals],[Févr]],"-")</f>
        <v>-</v>
      </c>
      <c r="T9" s="58" t="str">
        <f>IFERROR(Chiffre_daffaires[[#This Row],[Mars]]/Chiffre_daffaires[[#Totals],[Mars]],"-")</f>
        <v>-</v>
      </c>
      <c r="U9" s="58" t="str">
        <f>IFERROR(Chiffre_daffaires[[#This Row],[Avr]]/Chiffre_daffaires[[#Totals],[Avr]],"-")</f>
        <v>-</v>
      </c>
      <c r="V9" s="58" t="str">
        <f>IFERROR(Chiffre_daffaires[[#This Row],[Mai]]/Chiffre_daffaires[[#Totals],[Mai]],"-")</f>
        <v>-</v>
      </c>
      <c r="W9" s="58" t="str">
        <f>IFERROR(Chiffre_daffaires[[#This Row],[Juin]]/Chiffre_daffaires[[#Totals],[Juin]],"-")</f>
        <v>-</v>
      </c>
      <c r="X9" s="58" t="str">
        <f>IFERROR(Chiffre_daffaires[[#This Row],[Juil]]/Chiffre_daffaires[[#Totals],[Juil]],"-")</f>
        <v>-</v>
      </c>
      <c r="Y9" s="58" t="str">
        <f>IFERROR(Chiffre_daffaires[[#This Row],[Août]]/Chiffre_daffaires[[#Totals],[Août]],"-")</f>
        <v>-</v>
      </c>
      <c r="Z9" s="58" t="str">
        <f>IFERROR(Chiffre_daffaires[[#This Row],[Sept]]/Chiffre_daffaires[[#Totals],[Sept]],"-")</f>
        <v>-</v>
      </c>
      <c r="AA9" s="58" t="str">
        <f>IFERROR(Chiffre_daffaires[[#This Row],[Oct]]/Chiffre_daffaires[[#Totals],[Oct]],"-")</f>
        <v>-</v>
      </c>
      <c r="AB9" s="58" t="str">
        <f>IFERROR(Chiffre_daffaires[[#This Row],[Nov]]/Chiffre_daffaires[[#Totals],[Nov]],"-")</f>
        <v>-</v>
      </c>
      <c r="AC9" s="58" t="str">
        <f>IFERROR(Chiffre_daffaires[[#This Row],[Déc]]/Chiffre_daffaires[[#Totals],[Déc]],"-")</f>
        <v>-</v>
      </c>
      <c r="AD9" s="59" t="str">
        <f>IFERROR(Chiffre_daffaires[[#This Row],[Annuel]]/Chiffre_daffaires[[#Totals],[Annuel]],"-")</f>
        <v>-</v>
      </c>
    </row>
    <row r="10" spans="1:30" ht="30" customHeight="1" x14ac:dyDescent="0.25">
      <c r="B10" s="60" t="s">
        <v>2</v>
      </c>
      <c r="C10" s="64"/>
      <c r="D10" s="61">
        <f>SUBTOTAL(109,Chiffre_daffaires[Janv])</f>
        <v>0</v>
      </c>
      <c r="E10" s="61">
        <f>SUBTOTAL(109,Chiffre_daffaires[Févr])</f>
        <v>0</v>
      </c>
      <c r="F10" s="61">
        <f>SUBTOTAL(109,Chiffre_daffaires[Mars])</f>
        <v>0</v>
      </c>
      <c r="G10" s="61">
        <f>SUBTOTAL(109,Chiffre_daffaires[Avr])</f>
        <v>0</v>
      </c>
      <c r="H10" s="61">
        <f>SUBTOTAL(109,Chiffre_daffaires[Mai])</f>
        <v>0</v>
      </c>
      <c r="I10" s="61">
        <f>SUBTOTAL(109,Chiffre_daffaires[Juin])</f>
        <v>0</v>
      </c>
      <c r="J10" s="61">
        <f>SUBTOTAL(109,Chiffre_daffaires[Juil])</f>
        <v>0</v>
      </c>
      <c r="K10" s="61">
        <f>SUBTOTAL(109,Chiffre_daffaires[Août])</f>
        <v>0</v>
      </c>
      <c r="L10" s="61">
        <f>SUBTOTAL(109,Chiffre_daffaires[Sept])</f>
        <v>0</v>
      </c>
      <c r="M10" s="61">
        <f>SUBTOTAL(109,Chiffre_daffaires[Oct])</f>
        <v>0</v>
      </c>
      <c r="N10" s="61">
        <f>SUBTOTAL(109,Chiffre_daffaires[Nov])</f>
        <v>0</v>
      </c>
      <c r="O10" s="61">
        <f>SUBTOTAL(109,Chiffre_daffaires[Déc])</f>
        <v>0</v>
      </c>
      <c r="P10" s="61">
        <f>SUBTOTAL(109,Chiffre_daffaires[Annuel])</f>
        <v>0</v>
      </c>
      <c r="Q10" s="62">
        <f>SUBTOTAL(109,Chiffre_daffaires[Index %])</f>
        <v>0.8</v>
      </c>
      <c r="R10" s="62">
        <f>SUBTOTAL(109,Chiffre_daffaires[Jan %])</f>
        <v>0</v>
      </c>
      <c r="S10" s="62">
        <f>SUBTOTAL(109,Chiffre_daffaires[Fév %])</f>
        <v>0</v>
      </c>
      <c r="T10" s="62">
        <f>SUBTOTAL(109,Chiffre_daffaires[Mar %])</f>
        <v>0</v>
      </c>
      <c r="U10" s="62">
        <f>SUBTOTAL(109,Chiffre_daffaires[Avr %])</f>
        <v>0</v>
      </c>
      <c r="V10" s="62">
        <f>SUBTOTAL(109,Chiffre_daffaires[Mai %])</f>
        <v>0</v>
      </c>
      <c r="W10" s="62">
        <f>SUBTOTAL(109,Chiffre_daffaires[Jui %])</f>
        <v>0</v>
      </c>
      <c r="X10" s="62">
        <f>SUBTOTAL(109,Chiffre_daffaires[Jui % ])</f>
        <v>0</v>
      </c>
      <c r="Y10" s="62">
        <f>SUBTOTAL(109,Chiffre_daffaires[Aoû %])</f>
        <v>0</v>
      </c>
      <c r="Z10" s="62">
        <f>SUBTOTAL(109,Chiffre_daffaires[Sep %])</f>
        <v>0</v>
      </c>
      <c r="AA10" s="62">
        <f>SUBTOTAL(109,Chiffre_daffaires[Oct %])</f>
        <v>0</v>
      </c>
      <c r="AB10" s="62">
        <f>SUBTOTAL(109,Chiffre_daffaires[Nov %])</f>
        <v>0</v>
      </c>
      <c r="AC10" s="62">
        <f>SUBTOTAL(109,Chiffre_daffaires[Déc %])</f>
        <v>0</v>
      </c>
      <c r="AD10" s="63">
        <f>SUBTOTAL(109,Chiffre_daffaires[Année %])</f>
        <v>0</v>
      </c>
    </row>
  </sheetData>
  <dataValidations xWindow="799" yWindow="419" count="18">
    <dataValidation type="list" errorStyle="warning" allowBlank="1" showInputMessage="1" showErrorMessage="1" error="Sélectionnez un mois dans la liste déroulante. Sélectionnez ANNULER, puis appuyez sur ALT+FLÈCHE BAS. Appuyez sur ENTRÉE pour sélectionner un mois" prompt="Sélectionnez un mois dans cette cellule. Appuyez sur ALT+FLÈCHE BAS pour ouvrir la liste déroulante, puis sur ENTRÉE pour sélectionner un mois." sqref="AC2" xr:uid="{00000000-0002-0000-0000-000000000000}">
      <formula1>"JANV,FÉVR,MARS,AVR,MAI,JUIN,JUIL,AOÛT,SEPT,OCT,NOV,DÉC"</formula1>
    </dataValidation>
    <dataValidation errorStyle="information" allowBlank="1" showInputMessage="1" errorTitle="Année inconnue" error="Veuillez sélectionner une année dans la liste déroulante. Pour ajouter ou supprimer une année de la liste, sous l’onglet Données, dans le groupe Outils de données, cliquez sur la Validation des données." prompt="Entrez l’année dans cette cellule" sqref="AD2" xr:uid="{00000000-0002-0000-0000-000001000000}"/>
    <dataValidation allowBlank="1" showInputMessage="1" showErrorMessage="1" prompt="Sélectionnez le mois de début de l’exercice dans la cellule AC2 et entrez une année dans la cellule AD2 à droite de cette étiquette" sqref="AB2" xr:uid="{00000000-0002-0000-0000-000002000000}"/>
    <dataValidation allowBlank="1" showInputMessage="1" showErrorMessage="1" prompt="Le chiffre d’affaires annuel est calculé automatiquement dans cette colonne" sqref="P3" xr:uid="{00000000-0002-0000-0000-000003000000}"/>
    <dataValidation allowBlank="1" showInputMessage="1" showErrorMessage="1" prompt="Entrez un titre pour la période de prévision pendant laquelle les ventes totales sont calculées" sqref="B1" xr:uid="{00000000-0002-0000-0000-000004000000}"/>
    <dataValidation allowBlank="1" showInputMessage="1" showErrorMessage="1" prompt="Le titre des prévisions figure dans cette cellule. Entrez des valeurs dans le tableau Chiffre d’affaires ci-dessous pour calculer le total des ventes" sqref="B2" xr:uid="{00000000-0002-0000-0000-000005000000}"/>
    <dataValidation allowBlank="1" showInputMessage="1" showErrorMessage="1" prompt="Entrez le nom de l’entreprise dans cette cellule" sqref="AD1" xr:uid="{00000000-0002-0000-0000-000006000000}"/>
    <dataValidation allowBlank="1" showInputMessage="1" showErrorMessage="1" prompt="Les dates de cette ligne sont automatiquement mises à jour en fonction du mois de début de chaque exercice. Pour modifier le mois de début, modifiez la cellule AC2" sqref="D3" xr:uid="{00000000-0002-0000-0000-000007000000}"/>
    <dataValidation allowBlank="1" showInputMessage="1" showErrorMessage="1" prompt="Entrez le pourcentage d’index dans cette colonne" sqref="Q4" xr:uid="{00000000-0002-0000-0000-000008000000}"/>
    <dataValidation allowBlank="1" showInputMessage="1" showErrorMessage="1" prompt="Cette feuille de calcul calcule le total des ventes pour chaque mois et année, ainsi que le total annuel des ventes des différentes sources. Sélectionnez le mois de début de l’exercice dans la cellule AC2 et l’année dans la cellule AD2" sqref="A2 A4:A10" xr:uid="{00000000-0002-0000-0000-000009000000}"/>
    <dataValidation allowBlank="1" showInputMessage="1" showErrorMessage="1" prompt="Cette feuille de calcul calcule le total des ventes pour chaque mois et année, ainsi que le total annuel des ventes des différentes sources. Entrez le mois de début de l’exercice dans la cellule AC2 et l’année dans la cellule AD2" sqref="A1" xr:uid="{00000000-0002-0000-0000-00000A000000}"/>
    <dataValidation allowBlank="1" showInputMessage="1" showErrorMessage="1" prompt="Mois automatiquement mis à jour" sqref="E3:O3" xr:uid="{00000000-0002-0000-0000-00000B000000}"/>
    <dataValidation allowBlank="1" showInputMessage="1" showErrorMessage="1" prompt="Calcule automatiquement dans cette colonne la proportion des ventes des différentes sources par rapport aux ventes totales pour le mois figurant dans cette cellule" sqref="R3:AC3" xr:uid="{00000000-0002-0000-0000-00000C000000}"/>
    <dataValidation allowBlank="1" showInputMessage="1" showErrorMessage="1" prompt="Calcule automatiquement la proportion des ventes des différentes sources par rapport aux ventes totales pour l’année figurant dans cette colonne" sqref="AD3" xr:uid="{00000000-0002-0000-0000-00000D000000}"/>
    <dataValidation allowBlank="1" showInputMessage="1" showErrorMessage="1" prompt="Entrez le chiffre d’affaires généré par les ventes dans cette colonne" sqref="B4" xr:uid="{00000000-0002-0000-0000-00000E000000}"/>
    <dataValidation allowBlank="1" showInputMessage="1" showErrorMessage="1" prompt="Un graphique de tendance représentant le chiffre d’affaires au fil du temps figure dans cette colonne" sqref="C4" xr:uid="{00000000-0002-0000-0000-00000F000000}"/>
    <dataValidation allowBlank="1" showInputMessage="1" showErrorMessage="1" prompt="Entrez dans cette colonne le chiffres d’affaires des sources répertoriées dans la colonne B" sqref="D4:O4" xr:uid="{00000000-0002-0000-0000-000010000000}"/>
    <dataValidation allowBlank="1" showInputMessage="1" showErrorMessage="1" prompt="Le pourcentage d’index figure dans cette colonne" sqref="Q3" xr:uid="{00000000-0002-0000-0000-000011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r2:uid="{00000000-0003-0000-0000-000001000000}">
          <x14:colorSeries theme="3"/>
          <x14:colorNegative theme="5"/>
          <x14:colorAxis rgb="FF000000"/>
          <x14:colorMarkers theme="4" tint="-0.499984740745262"/>
          <x14:colorFirst theme="4" tint="0.39997558519241921"/>
          <x14:colorLast theme="4" tint="0.39997558519241921"/>
          <x14:colorHigh theme="1"/>
          <x14:colorLow theme="3"/>
          <x14:sparklines>
            <x14:sparkline>
              <xm:f>'Chiffre d’affaires'!$D$5:$O$5</xm:f>
              <xm:sqref>C5</xm:sqref>
            </x14:sparkline>
            <x14:sparkline>
              <xm:f>'Chiffre d’affaires'!$D$6:$O$6</xm:f>
              <xm:sqref>C6</xm:sqref>
            </x14:sparkline>
            <x14:sparkline>
              <xm:f>'Chiffre d’affaires'!$D$7:$O$7</xm:f>
              <xm:sqref>C7</xm:sqref>
            </x14:sparkline>
            <x14:sparkline>
              <xm:f>'Chiffre d’affaires'!$D$8:$O$8</xm:f>
              <xm:sqref>C8</xm:sqref>
            </x14:sparkline>
            <x14:sparkline>
              <xm:f>'Chiffre d’affaires'!$D$9:$O$9</xm:f>
              <xm:sqref>C9</xm:sqref>
            </x14:sparkline>
          </x14:sparklines>
        </x14:sparklineGroup>
        <x14:sparklineGroup lineWeight="1" displayEmptyCellsAs="gap" high="1" low="1" negative="1" xr2:uid="{00000000-0003-0000-0000-000000000000}">
          <x14:colorSeries theme="3"/>
          <x14:colorNegative theme="1"/>
          <x14:colorAxis rgb="FF000000"/>
          <x14:colorMarkers theme="4" tint="-0.499984740745262"/>
          <x14:colorFirst theme="4" tint="0.39997558519241921"/>
          <x14:colorLast theme="4" tint="0.39997558519241921"/>
          <x14:colorHigh theme="1"/>
          <x14:colorLow theme="3"/>
          <x14:sparklines>
            <x14:sparkline>
              <xm:f>'Chiffre d’affaires'!D10:O10</xm:f>
              <xm:sqref>C10</xm:sqref>
            </x14:sparkline>
          </x14:sparklines>
        </x14:sparklineGroup>
      </x14:sparklineGroup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C7134C-8C67-44A9-A1BE-DCC4ECD03DEE}">
  <sheetPr codeName="Feuil3"/>
  <dimension ref="A1:K14"/>
  <sheetViews>
    <sheetView workbookViewId="0">
      <selection activeCell="E19" sqref="E19"/>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"Janvier "&amp;AnnéeCalendrier</f>
        <v>Janvier 2019</v>
      </c>
      <c r="C1" s="67"/>
      <c r="D1" s="68"/>
      <c r="E1" s="69"/>
      <c r="F1" s="69"/>
      <c r="G1" s="69"/>
      <c r="H1" s="70"/>
      <c r="J1" s="72" t="s">
        <v>68</v>
      </c>
      <c r="K1" s="65"/>
    </row>
    <row r="2" spans="1:11" s="73" customFormat="1" ht="35.25" customHeight="1" x14ac:dyDescent="0.25">
      <c r="A2" s="65"/>
      <c r="B2" s="84" t="str">
        <f>DébutSemaine</f>
        <v>DIMANCHE</v>
      </c>
      <c r="C2" s="84" t="str">
        <f t="shared" ref="C2:H2" si="0">UPPER(TEXT(C3,"jjjj"))</f>
        <v>LUNDI</v>
      </c>
      <c r="D2" s="84" t="str">
        <f t="shared" si="0"/>
        <v>MARDI</v>
      </c>
      <c r="E2" s="84" t="str">
        <f t="shared" si="0"/>
        <v>MERCREDI</v>
      </c>
      <c r="F2" s="84" t="str">
        <f t="shared" si="0"/>
        <v>JEUDI</v>
      </c>
      <c r="G2" s="84" t="str">
        <f t="shared" si="0"/>
        <v>VENDREDI</v>
      </c>
      <c r="H2" s="84" t="str">
        <f t="shared" si="0"/>
        <v>SAMEDI</v>
      </c>
      <c r="I2" s="89" t="s">
        <v>73</v>
      </c>
      <c r="J2" s="74" t="s">
        <v>69</v>
      </c>
      <c r="K2" s="75">
        <v>2019</v>
      </c>
    </row>
    <row r="3" spans="1:11" s="76" customFormat="1" ht="15.75" x14ac:dyDescent="0.25">
      <c r="A3" s="65"/>
      <c r="B3" s="85">
        <f t="array" ref="B3:H3">JoursEtSemaines+DATE(AnnéeCalendrier,1,1)-WEEKDAY(DATE(AnnéeCalendrier,1,1),(DébutSemaine="LUNDI")+1)+1</f>
        <v>43464</v>
      </c>
      <c r="C3" s="85">
        <v>43465</v>
      </c>
      <c r="D3" s="85">
        <v>43466</v>
      </c>
      <c r="E3" s="85">
        <v>43467</v>
      </c>
      <c r="F3" s="85">
        <v>43468</v>
      </c>
      <c r="G3" s="85">
        <v>43469</v>
      </c>
      <c r="H3" s="85">
        <v>43470</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f t="array" ref="B5:H5">JoursEtSemaines+DATE(AnnéeCalendrier,1,1)-WEEKDAY(DATE(AnnéeCalendrier,1,1),(DébutSemaine="LUNDI")+1)+8</f>
        <v>43471</v>
      </c>
      <c r="C5" s="86">
        <v>43472</v>
      </c>
      <c r="D5" s="86">
        <v>43473</v>
      </c>
      <c r="E5" s="86">
        <v>43474</v>
      </c>
      <c r="F5" s="86">
        <v>43475</v>
      </c>
      <c r="G5" s="86">
        <v>43476</v>
      </c>
      <c r="H5" s="86">
        <v>43477</v>
      </c>
      <c r="I5" s="83"/>
    </row>
    <row r="6" spans="1:11" ht="15" x14ac:dyDescent="0.2">
      <c r="B6" s="94"/>
      <c r="C6" s="94"/>
      <c r="D6" s="94"/>
      <c r="E6" s="94"/>
      <c r="F6" s="94"/>
      <c r="G6" s="94"/>
      <c r="H6" s="94"/>
      <c r="I6" s="91">
        <f>SUM(B6:H6)</f>
        <v>0</v>
      </c>
      <c r="J6" s="81"/>
    </row>
    <row r="7" spans="1:11" s="76" customFormat="1" ht="15" x14ac:dyDescent="0.25">
      <c r="A7" s="65"/>
      <c r="B7" s="85">
        <f t="array" ref="B7:H7">JoursEtSemaines+DATE(AnnéeCalendrier,1,1)-WEEKDAY(DATE(AnnéeCalendrier,1,1),(DébutSemaine="LUNDI")+1)+15</f>
        <v>43478</v>
      </c>
      <c r="C7" s="85">
        <v>43479</v>
      </c>
      <c r="D7" s="85">
        <v>43480</v>
      </c>
      <c r="E7" s="85">
        <v>43481</v>
      </c>
      <c r="F7" s="85">
        <v>43482</v>
      </c>
      <c r="G7" s="85">
        <v>43483</v>
      </c>
      <c r="H7" s="85">
        <v>43484</v>
      </c>
      <c r="I7" s="83"/>
      <c r="J7" s="81"/>
    </row>
    <row r="8" spans="1:11" ht="15" x14ac:dyDescent="0.3">
      <c r="B8" s="94"/>
      <c r="C8" s="94"/>
      <c r="D8" s="94"/>
      <c r="E8" s="94"/>
      <c r="F8" s="94"/>
      <c r="G8" s="94"/>
      <c r="H8" s="94"/>
      <c r="I8" s="91">
        <f>SUM(B8:H8)</f>
        <v>0</v>
      </c>
    </row>
    <row r="9" spans="1:11" s="76" customFormat="1" ht="15" x14ac:dyDescent="0.25">
      <c r="A9" s="65"/>
      <c r="B9" s="86">
        <f t="array" ref="B9:H9">JoursEtSemaines+DATE(AnnéeCalendrier,1,1)-WEEKDAY(DATE(AnnéeCalendrier,1,1),(DébutSemaine="LUNDI")+1)+22</f>
        <v>43485</v>
      </c>
      <c r="C9" s="86">
        <v>43486</v>
      </c>
      <c r="D9" s="86">
        <v>43487</v>
      </c>
      <c r="E9" s="86">
        <v>43488</v>
      </c>
      <c r="F9" s="86">
        <v>43489</v>
      </c>
      <c r="G9" s="86">
        <v>43490</v>
      </c>
      <c r="H9" s="86">
        <v>43491</v>
      </c>
      <c r="I9" s="83"/>
    </row>
    <row r="10" spans="1:11" ht="15" x14ac:dyDescent="0.3">
      <c r="B10" s="93"/>
      <c r="C10" s="93"/>
      <c r="D10" s="93"/>
      <c r="E10" s="93"/>
      <c r="F10" s="93"/>
      <c r="G10" s="93"/>
      <c r="H10" s="93"/>
      <c r="I10" s="91">
        <f>SUM(B10:H10)</f>
        <v>0</v>
      </c>
    </row>
    <row r="11" spans="1:11" s="76" customFormat="1" ht="15" x14ac:dyDescent="0.25">
      <c r="A11" s="65"/>
      <c r="B11" s="88">
        <f t="array" ref="B11:H11">JoursEtSemaines+DATE(AnnéeCalendrier,1,1)-WEEKDAY(DATE(AnnéeCalendrier,1,1),(DébutSemaine="LUNDI")+1)+29</f>
        <v>43492</v>
      </c>
      <c r="C11" s="88">
        <v>43493</v>
      </c>
      <c r="D11" s="88">
        <v>43494</v>
      </c>
      <c r="E11" s="88">
        <v>43495</v>
      </c>
      <c r="F11" s="88">
        <v>43496</v>
      </c>
      <c r="G11" s="88">
        <v>43497</v>
      </c>
      <c r="H11" s="88">
        <v>43498</v>
      </c>
      <c r="I11" s="83"/>
    </row>
    <row r="12" spans="1:11" ht="15" x14ac:dyDescent="0.3">
      <c r="B12" s="93"/>
      <c r="C12" s="93"/>
      <c r="D12" s="93"/>
      <c r="E12" s="93"/>
      <c r="F12" s="93"/>
      <c r="G12" s="93"/>
      <c r="H12" s="93"/>
      <c r="I12" s="91">
        <f>SUM(B12:H12)</f>
        <v>0</v>
      </c>
    </row>
    <row r="13" spans="1:11" s="76" customFormat="1" x14ac:dyDescent="0.2">
      <c r="A13" s="65"/>
      <c r="B13" s="92">
        <f t="array" ref="B13:C13">JoursEtSemaines+DATE(AnnéeCalendrier,1,1)-WEEKDAY(DATE(AnnéeCalendrier,1,1),(DébutSemaine="LUNDI")+1)+36</f>
        <v>43499</v>
      </c>
      <c r="C13" s="92">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G3">
    <cfRule type="expression" dxfId="86" priority="1">
      <formula>DAY(B3)&gt;8</formula>
    </cfRule>
  </conditionalFormatting>
  <conditionalFormatting sqref="B11:H11 B13:C13">
    <cfRule type="expression" dxfId="85" priority="2">
      <formula>AND(DAY(B11)&gt;=1,DAY(B11)&lt;=15)</formula>
    </cfRule>
  </conditionalFormatting>
  <dataValidations disablePrompts="1"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C8D7EE2B-7763-4013-8FD4-8DCBA77BF0BC}"/>
    <dataValidation allowBlank="1" showInputMessage="1" showErrorMessage="1" prompt="Entrez les Notes dans la cellule à droite" sqref="D13:D14" xr:uid="{23D8818E-4FFB-41DA-B222-F698BEEAA82E}"/>
    <dataValidation allowBlank="1" showInputMessage="1" showErrorMessage="1" prompt="Entrez les Notes dans cette cellule" sqref="E13:H14" xr:uid="{4D2AA485-E826-4468-94E9-9C8661F3CCBC}"/>
    <dataValidation allowBlank="1" showInputMessage="1" showErrorMessage="1" prompt="Cette ligne ainsi que les lignes 6, 8, 10, 12 et 14 sont des cellules destinées à la saisie de notes quotidiennes en rapport avec le jour civil figurant dans la cellule située au-dessus" sqref="B4" xr:uid="{A8758524-B27A-4EDD-A943-C49C5A77B5D0}"/>
    <dataValidation allowBlank="1" showInputMessage="1" showErrorMessage="1" prompt="Jour de la semaine déterminé automatiquement" sqref="C2:H2" xr:uid="{C1455AFD-7854-4B29-AE20-48735619739C}"/>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56FD3514-0065-4D39-B57A-ABFF68CB6364}"/>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5A8C9D8E-2237-4EEF-A6D8-11C9AEAC10D9}"/>
    <dataValidation allowBlank="1" showInputMessage="1" showErrorMessage="1" prompt="Entrez une année dans cette cellule" sqref="K2" xr:uid="{ABBDA4A9-B5B4-48CE-929B-9C12D61652F0}"/>
    <dataValidation allowBlank="1" showInputMessage="1" showErrorMessage="1" prompt="Sélectionnez le jour de début de la semaine dans la cellule à droite" sqref="J3" xr:uid="{0730C1DD-C91B-4B5A-BB58-7C0B984D795C}"/>
    <dataValidation allowBlank="1" showInputMessage="1" showErrorMessage="1" prompt="Entrez l’année dans la cellule à droite" sqref="J2" xr:uid="{B5500858-37AE-4869-98B1-299DFEE07D80}"/>
    <dataValidation allowBlank="1" showInputMessage="1" showErrorMessage="1" prompt="Entrez l’année et sélectionnez le jour de début du calendrier dans les cellules ci-dessous. Ces cellules Paramètres du calendrier ne s’imprimeront pas" sqref="J1" xr:uid="{38BF3A98-6CB5-4C94-926A-68572FAF578B}"/>
    <dataValidation allowBlank="1" showInputMessage="1" showErrorMessage="1" prompt="L’année figurant dans cette cellule est mise à jour automatiquement. Pour modifier l’année, sélectionnez une autre année dans la cellule K2" sqref="C1:D1" xr:uid="{43DA8B41-C47E-49E5-9293-5B6253CFF619}"/>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05EDC7FF-D979-4CE4-AA4A-20ADD46B5C5A}"/>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9231BB51-2011-40C7-B86A-CF9C5B3DE267}">
      <formula1>"DIMANCHE,LUNDI"</formula1>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B63C20-82D8-4A10-A372-87AC17D6A0BE}">
  <sheetPr codeName="Feuil4"/>
  <dimension ref="A1:K14"/>
  <sheetViews>
    <sheetView workbookViewId="0">
      <selection activeCell="I12" sqref="I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"Fevrier "&amp;AnnéeCalendrier</f>
        <v>Fevrier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1</v>
      </c>
      <c r="H11" s="88">
        <v>2</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G3">
    <cfRule type="expression" dxfId="84" priority="1">
      <formula>DAY(B3)&gt;8</formula>
    </cfRule>
  </conditionalFormatting>
  <conditionalFormatting sqref="B11:H11 B13:C13">
    <cfRule type="expression" dxfId="83" priority="2">
      <formula>AND(DAY(B11)&gt;=1,DAY(B11)&lt;=15)</formula>
    </cfRule>
  </conditionalFormatting>
  <dataValidations count="13">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8BE73D84-A002-4533-B675-8FBB1F5DA692}"/>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1AC46EEC-22C5-42E0-9AE8-A3A63D521A1F}">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ECC45516-3D01-4942-A146-D0F0A543AFED}"/>
    <dataValidation allowBlank="1" showInputMessage="1" showErrorMessage="1" prompt="L’année figurant dans cette cellule est mise à jour automatiquement. Pour modifier l’année, sélectionnez une autre année dans la cellule K2" sqref="C1:D1" xr:uid="{0EFDC674-B85D-40D7-A344-14A1865C69A1}"/>
    <dataValidation allowBlank="1" showInputMessage="1" showErrorMessage="1" prompt="Entrez l’année et sélectionnez le jour de début du calendrier dans les cellules ci-dessous. Ces cellules Paramètres du calendrier ne s’imprimeront pas" sqref="J1" xr:uid="{B93B947A-49F2-433F-990A-1B0EE0CE1E9E}"/>
    <dataValidation allowBlank="1" showInputMessage="1" showErrorMessage="1" prompt="Entrez l’année dans la cellule à droite" sqref="J2" xr:uid="{9EC4A511-C0DB-4058-96CB-14A4212A262C}"/>
    <dataValidation allowBlank="1" showInputMessage="1" showErrorMessage="1" prompt="Sélectionnez le jour de début de la semaine dans la cellule à droite" sqref="J3" xr:uid="{0CE8156D-A602-4086-9489-2B521B6B0C1C}"/>
    <dataValidation allowBlank="1" showInputMessage="1" showErrorMessage="1" prompt="Entrez une année dans cette cellule" sqref="K2" xr:uid="{BBB09AD5-BDCE-4B75-9ED4-346C0596D3D9}"/>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H2" xr:uid="{26542212-E3D8-4FEA-8D18-117339BC165C}"/>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44AF6C73-2EA2-4E2B-8F28-1BA759DF79A6}"/>
    <dataValidation allowBlank="1" showInputMessage="1" showErrorMessage="1" prompt="Cette ligne ainsi que les lignes 6, 8, 10, 12 et 14 sont des cellules destinées à la saisie de notes quotidiennes en rapport avec le jour civil figurant dans la cellule située au-dessus" sqref="B4" xr:uid="{4B3EDC65-1D67-4673-B9D9-04F55990401E}"/>
    <dataValidation allowBlank="1" showInputMessage="1" showErrorMessage="1" prompt="Entrez les Notes dans cette cellule" sqref="E13:H14" xr:uid="{80025250-C0F6-48B4-8A68-00C8B3A04535}"/>
    <dataValidation allowBlank="1" showInputMessage="1" showErrorMessage="1" prompt="Entrez les Notes dans la cellule à droite" sqref="D13:D14" xr:uid="{4D64534F-08D7-4DC0-9C4E-8F5DCEDD3919}"/>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3B5D51-DDD7-417F-9773-A87F92F86765}">
  <sheetPr codeName="Feuil5"/>
  <dimension ref="A1:K14"/>
  <sheetViews>
    <sheetView workbookViewId="0">
      <selection activeCell="D12" sqref="D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"Mars "&amp;AnnéeCalendrier</f>
        <v>Mars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24</v>
      </c>
      <c r="C3" s="85">
        <v>25</v>
      </c>
      <c r="D3" s="85">
        <v>26</v>
      </c>
      <c r="E3" s="85">
        <v>27</v>
      </c>
      <c r="F3" s="85">
        <v>28</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ht="15" x14ac:dyDescent="0.25">
      <c r="A13" s="65"/>
      <c r="B13" s="88">
        <v>31</v>
      </c>
      <c r="C13" s="88">
        <v>1</v>
      </c>
      <c r="D13" s="88">
        <v>2</v>
      </c>
      <c r="E13" s="88">
        <v>3</v>
      </c>
      <c r="F13" s="88">
        <v>4</v>
      </c>
      <c r="G13" s="88">
        <v>5</v>
      </c>
      <c r="H13" s="88">
        <v>6</v>
      </c>
      <c r="I13" s="83"/>
    </row>
    <row r="14" spans="1:11" ht="15" x14ac:dyDescent="0.3">
      <c r="B14" s="87"/>
      <c r="C14" s="87"/>
      <c r="D14" s="87"/>
      <c r="E14" s="87"/>
      <c r="F14" s="87"/>
      <c r="G14" s="87"/>
      <c r="H14" s="87"/>
      <c r="I14" s="90"/>
    </row>
  </sheetData>
  <conditionalFormatting sqref="B3:G3">
    <cfRule type="expression" dxfId="82" priority="2">
      <formula>DAY(B3)&gt;8</formula>
    </cfRule>
  </conditionalFormatting>
  <conditionalFormatting sqref="B11:H11">
    <cfRule type="expression" dxfId="81" priority="3">
      <formula>AND(DAY(B11)&gt;=1,DAY(B11)&lt;=15)</formula>
    </cfRule>
  </conditionalFormatting>
  <conditionalFormatting sqref="B13:H13">
    <cfRule type="expression" dxfId="80"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34561751-8CF0-49BA-B55A-F6E09C4D5A75}"/>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25DF9B55-60CB-45EB-8B33-18724A144A81}">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6D64FD03-48CB-469D-B91D-119303733EC8}"/>
    <dataValidation allowBlank="1" showInputMessage="1" showErrorMessage="1" prompt="L’année figurant dans cette cellule est mise à jour automatiquement. Pour modifier l’année, sélectionnez une autre année dans la cellule K2" sqref="C1:D1" xr:uid="{A102A787-4FFF-43D2-9886-CCED8E955EBB}"/>
    <dataValidation allowBlank="1" showInputMessage="1" showErrorMessage="1" prompt="Entrez l’année et sélectionnez le jour de début du calendrier dans les cellules ci-dessous. Ces cellules Paramètres du calendrier ne s’imprimeront pas" sqref="J1" xr:uid="{3A259650-4EE4-41D8-BA38-E9E6647434B0}"/>
    <dataValidation allowBlank="1" showInputMessage="1" showErrorMessage="1" prompt="Entrez l’année dans la cellule à droite" sqref="J2" xr:uid="{9EAE7EDA-A704-45A6-B002-6F3F9B6ECCE9}"/>
    <dataValidation allowBlank="1" showInputMessage="1" showErrorMessage="1" prompt="Sélectionnez le jour de début de la semaine dans la cellule à droite" sqref="J3" xr:uid="{E7C8EC27-0595-4DF8-B69E-E98437751F78}"/>
    <dataValidation allowBlank="1" showInputMessage="1" showErrorMessage="1" prompt="Entrez une année dans cette cellule" sqref="K2" xr:uid="{39331005-DCB2-40B9-B674-067C3B8B99A6}"/>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DAF747EB-FB2F-4C4E-AFC2-22687553622F}"/>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C6D3D30A-9056-421F-8125-7FB468B80C6C}"/>
    <dataValidation allowBlank="1" showInputMessage="1" showErrorMessage="1" prompt="Jour de la semaine déterminé automatiquement" sqref="C2:H2" xr:uid="{13F98C06-3E6F-4BA7-A7D5-A8A793281B0F}"/>
    <dataValidation allowBlank="1" showInputMessage="1" showErrorMessage="1" prompt="Cette ligne ainsi que les lignes 6, 8, 10, 12 et 14 sont des cellules destinées à la saisie de notes quotidiennes en rapport avec le jour civil figurant dans la cellule située au-dessus" sqref="B4" xr:uid="{43E576F0-0B90-4BCE-836B-842C495A75D7}"/>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C16925-6A87-4354-8E65-A3FCE00D2734}">
  <sheetPr codeName="Feuil6"/>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"Avril "&amp;AnnéeCalendrier</f>
        <v>Avril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31</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1</v>
      </c>
      <c r="F11" s="88">
        <v>2</v>
      </c>
      <c r="G11" s="88">
        <v>3</v>
      </c>
      <c r="H11" s="88">
        <v>4</v>
      </c>
      <c r="I11" s="83"/>
    </row>
    <row r="12" spans="1:11" ht="15" x14ac:dyDescent="0.3">
      <c r="B12" s="93"/>
      <c r="C12" s="93"/>
      <c r="D12" s="93"/>
      <c r="E12" s="93"/>
      <c r="F12" s="93"/>
      <c r="G12" s="93"/>
      <c r="H12" s="93"/>
      <c r="I12" s="91">
        <f>SUM(B12:H12)</f>
        <v>0</v>
      </c>
    </row>
    <row r="13" spans="1:11" s="76" customFormat="1" x14ac:dyDescent="0.2">
      <c r="A13" s="65"/>
      <c r="B13" s="79"/>
      <c r="C13" s="79"/>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G3">
    <cfRule type="expression" dxfId="79" priority="1">
      <formula>DAY(B3)&gt;8</formula>
    </cfRule>
  </conditionalFormatting>
  <conditionalFormatting sqref="B11:H11 B13:C13">
    <cfRule type="expression" dxfId="7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96610140-6722-4BD0-9AE8-E3A40287488C}"/>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522F4203-0E77-4452-B851-10CC18A99F0C}">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FB7D45B4-23A5-4BAE-A8C8-037E600B661D}"/>
    <dataValidation allowBlank="1" showInputMessage="1" showErrorMessage="1" prompt="L’année figurant dans cette cellule est mise à jour automatiquement. Pour modifier l’année, sélectionnez une autre année dans la cellule K2" sqref="C1:D1" xr:uid="{C5517A58-4BA6-45F5-9FC3-70D45AFA5FAB}"/>
    <dataValidation allowBlank="1" showInputMessage="1" showErrorMessage="1" prompt="Entrez l’année et sélectionnez le jour de début du calendrier dans les cellules ci-dessous. Ces cellules Paramètres du calendrier ne s’imprimeront pas" sqref="J1" xr:uid="{BAB32082-5480-4006-94BB-83968BAB6195}"/>
    <dataValidation allowBlank="1" showInputMessage="1" showErrorMessage="1" prompt="Entrez l’année dans la cellule à droite" sqref="J2" xr:uid="{0F3CC3B0-3A77-4EC1-9845-F204C37BD6A2}"/>
    <dataValidation allowBlank="1" showInputMessage="1" showErrorMessage="1" prompt="Sélectionnez le jour de début de la semaine dans la cellule à droite" sqref="J3" xr:uid="{7F064F9E-0055-4983-89B7-0EE0EC336207}"/>
    <dataValidation allowBlank="1" showInputMessage="1" showErrorMessage="1" prompt="Entrez une année dans cette cellule" sqref="K2" xr:uid="{104776BD-B70C-4741-B7E1-A13A0428067A}"/>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1364481E-4B48-42C9-89D7-7D74C61F9005}"/>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07652D25-FB42-4124-B3E6-9BB43B3EEC94}"/>
    <dataValidation allowBlank="1" showInputMessage="1" showErrorMessage="1" prompt="Jour de la semaine déterminé automatiquement" sqref="C2:H2" xr:uid="{D161DEA1-CC9E-499E-8CF3-CDE661E9E269}"/>
    <dataValidation allowBlank="1" showInputMessage="1" showErrorMessage="1" prompt="Cette ligne ainsi que les lignes 6, 8, 10, 12 et 14 sont des cellules destinées à la saisie de notes quotidiennes en rapport avec le jour civil figurant dans la cellule située au-dessus" sqref="B4" xr:uid="{919F5964-7961-4CD2-992E-ECE5E44C0999}"/>
    <dataValidation allowBlank="1" showInputMessage="1" showErrorMessage="1" prompt="Entrez les Notes dans cette cellule" sqref="E13:H14" xr:uid="{2648B483-7A17-4CD6-A188-1936242FCA04}"/>
    <dataValidation allowBlank="1" showInputMessage="1" showErrorMessage="1" prompt="Entrez les Notes dans la cellule à droite" sqref="D13:D14" xr:uid="{3F24CA2A-CACB-462A-A8BE-285A816CA5C1}"/>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827737-CB24-4D82-93A2-7ED9A92F272B}">
  <sheetPr codeName="Feuil7"/>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"Mai "&amp;AnnéeCalendrier</f>
        <v>Mai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1</v>
      </c>
      <c r="F3" s="85">
        <v>2</v>
      </c>
      <c r="G3" s="85">
        <v>3</v>
      </c>
      <c r="H3" s="85">
        <v>4</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5</v>
      </c>
      <c r="C5" s="86">
        <v>6</v>
      </c>
      <c r="D5" s="86">
        <v>7</v>
      </c>
      <c r="E5" s="86">
        <v>8</v>
      </c>
      <c r="F5" s="86">
        <v>9</v>
      </c>
      <c r="G5" s="86">
        <v>10</v>
      </c>
      <c r="H5" s="86">
        <v>11</v>
      </c>
      <c r="I5" s="83"/>
    </row>
    <row r="6" spans="1:11" ht="15" x14ac:dyDescent="0.2">
      <c r="B6" s="93"/>
      <c r="C6" s="93"/>
      <c r="D6" s="93"/>
      <c r="E6" s="93"/>
      <c r="F6" s="93"/>
      <c r="G6" s="93"/>
      <c r="H6" s="93"/>
      <c r="I6" s="91">
        <f>SUM(B6:H6)</f>
        <v>0</v>
      </c>
      <c r="J6" s="81"/>
    </row>
    <row r="7" spans="1:11" s="76" customFormat="1" ht="15" x14ac:dyDescent="0.25">
      <c r="A7" s="65"/>
      <c r="B7" s="85">
        <v>12</v>
      </c>
      <c r="C7" s="85">
        <v>13</v>
      </c>
      <c r="D7" s="85">
        <v>14</v>
      </c>
      <c r="E7" s="85">
        <v>15</v>
      </c>
      <c r="F7" s="85">
        <v>16</v>
      </c>
      <c r="G7" s="85">
        <v>17</v>
      </c>
      <c r="H7" s="85">
        <v>18</v>
      </c>
      <c r="I7" s="83"/>
      <c r="J7" s="81"/>
    </row>
    <row r="8" spans="1:11" ht="15" x14ac:dyDescent="0.3">
      <c r="B8" s="94"/>
      <c r="C8" s="94"/>
      <c r="D8" s="94"/>
      <c r="E8" s="94"/>
      <c r="F8" s="94"/>
      <c r="G8" s="94"/>
      <c r="H8" s="94"/>
      <c r="I8" s="91">
        <f>SUM(B8:H8)</f>
        <v>0</v>
      </c>
    </row>
    <row r="9" spans="1:11" s="76" customFormat="1" ht="15" x14ac:dyDescent="0.25">
      <c r="A9" s="65"/>
      <c r="B9" s="86">
        <v>19</v>
      </c>
      <c r="C9" s="86">
        <v>20</v>
      </c>
      <c r="D9" s="86">
        <v>21</v>
      </c>
      <c r="E9" s="86">
        <v>22</v>
      </c>
      <c r="F9" s="86">
        <v>23</v>
      </c>
      <c r="G9" s="86">
        <v>24</v>
      </c>
      <c r="H9" s="86">
        <v>25</v>
      </c>
      <c r="I9" s="83"/>
    </row>
    <row r="10" spans="1:11" ht="15" x14ac:dyDescent="0.3">
      <c r="B10" s="93"/>
      <c r="C10" s="93"/>
      <c r="D10" s="93"/>
      <c r="E10" s="93"/>
      <c r="F10" s="93"/>
      <c r="G10" s="93"/>
      <c r="H10" s="93"/>
      <c r="I10" s="91">
        <f>SUM(B10:H10)</f>
        <v>0</v>
      </c>
    </row>
    <row r="11" spans="1:11" s="76" customFormat="1" ht="15" x14ac:dyDescent="0.25">
      <c r="A11" s="65"/>
      <c r="B11" s="88">
        <v>26</v>
      </c>
      <c r="C11" s="88">
        <v>27</v>
      </c>
      <c r="D11" s="88">
        <v>28</v>
      </c>
      <c r="E11" s="88">
        <v>29</v>
      </c>
      <c r="F11" s="88">
        <v>30</v>
      </c>
      <c r="G11" s="88">
        <v>31</v>
      </c>
      <c r="H11" s="88">
        <v>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G3">
    <cfRule type="expression" dxfId="77" priority="1">
      <formula>DAY(B3)&gt;8</formula>
    </cfRule>
  </conditionalFormatting>
  <conditionalFormatting sqref="B11:H11 B13:C13">
    <cfRule type="expression" dxfId="7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D4690128-3ECC-4542-86D2-6CE4824D920B}"/>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905FE29F-073D-4113-91A6-37979753A0D1}">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32C68A32-4E07-4A33-94F6-7015B09305F5}"/>
    <dataValidation allowBlank="1" showInputMessage="1" showErrorMessage="1" prompt="L’année figurant dans cette cellule est mise à jour automatiquement. Pour modifier l’année, sélectionnez une autre année dans la cellule K2" sqref="C1:D1" xr:uid="{8294F488-3819-4607-8C54-5D522A318EE5}"/>
    <dataValidation allowBlank="1" showInputMessage="1" showErrorMessage="1" prompt="Entrez l’année et sélectionnez le jour de début du calendrier dans les cellules ci-dessous. Ces cellules Paramètres du calendrier ne s’imprimeront pas" sqref="J1" xr:uid="{C0AD8DE3-043C-414A-8101-C087981C0440}"/>
    <dataValidation allowBlank="1" showInputMessage="1" showErrorMessage="1" prompt="Entrez l’année dans la cellule à droite" sqref="J2" xr:uid="{43C2DF18-58FA-4A25-A6EB-9ACED5CB52CB}"/>
    <dataValidation allowBlank="1" showInputMessage="1" showErrorMessage="1" prompt="Sélectionnez le jour de début de la semaine dans la cellule à droite" sqref="J3" xr:uid="{BAD546C4-588C-4DD7-BCFE-B85C25556CCE}"/>
    <dataValidation allowBlank="1" showInputMessage="1" showErrorMessage="1" prompt="Entrez une année dans cette cellule" sqref="K2" xr:uid="{DE798D05-9D97-4772-B2F5-73858615D950}"/>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46A9C62C-A43A-4FBA-A32B-43C94747AACD}"/>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AB13B849-85DE-4696-A8C8-BFA22C001C74}"/>
    <dataValidation allowBlank="1" showInputMessage="1" showErrorMessage="1" prompt="Jour de la semaine déterminé automatiquement" sqref="C2:H2" xr:uid="{D29D2C18-F66A-4BAE-85D5-04C32D3D7484}"/>
    <dataValidation allowBlank="1" showInputMessage="1" showErrorMessage="1" prompt="Cette ligne ainsi que les lignes 6, 8, 10, 12 et 14 sont des cellules destinées à la saisie de notes quotidiennes en rapport avec le jour civil figurant dans la cellule située au-dessus" sqref="B4" xr:uid="{8DCD90A3-224E-474E-8F84-233CEF020B4A}"/>
    <dataValidation allowBlank="1" showInputMessage="1" showErrorMessage="1" prompt="Entrez les Notes dans cette cellule" sqref="E13:H14" xr:uid="{2558E135-1CA4-4F8E-A0AF-A875DE03F36D}"/>
    <dataValidation allowBlank="1" showInputMessage="1" showErrorMessage="1" prompt="Entrez les Notes dans la cellule à droite" sqref="D13:D14" xr:uid="{A27C1F5B-3254-406A-ABDC-E062459B6E76}"/>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F76321-D958-49DB-981A-65813156B0C5}">
  <sheetPr codeName="Feuil8"/>
  <dimension ref="A1:K14"/>
  <sheetViews>
    <sheetView workbookViewId="0">
      <selection activeCell="C20" sqref="C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"Juin "&amp;AnnéeCalendrier</f>
        <v>Juin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26</v>
      </c>
      <c r="C3" s="85">
        <v>27</v>
      </c>
      <c r="D3" s="85">
        <v>28</v>
      </c>
      <c r="E3" s="85">
        <v>29</v>
      </c>
      <c r="F3" s="85">
        <v>30</v>
      </c>
      <c r="G3" s="85">
        <v>31</v>
      </c>
      <c r="H3" s="85">
        <v>1</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2</v>
      </c>
      <c r="C5" s="86">
        <v>3</v>
      </c>
      <c r="D5" s="86">
        <v>4</v>
      </c>
      <c r="E5" s="86">
        <v>5</v>
      </c>
      <c r="F5" s="86">
        <v>6</v>
      </c>
      <c r="G5" s="86">
        <v>7</v>
      </c>
      <c r="H5" s="86">
        <v>8</v>
      </c>
      <c r="I5" s="83"/>
    </row>
    <row r="6" spans="1:11" ht="15" x14ac:dyDescent="0.2">
      <c r="B6" s="93"/>
      <c r="C6" s="93"/>
      <c r="D6" s="93"/>
      <c r="E6" s="93"/>
      <c r="F6" s="93"/>
      <c r="G6" s="93"/>
      <c r="H6" s="93"/>
      <c r="I6" s="91">
        <f>SUM(B6:H6)</f>
        <v>0</v>
      </c>
      <c r="J6" s="81"/>
    </row>
    <row r="7" spans="1:11" s="76" customFormat="1" ht="15" x14ac:dyDescent="0.25">
      <c r="A7" s="65"/>
      <c r="B7" s="85">
        <v>9</v>
      </c>
      <c r="C7" s="85">
        <v>10</v>
      </c>
      <c r="D7" s="85">
        <v>11</v>
      </c>
      <c r="E7" s="85">
        <v>12</v>
      </c>
      <c r="F7" s="85">
        <v>13</v>
      </c>
      <c r="G7" s="85">
        <v>14</v>
      </c>
      <c r="H7" s="85">
        <v>15</v>
      </c>
      <c r="I7" s="83"/>
      <c r="J7" s="81"/>
    </row>
    <row r="8" spans="1:11" ht="15" x14ac:dyDescent="0.3">
      <c r="B8" s="94"/>
      <c r="C8" s="94"/>
      <c r="D8" s="94"/>
      <c r="E8" s="94"/>
      <c r="F8" s="94"/>
      <c r="G8" s="94"/>
      <c r="H8" s="94"/>
      <c r="I8" s="91">
        <f>SUM(B8:H8)</f>
        <v>0</v>
      </c>
    </row>
    <row r="9" spans="1:11" s="76" customFormat="1" ht="15" x14ac:dyDescent="0.25">
      <c r="A9" s="65"/>
      <c r="B9" s="86">
        <v>16</v>
      </c>
      <c r="C9" s="86">
        <v>17</v>
      </c>
      <c r="D9" s="86">
        <v>18</v>
      </c>
      <c r="E9" s="86">
        <v>19</v>
      </c>
      <c r="F9" s="86">
        <v>20</v>
      </c>
      <c r="G9" s="86">
        <v>21</v>
      </c>
      <c r="H9" s="86">
        <v>22</v>
      </c>
      <c r="I9" s="83"/>
    </row>
    <row r="10" spans="1:11" ht="15" x14ac:dyDescent="0.3">
      <c r="B10" s="93"/>
      <c r="C10" s="93"/>
      <c r="D10" s="93"/>
      <c r="E10" s="93"/>
      <c r="F10" s="93"/>
      <c r="G10" s="93"/>
      <c r="H10" s="93"/>
      <c r="I10" s="91">
        <f>SUM(B10:H10)</f>
        <v>0</v>
      </c>
    </row>
    <row r="11" spans="1:11" s="76" customFormat="1" ht="15" x14ac:dyDescent="0.25">
      <c r="A11" s="65"/>
      <c r="B11" s="88">
        <v>23</v>
      </c>
      <c r="C11" s="88">
        <v>24</v>
      </c>
      <c r="D11" s="88">
        <v>25</v>
      </c>
      <c r="E11" s="88">
        <v>26</v>
      </c>
      <c r="F11" s="88">
        <v>27</v>
      </c>
      <c r="G11" s="88">
        <v>28</v>
      </c>
      <c r="H11" s="88">
        <v>29</v>
      </c>
      <c r="I11" s="83"/>
    </row>
    <row r="12" spans="1:11" ht="15" x14ac:dyDescent="0.3">
      <c r="B12" s="93"/>
      <c r="C12" s="93"/>
      <c r="D12" s="93"/>
      <c r="E12" s="93"/>
      <c r="F12" s="93"/>
      <c r="G12" s="93"/>
      <c r="H12" s="93"/>
      <c r="I12" s="91">
        <f>SUM(B12:H12)</f>
        <v>0</v>
      </c>
    </row>
    <row r="13" spans="1:11" s="76" customFormat="1" ht="15" x14ac:dyDescent="0.25">
      <c r="A13" s="65"/>
      <c r="B13" s="88">
        <v>30</v>
      </c>
      <c r="C13" s="88">
        <v>1</v>
      </c>
      <c r="D13" s="88">
        <v>2</v>
      </c>
      <c r="E13" s="88">
        <v>3</v>
      </c>
      <c r="F13" s="88">
        <v>4</v>
      </c>
      <c r="G13" s="88">
        <v>5</v>
      </c>
      <c r="H13" s="88">
        <v>6</v>
      </c>
      <c r="I13" s="83"/>
    </row>
    <row r="14" spans="1:11" ht="15" x14ac:dyDescent="0.3">
      <c r="B14" s="93"/>
      <c r="C14" s="93"/>
      <c r="D14" s="93"/>
      <c r="E14" s="93"/>
      <c r="F14" s="93"/>
      <c r="G14" s="93"/>
      <c r="H14" s="93"/>
      <c r="I14" s="91">
        <f>SUM(B14:H14)</f>
        <v>0</v>
      </c>
    </row>
  </sheetData>
  <conditionalFormatting sqref="B3:G3">
    <cfRule type="expression" dxfId="75" priority="2">
      <formula>DAY(B3)&gt;8</formula>
    </cfRule>
  </conditionalFormatting>
  <conditionalFormatting sqref="B11:H11">
    <cfRule type="expression" dxfId="74" priority="3">
      <formula>AND(DAY(B11)&gt;=1,DAY(B11)&lt;=15)</formula>
    </cfRule>
  </conditionalFormatting>
  <conditionalFormatting sqref="B13:H13">
    <cfRule type="expression" dxfId="73"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3C608FD4-CD91-4DE8-B441-A0F9BFEE2C36}"/>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568B6EB1-1B4A-41FA-B325-F8D385EA3262}">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FA1FE169-A1AC-4E68-B439-FA2FA860F7E5}"/>
    <dataValidation allowBlank="1" showInputMessage="1" showErrorMessage="1" prompt="L’année figurant dans cette cellule est mise à jour automatiquement. Pour modifier l’année, sélectionnez une autre année dans la cellule K2" sqref="C1:D1" xr:uid="{712B24CE-00EE-425D-A905-6D91A8AAAE1A}"/>
    <dataValidation allowBlank="1" showInputMessage="1" showErrorMessage="1" prompt="Entrez l’année et sélectionnez le jour de début du calendrier dans les cellules ci-dessous. Ces cellules Paramètres du calendrier ne s’imprimeront pas" sqref="J1" xr:uid="{5F6F7717-B2DA-483B-88A7-4AFE70D72C04}"/>
    <dataValidation allowBlank="1" showInputMessage="1" showErrorMessage="1" prompt="Entrez l’année dans la cellule à droite" sqref="J2" xr:uid="{3B844A73-BF51-4BAD-97DC-5C54097FE392}"/>
    <dataValidation allowBlank="1" showInputMessage="1" showErrorMessage="1" prompt="Sélectionnez le jour de début de la semaine dans la cellule à droite" sqref="J3" xr:uid="{44FBD04D-2D0F-4752-AA39-A7ADFCD96CDB}"/>
    <dataValidation allowBlank="1" showInputMessage="1" showErrorMessage="1" prompt="Entrez une année dans cette cellule" sqref="K2" xr:uid="{8C48B032-D28A-416A-8AD0-808D5A5429DB}"/>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74806075-4AAC-4230-A401-86233122E161}"/>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36F5CF31-13C9-4CE4-8A62-A9ADF57F8159}"/>
    <dataValidation allowBlank="1" showInputMessage="1" showErrorMessage="1" prompt="Jour de la semaine déterminé automatiquement" sqref="C2:H2" xr:uid="{69F93198-BC42-4A3A-B15B-357268B90E45}"/>
    <dataValidation allowBlank="1" showInputMessage="1" showErrorMessage="1" prompt="Cette ligne ainsi que les lignes 6, 8, 10, 12 et 14 sont des cellules destinées à la saisie de notes quotidiennes en rapport avec le jour civil figurant dans la cellule située au-dessus" sqref="B4" xr:uid="{7934FE2A-B97C-4D14-A6C2-9146A55F3F85}"/>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C6B281-7226-48B2-B797-EC7F406163D2}">
  <sheetPr codeName="Feuil9"/>
  <dimension ref="A1:K14"/>
  <sheetViews>
    <sheetView workbookViewId="0">
      <selection activeCell="H12" sqref="H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"Juillet "&amp;AnnéeCalendrier</f>
        <v>Juillet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30</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31</v>
      </c>
      <c r="F11" s="88">
        <v>32</v>
      </c>
      <c r="G11" s="88">
        <v>33</v>
      </c>
      <c r="H11" s="88">
        <v>34</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13:C13">
    <cfRule type="expression" dxfId="72" priority="4">
      <formula>AND(DAY(B13)&gt;=1,DAY(B13)&lt;=15)</formula>
    </cfRule>
  </conditionalFormatting>
  <conditionalFormatting sqref="B3">
    <cfRule type="expression" dxfId="71" priority="2">
      <formula>DAY(B3)&gt;8</formula>
    </cfRule>
  </conditionalFormatting>
  <conditionalFormatting sqref="B11:H11">
    <cfRule type="expression" dxfId="70" priority="1">
      <formula>AND(DAY(B11)&gt;=1,DAY(B11)&lt;=15)</formula>
    </cfRule>
  </conditionalFormatting>
  <dataValidations count="1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1BEEEEE9-1342-4CD4-9975-BAA93AB32D0E}">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83B36008-78B4-47A0-A2BF-FEB33418269C}"/>
    <dataValidation allowBlank="1" showInputMessage="1" showErrorMessage="1" prompt="L’année figurant dans cette cellule est mise à jour automatiquement. Pour modifier l’année, sélectionnez une autre année dans la cellule K2" sqref="C1:D1" xr:uid="{D93F0D92-2532-4438-8544-9216B5CF5589}"/>
    <dataValidation allowBlank="1" showInputMessage="1" showErrorMessage="1" prompt="Entrez l’année et sélectionnez le jour de début du calendrier dans les cellules ci-dessous. Ces cellules Paramètres du calendrier ne s’imprimeront pas" sqref="J1" xr:uid="{8FE797B4-C6F9-4CB3-ACA4-1E4B664C27D8}"/>
    <dataValidation allowBlank="1" showInputMessage="1" showErrorMessage="1" prompt="Entrez l’année dans la cellule à droite" sqref="J2" xr:uid="{56EFE997-A148-4C6C-A0A0-C31A78921DE7}"/>
    <dataValidation allowBlank="1" showInputMessage="1" showErrorMessage="1" prompt="Sélectionnez le jour de début de la semaine dans la cellule à droite" sqref="J3" xr:uid="{AA81DFE0-7981-456E-BDB1-38AB5DABA766}"/>
    <dataValidation allowBlank="1" showInputMessage="1" showErrorMessage="1" prompt="Entrez une année dans cette cellule" sqref="K2" xr:uid="{985D308C-FAD9-46D4-AD8D-080A743A05F7}"/>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7A55064F-9821-4588-83E9-D724BAFD92E8}"/>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8613370C-CC0A-4FA1-97AF-4728439C15BF}"/>
    <dataValidation allowBlank="1" showInputMessage="1" showErrorMessage="1" prompt="Jour de la semaine déterminé automatiquement" sqref="C2:H2" xr:uid="{F0BC3C8D-13A2-47D9-A3B6-F393A2FEDEBB}"/>
    <dataValidation allowBlank="1" showInputMessage="1" showErrorMessage="1" prompt="Cette ligne ainsi que les lignes 6, 8, 10, 12 et 14 sont des cellules destinées à la saisie de notes quotidiennes en rapport avec le jour civil figurant dans la cellule située au-dessus" sqref="B4" xr:uid="{9FB8702B-B1F1-4B74-85E0-C478B1F192BF}"/>
    <dataValidation allowBlank="1" showInputMessage="1" showErrorMessage="1" prompt="Entrez les Notes dans cette cellule" sqref="E13:H14" xr:uid="{74D911A9-47B5-4486-A816-B1ED73371797}"/>
    <dataValidation allowBlank="1" showInputMessage="1" showErrorMessage="1" prompt="Entrez les Notes dans la cellule à droite" sqref="D13:D14" xr:uid="{11415731-CAA0-44F7-AB30-9E47B67A8DC8}"/>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EEEC03-20F8-4BCC-8C5F-A629D94C7B86}">
  <sheetPr codeName="Feuil10"/>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"Août "&amp;AnnéeCalendrier</f>
        <v>Août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31</v>
      </c>
      <c r="F3" s="85">
        <v>1</v>
      </c>
      <c r="G3" s="85">
        <v>2</v>
      </c>
      <c r="H3" s="85">
        <v>3</v>
      </c>
      <c r="I3" s="83"/>
      <c r="J3" s="77"/>
      <c r="K3" s="75"/>
    </row>
    <row r="4" spans="1:11" ht="15" x14ac:dyDescent="0.3">
      <c r="B4" s="94"/>
      <c r="C4" s="94"/>
      <c r="D4" s="94"/>
      <c r="E4" s="94"/>
      <c r="F4" s="94"/>
      <c r="G4" s="94"/>
      <c r="H4" s="94"/>
      <c r="I4" s="91">
        <f>SUM(B4:H4)</f>
        <v>0</v>
      </c>
      <c r="J4" s="78"/>
    </row>
    <row r="5" spans="1:11" s="76" customFormat="1" ht="15" x14ac:dyDescent="0.25">
      <c r="A5" s="65"/>
      <c r="B5" s="86">
        <v>4</v>
      </c>
      <c r="C5" s="86">
        <v>5</v>
      </c>
      <c r="D5" s="86">
        <v>6</v>
      </c>
      <c r="E5" s="86">
        <v>7</v>
      </c>
      <c r="F5" s="86">
        <v>8</v>
      </c>
      <c r="G5" s="86">
        <v>9</v>
      </c>
      <c r="H5" s="86">
        <v>10</v>
      </c>
      <c r="I5" s="83"/>
    </row>
    <row r="6" spans="1:11" ht="15" x14ac:dyDescent="0.2">
      <c r="B6" s="93"/>
      <c r="C6" s="93"/>
      <c r="D6" s="93"/>
      <c r="E6" s="93"/>
      <c r="F6" s="93"/>
      <c r="G6" s="93"/>
      <c r="H6" s="93"/>
      <c r="I6" s="91">
        <f>SUM(B6:H6)</f>
        <v>0</v>
      </c>
      <c r="J6" s="81"/>
    </row>
    <row r="7" spans="1:11" s="76" customFormat="1" ht="15" x14ac:dyDescent="0.25">
      <c r="A7" s="65"/>
      <c r="B7" s="85">
        <v>11</v>
      </c>
      <c r="C7" s="85">
        <v>12</v>
      </c>
      <c r="D7" s="85">
        <v>13</v>
      </c>
      <c r="E7" s="85">
        <v>14</v>
      </c>
      <c r="F7" s="85">
        <v>15</v>
      </c>
      <c r="G7" s="85">
        <v>16</v>
      </c>
      <c r="H7" s="85">
        <v>17</v>
      </c>
      <c r="I7" s="83"/>
      <c r="J7" s="81"/>
    </row>
    <row r="8" spans="1:11" ht="15" x14ac:dyDescent="0.3">
      <c r="B8" s="94"/>
      <c r="C8" s="94"/>
      <c r="D8" s="94"/>
      <c r="E8" s="94"/>
      <c r="F8" s="94"/>
      <c r="G8" s="94"/>
      <c r="H8" s="94"/>
      <c r="I8" s="91">
        <f>SUM(B8:H8)</f>
        <v>0</v>
      </c>
    </row>
    <row r="9" spans="1:11" s="76" customFormat="1" ht="15" x14ac:dyDescent="0.25">
      <c r="A9" s="65"/>
      <c r="B9" s="86">
        <v>18</v>
      </c>
      <c r="C9" s="86">
        <v>19</v>
      </c>
      <c r="D9" s="86">
        <v>20</v>
      </c>
      <c r="E9" s="86">
        <v>21</v>
      </c>
      <c r="F9" s="86">
        <v>22</v>
      </c>
      <c r="G9" s="86">
        <v>23</v>
      </c>
      <c r="H9" s="86">
        <v>24</v>
      </c>
      <c r="I9" s="83"/>
    </row>
    <row r="10" spans="1:11" ht="15" x14ac:dyDescent="0.3">
      <c r="B10" s="93"/>
      <c r="C10" s="93"/>
      <c r="D10" s="93"/>
      <c r="E10" s="93"/>
      <c r="F10" s="93"/>
      <c r="G10" s="93"/>
      <c r="H10" s="93"/>
      <c r="I10" s="91">
        <f>SUM(B10:H10)</f>
        <v>0</v>
      </c>
    </row>
    <row r="11" spans="1:11" s="76" customFormat="1" ht="15" x14ac:dyDescent="0.25">
      <c r="A11" s="65"/>
      <c r="B11" s="88">
        <v>25</v>
      </c>
      <c r="C11" s="88">
        <v>26</v>
      </c>
      <c r="D11" s="88">
        <v>27</v>
      </c>
      <c r="E11" s="88">
        <v>28</v>
      </c>
      <c r="F11" s="88">
        <v>29</v>
      </c>
      <c r="G11" s="88">
        <v>30</v>
      </c>
      <c r="H11" s="88">
        <v>31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G3">
    <cfRule type="expression" dxfId="69" priority="1">
      <formula>DAY(B3)&gt;8</formula>
    </cfRule>
  </conditionalFormatting>
  <conditionalFormatting sqref="B11:H11 B13:C13">
    <cfRule type="expression" dxfId="6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xr:uid="{EDB9E362-1A12-492F-9F86-9F2E97FC6CEE}"/>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4A46D63E-0013-4934-AA3D-61F026F25348}">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4C98C63A-6E3B-4A11-9FAA-A858F632D291}"/>
    <dataValidation allowBlank="1" showInputMessage="1" showErrorMessage="1" prompt="L’année figurant dans cette cellule est mise à jour automatiquement. Pour modifier l’année, sélectionnez une autre année dans la cellule K2" sqref="C1:D1" xr:uid="{019DF1F7-128D-4AB0-BB21-B315E72F8C5C}"/>
    <dataValidation allowBlank="1" showInputMessage="1" showErrorMessage="1" prompt="Entrez l’année et sélectionnez le jour de début du calendrier dans les cellules ci-dessous. Ces cellules Paramètres du calendrier ne s’imprimeront pas" sqref="J1" xr:uid="{1A27DED9-E35E-4721-B448-EB5D05413B5B}"/>
    <dataValidation allowBlank="1" showInputMessage="1" showErrorMessage="1" prompt="Entrez l’année dans la cellule à droite" sqref="J2" xr:uid="{9BDA6C92-616B-4AC7-BEC6-80B1119FE736}"/>
    <dataValidation allowBlank="1" showInputMessage="1" showErrorMessage="1" prompt="Sélectionnez le jour de début de la semaine dans la cellule à droite" sqref="J3" xr:uid="{6A855463-5775-47D4-BFBF-5969DAC79CC9}"/>
    <dataValidation allowBlank="1" showInputMessage="1" showErrorMessage="1" prompt="Entrez une année dans cette cellule" sqref="K2" xr:uid="{F9F818A6-ECEC-41BE-99C1-30A82FE5041F}"/>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305AEFFA-4E37-432D-A2B7-C1A8943A7803}"/>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8F5C17E3-7A3C-4CF5-BA59-72714DEE85A7}"/>
    <dataValidation allowBlank="1" showInputMessage="1" showErrorMessage="1" prompt="Jour de la semaine déterminé automatiquement" sqref="C2:H2" xr:uid="{0165AC62-C146-47DA-8118-6E2AD9F11624}"/>
    <dataValidation allowBlank="1" showInputMessage="1" showErrorMessage="1" prompt="Cette ligne ainsi que les lignes 6, 8, 10, 12 et 14 sont des cellules destinées à la saisie de notes quotidiennes en rapport avec le jour civil figurant dans la cellule située au-dessus" sqref="B4" xr:uid="{56A51B8D-BCF6-4DFB-96CD-53E82006C466}"/>
    <dataValidation allowBlank="1" showInputMessage="1" showErrorMessage="1" prompt="Entrez les Notes dans cette cellule" sqref="E13:H14" xr:uid="{183B7B54-FDF2-4600-9D2D-A09FE37399CB}"/>
    <dataValidation allowBlank="1" showInputMessage="1" showErrorMessage="1" prompt="Entrez les Notes dans la cellule à droite" sqref="D13:D14" xr:uid="{93F43484-AD47-4D06-B667-874D8CE7663C}"/>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A072EE-6A00-49F5-B686-52484F74C591}">
  <sheetPr codeName="Feuil11"/>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"Septembre "&amp;AnnéeCalendrier</f>
        <v>Septembre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32</v>
      </c>
      <c r="E11" s="88">
        <v>33</v>
      </c>
      <c r="F11" s="88">
        <v>34</v>
      </c>
      <c r="G11" s="88">
        <v>35</v>
      </c>
      <c r="H11" s="88">
        <v>36</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H3">
    <cfRule type="expression" dxfId="67" priority="1">
      <formula>DAY(B3)&gt;8</formula>
    </cfRule>
  </conditionalFormatting>
  <conditionalFormatting sqref="B13:C13 B11:H11">
    <cfRule type="expression" dxfId="6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H3" xr:uid="{26892963-57EC-4E93-B4B4-A74A0962414D}"/>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510B2630-1213-49CA-B6B7-E7012FE0239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51FE8C2F-FC96-4F99-AE2B-60A77F8AB051}"/>
    <dataValidation allowBlank="1" showInputMessage="1" showErrorMessage="1" prompt="L’année figurant dans cette cellule est mise à jour automatiquement. Pour modifier l’année, sélectionnez une autre année dans la cellule K2" sqref="C1:D1" xr:uid="{6DF35398-292A-4EBC-AB60-8EB34406FE99}"/>
    <dataValidation allowBlank="1" showInputMessage="1" showErrorMessage="1" prompt="Entrez l’année et sélectionnez le jour de début du calendrier dans les cellules ci-dessous. Ces cellules Paramètres du calendrier ne s’imprimeront pas" sqref="J1" xr:uid="{106491C0-962A-4D87-9B00-C09E5C2D4193}"/>
    <dataValidation allowBlank="1" showInputMessage="1" showErrorMessage="1" prompt="Entrez l’année dans la cellule à droite" sqref="J2" xr:uid="{D4F7087E-AA0F-4DDF-AAB1-1C28A4D5DD89}"/>
    <dataValidation allowBlank="1" showInputMessage="1" showErrorMessage="1" prompt="Sélectionnez le jour de début de la semaine dans la cellule à droite" sqref="J3" xr:uid="{B2BABE5A-0715-44CF-A887-8B4C7A1CA90E}"/>
    <dataValidation allowBlank="1" showInputMessage="1" showErrorMessage="1" prompt="Entrez une année dans cette cellule" sqref="K2" xr:uid="{0E4139DB-A45C-4404-9076-02467110BE26}"/>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BCEA71BF-EB9A-4870-9A3F-8DDC4450B1DC}"/>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D3D8AF24-6F88-4ABB-90D6-EA791969A666}"/>
    <dataValidation allowBlank="1" showInputMessage="1" showErrorMessage="1" prompt="Jour de la semaine déterminé automatiquement" sqref="C2:H2" xr:uid="{657F9BEE-4749-4A08-A18E-0F4043E919A3}"/>
    <dataValidation allowBlank="1" showInputMessage="1" showErrorMessage="1" prompt="Cette ligne ainsi que les lignes 6, 8, 10, 12 et 14 sont des cellules destinées à la saisie de notes quotidiennes en rapport avec le jour civil figurant dans la cellule située au-dessus" sqref="B4:H4" xr:uid="{2E951AE7-6D16-4CEB-A7EC-451B57B89CF1}"/>
    <dataValidation allowBlank="1" showInputMessage="1" showErrorMessage="1" prompt="Entrez les Notes dans cette cellule" sqref="E13:H14" xr:uid="{E9377300-CFF9-4894-8944-0A09E00C16CA}"/>
    <dataValidation allowBlank="1" showInputMessage="1" showErrorMessage="1" prompt="Entrez les Notes dans la cellule à droite" sqref="D13:D14" xr:uid="{063DB240-7F91-4041-8438-CF65BA7A4BE8}"/>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504B32-D574-4ECD-9486-76DB794AE40D}">
  <sheetPr codeName="Feuil12"/>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"Octobre  "&amp;AnnéeCalendrier</f>
        <v>Octobre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29</v>
      </c>
      <c r="C3" s="85">
        <v>30</v>
      </c>
      <c r="D3" s="85">
        <v>31</v>
      </c>
      <c r="E3" s="85">
        <v>32</v>
      </c>
      <c r="F3" s="85">
        <v>33</v>
      </c>
      <c r="G3" s="85">
        <v>34</v>
      </c>
      <c r="H3" s="85">
        <v>35</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6</v>
      </c>
      <c r="C5" s="86">
        <v>7</v>
      </c>
      <c r="D5" s="86">
        <v>8</v>
      </c>
      <c r="E5" s="86">
        <v>9</v>
      </c>
      <c r="F5" s="86">
        <v>10</v>
      </c>
      <c r="G5" s="86">
        <v>11</v>
      </c>
      <c r="H5" s="86">
        <v>12</v>
      </c>
      <c r="I5" s="83"/>
    </row>
    <row r="6" spans="1:11" ht="15" x14ac:dyDescent="0.2">
      <c r="B6" s="93"/>
      <c r="C6" s="93"/>
      <c r="D6" s="93"/>
      <c r="E6" s="93"/>
      <c r="F6" s="93"/>
      <c r="G6" s="93"/>
      <c r="H6" s="93"/>
      <c r="I6" s="91">
        <f>SUM(B6:H6)</f>
        <v>0</v>
      </c>
      <c r="J6" s="81"/>
    </row>
    <row r="7" spans="1:11" s="76" customFormat="1" ht="15" x14ac:dyDescent="0.25">
      <c r="A7" s="65"/>
      <c r="B7" s="85">
        <v>13</v>
      </c>
      <c r="C7" s="85">
        <v>14</v>
      </c>
      <c r="D7" s="85">
        <v>15</v>
      </c>
      <c r="E7" s="85">
        <v>16</v>
      </c>
      <c r="F7" s="85">
        <v>17</v>
      </c>
      <c r="G7" s="85">
        <v>18</v>
      </c>
      <c r="H7" s="85">
        <v>19</v>
      </c>
      <c r="I7" s="83"/>
      <c r="J7" s="81"/>
    </row>
    <row r="8" spans="1:11" ht="15" x14ac:dyDescent="0.3">
      <c r="B8" s="94"/>
      <c r="C8" s="94"/>
      <c r="D8" s="94"/>
      <c r="E8" s="94"/>
      <c r="F8" s="94"/>
      <c r="G8" s="94"/>
      <c r="H8" s="94"/>
      <c r="I8" s="91">
        <f>SUM(B8:H8)</f>
        <v>0</v>
      </c>
    </row>
    <row r="9" spans="1:11" s="76" customFormat="1" ht="15" x14ac:dyDescent="0.25">
      <c r="A9" s="65"/>
      <c r="B9" s="86">
        <v>20</v>
      </c>
      <c r="C9" s="86">
        <v>21</v>
      </c>
      <c r="D9" s="86">
        <v>22</v>
      </c>
      <c r="E9" s="86">
        <v>23</v>
      </c>
      <c r="F9" s="86">
        <v>24</v>
      </c>
      <c r="G9" s="86">
        <v>25</v>
      </c>
      <c r="H9" s="86">
        <v>26</v>
      </c>
      <c r="I9" s="83"/>
    </row>
    <row r="10" spans="1:11" ht="15" x14ac:dyDescent="0.3">
      <c r="B10" s="93"/>
      <c r="C10" s="93"/>
      <c r="D10" s="93"/>
      <c r="E10" s="93"/>
      <c r="F10" s="93"/>
      <c r="G10" s="93"/>
      <c r="H10" s="93"/>
      <c r="I10" s="91">
        <f>SUM(B10:H10)</f>
        <v>0</v>
      </c>
    </row>
    <row r="11" spans="1:11" s="76" customFormat="1" ht="15" x14ac:dyDescent="0.25">
      <c r="A11" s="65"/>
      <c r="B11" s="88">
        <v>27</v>
      </c>
      <c r="C11" s="88">
        <v>28</v>
      </c>
      <c r="D11" s="88">
        <v>29</v>
      </c>
      <c r="E11" s="88">
        <v>30</v>
      </c>
      <c r="F11" s="88">
        <v>31</v>
      </c>
      <c r="G11" s="88">
        <v>32</v>
      </c>
      <c r="H11" s="88">
        <v>33</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H3">
    <cfRule type="expression" dxfId="65" priority="1">
      <formula>DAY(B3)&gt;8</formula>
    </cfRule>
  </conditionalFormatting>
  <conditionalFormatting sqref="B13:C13 B11:H11">
    <cfRule type="expression" dxfId="64"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xr:uid="{F21D596F-7488-4884-AC97-AC3FB77F7EBF}"/>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F3475C76-F424-46B7-933E-46BE7B480C29}">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9C410BF8-FD6D-4F8E-8C99-AF35F5D0849C}"/>
    <dataValidation allowBlank="1" showInputMessage="1" showErrorMessage="1" prompt="L’année figurant dans cette cellule est mise à jour automatiquement. Pour modifier l’année, sélectionnez une autre année dans la cellule K2" sqref="C1:D1" xr:uid="{E179E5E8-0901-4F05-9A63-7615623DC7EB}"/>
    <dataValidation allowBlank="1" showInputMessage="1" showErrorMessage="1" prompt="Entrez l’année et sélectionnez le jour de début du calendrier dans les cellules ci-dessous. Ces cellules Paramètres du calendrier ne s’imprimeront pas" sqref="J1" xr:uid="{44A521AE-19B4-4952-9E08-F6AA4042CCD1}"/>
    <dataValidation allowBlank="1" showInputMessage="1" showErrorMessage="1" prompt="Entrez l’année dans la cellule à droite" sqref="J2" xr:uid="{C352C1AB-6004-493E-A798-C39CA14A068E}"/>
    <dataValidation allowBlank="1" showInputMessage="1" showErrorMessage="1" prompt="Sélectionnez le jour de début de la semaine dans la cellule à droite" sqref="J3" xr:uid="{BA20986D-9B92-4138-A5D9-F8C52E779517}"/>
    <dataValidation allowBlank="1" showInputMessage="1" showErrorMessage="1" prompt="Entrez une année dans cette cellule" sqref="K2" xr:uid="{0699205A-9ED6-4EEA-94F3-74B061D11946}"/>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D800D5ED-AE5A-41CE-8345-D53B1AD55755}"/>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9ABA1DC1-4C87-44CA-AE9C-B13937C836B3}"/>
    <dataValidation allowBlank="1" showInputMessage="1" showErrorMessage="1" prompt="Jour de la semaine déterminé automatiquement" sqref="C2:H2" xr:uid="{DB288A3E-0373-4D88-AD14-8D0FE39E64A2}"/>
    <dataValidation allowBlank="1" showInputMessage="1" showErrorMessage="1" prompt="Cette ligne ainsi que les lignes 6, 8, 10, 12 et 14 sont des cellules destinées à la saisie de notes quotidiennes en rapport avec le jour civil figurant dans la cellule située au-dessus" sqref="B4 D4 F4 H4" xr:uid="{335876BB-1FD0-4D9F-AE23-E932B59F49EF}"/>
    <dataValidation allowBlank="1" showInputMessage="1" showErrorMessage="1" prompt="Entrez les Notes dans cette cellule" sqref="E13:H14" xr:uid="{88A0B4C7-3956-4819-85EB-0DB4BE9C0F62}"/>
    <dataValidation allowBlank="1" showInputMessage="1" showErrorMessage="1" prompt="Entrez les Notes dans la cellule à droite" sqref="D13:D14" xr:uid="{D4582ECF-9D22-4F4C-94D9-328426B7BC12}"/>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175861-E56E-4BAF-89E2-1336D35A528A}">
  <sheetPr codeName="Feuil13"/>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"Novembre  "&amp;AnnéeCalendrier</f>
        <v>Novembre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32</v>
      </c>
      <c r="H3" s="85">
        <v>33</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H3">
    <cfRule type="expression" dxfId="63" priority="1">
      <formula>DAY(B3)&gt;8</formula>
    </cfRule>
  </conditionalFormatting>
  <conditionalFormatting sqref="B13:C13 B11:H11">
    <cfRule type="expression" dxfId="62"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xr:uid="{BC9D191F-099D-4B4C-90AA-7ADF403913C7}"/>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442C84B9-09AD-42F9-A327-8C0580CD9AB9}">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B90D46F0-B54B-49DC-AC76-043A587EA361}"/>
    <dataValidation allowBlank="1" showInputMessage="1" showErrorMessage="1" prompt="L’année figurant dans cette cellule est mise à jour automatiquement. Pour modifier l’année, sélectionnez une autre année dans la cellule K2" sqref="C1:D1" xr:uid="{FE49414A-DAFE-41EE-B5AD-8CA6493E5A8A}"/>
    <dataValidation allowBlank="1" showInputMessage="1" showErrorMessage="1" prompt="Entrez l’année et sélectionnez le jour de début du calendrier dans les cellules ci-dessous. Ces cellules Paramètres du calendrier ne s’imprimeront pas" sqref="J1" xr:uid="{88E3D715-6159-490C-BB59-ECECF530AE74}"/>
    <dataValidation allowBlank="1" showInputMessage="1" showErrorMessage="1" prompt="Entrez l’année dans la cellule à droite" sqref="J2" xr:uid="{D7503E61-4291-4FE6-961A-329B5ABBF5FF}"/>
    <dataValidation allowBlank="1" showInputMessage="1" showErrorMessage="1" prompt="Sélectionnez le jour de début de la semaine dans la cellule à droite" sqref="J3" xr:uid="{8CC23190-72C7-4E4E-92F9-A435CC4CCF39}"/>
    <dataValidation allowBlank="1" showInputMessage="1" showErrorMessage="1" prompt="Entrez une année dans cette cellule" sqref="K2" xr:uid="{A490D460-9BAA-47BB-AFDA-684D3CB79E29}"/>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73962BD0-9F31-49C0-8369-B53245EDCFE9}"/>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E4D13308-58CD-45B1-A34E-BEF3EC208FB5}"/>
    <dataValidation allowBlank="1" showInputMessage="1" showErrorMessage="1" prompt="Jour de la semaine déterminé automatiquement" sqref="C2:H2" xr:uid="{9DCBE72B-B82C-4FF6-B19A-2634125FF74C}"/>
    <dataValidation allowBlank="1" showInputMessage="1" showErrorMessage="1" prompt="Cette ligne ainsi que les lignes 6, 8, 10, 12 et 14 sont des cellules destinées à la saisie de notes quotidiennes en rapport avec le jour civil figurant dans la cellule située au-dessus" sqref="B4 D4 F4 H4" xr:uid="{9754B0B9-A3D0-4B58-A064-2A511776DA24}"/>
    <dataValidation allowBlank="1" showInputMessage="1" showErrorMessage="1" prompt="Entrez les Notes dans cette cellule" sqref="E13:H14" xr:uid="{0404DD7D-E92A-4D0B-83FB-42D408B15257}"/>
    <dataValidation allowBlank="1" showInputMessage="1" showErrorMessage="1" prompt="Entrez les Notes dans la cellule à droite" sqref="D13:D14" xr:uid="{579C5D32-9734-4EC2-A3C9-6ACE50AA7F83}"/>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9EB574-240F-461A-817D-1693A10BA45F}">
  <sheetPr codeName="Feuil14"/>
  <dimension ref="A1:K14"/>
  <sheetViews>
    <sheetView workbookViewId="0">
      <selection activeCell="B20" sqref="B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"Décembre  "&amp;AnnéeCalendrier</f>
        <v>Décembre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31</v>
      </c>
      <c r="E11" s="88">
        <v>32</v>
      </c>
      <c r="F11" s="88">
        <v>33</v>
      </c>
      <c r="G11" s="88">
        <v>34</v>
      </c>
      <c r="H11" s="88">
        <v>35</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95" t="s">
        <v>72</v>
      </c>
      <c r="E13" s="96"/>
      <c r="F13" s="96"/>
      <c r="G13" s="96"/>
      <c r="H13" s="96"/>
    </row>
    <row r="14" spans="1:11" x14ac:dyDescent="0.3">
      <c r="B14" s="80"/>
      <c r="C14" s="80"/>
      <c r="D14" s="95"/>
      <c r="E14" s="96"/>
      <c r="F14" s="96"/>
      <c r="G14" s="96"/>
      <c r="H14" s="96"/>
    </row>
  </sheetData>
  <mergeCells count="2">
    <mergeCell ref="D13:D14"/>
    <mergeCell ref="E13:H14"/>
  </mergeCells>
  <conditionalFormatting sqref="B3:H3">
    <cfRule type="expression" dxfId="61" priority="1">
      <formula>DAY(B3)&gt;8</formula>
    </cfRule>
  </conditionalFormatting>
  <conditionalFormatting sqref="B13:C13 B11:H11">
    <cfRule type="expression" dxfId="60"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xr:uid="{F6750879-44F2-42C3-89B8-FB2E9D354C5B}"/>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xr:uid="{300B5BA5-328C-417F-A9F1-8B0795ABD474}">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xr:uid="{825D6ED6-695B-4F8F-99FD-9B2012F2C9D1}"/>
    <dataValidation allowBlank="1" showInputMessage="1" showErrorMessage="1" prompt="L’année figurant dans cette cellule est mise à jour automatiquement. Pour modifier l’année, sélectionnez une autre année dans la cellule K2" sqref="C1:D1" xr:uid="{79D967FC-AC8E-47DE-A4AA-D5F64B3EA0A2}"/>
    <dataValidation allowBlank="1" showInputMessage="1" showErrorMessage="1" prompt="Entrez l’année et sélectionnez le jour de début du calendrier dans les cellules ci-dessous. Ces cellules Paramètres du calendrier ne s’imprimeront pas" sqref="J1" xr:uid="{42739C86-5B95-45FA-B0FC-1276E484F9E7}"/>
    <dataValidation allowBlank="1" showInputMessage="1" showErrorMessage="1" prompt="Entrez l’année dans la cellule à droite" sqref="J2" xr:uid="{D1E3C5B3-D010-4DF6-95E8-440BA4239ABC}"/>
    <dataValidation allowBlank="1" showInputMessage="1" showErrorMessage="1" prompt="Sélectionnez le jour de début de la semaine dans la cellule à droite" sqref="J3" xr:uid="{2882F518-3D1B-45B0-B51A-358163B5359A}"/>
    <dataValidation allowBlank="1" showInputMessage="1" showErrorMessage="1" prompt="Entrez une année dans cette cellule" sqref="K2" xr:uid="{DB3AE2C8-27AB-4014-97D4-E04AE7AE874A}"/>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xr:uid="{5C705866-C060-4DAF-8883-6C6BA3CA559C}"/>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xr:uid="{990DD679-65AF-4159-9765-1B114971BA33}"/>
    <dataValidation allowBlank="1" showInputMessage="1" showErrorMessage="1" prompt="Jour de la semaine déterminé automatiquement" sqref="C2:H2" xr:uid="{7F370627-7CD1-4C25-8C8D-1AF5F7A5C02B}"/>
    <dataValidation allowBlank="1" showInputMessage="1" showErrorMessage="1" prompt="Cette ligne ainsi que les lignes 6, 8, 10, 12 et 14 sont des cellules destinées à la saisie de notes quotidiennes en rapport avec le jour civil figurant dans la cellule située au-dessus" sqref="B4 D4 F4 H4" xr:uid="{A7F6F745-6648-4D0C-852C-036A874388B3}"/>
    <dataValidation allowBlank="1" showInputMessage="1" showErrorMessage="1" prompt="Entrez les Notes dans cette cellule" sqref="E13:H14" xr:uid="{42F813EF-98A2-4442-8F4D-FA686B84FEAE}"/>
    <dataValidation allowBlank="1" showInputMessage="1" showErrorMessage="1" prompt="Entrez les Notes dans la cellule à droite" sqref="D13:D14" xr:uid="{629E32F0-F612-4F66-BA7C-6AE598385CE1}"/>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5">
    <tabColor theme="4" tint="0.39997558519241921"/>
    <pageSetUpPr fitToPage="1"/>
  </sheetPr>
  <dimension ref="A1:AD12"/>
  <sheetViews>
    <sheetView showGridLines="0" zoomScaleNormal="100" workbookViewId="0">
      <pane ySplit="3" topLeftCell="A4" activePane="bottomLeft" state="frozen"/>
      <selection pane="bottomLeft" activeCell="D11" sqref="D11"/>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28" t="str">
        <f>Titre_Feuille_Calcul</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33" t="str">
        <f ca="1">UPPER(TEXT(DATE(FYStartYear,FYMonthNo,1),"mmm-aa"))</f>
        <v>JANV-19</v>
      </c>
      <c r="E3" s="33" t="str">
        <f ca="1">UPPER(TEXT(DATE(FYStartYear,FYMonthNo+1,1),"mmm-aa"))</f>
        <v>FÉVR-19</v>
      </c>
      <c r="F3" s="33" t="str">
        <f ca="1">UPPER(TEXT(DATE(FYStartYear,FYMonthNo+2,1),"mmm-aa"))</f>
        <v>MARS-19</v>
      </c>
      <c r="G3" s="33" t="str">
        <f ca="1">UPPER(TEXT(DATE(FYStartYear,FYMonthNo+3,1),"mmm-aa"))</f>
        <v>AVR-19</v>
      </c>
      <c r="H3" s="33" t="str">
        <f ca="1">UPPER(TEXT(DATE(FYStartYear,FYMonthNo+4,1),"mmm-aa"))</f>
        <v>MAI-19</v>
      </c>
      <c r="I3" s="33" t="str">
        <f ca="1">UPPER(TEXT(DATE(FYStartYear,FYMonthNo+5,1),"mmm-aa"))</f>
        <v>JUIN-19</v>
      </c>
      <c r="J3" s="33" t="str">
        <f ca="1">UPPER(TEXT(DATE(FYStartYear,FYMonthNo+6,1),"mmm-aa"))</f>
        <v>JUIL-19</v>
      </c>
      <c r="K3" s="33" t="str">
        <f ca="1">UPPER(TEXT(DATE(FYStartYear,FYMonthNo+7,1),"mmm-aa"))</f>
        <v>AOÛT-19</v>
      </c>
      <c r="L3" s="33" t="str">
        <f ca="1">UPPER(TEXT(DATE(FYStartYear,FYMonthNo+8,1),"mmm-aa"))</f>
        <v>SEPT-19</v>
      </c>
      <c r="M3" s="33" t="str">
        <f ca="1">UPPER(TEXT(DATE(FYStartYear,FYMonthNo+9,1),"mmm-aa"))</f>
        <v>OCT-19</v>
      </c>
      <c r="N3" s="33" t="str">
        <f ca="1">UPPER(TEXT(DATE(FYStartYear,FYMonthNo+10,1),"mmm-aa"))</f>
        <v>NOV-19</v>
      </c>
      <c r="O3" s="33" t="str">
        <f ca="1">UPPER(TEXT(DATE(FYStartYear,FYMonthNo+11,1),"mmm-aa"))</f>
        <v>DÉC-19</v>
      </c>
      <c r="P3" s="33" t="s">
        <v>8</v>
      </c>
      <c r="Q3" s="33" t="s">
        <v>38</v>
      </c>
      <c r="R3" s="33" t="str">
        <f t="shared" ref="R3:AC3" ca="1" si="0">LEFT(D3,3)&amp;" %"</f>
        <v>JAN %</v>
      </c>
      <c r="S3" s="33" t="str">
        <f t="shared" ca="1" si="0"/>
        <v>FÉV %</v>
      </c>
      <c r="T3" s="33" t="str">
        <f t="shared" ca="1" si="0"/>
        <v>MAR %</v>
      </c>
      <c r="U3" s="33" t="str">
        <f t="shared" ca="1" si="0"/>
        <v>AVR %</v>
      </c>
      <c r="V3" s="33" t="str">
        <f t="shared" ca="1" si="0"/>
        <v>MAI %</v>
      </c>
      <c r="W3" s="33" t="str">
        <f t="shared" ca="1" si="0"/>
        <v>JUI %</v>
      </c>
      <c r="X3" s="33" t="str">
        <f t="shared" ca="1" si="0"/>
        <v>JUI %</v>
      </c>
      <c r="Y3" s="33" t="str">
        <f t="shared" ca="1" si="0"/>
        <v>AOÛ %</v>
      </c>
      <c r="Z3" s="33" t="str">
        <f t="shared" ca="1" si="0"/>
        <v>SEP %</v>
      </c>
      <c r="AA3" s="33" t="str">
        <f t="shared" ca="1" si="0"/>
        <v>OCT %</v>
      </c>
      <c r="AB3" s="33" t="str">
        <f t="shared" ca="1" si="0"/>
        <v>NOV %</v>
      </c>
      <c r="AC3" s="33" t="str">
        <f t="shared" ca="1" si="0"/>
        <v>DÉC %</v>
      </c>
      <c r="AD3" s="33" t="s">
        <v>39</v>
      </c>
    </row>
    <row r="4" spans="1:30" ht="30" customHeight="1" x14ac:dyDescent="0.3">
      <c r="B4" s="27" t="s">
        <v>12</v>
      </c>
      <c r="C4" s="27" t="s">
        <v>3</v>
      </c>
      <c r="D4" s="21" t="s">
        <v>41</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53" t="s">
        <v>63</v>
      </c>
      <c r="C5" s="29"/>
      <c r="D5" s="23">
        <v>61</v>
      </c>
      <c r="E5" s="23">
        <v>78</v>
      </c>
      <c r="F5" s="23">
        <v>65</v>
      </c>
      <c r="G5" s="23">
        <v>29</v>
      </c>
      <c r="H5" s="23">
        <v>125</v>
      </c>
      <c r="I5" s="23">
        <v>49</v>
      </c>
      <c r="J5" s="23">
        <v>14</v>
      </c>
      <c r="K5" s="23">
        <v>26</v>
      </c>
      <c r="L5" s="23">
        <v>14</v>
      </c>
      <c r="M5" s="23">
        <v>129</v>
      </c>
      <c r="N5" s="23">
        <v>60</v>
      </c>
      <c r="O5" s="23">
        <v>65</v>
      </c>
      <c r="P5" s="36">
        <f>SUM(CoûtdesVentes[[#This Row],[Janv]:[Déc]])</f>
        <v>715</v>
      </c>
      <c r="Q5" s="24">
        <v>0.12</v>
      </c>
      <c r="R5" s="37">
        <f>IFERROR(CoûtdesVentes[[#This Row],[Janv]]/CoûtdesVentes[[#Totals],[Janv]],"-")</f>
        <v>0.28504672897196259</v>
      </c>
      <c r="S5" s="37">
        <f>IFERROR(CoûtdesVentes[[#This Row],[Févr]]/CoûtdesVentes[[#Totals],[Févr]],"-")</f>
        <v>0.27464788732394368</v>
      </c>
      <c r="T5" s="37">
        <f>IFERROR(CoûtdesVentes[[#This Row],[Mars]]/CoûtdesVentes[[#Totals],[Mars]],"-")</f>
        <v>0.26748971193415638</v>
      </c>
      <c r="U5" s="37">
        <f>IFERROR(CoûtdesVentes[[#This Row],[Avr]]/CoûtdesVentes[[#Totals],[Avr]],"-")</f>
        <v>0.15343915343915343</v>
      </c>
      <c r="V5" s="37">
        <f>IFERROR(CoûtdesVentes[[#This Row],[Mai]]/CoûtdesVentes[[#Totals],[Mai]],"-")</f>
        <v>0.39308176100628933</v>
      </c>
      <c r="W5" s="37">
        <f>IFERROR(CoûtdesVentes[[#This Row],[Juin]]/CoûtdesVentes[[#Totals],[Juin]],"-")</f>
        <v>0.27374301675977653</v>
      </c>
      <c r="X5" s="37">
        <f>IFERROR(CoûtdesVentes[[#This Row],[Juil]]/CoûtdesVentes[[#Totals],[Juil]],"-")</f>
        <v>9.2715231788079472E-2</v>
      </c>
      <c r="Y5" s="37">
        <f>IFERROR(CoûtdesVentes[[#This Row],[Août]]/CoûtdesVentes[[#Totals],[Août]],"-")</f>
        <v>0.15568862275449102</v>
      </c>
      <c r="Z5" s="37">
        <f>IFERROR(CoûtdesVentes[[#This Row],[Sept]]/CoûtdesVentes[[#Totals],[Sept]],"-")</f>
        <v>5.8823529411764705E-2</v>
      </c>
      <c r="AA5" s="37">
        <f>IFERROR(CoûtdesVentes[[#This Row],[Oct]]/CoûtdesVentes[[#Totals],[Oct]],"-")</f>
        <v>0.53749999999999998</v>
      </c>
      <c r="AB5" s="37">
        <f>IFERROR(CoûtdesVentes[[#This Row],[Nov]]/CoûtdesVentes[[#Totals],[Nov]],"-")</f>
        <v>0.30927835051546393</v>
      </c>
      <c r="AC5" s="37">
        <f>IFERROR(CoûtdesVentes[[#This Row],[Déc]]/CoûtdesVentes[[#Totals],[Déc]],"-")</f>
        <v>0.20061728395061729</v>
      </c>
      <c r="AD5" s="37">
        <f>IFERROR(CoûtdesVentes[[#This Row],[Annuel]]/CoûtdesVentes[[#Totals],[Annuel]],"-")</f>
        <v>0.26085370302809191</v>
      </c>
    </row>
    <row r="6" spans="1:30" ht="30" customHeight="1" x14ac:dyDescent="0.3">
      <c r="B6" s="53" t="s">
        <v>64</v>
      </c>
      <c r="C6" s="29"/>
      <c r="D6" s="23">
        <v>7</v>
      </c>
      <c r="E6" s="23">
        <v>5</v>
      </c>
      <c r="F6" s="23">
        <v>69</v>
      </c>
      <c r="G6" s="23">
        <v>32</v>
      </c>
      <c r="H6" s="23">
        <v>11</v>
      </c>
      <c r="I6" s="23">
        <v>30</v>
      </c>
      <c r="J6" s="23">
        <v>27</v>
      </c>
      <c r="K6" s="23">
        <v>32</v>
      </c>
      <c r="L6" s="23">
        <v>10</v>
      </c>
      <c r="M6" s="23">
        <v>41</v>
      </c>
      <c r="N6" s="23">
        <v>13</v>
      </c>
      <c r="O6" s="23">
        <v>105</v>
      </c>
      <c r="P6" s="36">
        <f>SUM(CoûtdesVentes[[#This Row],[Janv]:[Déc]])</f>
        <v>382</v>
      </c>
      <c r="Q6" s="24">
        <v>0.18</v>
      </c>
      <c r="R6" s="37">
        <f>IFERROR(CoûtdesVentes[[#This Row],[Janv]]/CoûtdesVentes[[#Totals],[Janv]],"-")</f>
        <v>3.2710280373831772E-2</v>
      </c>
      <c r="S6" s="37">
        <f>IFERROR(CoûtdesVentes[[#This Row],[Févr]]/CoûtdesVentes[[#Totals],[Févr]],"-")</f>
        <v>1.7605633802816902E-2</v>
      </c>
      <c r="T6" s="37">
        <f>IFERROR(CoûtdesVentes[[#This Row],[Mars]]/CoûtdesVentes[[#Totals],[Mars]],"-")</f>
        <v>0.2839506172839506</v>
      </c>
      <c r="U6" s="37">
        <f>IFERROR(CoûtdesVentes[[#This Row],[Avr]]/CoûtdesVentes[[#Totals],[Avr]],"-")</f>
        <v>0.1693121693121693</v>
      </c>
      <c r="V6" s="37">
        <f>IFERROR(CoûtdesVentes[[#This Row],[Mai]]/CoûtdesVentes[[#Totals],[Mai]],"-")</f>
        <v>3.4591194968553458E-2</v>
      </c>
      <c r="W6" s="37">
        <f>IFERROR(CoûtdesVentes[[#This Row],[Juin]]/CoûtdesVentes[[#Totals],[Juin]],"-")</f>
        <v>0.16759776536312848</v>
      </c>
      <c r="X6" s="37">
        <f>IFERROR(CoûtdesVentes[[#This Row],[Juil]]/CoûtdesVentes[[#Totals],[Juil]],"-")</f>
        <v>0.17880794701986755</v>
      </c>
      <c r="Y6" s="37">
        <f>IFERROR(CoûtdesVentes[[#This Row],[Août]]/CoûtdesVentes[[#Totals],[Août]],"-")</f>
        <v>0.19161676646706588</v>
      </c>
      <c r="Z6" s="37">
        <f>IFERROR(CoûtdesVentes[[#This Row],[Sept]]/CoûtdesVentes[[#Totals],[Sept]],"-")</f>
        <v>4.2016806722689079E-2</v>
      </c>
      <c r="AA6" s="37">
        <f>IFERROR(CoûtdesVentes[[#This Row],[Oct]]/CoûtdesVentes[[#Totals],[Oct]],"-")</f>
        <v>0.17083333333333334</v>
      </c>
      <c r="AB6" s="37">
        <f>IFERROR(CoûtdesVentes[[#This Row],[Nov]]/CoûtdesVentes[[#Totals],[Nov]],"-")</f>
        <v>6.7010309278350513E-2</v>
      </c>
      <c r="AC6" s="37">
        <f>IFERROR(CoûtdesVentes[[#This Row],[Déc]]/CoûtdesVentes[[#Totals],[Déc]],"-")</f>
        <v>0.32407407407407407</v>
      </c>
      <c r="AD6" s="37">
        <f>IFERROR(CoûtdesVentes[[#This Row],[Annuel]]/CoûtdesVentes[[#Totals],[Annuel]],"-")</f>
        <v>0.13936519518423932</v>
      </c>
    </row>
    <row r="7" spans="1:30" ht="30" customHeight="1" x14ac:dyDescent="0.3">
      <c r="B7" s="53" t="s">
        <v>65</v>
      </c>
      <c r="C7" s="29"/>
      <c r="D7" s="23">
        <v>99</v>
      </c>
      <c r="E7" s="23">
        <v>95</v>
      </c>
      <c r="F7" s="23">
        <v>51</v>
      </c>
      <c r="G7" s="23">
        <v>90</v>
      </c>
      <c r="H7" s="23">
        <v>21</v>
      </c>
      <c r="I7" s="23">
        <v>34</v>
      </c>
      <c r="J7" s="23">
        <v>30</v>
      </c>
      <c r="K7" s="23">
        <v>24</v>
      </c>
      <c r="L7" s="23">
        <v>109</v>
      </c>
      <c r="M7" s="23">
        <v>16</v>
      </c>
      <c r="N7" s="23">
        <v>21</v>
      </c>
      <c r="O7" s="23">
        <v>52</v>
      </c>
      <c r="P7" s="36">
        <f>SUM(CoûtdesVentes[[#This Row],[Janv]:[Déc]])</f>
        <v>642</v>
      </c>
      <c r="Q7" s="24">
        <v>0.19</v>
      </c>
      <c r="R7" s="37">
        <f>IFERROR(CoûtdesVentes[[#This Row],[Janv]]/CoûtdesVentes[[#Totals],[Janv]],"-")</f>
        <v>0.46261682242990654</v>
      </c>
      <c r="S7" s="37">
        <f>IFERROR(CoûtdesVentes[[#This Row],[Févr]]/CoûtdesVentes[[#Totals],[Févr]],"-")</f>
        <v>0.33450704225352113</v>
      </c>
      <c r="T7" s="37">
        <f>IFERROR(CoûtdesVentes[[#This Row],[Mars]]/CoûtdesVentes[[#Totals],[Mars]],"-")</f>
        <v>0.20987654320987653</v>
      </c>
      <c r="U7" s="37">
        <f>IFERROR(CoûtdesVentes[[#This Row],[Avr]]/CoûtdesVentes[[#Totals],[Avr]],"-")</f>
        <v>0.47619047619047616</v>
      </c>
      <c r="V7" s="37">
        <f>IFERROR(CoûtdesVentes[[#This Row],[Mai]]/CoûtdesVentes[[#Totals],[Mai]],"-")</f>
        <v>6.6037735849056603E-2</v>
      </c>
      <c r="W7" s="37">
        <f>IFERROR(CoûtdesVentes[[#This Row],[Juin]]/CoûtdesVentes[[#Totals],[Juin]],"-")</f>
        <v>0.18994413407821228</v>
      </c>
      <c r="X7" s="37">
        <f>IFERROR(CoûtdesVentes[[#This Row],[Juil]]/CoûtdesVentes[[#Totals],[Juil]],"-")</f>
        <v>0.19867549668874171</v>
      </c>
      <c r="Y7" s="37">
        <f>IFERROR(CoûtdesVentes[[#This Row],[Août]]/CoûtdesVentes[[#Totals],[Août]],"-")</f>
        <v>0.1437125748502994</v>
      </c>
      <c r="Z7" s="37">
        <f>IFERROR(CoûtdesVentes[[#This Row],[Sept]]/CoûtdesVentes[[#Totals],[Sept]],"-")</f>
        <v>0.45798319327731091</v>
      </c>
      <c r="AA7" s="37">
        <f>IFERROR(CoûtdesVentes[[#This Row],[Oct]]/CoûtdesVentes[[#Totals],[Oct]],"-")</f>
        <v>6.6666666666666666E-2</v>
      </c>
      <c r="AB7" s="37">
        <f>IFERROR(CoûtdesVentes[[#This Row],[Nov]]/CoûtdesVentes[[#Totals],[Nov]],"-")</f>
        <v>0.10824742268041238</v>
      </c>
      <c r="AC7" s="37">
        <f>IFERROR(CoûtdesVentes[[#This Row],[Déc]]/CoûtdesVentes[[#Totals],[Déc]],"-")</f>
        <v>0.16049382716049382</v>
      </c>
      <c r="AD7" s="37">
        <f>IFERROR(CoûtdesVentes[[#This Row],[Annuel]]/CoûtdesVentes[[#Totals],[Annuel]],"-")</f>
        <v>0.23422108719445459</v>
      </c>
    </row>
    <row r="8" spans="1:30" ht="30" customHeight="1" x14ac:dyDescent="0.3">
      <c r="B8" s="53" t="s">
        <v>66</v>
      </c>
      <c r="C8" s="29"/>
      <c r="D8" s="23">
        <v>13</v>
      </c>
      <c r="E8" s="23">
        <v>28</v>
      </c>
      <c r="F8" s="23">
        <v>15</v>
      </c>
      <c r="G8" s="23">
        <v>8</v>
      </c>
      <c r="H8" s="23">
        <v>84</v>
      </c>
      <c r="I8" s="23">
        <v>12</v>
      </c>
      <c r="J8" s="23">
        <v>54</v>
      </c>
      <c r="K8" s="23">
        <v>72</v>
      </c>
      <c r="L8" s="23">
        <v>49</v>
      </c>
      <c r="M8" s="23">
        <v>24</v>
      </c>
      <c r="N8" s="23">
        <v>60</v>
      </c>
      <c r="O8" s="23">
        <v>39</v>
      </c>
      <c r="P8" s="36">
        <f>SUM(CoûtdesVentes[[#This Row],[Janv]:[Déc]])</f>
        <v>458</v>
      </c>
      <c r="Q8" s="24">
        <v>0.11</v>
      </c>
      <c r="R8" s="37">
        <f>IFERROR(CoûtdesVentes[[#This Row],[Janv]]/CoûtdesVentes[[#Totals],[Janv]],"-")</f>
        <v>6.0747663551401869E-2</v>
      </c>
      <c r="S8" s="37">
        <f>IFERROR(CoûtdesVentes[[#This Row],[Févr]]/CoûtdesVentes[[#Totals],[Févr]],"-")</f>
        <v>9.8591549295774641E-2</v>
      </c>
      <c r="T8" s="37">
        <f>IFERROR(CoûtdesVentes[[#This Row],[Mars]]/CoûtdesVentes[[#Totals],[Mars]],"-")</f>
        <v>6.1728395061728392E-2</v>
      </c>
      <c r="U8" s="37">
        <f>IFERROR(CoûtdesVentes[[#This Row],[Avr]]/CoûtdesVentes[[#Totals],[Avr]],"-")</f>
        <v>4.2328042328042326E-2</v>
      </c>
      <c r="V8" s="37">
        <f>IFERROR(CoûtdesVentes[[#This Row],[Mai]]/CoûtdesVentes[[#Totals],[Mai]],"-")</f>
        <v>0.26415094339622641</v>
      </c>
      <c r="W8" s="37">
        <f>IFERROR(CoûtdesVentes[[#This Row],[Juin]]/CoûtdesVentes[[#Totals],[Juin]],"-")</f>
        <v>6.7039106145251395E-2</v>
      </c>
      <c r="X8" s="37">
        <f>IFERROR(CoûtdesVentes[[#This Row],[Juil]]/CoûtdesVentes[[#Totals],[Juil]],"-")</f>
        <v>0.35761589403973509</v>
      </c>
      <c r="Y8" s="37">
        <f>IFERROR(CoûtdesVentes[[#This Row],[Août]]/CoûtdesVentes[[#Totals],[Août]],"-")</f>
        <v>0.43113772455089822</v>
      </c>
      <c r="Z8" s="37">
        <f>IFERROR(CoûtdesVentes[[#This Row],[Sept]]/CoûtdesVentes[[#Totals],[Sept]],"-")</f>
        <v>0.20588235294117646</v>
      </c>
      <c r="AA8" s="37">
        <f>IFERROR(CoûtdesVentes[[#This Row],[Oct]]/CoûtdesVentes[[#Totals],[Oct]],"-")</f>
        <v>0.1</v>
      </c>
      <c r="AB8" s="37">
        <f>IFERROR(CoûtdesVentes[[#This Row],[Nov]]/CoûtdesVentes[[#Totals],[Nov]],"-")</f>
        <v>0.30927835051546393</v>
      </c>
      <c r="AC8" s="37">
        <f>IFERROR(CoûtdesVentes[[#This Row],[Déc]]/CoûtdesVentes[[#Totals],[Déc]],"-")</f>
        <v>0.12037037037037036</v>
      </c>
      <c r="AD8" s="37">
        <f>IFERROR(CoûtdesVentes[[#This Row],[Annuel]]/CoûtdesVentes[[#Totals],[Annuel]],"-")</f>
        <v>0.16709230207953302</v>
      </c>
    </row>
    <row r="9" spans="1:30" ht="30" customHeight="1" x14ac:dyDescent="0.3">
      <c r="B9" s="53" t="s">
        <v>67</v>
      </c>
      <c r="C9" s="29"/>
      <c r="D9" s="23">
        <v>34</v>
      </c>
      <c r="E9" s="23">
        <v>78</v>
      </c>
      <c r="F9" s="23">
        <v>43</v>
      </c>
      <c r="G9" s="23">
        <v>30</v>
      </c>
      <c r="H9" s="23">
        <v>77</v>
      </c>
      <c r="I9" s="23">
        <v>54</v>
      </c>
      <c r="J9" s="23">
        <v>26</v>
      </c>
      <c r="K9" s="23">
        <v>13</v>
      </c>
      <c r="L9" s="23">
        <v>56</v>
      </c>
      <c r="M9" s="23">
        <v>30</v>
      </c>
      <c r="N9" s="23">
        <v>40</v>
      </c>
      <c r="O9" s="23">
        <v>63</v>
      </c>
      <c r="P9" s="36">
        <f>SUM(CoûtdesVentes[[#This Row],[Janv]:[Déc]])</f>
        <v>544</v>
      </c>
      <c r="Q9" s="24">
        <v>0.2</v>
      </c>
      <c r="R9" s="37">
        <f>IFERROR(CoûtdesVentes[[#This Row],[Janv]]/CoûtdesVentes[[#Totals],[Janv]],"-")</f>
        <v>0.15887850467289719</v>
      </c>
      <c r="S9" s="37">
        <f>IFERROR(CoûtdesVentes[[#This Row],[Févr]]/CoûtdesVentes[[#Totals],[Févr]],"-")</f>
        <v>0.27464788732394368</v>
      </c>
      <c r="T9" s="37">
        <f>IFERROR(CoûtdesVentes[[#This Row],[Mars]]/CoûtdesVentes[[#Totals],[Mars]],"-")</f>
        <v>0.17695473251028807</v>
      </c>
      <c r="U9" s="37">
        <f>IFERROR(CoûtdesVentes[[#This Row],[Avr]]/CoûtdesVentes[[#Totals],[Avr]],"-")</f>
        <v>0.15873015873015872</v>
      </c>
      <c r="V9" s="37">
        <f>IFERROR(CoûtdesVentes[[#This Row],[Mai]]/CoûtdesVentes[[#Totals],[Mai]],"-")</f>
        <v>0.24213836477987422</v>
      </c>
      <c r="W9" s="37">
        <f>IFERROR(CoûtdesVentes[[#This Row],[Juin]]/CoûtdesVentes[[#Totals],[Juin]],"-")</f>
        <v>0.3016759776536313</v>
      </c>
      <c r="X9" s="37">
        <f>IFERROR(CoûtdesVentes[[#This Row],[Juil]]/CoûtdesVentes[[#Totals],[Juil]],"-")</f>
        <v>0.17218543046357615</v>
      </c>
      <c r="Y9" s="37">
        <f>IFERROR(CoûtdesVentes[[#This Row],[Août]]/CoûtdesVentes[[#Totals],[Août]],"-")</f>
        <v>7.7844311377245512E-2</v>
      </c>
      <c r="Z9" s="37">
        <f>IFERROR(CoûtdesVentes[[#This Row],[Sept]]/CoûtdesVentes[[#Totals],[Sept]],"-")</f>
        <v>0.23529411764705882</v>
      </c>
      <c r="AA9" s="37">
        <f>IFERROR(CoûtdesVentes[[#This Row],[Oct]]/CoûtdesVentes[[#Totals],[Oct]],"-")</f>
        <v>0.125</v>
      </c>
      <c r="AB9" s="37">
        <f>IFERROR(CoûtdesVentes[[#This Row],[Nov]]/CoûtdesVentes[[#Totals],[Nov]],"-")</f>
        <v>0.20618556701030927</v>
      </c>
      <c r="AC9" s="37">
        <f>IFERROR(CoûtdesVentes[[#This Row],[Déc]]/CoûtdesVentes[[#Totals],[Déc]],"-")</f>
        <v>0.19444444444444445</v>
      </c>
      <c r="AD9" s="37">
        <f>IFERROR(CoûtdesVentes[[#This Row],[Annuel]]/CoûtdesVentes[[#Totals],[Annuel]],"-")</f>
        <v>0.19846771251368114</v>
      </c>
    </row>
    <row r="10" spans="1:30" ht="30" customHeight="1" x14ac:dyDescent="0.3">
      <c r="B10" s="9" t="s">
        <v>13</v>
      </c>
      <c r="C10" s="25"/>
      <c r="D10" s="34">
        <f>SUBTOTAL(109,CoûtdesVentes[Janv])</f>
        <v>214</v>
      </c>
      <c r="E10" s="34">
        <f>SUBTOTAL(109,CoûtdesVentes[Févr])</f>
        <v>284</v>
      </c>
      <c r="F10" s="34">
        <f>SUBTOTAL(109,CoûtdesVentes[Mars])</f>
        <v>243</v>
      </c>
      <c r="G10" s="34">
        <f>SUBTOTAL(109,CoûtdesVentes[Avr])</f>
        <v>189</v>
      </c>
      <c r="H10" s="34">
        <f>SUBTOTAL(109,CoûtdesVentes[Mai])</f>
        <v>318</v>
      </c>
      <c r="I10" s="34">
        <f>SUBTOTAL(109,CoûtdesVentes[Juin])</f>
        <v>179</v>
      </c>
      <c r="J10" s="34">
        <f>SUBTOTAL(109,CoûtdesVentes[Juil])</f>
        <v>151</v>
      </c>
      <c r="K10" s="34">
        <f>SUBTOTAL(109,CoûtdesVentes[Août])</f>
        <v>167</v>
      </c>
      <c r="L10" s="34">
        <f>SUBTOTAL(109,CoûtdesVentes[Sept])</f>
        <v>238</v>
      </c>
      <c r="M10" s="34">
        <f>SUBTOTAL(109,CoûtdesVentes[Oct])</f>
        <v>240</v>
      </c>
      <c r="N10" s="34">
        <f>SUBTOTAL(109,CoûtdesVentes[Nov])</f>
        <v>194</v>
      </c>
      <c r="O10" s="34">
        <f>SUBTOTAL(109,CoûtdesVentes[Déc])</f>
        <v>324</v>
      </c>
      <c r="P10" s="34">
        <f>SUBTOTAL(109,CoûtdesVentes[Annuel])</f>
        <v>2741</v>
      </c>
      <c r="Q10" s="15">
        <f>SUBTOTAL(109,CoûtdesVentes[Index %])</f>
        <v>0.8</v>
      </c>
      <c r="R10" s="26">
        <f>SUBTOTAL(109,CoûtdesVentes[Jan %])</f>
        <v>1</v>
      </c>
      <c r="S10" s="26">
        <f>SUBTOTAL(109,CoûtdesVentes[Fév %])</f>
        <v>1</v>
      </c>
      <c r="T10" s="26">
        <f>SUBTOTAL(109,CoûtdesVentes[Mar %])</f>
        <v>1</v>
      </c>
      <c r="U10" s="26">
        <f>SUBTOTAL(109,CoûtdesVentes[Avr %])</f>
        <v>0.99999999999999989</v>
      </c>
      <c r="V10" s="26">
        <f>SUBTOTAL(109,CoûtdesVentes[Mai %])</f>
        <v>1</v>
      </c>
      <c r="W10" s="26">
        <f>SUBTOTAL(109,CoûtdesVentes[Jui %])</f>
        <v>1</v>
      </c>
      <c r="X10" s="26">
        <f>SUBTOTAL(109,CoûtdesVentes[Jui % ])</f>
        <v>1</v>
      </c>
      <c r="Y10" s="26">
        <f>SUBTOTAL(109,CoûtdesVentes[Aoû %])</f>
        <v>1</v>
      </c>
      <c r="Z10" s="26">
        <f>SUBTOTAL(109,CoûtdesVentes[Sep %])</f>
        <v>1</v>
      </c>
      <c r="AA10" s="26">
        <f>SUBTOTAL(109,CoûtdesVentes[Oct %])</f>
        <v>0.99999999999999989</v>
      </c>
      <c r="AB10" s="26">
        <f>SUBTOTAL(109,CoûtdesVentes[Nov %])</f>
        <v>1</v>
      </c>
      <c r="AC10" s="26">
        <f>SUBTOTAL(109,CoûtdesVentes[Déc %])</f>
        <v>0.99999999999999989</v>
      </c>
      <c r="AD10" s="26">
        <f>SUBTOTAL(109,CoûtdesVentes[Année %])</f>
        <v>1</v>
      </c>
    </row>
    <row r="11" spans="1:30" ht="30" customHeight="1" x14ac:dyDescent="0.3">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row>
    <row r="12" spans="1:30" ht="30" customHeight="1" x14ac:dyDescent="0.3">
      <c r="B12" s="12" t="s">
        <v>14</v>
      </c>
      <c r="C12" s="12"/>
      <c r="D12" s="35">
        <f>Chiffre_daffaires[[#Totals],[Janv]]-CoûtdesVentes[[#Totals],[Janv]]</f>
        <v>-214</v>
      </c>
      <c r="E12" s="35">
        <f>Chiffre_daffaires[[#Totals],[Févr]]-CoûtdesVentes[[#Totals],[Févr]]</f>
        <v>-284</v>
      </c>
      <c r="F12" s="35">
        <f>Chiffre_daffaires[[#Totals],[Mars]]-CoûtdesVentes[[#Totals],[Mars]]</f>
        <v>-243</v>
      </c>
      <c r="G12" s="35">
        <f>Chiffre_daffaires[[#Totals],[Avr]]-CoûtdesVentes[[#Totals],[Avr]]</f>
        <v>-189</v>
      </c>
      <c r="H12" s="35">
        <f>Chiffre_daffaires[[#Totals],[Mai]]-CoûtdesVentes[[#Totals],[Mai]]</f>
        <v>-318</v>
      </c>
      <c r="I12" s="35">
        <f>Chiffre_daffaires[[#Totals],[Juin]]-CoûtdesVentes[[#Totals],[Juin]]</f>
        <v>-179</v>
      </c>
      <c r="J12" s="35">
        <f>Chiffre_daffaires[[#Totals],[Juil]]-CoûtdesVentes[[#Totals],[Juil]]</f>
        <v>-151</v>
      </c>
      <c r="K12" s="35">
        <f>Chiffre_daffaires[[#Totals],[Août]]-CoûtdesVentes[[#Totals],[Août]]</f>
        <v>-167</v>
      </c>
      <c r="L12" s="35">
        <f>Chiffre_daffaires[[#Totals],[Sept]]-CoûtdesVentes[[#Totals],[Sept]]</f>
        <v>-238</v>
      </c>
      <c r="M12" s="35">
        <f>Chiffre_daffaires[[#Totals],[Oct]]-CoûtdesVentes[[#Totals],[Oct]]</f>
        <v>-240</v>
      </c>
      <c r="N12" s="35">
        <f>Chiffre_daffaires[[#Totals],[Nov]]-CoûtdesVentes[[#Totals],[Nov]]</f>
        <v>-194</v>
      </c>
      <c r="O12" s="35">
        <f>Chiffre_daffaires[[#Totals],[Déc]]-CoûtdesVentes[[#Totals],[Déc]]</f>
        <v>-324</v>
      </c>
      <c r="P12" s="35">
        <f>Chiffre_daffaires[[#Totals],[Annuel]]-CoûtdesVentes[[#Totals],[Annuel]]</f>
        <v>-2741</v>
      </c>
      <c r="Q12" s="12"/>
      <c r="R12" s="13">
        <f t="shared" ref="R12:AD12" si="1">D12/$P$12</f>
        <v>7.8073695731484857E-2</v>
      </c>
      <c r="S12" s="13">
        <f t="shared" si="1"/>
        <v>0.10361182050346589</v>
      </c>
      <c r="T12" s="13">
        <f t="shared" si="1"/>
        <v>8.8653775994162715E-2</v>
      </c>
      <c r="U12" s="13">
        <f t="shared" si="1"/>
        <v>6.8952936884348781E-2</v>
      </c>
      <c r="V12" s="13">
        <f t="shared" si="1"/>
        <v>0.11601605253557096</v>
      </c>
      <c r="W12" s="13">
        <f t="shared" si="1"/>
        <v>6.5304633345494342E-2</v>
      </c>
      <c r="X12" s="13">
        <f t="shared" si="1"/>
        <v>5.508938343670193E-2</v>
      </c>
      <c r="Y12" s="13">
        <f t="shared" si="1"/>
        <v>6.0926669098869027E-2</v>
      </c>
      <c r="Z12" s="13">
        <f t="shared" si="1"/>
        <v>8.6829624224735502E-2</v>
      </c>
      <c r="AA12" s="13">
        <f t="shared" si="1"/>
        <v>8.7559284932506379E-2</v>
      </c>
      <c r="AB12" s="13">
        <f t="shared" si="1"/>
        <v>7.0777088653775994E-2</v>
      </c>
      <c r="AC12" s="13">
        <f t="shared" si="1"/>
        <v>0.11820503465888361</v>
      </c>
      <c r="AD12" s="13">
        <f t="shared" si="1"/>
        <v>1</v>
      </c>
    </row>
  </sheetData>
  <dataValidations xWindow="435" yWindow="418" count="18">
    <dataValidation allowBlank="1" showInputMessage="1" showErrorMessage="1" prompt="La marge brute pour chaque mois et année est calculée automatiquement dans cette ligne en fonction du total des ventes et du coût total des ventes" sqref="B12" xr:uid="{00000000-0002-0000-0100-000000000000}"/>
    <dataValidation allowBlank="1" showInputMessage="1" showErrorMessage="1" prompt="Cette feuille de calcul calcule le coût total des ventes pour chaque mois et année, ainsi que le coût annuel des ventes pour les éléments. La marge brute est calculée automatiquement en fonction des entrées" sqref="A1" xr:uid="{00000000-0002-0000-0100-000001000000}"/>
    <dataValidation allowBlank="1" showInputMessage="1" showErrorMessage="1" prompt="Cette cellule est automatiquement mise à jour à partir du titre de la période de prévision de la feuille de calcul Chiffre d’affaires (ventes)" sqref="B1" xr:uid="{00000000-0002-0000-0100-000002000000}"/>
    <dataValidation allowBlank="1" showInputMessage="1" showErrorMessage="1" prompt="Le nom de l’entreprise est automatiquement mis à jour à l’aide de l’entrée indiquée dans la feuille de calcul Chiffre d’affaires (ventes)" sqref="AD1" xr:uid="{00000000-0002-0000-0100-000003000000}"/>
    <dataValidation allowBlank="1" showInputMessage="1" showErrorMessage="1" prompt="Titre automatiquement mis à jour à partir de la feuille de calcul Chiffre d’affaires (ventes) Entrez des valeurs dans le tableau Coût des ventes ci-dessous pour calculer le coût total des ventes" sqref="B2" xr:uid="{00000000-0002-0000-0100-000004000000}"/>
    <dataValidation allowBlank="1" showInputMessage="1" showErrorMessage="1" prompt="Le mois et l’année sont automatiquement mis à jour dans les cellules à droite. Pour modifier le mois ou l’année, modifiez les cellules AC2 et AD2 de la feuille de calcul Chiffre d’affaires (ventes)" sqref="AB2" xr:uid="{00000000-0002-0000-0100-000005000000}"/>
    <dataValidation allowBlank="1" showInputMessage="1" showErrorMessage="1" prompt="Entrez le pourcentage d’index dans cette colonne" sqref="Q4" xr:uid="{00000000-0002-0000-0100-000006000000}"/>
    <dataValidation allowBlank="1" showInputMessage="1" showErrorMessage="1" prompt="Entrez dans cette colonne le coût des sources répertoriées dans la colonne B" sqref="D4:O4" xr:uid="{00000000-0002-0000-0100-000007000000}"/>
    <dataValidation allowBlank="1" showInputMessage="1" showErrorMessage="1" prompt="Un graphique de tendance représentant les coûts au fil du temps figure dans cette colonne" sqref="C4" xr:uid="{00000000-0002-0000-0100-000008000000}"/>
    <dataValidation allowBlank="1" showInputMessage="1" showErrorMessage="1" prompt="Entrez le coût des ventes dans cette colonne" sqref="B4" xr:uid="{00000000-0002-0000-0100-000009000000}"/>
    <dataValidation allowBlank="1" showInputMessage="1" showErrorMessage="1" prompt="Calcule automatiquement la proportion du coût des ventes des différentes sources par rapport aux ventes totales pour l’année figurant dans cette colonne" sqref="AD3" xr:uid="{00000000-0002-0000-0100-00000A000000}"/>
    <dataValidation allowBlank="1" showInputMessage="1" showErrorMessage="1" prompt="Calcule automatiquement dans cette colonne la proportion du coût des ventes des différentes sources par rapport aux ventes totales pour le mois figurant dans cette cellule" sqref="R3:AC3" xr:uid="{00000000-0002-0000-0100-00000B000000}"/>
    <dataValidation allowBlank="1" showInputMessage="1" showErrorMessage="1" prompt="Mois automatiquement mis à jour" sqref="E3:O3" xr:uid="{00000000-0002-0000-0100-00000C000000}"/>
    <dataValidation allowBlank="1" showInputMessage="1" showErrorMessage="1" prompt="Les dates de cette ligne sont automatiquement mises à jour en fonction du mois de début de chaque exercice. Pour modifier le mois de début, modifiez la cellule AC2 de la feuille de calcul Chiffre d’affaires (ventes)" sqref="D3" xr:uid="{00000000-0002-0000-0100-00000D000000}"/>
    <dataValidation allowBlank="1" showInputMessage="1" showErrorMessage="1" prompt="Le coût annuel est calculé automatiquement dans cette colonne" sqref="P3" xr:uid="{00000000-0002-0000-0100-00000E000000}"/>
    <dataValidation allowBlank="1" showInputMessage="1" showErrorMessage="1" prompt="Le pourcentage d’index figure dans cette colonne" sqref="Q3" xr:uid="{00000000-0002-0000-0100-00000F000000}"/>
    <dataValidation allowBlank="1" showInputMessage="1" showErrorMessage="1" prompt="Mois automatiquement mis à jour. Pour modifier, modifiez la cellule AC2 de la feuille de calcul Chiffre d’affaires (ventes)" sqref="AC2" xr:uid="{00000000-0002-0000-0100-000010000000}"/>
    <dataValidation allowBlank="1" showInputMessage="1" showErrorMessage="1" prompt="Année automatiquement mise à jour Pour modifier, modifiez la cellule AD2 de la feuille de calcul Chiffre d’affaires (ventes)" sqref="AD2" xr:uid="{00000000-0002-0000-0100-000011000000}"/>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r2:uid="{00000000-0003-0000-0100-000003000000}">
          <x14:colorSeries theme="3"/>
          <x14:colorNegative theme="5"/>
          <x14:colorAxis rgb="FF000000"/>
          <x14:colorMarkers theme="4" tint="-0.499984740745262"/>
          <x14:colorFirst theme="4" tint="0.39997558519241921"/>
          <x14:colorLast theme="4" tint="0.39997558519241921"/>
          <x14:colorHigh theme="3"/>
          <x14:colorLow theme="3"/>
          <x14:sparklines>
            <x14:sparkline>
              <xm:f>Frais!D5:O5</xm:f>
              <xm:sqref>C5</xm:sqref>
            </x14:sparkline>
            <x14:sparkline>
              <xm:f>Frais!D6:O6</xm:f>
              <xm:sqref>C6</xm:sqref>
            </x14:sparkline>
            <x14:sparkline>
              <xm:f>Frais!D7:O7</xm:f>
              <xm:sqref>C7</xm:sqref>
            </x14:sparkline>
            <x14:sparkline>
              <xm:f>Frais!D8:O8</xm:f>
              <xm:sqref>C8</xm:sqref>
            </x14:sparkline>
            <x14:sparkline>
              <xm:f>Frais!D9:O9</xm:f>
              <xm:sqref>C9</xm:sqref>
            </x14:sparkline>
          </x14:sparklines>
        </x14:sparklineGroup>
        <x14:sparklineGroup lineWeight="1" displayEmptyCellsAs="gap" high="1" low="1" xr2:uid="{00000000-0003-0000-0100-000002000000}">
          <x14:colorSeries theme="3"/>
          <x14:colorNegative theme="5"/>
          <x14:colorAxis rgb="FF000000"/>
          <x14:colorMarkers theme="4" tint="-0.499984740745262"/>
          <x14:colorFirst theme="4" tint="0.39997558519241921"/>
          <x14:colorLast theme="4" tint="0.39997558519241921"/>
          <x14:colorHigh theme="3"/>
          <x14:colorLow theme="3"/>
          <x14:sparklines>
            <x14:sparkline>
              <xm:f>Frais!D10:O10</xm:f>
              <xm:sqref>C10</xm:sqref>
            </x14:sparkline>
          </x14:sparklines>
        </x14:sparklineGroup>
      </x14:sparklineGroup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6">
    <tabColor theme="6" tint="0.39997558519241921"/>
    <pageSetUpPr fitToPage="1"/>
  </sheetPr>
  <dimension ref="A1:AD26"/>
  <sheetViews>
    <sheetView showGridLines="0" workbookViewId="0">
      <pane ySplit="3" topLeftCell="A19" activePane="bottomLeft" state="frozen"/>
      <selection pane="bottomLeft" activeCell="D26" sqref="D26"/>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4" t="str">
        <f>'Chiffre d’affaires'!$B$2</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19" t="str">
        <f ca="1">UPPER(TEXT(DATE(FYStartYear,FYMonthNo,1),"mmm-aa"))</f>
        <v>JANV-19</v>
      </c>
      <c r="E3" s="19" t="str">
        <f ca="1">UPPER(TEXT(DATE(FYStartYear,FYMonthNo+1,1),"mmm-aa"))</f>
        <v>FÉVR-19</v>
      </c>
      <c r="F3" s="19" t="str">
        <f ca="1">UPPER(TEXT(DATE(FYStartYear,FYMonthNo+2,1),"mmm-aa"))</f>
        <v>MARS-19</v>
      </c>
      <c r="G3" s="19" t="str">
        <f ca="1">UPPER(TEXT(DATE(FYStartYear,FYMonthNo+3,1),"mmm-aa"))</f>
        <v>AVR-19</v>
      </c>
      <c r="H3" s="19" t="str">
        <f ca="1">UPPER(TEXT(DATE(FYStartYear,FYMonthNo+4,1),"mmm-aa"))</f>
        <v>MAI-19</v>
      </c>
      <c r="I3" s="19" t="str">
        <f ca="1">UPPER(TEXT(DATE(FYStartYear,FYMonthNo+5,1),"mmm-aa"))</f>
        <v>JUIN-19</v>
      </c>
      <c r="J3" s="19" t="str">
        <f ca="1">UPPER(TEXT(DATE(FYStartYear,FYMonthNo+6,1),"mmm-aa"))</f>
        <v>JUIL-19</v>
      </c>
      <c r="K3" s="19" t="str">
        <f ca="1">UPPER(TEXT(DATE(FYStartYear,FYMonthNo+7,1),"mmm-aa"))</f>
        <v>AOÛT-19</v>
      </c>
      <c r="L3" s="19" t="str">
        <f ca="1">UPPER(TEXT(DATE(FYStartYear,FYMonthNo+8,1),"mmm-aa"))</f>
        <v>SEPT-19</v>
      </c>
      <c r="M3" s="19" t="str">
        <f ca="1">UPPER(TEXT(DATE(FYStartYear,FYMonthNo+9,1),"mmm-aa"))</f>
        <v>OCT-19</v>
      </c>
      <c r="N3" s="19" t="str">
        <f ca="1">UPPER(TEXT(DATE(FYStartYear,FYMonthNo+10,1),"mmm-aa"))</f>
        <v>NOV-19</v>
      </c>
      <c r="O3" s="19" t="str">
        <f ca="1">UPPER(TEXT(DATE(FYStartYear,FYMonthNo+11,1),"mmm-aa"))</f>
        <v>DÉC-19</v>
      </c>
      <c r="P3" s="19" t="s">
        <v>8</v>
      </c>
      <c r="Q3" s="19" t="s">
        <v>38</v>
      </c>
      <c r="R3" s="19" t="str">
        <f t="shared" ref="R3:AC3" ca="1" si="0">LEFT(D3,3)&amp;" %"</f>
        <v>JAN %</v>
      </c>
      <c r="S3" s="19" t="str">
        <f t="shared" ca="1" si="0"/>
        <v>FÉV %</v>
      </c>
      <c r="T3" s="19" t="str">
        <f t="shared" ca="1" si="0"/>
        <v>MAR %</v>
      </c>
      <c r="U3" s="19" t="str">
        <f t="shared" ca="1" si="0"/>
        <v>AVR %</v>
      </c>
      <c r="V3" s="19" t="str">
        <f t="shared" ca="1" si="0"/>
        <v>MAI %</v>
      </c>
      <c r="W3" s="19" t="str">
        <f t="shared" ca="1" si="0"/>
        <v>JUI %</v>
      </c>
      <c r="X3" s="19" t="str">
        <f t="shared" ca="1" si="0"/>
        <v>JUI %</v>
      </c>
      <c r="Y3" s="19" t="str">
        <f t="shared" ca="1" si="0"/>
        <v>AOÛ %</v>
      </c>
      <c r="Z3" s="19" t="str">
        <f t="shared" ca="1" si="0"/>
        <v>SEP %</v>
      </c>
      <c r="AA3" s="19" t="str">
        <f t="shared" ca="1" si="0"/>
        <v>OCT %</v>
      </c>
      <c r="AB3" s="19" t="str">
        <f t="shared" ca="1" si="0"/>
        <v>NOV %</v>
      </c>
      <c r="AC3" s="19" t="str">
        <f t="shared" ca="1" si="0"/>
        <v>DÉC %</v>
      </c>
      <c r="AD3" s="19" t="s">
        <v>39</v>
      </c>
    </row>
    <row r="4" spans="1:30" ht="30" customHeight="1" x14ac:dyDescent="0.3">
      <c r="B4" s="27" t="s">
        <v>16</v>
      </c>
      <c r="C4" s="27" t="s">
        <v>3</v>
      </c>
      <c r="D4" s="21" t="s">
        <v>37</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14" t="s">
        <v>17</v>
      </c>
      <c r="C5" s="30" t="s">
        <v>36</v>
      </c>
      <c r="D5" s="23">
        <v>10</v>
      </c>
      <c r="E5" s="23">
        <v>18</v>
      </c>
      <c r="F5" s="23">
        <v>13</v>
      </c>
      <c r="G5" s="23">
        <v>8</v>
      </c>
      <c r="H5" s="23">
        <v>22</v>
      </c>
      <c r="I5" s="23">
        <v>18</v>
      </c>
      <c r="J5" s="23">
        <v>8</v>
      </c>
      <c r="K5" s="23">
        <v>17</v>
      </c>
      <c r="L5" s="23">
        <v>20</v>
      </c>
      <c r="M5" s="23">
        <v>8</v>
      </c>
      <c r="N5" s="23">
        <v>4</v>
      </c>
      <c r="O5" s="23">
        <v>12</v>
      </c>
      <c r="P5" s="31">
        <f>SUM(tblDépenses[[#This Row],[Colonne1]:[Déc]])</f>
        <v>158</v>
      </c>
      <c r="Q5" s="24">
        <v>0.12</v>
      </c>
      <c r="R5" s="32">
        <f>tblDépenses[[#This Row],[Colonne1]]/tblDépenses[[#Totals],[Colonne1]]</f>
        <v>4.2372881355932202E-2</v>
      </c>
      <c r="S5" s="32">
        <f>tblDépenses[[#This Row],[Févr]]/tblDépenses[[#Totals],[Févr]]</f>
        <v>8.7804878048780483E-2</v>
      </c>
      <c r="T5" s="32">
        <f>tblDépenses[[#This Row],[Mars]]/tblDépenses[[#Totals],[Mars]]</f>
        <v>5.2208835341365459E-2</v>
      </c>
      <c r="U5" s="32">
        <f>tblDépenses[[#This Row],[Avr]]/tblDépenses[[#Totals],[Avr]]</f>
        <v>3.0651340996168581E-2</v>
      </c>
      <c r="V5" s="32">
        <f>tblDépenses[[#This Row],[Mai]]/tblDépenses[[#Totals],[Mai]]</f>
        <v>8.5603112840466927E-2</v>
      </c>
      <c r="W5" s="32">
        <f>tblDépenses[[#This Row],[Juin]]/tblDépenses[[#Totals],[Juin]]</f>
        <v>6.569343065693431E-2</v>
      </c>
      <c r="X5" s="32">
        <f>tblDépenses[[#This Row],[Juil]]/tblDépenses[[#Totals],[Juil]]</f>
        <v>3.007518796992481E-2</v>
      </c>
      <c r="Y5" s="32">
        <f>tblDépenses[[#This Row],[Août]]/tblDépenses[[#Totals],[Août]]</f>
        <v>7.2340425531914887E-2</v>
      </c>
      <c r="Z5" s="32">
        <f>tblDépenses[[#This Row],[Sept]]/tblDépenses[[#Totals],[Sept]]</f>
        <v>8.6956521739130432E-2</v>
      </c>
      <c r="AA5" s="32">
        <f>tblDépenses[[#This Row],[Oct]]/tblDépenses[[#Totals],[Oct]]</f>
        <v>3.0888030888030889E-2</v>
      </c>
      <c r="AB5" s="32">
        <f>tblDépenses[[#This Row],[Nov]]/tblDépenses[[#Totals],[Nov]]</f>
        <v>1.3513513513513514E-2</v>
      </c>
      <c r="AC5" s="32">
        <f>tblDépenses[[#This Row],[Déc]]/tblDépenses[[#Totals],[Déc]]</f>
        <v>5.1948051948051951E-2</v>
      </c>
      <c r="AD5" s="32">
        <f>tblDépenses[[#This Row],[Annuel]]/tblDépenses[[#Totals],[Annuel]]</f>
        <v>5.2684228076025338E-2</v>
      </c>
    </row>
    <row r="6" spans="1:30" ht="30" customHeight="1" x14ac:dyDescent="0.3">
      <c r="B6" s="14" t="s">
        <v>18</v>
      </c>
      <c r="C6" s="30" t="s">
        <v>36</v>
      </c>
      <c r="D6" s="23">
        <v>23</v>
      </c>
      <c r="E6" s="23">
        <v>11</v>
      </c>
      <c r="F6" s="23">
        <v>7</v>
      </c>
      <c r="G6" s="23">
        <v>14</v>
      </c>
      <c r="H6" s="23">
        <v>12</v>
      </c>
      <c r="I6" s="23">
        <v>19</v>
      </c>
      <c r="J6" s="23">
        <v>19</v>
      </c>
      <c r="K6" s="23">
        <v>4</v>
      </c>
      <c r="L6" s="23">
        <v>7</v>
      </c>
      <c r="M6" s="23">
        <v>13</v>
      </c>
      <c r="N6" s="23">
        <v>25</v>
      </c>
      <c r="O6" s="23">
        <v>5</v>
      </c>
      <c r="P6" s="31">
        <f>SUM(tblDépenses[[#This Row],[Colonne1]:[Déc]])</f>
        <v>159</v>
      </c>
      <c r="Q6" s="24">
        <v>0.09</v>
      </c>
      <c r="R6" s="32">
        <f>tblDépenses[[#This Row],[Colonne1]]/tblDépenses[[#Totals],[Colonne1]]</f>
        <v>9.7457627118644072E-2</v>
      </c>
      <c r="S6" s="32">
        <f>tblDépenses[[#This Row],[Févr]]/tblDépenses[[#Totals],[Févr]]</f>
        <v>5.3658536585365853E-2</v>
      </c>
      <c r="T6" s="32">
        <f>tblDépenses[[#This Row],[Mars]]/tblDépenses[[#Totals],[Mars]]</f>
        <v>2.8112449799196786E-2</v>
      </c>
      <c r="U6" s="32">
        <f>tblDépenses[[#This Row],[Avr]]/tblDépenses[[#Totals],[Avr]]</f>
        <v>5.3639846743295021E-2</v>
      </c>
      <c r="V6" s="32">
        <f>tblDépenses[[#This Row],[Mai]]/tblDépenses[[#Totals],[Mai]]</f>
        <v>4.6692607003891051E-2</v>
      </c>
      <c r="W6" s="32">
        <f>tblDépenses[[#This Row],[Juin]]/tblDépenses[[#Totals],[Juin]]</f>
        <v>6.9343065693430656E-2</v>
      </c>
      <c r="X6" s="32">
        <f>tblDépenses[[#This Row],[Juil]]/tblDépenses[[#Totals],[Juil]]</f>
        <v>7.1428571428571425E-2</v>
      </c>
      <c r="Y6" s="32">
        <f>tblDépenses[[#This Row],[Août]]/tblDépenses[[#Totals],[Août]]</f>
        <v>1.7021276595744681E-2</v>
      </c>
      <c r="Z6" s="32">
        <f>tblDépenses[[#This Row],[Sept]]/tblDépenses[[#Totals],[Sept]]</f>
        <v>3.0434782608695653E-2</v>
      </c>
      <c r="AA6" s="32">
        <f>tblDépenses[[#This Row],[Oct]]/tblDépenses[[#Totals],[Oct]]</f>
        <v>5.019305019305019E-2</v>
      </c>
      <c r="AB6" s="32">
        <f>tblDépenses[[#This Row],[Nov]]/tblDépenses[[#Totals],[Nov]]</f>
        <v>8.4459459459459457E-2</v>
      </c>
      <c r="AC6" s="32">
        <f>tblDépenses[[#This Row],[Déc]]/tblDépenses[[#Totals],[Déc]]</f>
        <v>2.1645021645021644E-2</v>
      </c>
      <c r="AD6" s="32">
        <f>tblDépenses[[#This Row],[Annuel]]/tblDépenses[[#Totals],[Annuel]]</f>
        <v>5.3017672557519172E-2</v>
      </c>
    </row>
    <row r="7" spans="1:30" ht="30" customHeight="1" x14ac:dyDescent="0.3">
      <c r="B7" s="14" t="s">
        <v>19</v>
      </c>
      <c r="C7" s="30" t="s">
        <v>36</v>
      </c>
      <c r="D7" s="23">
        <v>23</v>
      </c>
      <c r="E7" s="23">
        <v>20</v>
      </c>
      <c r="F7" s="23">
        <v>3</v>
      </c>
      <c r="G7" s="23">
        <v>16</v>
      </c>
      <c r="H7" s="23">
        <v>10</v>
      </c>
      <c r="I7" s="23">
        <v>5</v>
      </c>
      <c r="J7" s="23">
        <v>20</v>
      </c>
      <c r="K7" s="23">
        <v>7</v>
      </c>
      <c r="L7" s="23">
        <v>4</v>
      </c>
      <c r="M7" s="23">
        <v>22</v>
      </c>
      <c r="N7" s="23">
        <v>13</v>
      </c>
      <c r="O7" s="23">
        <v>14</v>
      </c>
      <c r="P7" s="31">
        <f>SUM(tblDépenses[[#This Row],[Colonne1]:[Déc]])</f>
        <v>157</v>
      </c>
      <c r="Q7" s="24">
        <v>0.02</v>
      </c>
      <c r="R7" s="32">
        <f>tblDépenses[[#This Row],[Colonne1]]/tblDépenses[[#Totals],[Colonne1]]</f>
        <v>9.7457627118644072E-2</v>
      </c>
      <c r="S7" s="32">
        <f>tblDépenses[[#This Row],[Févr]]/tblDépenses[[#Totals],[Févr]]</f>
        <v>9.7560975609756101E-2</v>
      </c>
      <c r="T7" s="32">
        <f>tblDépenses[[#This Row],[Mars]]/tblDépenses[[#Totals],[Mars]]</f>
        <v>1.2048192771084338E-2</v>
      </c>
      <c r="U7" s="32">
        <f>tblDépenses[[#This Row],[Avr]]/tblDépenses[[#Totals],[Avr]]</f>
        <v>6.1302681992337162E-2</v>
      </c>
      <c r="V7" s="32">
        <f>tblDépenses[[#This Row],[Mai]]/tblDépenses[[#Totals],[Mai]]</f>
        <v>3.8910505836575876E-2</v>
      </c>
      <c r="W7" s="32">
        <f>tblDépenses[[#This Row],[Juin]]/tblDépenses[[#Totals],[Juin]]</f>
        <v>1.824817518248175E-2</v>
      </c>
      <c r="X7" s="32">
        <f>tblDépenses[[#This Row],[Juil]]/tblDépenses[[#Totals],[Juil]]</f>
        <v>7.5187969924812026E-2</v>
      </c>
      <c r="Y7" s="32">
        <f>tblDépenses[[#This Row],[Août]]/tblDépenses[[#Totals],[Août]]</f>
        <v>2.9787234042553193E-2</v>
      </c>
      <c r="Z7" s="32">
        <f>tblDépenses[[#This Row],[Sept]]/tblDépenses[[#Totals],[Sept]]</f>
        <v>1.7391304347826087E-2</v>
      </c>
      <c r="AA7" s="32">
        <f>tblDépenses[[#This Row],[Oct]]/tblDépenses[[#Totals],[Oct]]</f>
        <v>8.4942084942084939E-2</v>
      </c>
      <c r="AB7" s="32">
        <f>tblDépenses[[#This Row],[Nov]]/tblDépenses[[#Totals],[Nov]]</f>
        <v>4.3918918918918921E-2</v>
      </c>
      <c r="AC7" s="32">
        <f>tblDépenses[[#This Row],[Déc]]/tblDépenses[[#Totals],[Déc]]</f>
        <v>6.0606060606060608E-2</v>
      </c>
      <c r="AD7" s="32">
        <f>tblDépenses[[#This Row],[Annuel]]/tblDépenses[[#Totals],[Annuel]]</f>
        <v>5.2350783594531512E-2</v>
      </c>
    </row>
    <row r="8" spans="1:30" ht="30" customHeight="1" x14ac:dyDescent="0.3">
      <c r="B8" s="14" t="s">
        <v>20</v>
      </c>
      <c r="C8" s="30" t="s">
        <v>36</v>
      </c>
      <c r="D8" s="23">
        <v>19</v>
      </c>
      <c r="E8" s="23">
        <v>4</v>
      </c>
      <c r="F8" s="23">
        <v>7</v>
      </c>
      <c r="G8" s="23">
        <v>14</v>
      </c>
      <c r="H8" s="23">
        <v>22</v>
      </c>
      <c r="I8" s="23">
        <v>10</v>
      </c>
      <c r="J8" s="23">
        <v>22</v>
      </c>
      <c r="K8" s="23">
        <v>5</v>
      </c>
      <c r="L8" s="23">
        <v>4</v>
      </c>
      <c r="M8" s="23">
        <v>12</v>
      </c>
      <c r="N8" s="23">
        <v>18</v>
      </c>
      <c r="O8" s="23">
        <v>24</v>
      </c>
      <c r="P8" s="31">
        <f>SUM(tblDépenses[[#This Row],[Colonne1]:[Déc]])</f>
        <v>161</v>
      </c>
      <c r="Q8" s="24">
        <v>0.08</v>
      </c>
      <c r="R8" s="32">
        <f>tblDépenses[[#This Row],[Colonne1]]/tblDépenses[[#Totals],[Colonne1]]</f>
        <v>8.050847457627118E-2</v>
      </c>
      <c r="S8" s="32">
        <f>tblDépenses[[#This Row],[Févr]]/tblDépenses[[#Totals],[Févr]]</f>
        <v>1.9512195121951219E-2</v>
      </c>
      <c r="T8" s="32">
        <f>tblDépenses[[#This Row],[Mars]]/tblDépenses[[#Totals],[Mars]]</f>
        <v>2.8112449799196786E-2</v>
      </c>
      <c r="U8" s="32">
        <f>tblDépenses[[#This Row],[Avr]]/tblDépenses[[#Totals],[Avr]]</f>
        <v>5.3639846743295021E-2</v>
      </c>
      <c r="V8" s="32">
        <f>tblDépenses[[#This Row],[Mai]]/tblDépenses[[#Totals],[Mai]]</f>
        <v>8.5603112840466927E-2</v>
      </c>
      <c r="W8" s="32">
        <f>tblDépenses[[#This Row],[Juin]]/tblDépenses[[#Totals],[Juin]]</f>
        <v>3.6496350364963501E-2</v>
      </c>
      <c r="X8" s="32">
        <f>tblDépenses[[#This Row],[Juil]]/tblDépenses[[#Totals],[Juil]]</f>
        <v>8.2706766917293228E-2</v>
      </c>
      <c r="Y8" s="32">
        <f>tblDépenses[[#This Row],[Août]]/tblDépenses[[#Totals],[Août]]</f>
        <v>2.1276595744680851E-2</v>
      </c>
      <c r="Z8" s="32">
        <f>tblDépenses[[#This Row],[Sept]]/tblDépenses[[#Totals],[Sept]]</f>
        <v>1.7391304347826087E-2</v>
      </c>
      <c r="AA8" s="32">
        <f>tblDépenses[[#This Row],[Oct]]/tblDépenses[[#Totals],[Oct]]</f>
        <v>4.633204633204633E-2</v>
      </c>
      <c r="AB8" s="32">
        <f>tblDépenses[[#This Row],[Nov]]/tblDépenses[[#Totals],[Nov]]</f>
        <v>6.0810810810810814E-2</v>
      </c>
      <c r="AC8" s="32">
        <f>tblDépenses[[#This Row],[Déc]]/tblDépenses[[#Totals],[Déc]]</f>
        <v>0.1038961038961039</v>
      </c>
      <c r="AD8" s="32">
        <f>tblDépenses[[#This Row],[Annuel]]/tblDépenses[[#Totals],[Annuel]]</f>
        <v>5.3684561520506838E-2</v>
      </c>
    </row>
    <row r="9" spans="1:30" ht="30" customHeight="1" x14ac:dyDescent="0.3">
      <c r="B9" s="14" t="s">
        <v>21</v>
      </c>
      <c r="C9" s="30" t="s">
        <v>36</v>
      </c>
      <c r="D9" s="23">
        <v>11</v>
      </c>
      <c r="E9" s="23">
        <v>11</v>
      </c>
      <c r="F9" s="23">
        <v>17</v>
      </c>
      <c r="G9" s="23">
        <v>12</v>
      </c>
      <c r="H9" s="23">
        <v>2</v>
      </c>
      <c r="I9" s="23">
        <v>14</v>
      </c>
      <c r="J9" s="23">
        <v>12</v>
      </c>
      <c r="K9" s="23">
        <v>10</v>
      </c>
      <c r="L9" s="23">
        <v>18</v>
      </c>
      <c r="M9" s="23">
        <v>11</v>
      </c>
      <c r="N9" s="23">
        <v>23</v>
      </c>
      <c r="O9" s="23">
        <v>11</v>
      </c>
      <c r="P9" s="31">
        <f>SUM(tblDépenses[[#This Row],[Colonne1]:[Déc]])</f>
        <v>152</v>
      </c>
      <c r="Q9" s="24">
        <v>0.03</v>
      </c>
      <c r="R9" s="32">
        <f>tblDépenses[[#This Row],[Colonne1]]/tblDépenses[[#Totals],[Colonne1]]</f>
        <v>4.6610169491525424E-2</v>
      </c>
      <c r="S9" s="32">
        <f>tblDépenses[[#This Row],[Févr]]/tblDépenses[[#Totals],[Févr]]</f>
        <v>5.3658536585365853E-2</v>
      </c>
      <c r="T9" s="32">
        <f>tblDépenses[[#This Row],[Mars]]/tblDépenses[[#Totals],[Mars]]</f>
        <v>6.8273092369477914E-2</v>
      </c>
      <c r="U9" s="32">
        <f>tblDépenses[[#This Row],[Avr]]/tblDépenses[[#Totals],[Avr]]</f>
        <v>4.5977011494252873E-2</v>
      </c>
      <c r="V9" s="32">
        <f>tblDépenses[[#This Row],[Mai]]/tblDépenses[[#Totals],[Mai]]</f>
        <v>7.7821011673151752E-3</v>
      </c>
      <c r="W9" s="32">
        <f>tblDépenses[[#This Row],[Juin]]/tblDépenses[[#Totals],[Juin]]</f>
        <v>5.1094890510948905E-2</v>
      </c>
      <c r="X9" s="32">
        <f>tblDépenses[[#This Row],[Juil]]/tblDépenses[[#Totals],[Juil]]</f>
        <v>4.5112781954887216E-2</v>
      </c>
      <c r="Y9" s="32">
        <f>tblDépenses[[#This Row],[Août]]/tblDépenses[[#Totals],[Août]]</f>
        <v>4.2553191489361701E-2</v>
      </c>
      <c r="Z9" s="32">
        <f>tblDépenses[[#This Row],[Sept]]/tblDépenses[[#Totals],[Sept]]</f>
        <v>7.8260869565217397E-2</v>
      </c>
      <c r="AA9" s="32">
        <f>tblDépenses[[#This Row],[Oct]]/tblDépenses[[#Totals],[Oct]]</f>
        <v>4.2471042471042469E-2</v>
      </c>
      <c r="AB9" s="32">
        <f>tblDépenses[[#This Row],[Nov]]/tblDépenses[[#Totals],[Nov]]</f>
        <v>7.77027027027027E-2</v>
      </c>
      <c r="AC9" s="32">
        <f>tblDépenses[[#This Row],[Déc]]/tblDépenses[[#Totals],[Déc]]</f>
        <v>4.7619047619047616E-2</v>
      </c>
      <c r="AD9" s="32">
        <f>tblDépenses[[#This Row],[Annuel]]/tblDépenses[[#Totals],[Annuel]]</f>
        <v>5.0683561187062354E-2</v>
      </c>
    </row>
    <row r="10" spans="1:30" ht="30" customHeight="1" x14ac:dyDescent="0.3">
      <c r="B10" s="14" t="s">
        <v>22</v>
      </c>
      <c r="C10" s="30" t="s">
        <v>36</v>
      </c>
      <c r="D10" s="23">
        <v>2</v>
      </c>
      <c r="E10" s="23">
        <v>16</v>
      </c>
      <c r="F10" s="23">
        <v>6</v>
      </c>
      <c r="G10" s="23">
        <v>13</v>
      </c>
      <c r="H10" s="23">
        <v>11</v>
      </c>
      <c r="I10" s="23">
        <v>22</v>
      </c>
      <c r="J10" s="23">
        <v>21</v>
      </c>
      <c r="K10" s="23">
        <v>3</v>
      </c>
      <c r="L10" s="23">
        <v>12</v>
      </c>
      <c r="M10" s="23">
        <v>7</v>
      </c>
      <c r="N10" s="23">
        <v>17</v>
      </c>
      <c r="O10" s="23">
        <v>20</v>
      </c>
      <c r="P10" s="31">
        <f>SUM(tblDépenses[[#This Row],[Colonne1]:[Déc]])</f>
        <v>150</v>
      </c>
      <c r="Q10" s="24">
        <v>0.15</v>
      </c>
      <c r="R10" s="32">
        <f>tblDépenses[[#This Row],[Colonne1]]/tblDépenses[[#Totals],[Colonne1]]</f>
        <v>8.4745762711864406E-3</v>
      </c>
      <c r="S10" s="32">
        <f>tblDépenses[[#This Row],[Févr]]/tblDépenses[[#Totals],[Févr]]</f>
        <v>7.8048780487804878E-2</v>
      </c>
      <c r="T10" s="32">
        <f>tblDépenses[[#This Row],[Mars]]/tblDépenses[[#Totals],[Mars]]</f>
        <v>2.4096385542168676E-2</v>
      </c>
      <c r="U10" s="32">
        <f>tblDépenses[[#This Row],[Avr]]/tblDépenses[[#Totals],[Avr]]</f>
        <v>4.9808429118773943E-2</v>
      </c>
      <c r="V10" s="32">
        <f>tblDépenses[[#This Row],[Mai]]/tblDépenses[[#Totals],[Mai]]</f>
        <v>4.2801556420233464E-2</v>
      </c>
      <c r="W10" s="32">
        <f>tblDépenses[[#This Row],[Juin]]/tblDépenses[[#Totals],[Juin]]</f>
        <v>8.0291970802919707E-2</v>
      </c>
      <c r="X10" s="32">
        <f>tblDépenses[[#This Row],[Juil]]/tblDépenses[[#Totals],[Juil]]</f>
        <v>7.8947368421052627E-2</v>
      </c>
      <c r="Y10" s="32">
        <f>tblDépenses[[#This Row],[Août]]/tblDépenses[[#Totals],[Août]]</f>
        <v>1.276595744680851E-2</v>
      </c>
      <c r="Z10" s="32">
        <f>tblDépenses[[#This Row],[Sept]]/tblDépenses[[#Totals],[Sept]]</f>
        <v>5.2173913043478258E-2</v>
      </c>
      <c r="AA10" s="32">
        <f>tblDépenses[[#This Row],[Oct]]/tblDépenses[[#Totals],[Oct]]</f>
        <v>2.7027027027027029E-2</v>
      </c>
      <c r="AB10" s="32">
        <f>tblDépenses[[#This Row],[Nov]]/tblDépenses[[#Totals],[Nov]]</f>
        <v>5.7432432432432436E-2</v>
      </c>
      <c r="AC10" s="32">
        <f>tblDépenses[[#This Row],[Déc]]/tblDépenses[[#Totals],[Déc]]</f>
        <v>8.6580086580086577E-2</v>
      </c>
      <c r="AD10" s="32">
        <f>tblDépenses[[#This Row],[Annuel]]/tblDépenses[[#Totals],[Annuel]]</f>
        <v>5.0016672224074694E-2</v>
      </c>
    </row>
    <row r="11" spans="1:30" ht="30" customHeight="1" x14ac:dyDescent="0.3">
      <c r="B11" s="14" t="s">
        <v>23</v>
      </c>
      <c r="C11" s="30" t="s">
        <v>36</v>
      </c>
      <c r="D11" s="23">
        <v>8</v>
      </c>
      <c r="E11" s="23">
        <v>17</v>
      </c>
      <c r="F11" s="23">
        <v>11</v>
      </c>
      <c r="G11" s="23">
        <v>11</v>
      </c>
      <c r="H11" s="23">
        <v>21</v>
      </c>
      <c r="I11" s="23">
        <v>9</v>
      </c>
      <c r="J11" s="23">
        <v>20</v>
      </c>
      <c r="K11" s="23">
        <v>3</v>
      </c>
      <c r="L11" s="23">
        <v>14</v>
      </c>
      <c r="M11" s="23">
        <v>22</v>
      </c>
      <c r="N11" s="23">
        <v>16</v>
      </c>
      <c r="O11" s="23">
        <v>12</v>
      </c>
      <c r="P11" s="31">
        <f>SUM(tblDépenses[[#This Row],[Colonne1]:[Déc]])</f>
        <v>164</v>
      </c>
      <c r="Q11" s="24">
        <v>0.12</v>
      </c>
      <c r="R11" s="32">
        <f>tblDépenses[[#This Row],[Colonne1]]/tblDépenses[[#Totals],[Colonne1]]</f>
        <v>3.3898305084745763E-2</v>
      </c>
      <c r="S11" s="32">
        <f>tblDépenses[[#This Row],[Févr]]/tblDépenses[[#Totals],[Févr]]</f>
        <v>8.2926829268292687E-2</v>
      </c>
      <c r="T11" s="32">
        <f>tblDépenses[[#This Row],[Mars]]/tblDépenses[[#Totals],[Mars]]</f>
        <v>4.4176706827309238E-2</v>
      </c>
      <c r="U11" s="32">
        <f>tblDépenses[[#This Row],[Avr]]/tblDépenses[[#Totals],[Avr]]</f>
        <v>4.2145593869731802E-2</v>
      </c>
      <c r="V11" s="32">
        <f>tblDépenses[[#This Row],[Mai]]/tblDépenses[[#Totals],[Mai]]</f>
        <v>8.171206225680934E-2</v>
      </c>
      <c r="W11" s="32">
        <f>tblDépenses[[#This Row],[Juin]]/tblDépenses[[#Totals],[Juin]]</f>
        <v>3.2846715328467155E-2</v>
      </c>
      <c r="X11" s="32">
        <f>tblDépenses[[#This Row],[Juil]]/tblDépenses[[#Totals],[Juil]]</f>
        <v>7.5187969924812026E-2</v>
      </c>
      <c r="Y11" s="32">
        <f>tblDépenses[[#This Row],[Août]]/tblDépenses[[#Totals],[Août]]</f>
        <v>1.276595744680851E-2</v>
      </c>
      <c r="Z11" s="32">
        <f>tblDépenses[[#This Row],[Sept]]/tblDépenses[[#Totals],[Sept]]</f>
        <v>6.0869565217391307E-2</v>
      </c>
      <c r="AA11" s="32">
        <f>tblDépenses[[#This Row],[Oct]]/tblDépenses[[#Totals],[Oct]]</f>
        <v>8.4942084942084939E-2</v>
      </c>
      <c r="AB11" s="32">
        <f>tblDépenses[[#This Row],[Nov]]/tblDépenses[[#Totals],[Nov]]</f>
        <v>5.4054054054054057E-2</v>
      </c>
      <c r="AC11" s="32">
        <f>tblDépenses[[#This Row],[Déc]]/tblDépenses[[#Totals],[Déc]]</f>
        <v>5.1948051948051951E-2</v>
      </c>
      <c r="AD11" s="32">
        <f>tblDépenses[[#This Row],[Annuel]]/tblDépenses[[#Totals],[Annuel]]</f>
        <v>5.468489496498833E-2</v>
      </c>
    </row>
    <row r="12" spans="1:30" ht="30" customHeight="1" x14ac:dyDescent="0.3">
      <c r="B12" s="14" t="s">
        <v>24</v>
      </c>
      <c r="C12" s="30" t="s">
        <v>36</v>
      </c>
      <c r="D12" s="23">
        <v>5</v>
      </c>
      <c r="E12" s="23">
        <v>13</v>
      </c>
      <c r="F12" s="23">
        <v>6</v>
      </c>
      <c r="G12" s="23">
        <v>15</v>
      </c>
      <c r="H12" s="23">
        <v>19</v>
      </c>
      <c r="I12" s="23">
        <v>10</v>
      </c>
      <c r="J12" s="23">
        <v>12</v>
      </c>
      <c r="K12" s="23">
        <v>9</v>
      </c>
      <c r="L12" s="23">
        <v>15</v>
      </c>
      <c r="M12" s="23">
        <v>16</v>
      </c>
      <c r="N12" s="23">
        <v>4</v>
      </c>
      <c r="O12" s="23">
        <v>9</v>
      </c>
      <c r="P12" s="31">
        <f>SUM(tblDépenses[[#This Row],[Colonne1]:[Déc]])</f>
        <v>133</v>
      </c>
      <c r="Q12" s="24">
        <v>0.09</v>
      </c>
      <c r="R12" s="32">
        <f>tblDépenses[[#This Row],[Colonne1]]/tblDépenses[[#Totals],[Colonne1]]</f>
        <v>2.1186440677966101E-2</v>
      </c>
      <c r="S12" s="32">
        <f>tblDépenses[[#This Row],[Févr]]/tblDépenses[[#Totals],[Févr]]</f>
        <v>6.3414634146341464E-2</v>
      </c>
      <c r="T12" s="32">
        <f>tblDépenses[[#This Row],[Mars]]/tblDépenses[[#Totals],[Mars]]</f>
        <v>2.4096385542168676E-2</v>
      </c>
      <c r="U12" s="32">
        <f>tblDépenses[[#This Row],[Avr]]/tblDépenses[[#Totals],[Avr]]</f>
        <v>5.7471264367816091E-2</v>
      </c>
      <c r="V12" s="32">
        <f>tblDépenses[[#This Row],[Mai]]/tblDépenses[[#Totals],[Mai]]</f>
        <v>7.3929961089494164E-2</v>
      </c>
      <c r="W12" s="32">
        <f>tblDépenses[[#This Row],[Juin]]/tblDépenses[[#Totals],[Juin]]</f>
        <v>3.6496350364963501E-2</v>
      </c>
      <c r="X12" s="32">
        <f>tblDépenses[[#This Row],[Juil]]/tblDépenses[[#Totals],[Juil]]</f>
        <v>4.5112781954887216E-2</v>
      </c>
      <c r="Y12" s="32">
        <f>tblDépenses[[#This Row],[Août]]/tblDépenses[[#Totals],[Août]]</f>
        <v>3.8297872340425532E-2</v>
      </c>
      <c r="Z12" s="32">
        <f>tblDépenses[[#This Row],[Sept]]/tblDépenses[[#Totals],[Sept]]</f>
        <v>6.5217391304347824E-2</v>
      </c>
      <c r="AA12" s="32">
        <f>tblDépenses[[#This Row],[Oct]]/tblDépenses[[#Totals],[Oct]]</f>
        <v>6.1776061776061778E-2</v>
      </c>
      <c r="AB12" s="32">
        <f>tblDépenses[[#This Row],[Nov]]/tblDépenses[[#Totals],[Nov]]</f>
        <v>1.3513513513513514E-2</v>
      </c>
      <c r="AC12" s="32">
        <f>tblDépenses[[#This Row],[Déc]]/tblDépenses[[#Totals],[Déc]]</f>
        <v>3.896103896103896E-2</v>
      </c>
      <c r="AD12" s="32">
        <f>tblDépenses[[#This Row],[Annuel]]/tblDépenses[[#Totals],[Annuel]]</f>
        <v>4.4348116038679559E-2</v>
      </c>
    </row>
    <row r="13" spans="1:30" ht="30" customHeight="1" x14ac:dyDescent="0.3">
      <c r="B13" s="14" t="s">
        <v>25</v>
      </c>
      <c r="C13" s="30" t="s">
        <v>36</v>
      </c>
      <c r="D13" s="23">
        <v>8</v>
      </c>
      <c r="E13" s="23">
        <v>4</v>
      </c>
      <c r="F13" s="23">
        <v>23</v>
      </c>
      <c r="G13" s="23">
        <v>25</v>
      </c>
      <c r="H13" s="23">
        <v>10</v>
      </c>
      <c r="I13" s="23">
        <v>24</v>
      </c>
      <c r="J13" s="23">
        <v>22</v>
      </c>
      <c r="K13" s="23">
        <v>5</v>
      </c>
      <c r="L13" s="23">
        <v>12</v>
      </c>
      <c r="M13" s="23">
        <v>24</v>
      </c>
      <c r="N13" s="23">
        <v>24</v>
      </c>
      <c r="O13" s="23">
        <v>12</v>
      </c>
      <c r="P13" s="31">
        <f>SUM(tblDépenses[[#This Row],[Colonne1]:[Déc]])</f>
        <v>193</v>
      </c>
      <c r="Q13" s="24">
        <v>0.01</v>
      </c>
      <c r="R13" s="32">
        <f>tblDépenses[[#This Row],[Colonne1]]/tblDépenses[[#Totals],[Colonne1]]</f>
        <v>3.3898305084745763E-2</v>
      </c>
      <c r="S13" s="32">
        <f>tblDépenses[[#This Row],[Févr]]/tblDépenses[[#Totals],[Févr]]</f>
        <v>1.9512195121951219E-2</v>
      </c>
      <c r="T13" s="32">
        <f>tblDépenses[[#This Row],[Mars]]/tblDépenses[[#Totals],[Mars]]</f>
        <v>9.2369477911646583E-2</v>
      </c>
      <c r="U13" s="32">
        <f>tblDépenses[[#This Row],[Avr]]/tblDépenses[[#Totals],[Avr]]</f>
        <v>9.5785440613026823E-2</v>
      </c>
      <c r="V13" s="32">
        <f>tblDépenses[[#This Row],[Mai]]/tblDépenses[[#Totals],[Mai]]</f>
        <v>3.8910505836575876E-2</v>
      </c>
      <c r="W13" s="32">
        <f>tblDépenses[[#This Row],[Juin]]/tblDépenses[[#Totals],[Juin]]</f>
        <v>8.7591240875912413E-2</v>
      </c>
      <c r="X13" s="32">
        <f>tblDépenses[[#This Row],[Juil]]/tblDépenses[[#Totals],[Juil]]</f>
        <v>8.2706766917293228E-2</v>
      </c>
      <c r="Y13" s="32">
        <f>tblDépenses[[#This Row],[Août]]/tblDépenses[[#Totals],[Août]]</f>
        <v>2.1276595744680851E-2</v>
      </c>
      <c r="Z13" s="32">
        <f>tblDépenses[[#This Row],[Sept]]/tblDépenses[[#Totals],[Sept]]</f>
        <v>5.2173913043478258E-2</v>
      </c>
      <c r="AA13" s="32">
        <f>tblDépenses[[#This Row],[Oct]]/tblDépenses[[#Totals],[Oct]]</f>
        <v>9.2664092664092659E-2</v>
      </c>
      <c r="AB13" s="32">
        <f>tblDépenses[[#This Row],[Nov]]/tblDépenses[[#Totals],[Nov]]</f>
        <v>8.1081081081081086E-2</v>
      </c>
      <c r="AC13" s="32">
        <f>tblDépenses[[#This Row],[Déc]]/tblDépenses[[#Totals],[Déc]]</f>
        <v>5.1948051948051951E-2</v>
      </c>
      <c r="AD13" s="32">
        <f>tblDépenses[[#This Row],[Annuel]]/tblDépenses[[#Totals],[Annuel]]</f>
        <v>6.4354784928309441E-2</v>
      </c>
    </row>
    <row r="14" spans="1:30" ht="30" customHeight="1" x14ac:dyDescent="0.3">
      <c r="B14" s="14" t="s">
        <v>26</v>
      </c>
      <c r="C14" s="30" t="s">
        <v>36</v>
      </c>
      <c r="D14" s="23">
        <v>25</v>
      </c>
      <c r="E14" s="23">
        <v>2</v>
      </c>
      <c r="F14" s="23">
        <v>12</v>
      </c>
      <c r="G14" s="23">
        <v>25</v>
      </c>
      <c r="H14" s="23">
        <v>10</v>
      </c>
      <c r="I14" s="23">
        <v>24</v>
      </c>
      <c r="J14" s="23">
        <v>3</v>
      </c>
      <c r="K14" s="23">
        <v>20</v>
      </c>
      <c r="L14" s="23">
        <v>3</v>
      </c>
      <c r="M14" s="23">
        <v>9</v>
      </c>
      <c r="N14" s="23">
        <v>20</v>
      </c>
      <c r="O14" s="23">
        <v>18</v>
      </c>
      <c r="P14" s="31">
        <f>SUM(tblDépenses[[#This Row],[Colonne1]:[Déc]])</f>
        <v>171</v>
      </c>
      <c r="Q14" s="24">
        <v>0.01</v>
      </c>
      <c r="R14" s="32">
        <f>tblDépenses[[#This Row],[Colonne1]]/tblDépenses[[#Totals],[Colonne1]]</f>
        <v>0.1059322033898305</v>
      </c>
      <c r="S14" s="32">
        <f>tblDépenses[[#This Row],[Févr]]/tblDépenses[[#Totals],[Févr]]</f>
        <v>9.7560975609756097E-3</v>
      </c>
      <c r="T14" s="32">
        <f>tblDépenses[[#This Row],[Mars]]/tblDépenses[[#Totals],[Mars]]</f>
        <v>4.8192771084337352E-2</v>
      </c>
      <c r="U14" s="32">
        <f>tblDépenses[[#This Row],[Avr]]/tblDépenses[[#Totals],[Avr]]</f>
        <v>9.5785440613026823E-2</v>
      </c>
      <c r="V14" s="32">
        <f>tblDépenses[[#This Row],[Mai]]/tblDépenses[[#Totals],[Mai]]</f>
        <v>3.8910505836575876E-2</v>
      </c>
      <c r="W14" s="32">
        <f>tblDépenses[[#This Row],[Juin]]/tblDépenses[[#Totals],[Juin]]</f>
        <v>8.7591240875912413E-2</v>
      </c>
      <c r="X14" s="32">
        <f>tblDépenses[[#This Row],[Juil]]/tblDépenses[[#Totals],[Juil]]</f>
        <v>1.1278195488721804E-2</v>
      </c>
      <c r="Y14" s="32">
        <f>tblDépenses[[#This Row],[Août]]/tblDépenses[[#Totals],[Août]]</f>
        <v>8.5106382978723402E-2</v>
      </c>
      <c r="Z14" s="32">
        <f>tblDépenses[[#This Row],[Sept]]/tblDépenses[[#Totals],[Sept]]</f>
        <v>1.3043478260869565E-2</v>
      </c>
      <c r="AA14" s="32">
        <f>tblDépenses[[#This Row],[Oct]]/tblDépenses[[#Totals],[Oct]]</f>
        <v>3.4749034749034749E-2</v>
      </c>
      <c r="AB14" s="32">
        <f>tblDépenses[[#This Row],[Nov]]/tblDépenses[[#Totals],[Nov]]</f>
        <v>6.7567567567567571E-2</v>
      </c>
      <c r="AC14" s="32">
        <f>tblDépenses[[#This Row],[Déc]]/tblDépenses[[#Totals],[Déc]]</f>
        <v>7.792207792207792E-2</v>
      </c>
      <c r="AD14" s="32">
        <f>tblDépenses[[#This Row],[Annuel]]/tblDépenses[[#Totals],[Annuel]]</f>
        <v>5.7019006335445148E-2</v>
      </c>
    </row>
    <row r="15" spans="1:30" ht="30" customHeight="1" x14ac:dyDescent="0.3">
      <c r="B15" s="14" t="s">
        <v>27</v>
      </c>
      <c r="C15" s="30" t="s">
        <v>36</v>
      </c>
      <c r="D15" s="23">
        <v>16</v>
      </c>
      <c r="E15" s="23">
        <v>19</v>
      </c>
      <c r="F15" s="23">
        <v>9</v>
      </c>
      <c r="G15" s="23">
        <v>16</v>
      </c>
      <c r="H15" s="23">
        <v>13</v>
      </c>
      <c r="I15" s="23">
        <v>2</v>
      </c>
      <c r="J15" s="23">
        <v>4</v>
      </c>
      <c r="K15" s="23">
        <v>24</v>
      </c>
      <c r="L15" s="23">
        <v>16</v>
      </c>
      <c r="M15" s="23">
        <v>22</v>
      </c>
      <c r="N15" s="23">
        <v>7</v>
      </c>
      <c r="O15" s="23">
        <v>18</v>
      </c>
      <c r="P15" s="31">
        <f>SUM(tblDépenses[[#This Row],[Colonne1]:[Déc]])</f>
        <v>166</v>
      </c>
      <c r="Q15" s="24">
        <v>0.01</v>
      </c>
      <c r="R15" s="32">
        <f>tblDépenses[[#This Row],[Colonne1]]/tblDépenses[[#Totals],[Colonne1]]</f>
        <v>6.7796610169491525E-2</v>
      </c>
      <c r="S15" s="32">
        <f>tblDépenses[[#This Row],[Févr]]/tblDépenses[[#Totals],[Févr]]</f>
        <v>9.2682926829268292E-2</v>
      </c>
      <c r="T15" s="32">
        <f>tblDépenses[[#This Row],[Mars]]/tblDépenses[[#Totals],[Mars]]</f>
        <v>3.614457831325301E-2</v>
      </c>
      <c r="U15" s="32">
        <f>tblDépenses[[#This Row],[Avr]]/tblDépenses[[#Totals],[Avr]]</f>
        <v>6.1302681992337162E-2</v>
      </c>
      <c r="V15" s="32">
        <f>tblDépenses[[#This Row],[Mai]]/tblDépenses[[#Totals],[Mai]]</f>
        <v>5.0583657587548639E-2</v>
      </c>
      <c r="W15" s="32">
        <f>tblDépenses[[#This Row],[Juin]]/tblDépenses[[#Totals],[Juin]]</f>
        <v>7.2992700729927005E-3</v>
      </c>
      <c r="X15" s="32">
        <f>tblDépenses[[#This Row],[Juil]]/tblDépenses[[#Totals],[Juil]]</f>
        <v>1.5037593984962405E-2</v>
      </c>
      <c r="Y15" s="32">
        <f>tblDépenses[[#This Row],[Août]]/tblDépenses[[#Totals],[Août]]</f>
        <v>0.10212765957446808</v>
      </c>
      <c r="Z15" s="32">
        <f>tblDépenses[[#This Row],[Sept]]/tblDépenses[[#Totals],[Sept]]</f>
        <v>6.9565217391304349E-2</v>
      </c>
      <c r="AA15" s="32">
        <f>tblDépenses[[#This Row],[Oct]]/tblDépenses[[#Totals],[Oct]]</f>
        <v>8.4942084942084939E-2</v>
      </c>
      <c r="AB15" s="32">
        <f>tblDépenses[[#This Row],[Nov]]/tblDépenses[[#Totals],[Nov]]</f>
        <v>2.364864864864865E-2</v>
      </c>
      <c r="AC15" s="32">
        <f>tblDépenses[[#This Row],[Déc]]/tblDépenses[[#Totals],[Déc]]</f>
        <v>7.792207792207792E-2</v>
      </c>
      <c r="AD15" s="32">
        <f>tblDépenses[[#This Row],[Annuel]]/tblDépenses[[#Totals],[Annuel]]</f>
        <v>5.5351783927975989E-2</v>
      </c>
    </row>
    <row r="16" spans="1:30" ht="30" customHeight="1" x14ac:dyDescent="0.3">
      <c r="B16" s="14" t="s">
        <v>28</v>
      </c>
      <c r="C16" s="30" t="s">
        <v>36</v>
      </c>
      <c r="D16" s="23">
        <v>12</v>
      </c>
      <c r="E16" s="23">
        <v>9</v>
      </c>
      <c r="F16" s="23">
        <v>16</v>
      </c>
      <c r="G16" s="23">
        <v>19</v>
      </c>
      <c r="H16" s="23">
        <v>25</v>
      </c>
      <c r="I16" s="23">
        <v>17</v>
      </c>
      <c r="J16" s="23">
        <v>20</v>
      </c>
      <c r="K16" s="23">
        <v>14</v>
      </c>
      <c r="L16" s="23">
        <v>5</v>
      </c>
      <c r="M16" s="23">
        <v>14</v>
      </c>
      <c r="N16" s="23">
        <v>5</v>
      </c>
      <c r="O16" s="23">
        <v>2</v>
      </c>
      <c r="P16" s="31">
        <f>SUM(tblDépenses[[#This Row],[Colonne1]:[Déc]])</f>
        <v>158</v>
      </c>
      <c r="Q16" s="24">
        <v>0.01</v>
      </c>
      <c r="R16" s="32">
        <f>tblDépenses[[#This Row],[Colonne1]]/tblDépenses[[#Totals],[Colonne1]]</f>
        <v>5.0847457627118647E-2</v>
      </c>
      <c r="S16" s="32">
        <f>tblDépenses[[#This Row],[Févr]]/tblDépenses[[#Totals],[Févr]]</f>
        <v>4.3902439024390241E-2</v>
      </c>
      <c r="T16" s="32">
        <f>tblDépenses[[#This Row],[Mars]]/tblDépenses[[#Totals],[Mars]]</f>
        <v>6.4257028112449793E-2</v>
      </c>
      <c r="U16" s="32">
        <f>tblDépenses[[#This Row],[Avr]]/tblDépenses[[#Totals],[Avr]]</f>
        <v>7.2796934865900387E-2</v>
      </c>
      <c r="V16" s="32">
        <f>tblDépenses[[#This Row],[Mai]]/tblDépenses[[#Totals],[Mai]]</f>
        <v>9.727626459143969E-2</v>
      </c>
      <c r="W16" s="32">
        <f>tblDépenses[[#This Row],[Juin]]/tblDépenses[[#Totals],[Juin]]</f>
        <v>6.2043795620437957E-2</v>
      </c>
      <c r="X16" s="32">
        <f>tblDépenses[[#This Row],[Juil]]/tblDépenses[[#Totals],[Juil]]</f>
        <v>7.5187969924812026E-2</v>
      </c>
      <c r="Y16" s="32">
        <f>tblDépenses[[#This Row],[Août]]/tblDépenses[[#Totals],[Août]]</f>
        <v>5.9574468085106386E-2</v>
      </c>
      <c r="Z16" s="32">
        <f>tblDépenses[[#This Row],[Sept]]/tblDépenses[[#Totals],[Sept]]</f>
        <v>2.1739130434782608E-2</v>
      </c>
      <c r="AA16" s="32">
        <f>tblDépenses[[#This Row],[Oct]]/tblDépenses[[#Totals],[Oct]]</f>
        <v>5.4054054054054057E-2</v>
      </c>
      <c r="AB16" s="32">
        <f>tblDépenses[[#This Row],[Nov]]/tblDépenses[[#Totals],[Nov]]</f>
        <v>1.6891891891891893E-2</v>
      </c>
      <c r="AC16" s="32">
        <f>tblDépenses[[#This Row],[Déc]]/tblDépenses[[#Totals],[Déc]]</f>
        <v>8.658008658008658E-3</v>
      </c>
      <c r="AD16" s="32">
        <f>tblDépenses[[#This Row],[Annuel]]/tblDépenses[[#Totals],[Annuel]]</f>
        <v>5.2684228076025338E-2</v>
      </c>
    </row>
    <row r="17" spans="1:30" ht="30" customHeight="1" x14ac:dyDescent="0.3">
      <c r="B17" s="14" t="s">
        <v>29</v>
      </c>
      <c r="C17" s="30" t="s">
        <v>36</v>
      </c>
      <c r="D17" s="23">
        <v>16</v>
      </c>
      <c r="E17" s="23">
        <v>13</v>
      </c>
      <c r="F17" s="23">
        <v>10</v>
      </c>
      <c r="G17" s="23">
        <v>7</v>
      </c>
      <c r="H17" s="23">
        <v>13</v>
      </c>
      <c r="I17" s="23">
        <v>3</v>
      </c>
      <c r="J17" s="23">
        <v>13</v>
      </c>
      <c r="K17" s="23">
        <v>17</v>
      </c>
      <c r="L17" s="23">
        <v>9</v>
      </c>
      <c r="M17" s="23">
        <v>4</v>
      </c>
      <c r="N17" s="23">
        <v>22</v>
      </c>
      <c r="O17" s="23">
        <v>18</v>
      </c>
      <c r="P17" s="31">
        <f>SUM(tblDépenses[[#This Row],[Colonne1]:[Déc]])</f>
        <v>145</v>
      </c>
      <c r="Q17" s="24">
        <v>0.14000000000000001</v>
      </c>
      <c r="R17" s="32">
        <f>tblDépenses[[#This Row],[Colonne1]]/tblDépenses[[#Totals],[Colonne1]]</f>
        <v>6.7796610169491525E-2</v>
      </c>
      <c r="S17" s="32">
        <f>tblDépenses[[#This Row],[Févr]]/tblDépenses[[#Totals],[Févr]]</f>
        <v>6.3414634146341464E-2</v>
      </c>
      <c r="T17" s="32">
        <f>tblDépenses[[#This Row],[Mars]]/tblDépenses[[#Totals],[Mars]]</f>
        <v>4.0160642570281124E-2</v>
      </c>
      <c r="U17" s="32">
        <f>tblDépenses[[#This Row],[Avr]]/tblDépenses[[#Totals],[Avr]]</f>
        <v>2.681992337164751E-2</v>
      </c>
      <c r="V17" s="32">
        <f>tblDépenses[[#This Row],[Mai]]/tblDépenses[[#Totals],[Mai]]</f>
        <v>5.0583657587548639E-2</v>
      </c>
      <c r="W17" s="32">
        <f>tblDépenses[[#This Row],[Juin]]/tblDépenses[[#Totals],[Juin]]</f>
        <v>1.0948905109489052E-2</v>
      </c>
      <c r="X17" s="32">
        <f>tblDépenses[[#This Row],[Juil]]/tblDépenses[[#Totals],[Juil]]</f>
        <v>4.8872180451127817E-2</v>
      </c>
      <c r="Y17" s="32">
        <f>tblDépenses[[#This Row],[Août]]/tblDépenses[[#Totals],[Août]]</f>
        <v>7.2340425531914887E-2</v>
      </c>
      <c r="Z17" s="32">
        <f>tblDépenses[[#This Row],[Sept]]/tblDépenses[[#Totals],[Sept]]</f>
        <v>3.9130434782608699E-2</v>
      </c>
      <c r="AA17" s="32">
        <f>tblDépenses[[#This Row],[Oct]]/tblDépenses[[#Totals],[Oct]]</f>
        <v>1.5444015444015444E-2</v>
      </c>
      <c r="AB17" s="32">
        <f>tblDépenses[[#This Row],[Nov]]/tblDépenses[[#Totals],[Nov]]</f>
        <v>7.4324324324324328E-2</v>
      </c>
      <c r="AC17" s="32">
        <f>tblDépenses[[#This Row],[Déc]]/tblDépenses[[#Totals],[Déc]]</f>
        <v>7.792207792207792E-2</v>
      </c>
      <c r="AD17" s="32">
        <f>tblDépenses[[#This Row],[Annuel]]/tblDépenses[[#Totals],[Annuel]]</f>
        <v>4.8349449816605536E-2</v>
      </c>
    </row>
    <row r="18" spans="1:30" ht="30" customHeight="1" x14ac:dyDescent="0.3">
      <c r="B18" s="14" t="s">
        <v>30</v>
      </c>
      <c r="C18" s="30" t="s">
        <v>36</v>
      </c>
      <c r="D18" s="23">
        <v>3</v>
      </c>
      <c r="E18" s="23">
        <v>2</v>
      </c>
      <c r="F18" s="23">
        <v>19</v>
      </c>
      <c r="G18" s="23">
        <v>21</v>
      </c>
      <c r="H18" s="23">
        <v>13</v>
      </c>
      <c r="I18" s="23">
        <v>9</v>
      </c>
      <c r="J18" s="23">
        <v>7</v>
      </c>
      <c r="K18" s="23">
        <v>13</v>
      </c>
      <c r="L18" s="23">
        <v>3</v>
      </c>
      <c r="M18" s="23">
        <v>6</v>
      </c>
      <c r="N18" s="23">
        <v>10</v>
      </c>
      <c r="O18" s="23">
        <v>13</v>
      </c>
      <c r="P18" s="31">
        <f>SUM(tblDépenses[[#This Row],[Colonne1]:[Déc]])</f>
        <v>119</v>
      </c>
      <c r="Q18" s="24">
        <v>0.06</v>
      </c>
      <c r="R18" s="32">
        <f>tblDépenses[[#This Row],[Colonne1]]/tblDépenses[[#Totals],[Colonne1]]</f>
        <v>1.2711864406779662E-2</v>
      </c>
      <c r="S18" s="32">
        <f>tblDépenses[[#This Row],[Févr]]/tblDépenses[[#Totals],[Févr]]</f>
        <v>9.7560975609756097E-3</v>
      </c>
      <c r="T18" s="32">
        <f>tblDépenses[[#This Row],[Mars]]/tblDépenses[[#Totals],[Mars]]</f>
        <v>7.6305220883534142E-2</v>
      </c>
      <c r="U18" s="32">
        <f>tblDépenses[[#This Row],[Avr]]/tblDépenses[[#Totals],[Avr]]</f>
        <v>8.0459770114942528E-2</v>
      </c>
      <c r="V18" s="32">
        <f>tblDépenses[[#This Row],[Mai]]/tblDépenses[[#Totals],[Mai]]</f>
        <v>5.0583657587548639E-2</v>
      </c>
      <c r="W18" s="32">
        <f>tblDépenses[[#This Row],[Juin]]/tblDépenses[[#Totals],[Juin]]</f>
        <v>3.2846715328467155E-2</v>
      </c>
      <c r="X18" s="32">
        <f>tblDépenses[[#This Row],[Juil]]/tblDépenses[[#Totals],[Juil]]</f>
        <v>2.6315789473684209E-2</v>
      </c>
      <c r="Y18" s="32">
        <f>tblDépenses[[#This Row],[Août]]/tblDépenses[[#Totals],[Août]]</f>
        <v>5.5319148936170209E-2</v>
      </c>
      <c r="Z18" s="32">
        <f>tblDépenses[[#This Row],[Sept]]/tblDépenses[[#Totals],[Sept]]</f>
        <v>1.3043478260869565E-2</v>
      </c>
      <c r="AA18" s="32">
        <f>tblDépenses[[#This Row],[Oct]]/tblDépenses[[#Totals],[Oct]]</f>
        <v>2.3166023166023165E-2</v>
      </c>
      <c r="AB18" s="32">
        <f>tblDépenses[[#This Row],[Nov]]/tblDépenses[[#Totals],[Nov]]</f>
        <v>3.3783783783783786E-2</v>
      </c>
      <c r="AC18" s="32">
        <f>tblDépenses[[#This Row],[Déc]]/tblDépenses[[#Totals],[Déc]]</f>
        <v>5.627705627705628E-2</v>
      </c>
      <c r="AD18" s="32">
        <f>tblDépenses[[#This Row],[Annuel]]/tblDépenses[[#Totals],[Annuel]]</f>
        <v>3.9679893297765924E-2</v>
      </c>
    </row>
    <row r="19" spans="1:30" ht="30" customHeight="1" x14ac:dyDescent="0.3">
      <c r="B19" s="14" t="s">
        <v>31</v>
      </c>
      <c r="C19" s="30" t="s">
        <v>36</v>
      </c>
      <c r="D19" s="23">
        <v>8</v>
      </c>
      <c r="E19" s="23">
        <v>7</v>
      </c>
      <c r="F19" s="23">
        <v>6</v>
      </c>
      <c r="G19" s="23">
        <v>7</v>
      </c>
      <c r="H19" s="23">
        <v>7</v>
      </c>
      <c r="I19" s="23">
        <v>6</v>
      </c>
      <c r="J19" s="23">
        <v>15</v>
      </c>
      <c r="K19" s="23">
        <v>23</v>
      </c>
      <c r="L19" s="23">
        <v>21</v>
      </c>
      <c r="M19" s="23">
        <v>16</v>
      </c>
      <c r="N19" s="23">
        <v>19</v>
      </c>
      <c r="O19" s="23">
        <v>7</v>
      </c>
      <c r="P19" s="31">
        <f>SUM(tblDépenses[[#This Row],[Colonne1]:[Déc]])</f>
        <v>142</v>
      </c>
      <c r="Q19" s="24">
        <v>0.01</v>
      </c>
      <c r="R19" s="32">
        <f>tblDépenses[[#This Row],[Colonne1]]/tblDépenses[[#Totals],[Colonne1]]</f>
        <v>3.3898305084745763E-2</v>
      </c>
      <c r="S19" s="32">
        <f>tblDépenses[[#This Row],[Févr]]/tblDépenses[[#Totals],[Févr]]</f>
        <v>3.4146341463414637E-2</v>
      </c>
      <c r="T19" s="32">
        <f>tblDépenses[[#This Row],[Mars]]/tblDépenses[[#Totals],[Mars]]</f>
        <v>2.4096385542168676E-2</v>
      </c>
      <c r="U19" s="32">
        <f>tblDépenses[[#This Row],[Avr]]/tblDépenses[[#Totals],[Avr]]</f>
        <v>2.681992337164751E-2</v>
      </c>
      <c r="V19" s="32">
        <f>tblDépenses[[#This Row],[Mai]]/tblDépenses[[#Totals],[Mai]]</f>
        <v>2.7237354085603113E-2</v>
      </c>
      <c r="W19" s="32">
        <f>tblDépenses[[#This Row],[Juin]]/tblDépenses[[#Totals],[Juin]]</f>
        <v>2.1897810218978103E-2</v>
      </c>
      <c r="X19" s="32">
        <f>tblDépenses[[#This Row],[Juil]]/tblDépenses[[#Totals],[Juil]]</f>
        <v>5.6390977443609019E-2</v>
      </c>
      <c r="Y19" s="32">
        <f>tblDépenses[[#This Row],[Août]]/tblDépenses[[#Totals],[Août]]</f>
        <v>9.7872340425531917E-2</v>
      </c>
      <c r="Z19" s="32">
        <f>tblDépenses[[#This Row],[Sept]]/tblDépenses[[#Totals],[Sept]]</f>
        <v>9.1304347826086957E-2</v>
      </c>
      <c r="AA19" s="32">
        <f>tblDépenses[[#This Row],[Oct]]/tblDépenses[[#Totals],[Oct]]</f>
        <v>6.1776061776061778E-2</v>
      </c>
      <c r="AB19" s="32">
        <f>tblDépenses[[#This Row],[Nov]]/tblDépenses[[#Totals],[Nov]]</f>
        <v>6.4189189189189186E-2</v>
      </c>
      <c r="AC19" s="32">
        <f>tblDépenses[[#This Row],[Déc]]/tblDépenses[[#Totals],[Déc]]</f>
        <v>3.0303030303030304E-2</v>
      </c>
      <c r="AD19" s="32">
        <f>tblDépenses[[#This Row],[Annuel]]/tblDépenses[[#Totals],[Annuel]]</f>
        <v>4.7349116372124044E-2</v>
      </c>
    </row>
    <row r="20" spans="1:30" ht="30" customHeight="1" x14ac:dyDescent="0.3">
      <c r="B20" s="14" t="s">
        <v>32</v>
      </c>
      <c r="C20" s="30" t="s">
        <v>36</v>
      </c>
      <c r="D20" s="23">
        <v>14</v>
      </c>
      <c r="E20" s="23">
        <v>4</v>
      </c>
      <c r="F20" s="23">
        <v>24</v>
      </c>
      <c r="G20" s="23">
        <v>6</v>
      </c>
      <c r="H20" s="23">
        <v>20</v>
      </c>
      <c r="I20" s="23">
        <v>14</v>
      </c>
      <c r="J20" s="23">
        <v>21</v>
      </c>
      <c r="K20" s="23">
        <v>20</v>
      </c>
      <c r="L20" s="23">
        <v>22</v>
      </c>
      <c r="M20" s="23">
        <v>3</v>
      </c>
      <c r="N20" s="23">
        <v>14</v>
      </c>
      <c r="O20" s="23">
        <v>6</v>
      </c>
      <c r="P20" s="31">
        <f>SUM(tblDépenses[[#This Row],[Colonne1]:[Déc]])</f>
        <v>168</v>
      </c>
      <c r="Q20" s="24">
        <v>0.01</v>
      </c>
      <c r="R20" s="32">
        <f>tblDépenses[[#This Row],[Colonne1]]/tblDépenses[[#Totals],[Colonne1]]</f>
        <v>5.9322033898305086E-2</v>
      </c>
      <c r="S20" s="32">
        <f>tblDépenses[[#This Row],[Févr]]/tblDépenses[[#Totals],[Févr]]</f>
        <v>1.9512195121951219E-2</v>
      </c>
      <c r="T20" s="32">
        <f>tblDépenses[[#This Row],[Mars]]/tblDépenses[[#Totals],[Mars]]</f>
        <v>9.6385542168674704E-2</v>
      </c>
      <c r="U20" s="32">
        <f>tblDépenses[[#This Row],[Avr]]/tblDépenses[[#Totals],[Avr]]</f>
        <v>2.2988505747126436E-2</v>
      </c>
      <c r="V20" s="32">
        <f>tblDépenses[[#This Row],[Mai]]/tblDépenses[[#Totals],[Mai]]</f>
        <v>7.7821011673151752E-2</v>
      </c>
      <c r="W20" s="32">
        <f>tblDépenses[[#This Row],[Juin]]/tblDépenses[[#Totals],[Juin]]</f>
        <v>5.1094890510948905E-2</v>
      </c>
      <c r="X20" s="32">
        <f>tblDépenses[[#This Row],[Juil]]/tblDépenses[[#Totals],[Juil]]</f>
        <v>7.8947368421052627E-2</v>
      </c>
      <c r="Y20" s="32">
        <f>tblDépenses[[#This Row],[Août]]/tblDépenses[[#Totals],[Août]]</f>
        <v>8.5106382978723402E-2</v>
      </c>
      <c r="Z20" s="32">
        <f>tblDépenses[[#This Row],[Sept]]/tblDépenses[[#Totals],[Sept]]</f>
        <v>9.5652173913043481E-2</v>
      </c>
      <c r="AA20" s="32">
        <f>tblDépenses[[#This Row],[Oct]]/tblDépenses[[#Totals],[Oct]]</f>
        <v>1.1583011583011582E-2</v>
      </c>
      <c r="AB20" s="32">
        <f>tblDépenses[[#This Row],[Nov]]/tblDépenses[[#Totals],[Nov]]</f>
        <v>4.72972972972973E-2</v>
      </c>
      <c r="AC20" s="32">
        <f>tblDépenses[[#This Row],[Déc]]/tblDépenses[[#Totals],[Déc]]</f>
        <v>2.5974025974025976E-2</v>
      </c>
      <c r="AD20" s="32">
        <f>tblDépenses[[#This Row],[Annuel]]/tblDépenses[[#Totals],[Annuel]]</f>
        <v>5.6018672890963656E-2</v>
      </c>
    </row>
    <row r="21" spans="1:30" ht="30" customHeight="1" x14ac:dyDescent="0.3">
      <c r="B21" s="14" t="s">
        <v>32</v>
      </c>
      <c r="C21" s="30" t="s">
        <v>36</v>
      </c>
      <c r="D21" s="23">
        <v>14</v>
      </c>
      <c r="E21" s="23">
        <v>7</v>
      </c>
      <c r="F21" s="23">
        <v>24</v>
      </c>
      <c r="G21" s="23">
        <v>10</v>
      </c>
      <c r="H21" s="23">
        <v>7</v>
      </c>
      <c r="I21" s="23">
        <v>24</v>
      </c>
      <c r="J21" s="23">
        <v>2</v>
      </c>
      <c r="K21" s="23">
        <v>11</v>
      </c>
      <c r="L21" s="23">
        <v>21</v>
      </c>
      <c r="M21" s="23">
        <v>19</v>
      </c>
      <c r="N21" s="23">
        <v>19</v>
      </c>
      <c r="O21" s="23">
        <v>20</v>
      </c>
      <c r="P21" s="31">
        <f>SUM(tblDépenses[[#This Row],[Colonne1]:[Déc]])</f>
        <v>178</v>
      </c>
      <c r="Q21" s="24">
        <v>0.01</v>
      </c>
      <c r="R21" s="32">
        <f>tblDépenses[[#This Row],[Colonne1]]/tblDépenses[[#Totals],[Colonne1]]</f>
        <v>5.9322033898305086E-2</v>
      </c>
      <c r="S21" s="32">
        <f>tblDépenses[[#This Row],[Févr]]/tblDépenses[[#Totals],[Févr]]</f>
        <v>3.4146341463414637E-2</v>
      </c>
      <c r="T21" s="32">
        <f>tblDépenses[[#This Row],[Mars]]/tblDépenses[[#Totals],[Mars]]</f>
        <v>9.6385542168674704E-2</v>
      </c>
      <c r="U21" s="32">
        <f>tblDépenses[[#This Row],[Avr]]/tblDépenses[[#Totals],[Avr]]</f>
        <v>3.8314176245210725E-2</v>
      </c>
      <c r="V21" s="32">
        <f>tblDépenses[[#This Row],[Mai]]/tblDépenses[[#Totals],[Mai]]</f>
        <v>2.7237354085603113E-2</v>
      </c>
      <c r="W21" s="32">
        <f>tblDépenses[[#This Row],[Juin]]/tblDépenses[[#Totals],[Juin]]</f>
        <v>8.7591240875912413E-2</v>
      </c>
      <c r="X21" s="32">
        <f>tblDépenses[[#This Row],[Juil]]/tblDépenses[[#Totals],[Juil]]</f>
        <v>7.5187969924812026E-3</v>
      </c>
      <c r="Y21" s="32">
        <f>tblDépenses[[#This Row],[Août]]/tblDépenses[[#Totals],[Août]]</f>
        <v>4.6808510638297871E-2</v>
      </c>
      <c r="Z21" s="32">
        <f>tblDépenses[[#This Row],[Sept]]/tblDépenses[[#Totals],[Sept]]</f>
        <v>9.1304347826086957E-2</v>
      </c>
      <c r="AA21" s="32">
        <f>tblDépenses[[#This Row],[Oct]]/tblDépenses[[#Totals],[Oct]]</f>
        <v>7.3359073359073365E-2</v>
      </c>
      <c r="AB21" s="32">
        <f>tblDépenses[[#This Row],[Nov]]/tblDépenses[[#Totals],[Nov]]</f>
        <v>6.4189189189189186E-2</v>
      </c>
      <c r="AC21" s="32">
        <f>tblDépenses[[#This Row],[Déc]]/tblDépenses[[#Totals],[Déc]]</f>
        <v>8.6580086580086577E-2</v>
      </c>
      <c r="AD21" s="32">
        <f>tblDépenses[[#This Row],[Annuel]]/tblDépenses[[#Totals],[Annuel]]</f>
        <v>5.9353117705901966E-2</v>
      </c>
    </row>
    <row r="22" spans="1:30" ht="30" customHeight="1" x14ac:dyDescent="0.3">
      <c r="A22" s="1"/>
      <c r="B22" s="14" t="s">
        <v>32</v>
      </c>
      <c r="C22" s="30" t="s">
        <v>36</v>
      </c>
      <c r="D22" s="23">
        <v>11</v>
      </c>
      <c r="E22" s="23">
        <v>8</v>
      </c>
      <c r="F22" s="23">
        <v>25</v>
      </c>
      <c r="G22" s="23">
        <v>11</v>
      </c>
      <c r="H22" s="23">
        <v>9</v>
      </c>
      <c r="I22" s="23">
        <v>24</v>
      </c>
      <c r="J22" s="23">
        <v>13</v>
      </c>
      <c r="K22" s="23">
        <v>14</v>
      </c>
      <c r="L22" s="23">
        <v>19</v>
      </c>
      <c r="M22" s="23">
        <v>24</v>
      </c>
      <c r="N22" s="23">
        <v>15</v>
      </c>
      <c r="O22" s="23">
        <v>7</v>
      </c>
      <c r="P22" s="31">
        <f>SUM(tblDépenses[[#This Row],[Colonne1]:[Déc]])</f>
        <v>180</v>
      </c>
      <c r="Q22" s="24">
        <v>0.01</v>
      </c>
      <c r="R22" s="32">
        <f>tblDépenses[[#This Row],[Colonne1]]/tblDépenses[[#Totals],[Colonne1]]</f>
        <v>4.6610169491525424E-2</v>
      </c>
      <c r="S22" s="32">
        <f>tblDépenses[[#This Row],[Févr]]/tblDépenses[[#Totals],[Févr]]</f>
        <v>3.9024390243902439E-2</v>
      </c>
      <c r="T22" s="32">
        <f>tblDépenses[[#This Row],[Mars]]/tblDépenses[[#Totals],[Mars]]</f>
        <v>0.10040160642570281</v>
      </c>
      <c r="U22" s="32">
        <f>tblDépenses[[#This Row],[Avr]]/tblDépenses[[#Totals],[Avr]]</f>
        <v>4.2145593869731802E-2</v>
      </c>
      <c r="V22" s="32">
        <f>tblDépenses[[#This Row],[Mai]]/tblDépenses[[#Totals],[Mai]]</f>
        <v>3.5019455252918288E-2</v>
      </c>
      <c r="W22" s="32">
        <f>tblDépenses[[#This Row],[Juin]]/tblDépenses[[#Totals],[Juin]]</f>
        <v>8.7591240875912413E-2</v>
      </c>
      <c r="X22" s="32">
        <f>tblDépenses[[#This Row],[Juil]]/tblDépenses[[#Totals],[Juil]]</f>
        <v>4.8872180451127817E-2</v>
      </c>
      <c r="Y22" s="32">
        <f>tblDépenses[[#This Row],[Août]]/tblDépenses[[#Totals],[Août]]</f>
        <v>5.9574468085106386E-2</v>
      </c>
      <c r="Z22" s="32">
        <f>tblDépenses[[#This Row],[Sept]]/tblDépenses[[#Totals],[Sept]]</f>
        <v>8.2608695652173908E-2</v>
      </c>
      <c r="AA22" s="32">
        <f>tblDépenses[[#This Row],[Oct]]/tblDépenses[[#Totals],[Oct]]</f>
        <v>9.2664092664092659E-2</v>
      </c>
      <c r="AB22" s="32">
        <f>tblDépenses[[#This Row],[Nov]]/tblDépenses[[#Totals],[Nov]]</f>
        <v>5.0675675675675678E-2</v>
      </c>
      <c r="AC22" s="32">
        <f>tblDépenses[[#This Row],[Déc]]/tblDépenses[[#Totals],[Déc]]</f>
        <v>3.0303030303030304E-2</v>
      </c>
      <c r="AD22" s="32">
        <f>tblDépenses[[#This Row],[Annuel]]/tblDépenses[[#Totals],[Annuel]]</f>
        <v>6.0020006668889632E-2</v>
      </c>
    </row>
    <row r="23" spans="1:30" ht="30" customHeight="1" x14ac:dyDescent="0.3">
      <c r="A23" s="2"/>
      <c r="B23" s="14" t="s">
        <v>33</v>
      </c>
      <c r="C23" s="30" t="s">
        <v>36</v>
      </c>
      <c r="D23" s="23">
        <v>8</v>
      </c>
      <c r="E23" s="23">
        <v>20</v>
      </c>
      <c r="F23" s="23">
        <v>11</v>
      </c>
      <c r="G23" s="23">
        <v>11</v>
      </c>
      <c r="H23" s="23">
        <v>11</v>
      </c>
      <c r="I23" s="23">
        <v>20</v>
      </c>
      <c r="J23" s="23">
        <v>12</v>
      </c>
      <c r="K23" s="23">
        <v>16</v>
      </c>
      <c r="L23" s="23">
        <v>5</v>
      </c>
      <c r="M23" s="23">
        <v>7</v>
      </c>
      <c r="N23" s="23">
        <v>21</v>
      </c>
      <c r="O23" s="23">
        <v>3</v>
      </c>
      <c r="P23" s="31">
        <f>SUM(tblDépenses[[#This Row],[Colonne1]:[Déc]])</f>
        <v>145</v>
      </c>
      <c r="Q23" s="24">
        <v>0.02</v>
      </c>
      <c r="R23" s="32">
        <f>tblDépenses[[#This Row],[Colonne1]]/tblDépenses[[#Totals],[Colonne1]]</f>
        <v>3.3898305084745763E-2</v>
      </c>
      <c r="S23" s="32">
        <f>tblDépenses[[#This Row],[Févr]]/tblDépenses[[#Totals],[Févr]]</f>
        <v>9.7560975609756101E-2</v>
      </c>
      <c r="T23" s="32">
        <f>tblDépenses[[#This Row],[Mars]]/tblDépenses[[#Totals],[Mars]]</f>
        <v>4.4176706827309238E-2</v>
      </c>
      <c r="U23" s="32">
        <f>tblDépenses[[#This Row],[Avr]]/tblDépenses[[#Totals],[Avr]]</f>
        <v>4.2145593869731802E-2</v>
      </c>
      <c r="V23" s="32">
        <f>tblDépenses[[#This Row],[Mai]]/tblDépenses[[#Totals],[Mai]]</f>
        <v>4.2801556420233464E-2</v>
      </c>
      <c r="W23" s="32">
        <f>tblDépenses[[#This Row],[Juin]]/tblDépenses[[#Totals],[Juin]]</f>
        <v>7.2992700729927001E-2</v>
      </c>
      <c r="X23" s="32">
        <f>tblDépenses[[#This Row],[Juil]]/tblDépenses[[#Totals],[Juil]]</f>
        <v>4.5112781954887216E-2</v>
      </c>
      <c r="Y23" s="32">
        <f>tblDépenses[[#This Row],[Août]]/tblDépenses[[#Totals],[Août]]</f>
        <v>6.8085106382978725E-2</v>
      </c>
      <c r="Z23" s="32">
        <f>tblDépenses[[#This Row],[Sept]]/tblDépenses[[#Totals],[Sept]]</f>
        <v>2.1739130434782608E-2</v>
      </c>
      <c r="AA23" s="32">
        <f>tblDépenses[[#This Row],[Oct]]/tblDépenses[[#Totals],[Oct]]</f>
        <v>2.7027027027027029E-2</v>
      </c>
      <c r="AB23" s="32">
        <f>tblDépenses[[#This Row],[Nov]]/tblDépenses[[#Totals],[Nov]]</f>
        <v>7.0945945945945943E-2</v>
      </c>
      <c r="AC23" s="32">
        <f>tblDépenses[[#This Row],[Déc]]/tblDépenses[[#Totals],[Déc]]</f>
        <v>1.2987012987012988E-2</v>
      </c>
      <c r="AD23" s="32">
        <f>tblDépenses[[#This Row],[Annuel]]/tblDépenses[[#Totals],[Annuel]]</f>
        <v>4.8349449816605536E-2</v>
      </c>
    </row>
    <row r="24" spans="1:30" ht="30" customHeight="1" x14ac:dyDescent="0.3">
      <c r="B24" s="9" t="s">
        <v>34</v>
      </c>
      <c r="C24" s="10" t="s">
        <v>36</v>
      </c>
      <c r="D24" s="34">
        <f>SUBTOTAL(109,tblDépenses[Colonne1])</f>
        <v>236</v>
      </c>
      <c r="E24" s="34">
        <f>SUBTOTAL(109,tblDépenses[Févr])</f>
        <v>205</v>
      </c>
      <c r="F24" s="34">
        <f>SUBTOTAL(109,tblDépenses[Mars])</f>
        <v>249</v>
      </c>
      <c r="G24" s="34">
        <f>SUBTOTAL(109,tblDépenses[Avr])</f>
        <v>261</v>
      </c>
      <c r="H24" s="34">
        <f>SUBTOTAL(109,tblDépenses[Mai])</f>
        <v>257</v>
      </c>
      <c r="I24" s="34">
        <f>SUBTOTAL(109,tblDépenses[Juin])</f>
        <v>274</v>
      </c>
      <c r="J24" s="34">
        <f>SUBTOTAL(109,tblDépenses[Juil])</f>
        <v>266</v>
      </c>
      <c r="K24" s="34">
        <f>SUBTOTAL(109,tblDépenses[Août])</f>
        <v>235</v>
      </c>
      <c r="L24" s="34">
        <f>SUBTOTAL(109,tblDépenses[Sept])</f>
        <v>230</v>
      </c>
      <c r="M24" s="34">
        <f>SUBTOTAL(109,tblDépenses[Oct])</f>
        <v>259</v>
      </c>
      <c r="N24" s="34">
        <f>SUBTOTAL(109,tblDépenses[Nov])</f>
        <v>296</v>
      </c>
      <c r="O24" s="34">
        <f>SUBTOTAL(109,tblDépenses[Déc])</f>
        <v>231</v>
      </c>
      <c r="P24" s="34">
        <f>SUBTOTAL(109,tblDépenses[Annuel])</f>
        <v>2999</v>
      </c>
      <c r="Q24" s="26">
        <f>SUBTOTAL(109,tblDépenses[Index %])</f>
        <v>1</v>
      </c>
      <c r="R24" s="26">
        <f>SUBTOTAL(109,tblDépenses[Jan %])</f>
        <v>1</v>
      </c>
      <c r="S24" s="26">
        <f>SUBTOTAL(109,tblDépenses[Fév %])</f>
        <v>1.0000000000000002</v>
      </c>
      <c r="T24" s="26">
        <f>SUBTOTAL(109,tblDépenses[Mar %])</f>
        <v>1.0000000000000002</v>
      </c>
      <c r="U24" s="26">
        <f>SUBTOTAL(109,tblDépenses[Avr %])</f>
        <v>1</v>
      </c>
      <c r="V24" s="26">
        <f>SUBTOTAL(109,tblDépenses[Mai %])</f>
        <v>1.0000000000000002</v>
      </c>
      <c r="W24" s="26">
        <f>SUBTOTAL(109,tblDépenses[Jui %])</f>
        <v>1</v>
      </c>
      <c r="X24" s="26">
        <f>SUBTOTAL(109,tblDépenses[Jui % ])</f>
        <v>1</v>
      </c>
      <c r="Y24" s="26">
        <f>SUBTOTAL(109,tblDépenses[Aoû %])</f>
        <v>0.99999999999999989</v>
      </c>
      <c r="Z24" s="26">
        <f>SUBTOTAL(109,tblDépenses[Sep %])</f>
        <v>1</v>
      </c>
      <c r="AA24" s="26">
        <f>SUBTOTAL(109,tblDépenses[Oct %])</f>
        <v>1</v>
      </c>
      <c r="AB24" s="26">
        <f>SUBTOTAL(109,tblDépenses[Nov %])</f>
        <v>0.99999999999999989</v>
      </c>
      <c r="AC24" s="26">
        <f>SUBTOTAL(109,tblDépenses[Déc %])</f>
        <v>1</v>
      </c>
      <c r="AD24" s="26">
        <f>SUBTOTAL(109,tblDépenses[Année %])</f>
        <v>0.99999999999999989</v>
      </c>
    </row>
    <row r="25" spans="1:30" ht="30" customHeight="1" x14ac:dyDescent="0.3">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row>
    <row r="26" spans="1:30" ht="30" customHeight="1" x14ac:dyDescent="0.3">
      <c r="B26" s="12" t="s">
        <v>35</v>
      </c>
      <c r="C26" s="12"/>
      <c r="D26" s="35">
        <f>Frais!$D$12-tblDépenses[[#Totals],[Colonne1]]</f>
        <v>-450</v>
      </c>
      <c r="E26" s="35">
        <f>Frais!E12-tblDépenses[[#Totals],[Févr]]</f>
        <v>-489</v>
      </c>
      <c r="F26" s="35">
        <f>Frais!F12-tblDépenses[[#Totals],[Mars]]</f>
        <v>-492</v>
      </c>
      <c r="G26" s="35">
        <f>Frais!G12-tblDépenses[[#Totals],[Avr]]</f>
        <v>-450</v>
      </c>
      <c r="H26" s="35">
        <f>Frais!H12-tblDépenses[[#Totals],[Mai]]</f>
        <v>-575</v>
      </c>
      <c r="I26" s="35">
        <f>Frais!I12-tblDépenses[[#Totals],[Juin]]</f>
        <v>-453</v>
      </c>
      <c r="J26" s="35">
        <f>Frais!J12-tblDépenses[[#Totals],[Juil]]</f>
        <v>-417</v>
      </c>
      <c r="K26" s="35">
        <f>Frais!K12-tblDépenses[[#Totals],[Août]]</f>
        <v>-402</v>
      </c>
      <c r="L26" s="35">
        <f>Frais!L12-tblDépenses[[#Totals],[Sept]]</f>
        <v>-468</v>
      </c>
      <c r="M26" s="35">
        <f>Frais!M12-tblDépenses[[#Totals],[Oct]]</f>
        <v>-499</v>
      </c>
      <c r="N26" s="35">
        <f>Frais!N12-tblDépenses[[#Totals],[Nov]]</f>
        <v>-490</v>
      </c>
      <c r="O26" s="35">
        <f>Frais!O12-tblDépenses[[#Totals],[Déc]]</f>
        <v>-555</v>
      </c>
      <c r="P26" s="35">
        <f>SUM(D26:O26)</f>
        <v>-5740</v>
      </c>
      <c r="Q26" s="12"/>
      <c r="R26" s="13">
        <f>D26/$P$26</f>
        <v>7.8397212543554001E-2</v>
      </c>
      <c r="S26" s="13">
        <f t="shared" ref="S26:AD26" si="1">E26/$P$26</f>
        <v>8.5191637630662023E-2</v>
      </c>
      <c r="T26" s="13">
        <f t="shared" si="1"/>
        <v>8.5714285714285715E-2</v>
      </c>
      <c r="U26" s="13">
        <f t="shared" si="1"/>
        <v>7.8397212543554001E-2</v>
      </c>
      <c r="V26" s="13">
        <f t="shared" si="1"/>
        <v>0.10017421602787456</v>
      </c>
      <c r="W26" s="13">
        <f t="shared" si="1"/>
        <v>7.8919860627177707E-2</v>
      </c>
      <c r="X26" s="13">
        <f t="shared" si="1"/>
        <v>7.2648083623693377E-2</v>
      </c>
      <c r="Y26" s="13">
        <f t="shared" si="1"/>
        <v>7.0034843205574918E-2</v>
      </c>
      <c r="Z26" s="13">
        <f t="shared" si="1"/>
        <v>8.1533101045296166E-2</v>
      </c>
      <c r="AA26" s="13">
        <f t="shared" si="1"/>
        <v>8.6933797909407667E-2</v>
      </c>
      <c r="AB26" s="13">
        <f t="shared" si="1"/>
        <v>8.5365853658536592E-2</v>
      </c>
      <c r="AC26" s="13">
        <f t="shared" si="1"/>
        <v>9.6689895470383272E-2</v>
      </c>
      <c r="AD26" s="13">
        <f t="shared" si="1"/>
        <v>1</v>
      </c>
    </row>
  </sheetData>
  <dataValidations count="18">
    <dataValidation allowBlank="1" showInputMessage="1" showErrorMessage="1" prompt="Cette feuille de calcul calcule le total des dépenses par mois et par an, ainsi que le total des dépenses annuelles pour chaque élément. Les bénéfices nets sont calculés automatiquement en fonction de la marge brute et des dépenses totales " sqref="A1:A1048576" xr:uid="{00000000-0002-0000-0200-000000000000}"/>
    <dataValidation allowBlank="1" showInputMessage="1" showErrorMessage="1" prompt="Le nom de l’entreprise est automatiquement mis à jour à l’aide de l’entrée indiquée dans la feuille de calcul Chiffre d’affaires (ventes)" sqref="AD1" xr:uid="{00000000-0002-0000-0200-000001000000}"/>
    <dataValidation allowBlank="1" showInputMessage="1" showErrorMessage="1" prompt="Titre automatiquement mis à jour à partir de la feuille de calcul Chiffre d’affaires (ventes) Entrez des valeurs dans le tableau Dépenses ci-dessous pour calculer le total des dépenses" sqref="B2" xr:uid="{00000000-0002-0000-0200-000002000000}"/>
    <dataValidation allowBlank="1" showInputMessage="1" showErrorMessage="1" prompt="Entrez le pourcentage d’index dans cette colonne" sqref="Q4" xr:uid="{00000000-0002-0000-0200-000003000000}"/>
    <dataValidation allowBlank="1" showInputMessage="1" showErrorMessage="1" prompt="Les bénéfices nets sont calculés automatiquement par mois et par an en fonction de la marge brute et des dépenses totales" sqref="B26" xr:uid="{00000000-0002-0000-0200-000004000000}"/>
    <dataValidation allowBlank="1" showInputMessage="1" showErrorMessage="1" prompt="Entrez dans cette colonne les dépenses liées aux sources répertoriées dans la colonne B" sqref="D4:O4" xr:uid="{00000000-0002-0000-0200-000005000000}"/>
    <dataValidation allowBlank="1" showInputMessage="1" showErrorMessage="1" prompt="Un graphique de tendance représentant les dépenses au fil du temps figure dans cette colonne" sqref="C4" xr:uid="{00000000-0002-0000-0200-000006000000}"/>
    <dataValidation allowBlank="1" showInputMessage="1" showErrorMessage="1" prompt="Entrez les dépenses dans cette colonne" sqref="B4" xr:uid="{00000000-0002-0000-0200-000007000000}"/>
    <dataValidation allowBlank="1" showInputMessage="1" showErrorMessage="1" prompt="Calcule automatiquement la proportion de dépenses des différentes sources par rapport aux dépenses totales pour l’année dans cette colonne" sqref="AD3" xr:uid="{00000000-0002-0000-0200-000008000000}"/>
    <dataValidation allowBlank="1" showInputMessage="1" showErrorMessage="1" prompt="Calcule automatiquement la proportion de dépenses des différentes sources par rapport aux dépenses totales dans cette colonne, pour le mois figurant dans cette cellule" sqref="R3:AC3" xr:uid="{00000000-0002-0000-0200-000009000000}"/>
    <dataValidation allowBlank="1" showInputMessage="1" showErrorMessage="1" prompt="Mois automatiquement mis à jour" sqref="E3:O3" xr:uid="{00000000-0002-0000-0200-00000A000000}"/>
    <dataValidation allowBlank="1" showInputMessage="1" showErrorMessage="1" prompt="Les dates de cette ligne sont automatiquement mises à jour en fonction du mois de début de chaque exercice. Pour modifier le mois de début, modifiez la cellule AC2" sqref="D3" xr:uid="{00000000-0002-0000-0200-00000B000000}"/>
    <dataValidation allowBlank="1" showInputMessage="1" showErrorMessage="1" prompt="Les dépenses annuelles sont calculées automatiquement dans cette colonne" sqref="P3" xr:uid="{00000000-0002-0000-0200-00000C000000}"/>
    <dataValidation allowBlank="1" showInputMessage="1" showErrorMessage="1" prompt="Le pourcentage d’index figure dans cette colonne" sqref="Q3" xr:uid="{00000000-0002-0000-0200-00000D000000}"/>
    <dataValidation allowBlank="1" showInputMessage="1" showErrorMessage="1" prompt="Cette cellule est automatiquement mise à jour à partir du titre de la période de prévision de la feuille de calcul Chiffre d’affaires (ventes)" sqref="B1" xr:uid="{00000000-0002-0000-0200-00000E000000}"/>
    <dataValidation allowBlank="1" showInputMessage="1" showErrorMessage="1" prompt="Le mois et l’année sont automatiquement mis à jour dans les cellules à droite. Pour modifier le mois ou l’année, modifiez les cellules AC2 et AD2 de la feuille de calcul Chiffre d’affaires (ventes)" sqref="AB2" xr:uid="{00000000-0002-0000-0200-00000F000000}"/>
    <dataValidation allowBlank="1" showInputMessage="1" showErrorMessage="1" prompt="Mois automatiquement mis à jour. Pour modifier, modifiez la cellule AC2 de la feuille de calcul Chiffre d’affaires (ventes)" sqref="AC2" xr:uid="{00000000-0002-0000-0200-000010000000}"/>
    <dataValidation allowBlank="1" showInputMessage="1" showErrorMessage="1" prompt="Année automatiquement mis à jour. Pour modifier, modifiez la cellule AD2 de la feuille de calcul Chiffre d’affaires (ventes)" sqref="AD2" xr:uid="{00000000-0002-0000-0200-000011000000}"/>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r2:uid="{00000000-0003-0000-0200-000005000000}">
          <x14:colorSeries theme="3"/>
          <x14:colorNegative theme="5"/>
          <x14:colorAxis rgb="FF000000"/>
          <x14:colorMarkers theme="4" tint="-0.499984740745262"/>
          <x14:colorFirst theme="4" tint="0.39997558519241921"/>
          <x14:colorLast theme="4" tint="0.39997558519241921"/>
          <x14:colorHigh theme="3"/>
          <x14:colorLow theme="3"/>
          <x14:sparklines>
            <x14:sparkline>
              <xm:f>Charge!D5:O5</xm:f>
              <xm:sqref>C5</xm:sqref>
            </x14:sparkline>
            <x14:sparkline>
              <xm:f>Charge!D6:O6</xm:f>
              <xm:sqref>C6</xm:sqref>
            </x14:sparkline>
            <x14:sparkline>
              <xm:f>Charge!D7:O7</xm:f>
              <xm:sqref>C7</xm:sqref>
            </x14:sparkline>
            <x14:sparkline>
              <xm:f>Charge!D8:O8</xm:f>
              <xm:sqref>C8</xm:sqref>
            </x14:sparkline>
            <x14:sparkline>
              <xm:f>Charge!D9:O9</xm:f>
              <xm:sqref>C9</xm:sqref>
            </x14:sparkline>
            <x14:sparkline>
              <xm:f>Charge!D10:O10</xm:f>
              <xm:sqref>C10</xm:sqref>
            </x14:sparkline>
            <x14:sparkline>
              <xm:f>Charge!D11:O11</xm:f>
              <xm:sqref>C11</xm:sqref>
            </x14:sparkline>
            <x14:sparkline>
              <xm:f>Charge!D12:O12</xm:f>
              <xm:sqref>C12</xm:sqref>
            </x14:sparkline>
            <x14:sparkline>
              <xm:f>Charge!D13:O13</xm:f>
              <xm:sqref>C13</xm:sqref>
            </x14:sparkline>
            <x14:sparkline>
              <xm:f>Charge!D14:O14</xm:f>
              <xm:sqref>C14</xm:sqref>
            </x14:sparkline>
            <x14:sparkline>
              <xm:f>Charge!D15:O15</xm:f>
              <xm:sqref>C15</xm:sqref>
            </x14:sparkline>
            <x14:sparkline>
              <xm:f>Charge!D16:O16</xm:f>
              <xm:sqref>C16</xm:sqref>
            </x14:sparkline>
            <x14:sparkline>
              <xm:f>Charge!D17:O17</xm:f>
              <xm:sqref>C17</xm:sqref>
            </x14:sparkline>
            <x14:sparkline>
              <xm:f>Charge!D18:O18</xm:f>
              <xm:sqref>C18</xm:sqref>
            </x14:sparkline>
            <x14:sparkline>
              <xm:f>Charge!D19:O19</xm:f>
              <xm:sqref>C19</xm:sqref>
            </x14:sparkline>
            <x14:sparkline>
              <xm:f>Charge!D20:O20</xm:f>
              <xm:sqref>C20</xm:sqref>
            </x14:sparkline>
            <x14:sparkline>
              <xm:f>Charge!D21:O21</xm:f>
              <xm:sqref>C21</xm:sqref>
            </x14:sparkline>
            <x14:sparkline>
              <xm:f>Charge!D22:O22</xm:f>
              <xm:sqref>C22</xm:sqref>
            </x14:sparkline>
            <x14:sparkline>
              <xm:f>Charge!D23:O23</xm:f>
              <xm:sqref>C23</xm:sqref>
            </x14:sparkline>
          </x14:sparklines>
        </x14:sparklineGroup>
        <x14:sparklineGroup lineWeight="1" displayEmptyCellsAs="gap" high="1" low="1" xr2:uid="{00000000-0003-0000-0200-000004000000}">
          <x14:colorSeries theme="3"/>
          <x14:colorNegative theme="5"/>
          <x14:colorAxis rgb="FF000000"/>
          <x14:colorMarkers theme="4" tint="-0.499984740745262"/>
          <x14:colorFirst theme="4" tint="0.39997558519241921"/>
          <x14:colorLast theme="4" tint="0.39997558519241921"/>
          <x14:colorHigh theme="3"/>
          <x14:colorLow theme="3"/>
          <x14:sparklines>
            <x14:sparkline>
              <xm:f>Charge!D24:O24</xm:f>
              <xm:sqref>C24</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13</vt:i4>
      </vt:variant>
    </vt:vector>
  </HeadingPairs>
  <TitlesOfParts>
    <vt:vector size="28" baseType="lpstr">
      <vt:lpstr>Chiffre d’affaires</vt:lpstr>
      <vt:lpstr>Janvier</vt:lpstr>
      <vt:lpstr>Fevrier</vt:lpstr>
      <vt:lpstr>Mars</vt:lpstr>
      <vt:lpstr>Avril</vt:lpstr>
      <vt:lpstr>Mai</vt:lpstr>
      <vt:lpstr>Juin</vt:lpstr>
      <vt:lpstr>Juillet</vt:lpstr>
      <vt:lpstr>Août</vt:lpstr>
      <vt:lpstr>Septembre</vt:lpstr>
      <vt:lpstr>Otobre</vt:lpstr>
      <vt:lpstr>Novembre</vt:lpstr>
      <vt:lpstr>Décembre</vt:lpstr>
      <vt:lpstr>Frais</vt:lpstr>
      <vt:lpstr>Charge</vt:lpstr>
      <vt:lpstr>AnnéeCalendrier</vt:lpstr>
      <vt:lpstr>DébutSemaine</vt:lpstr>
      <vt:lpstr>FYMonthStart</vt:lpstr>
      <vt:lpstr>FYStartYear</vt:lpstr>
      <vt:lpstr>Charge!Impression_des_titres</vt:lpstr>
      <vt:lpstr>'Chiffre d’affaires'!Impression_des_titres</vt:lpstr>
      <vt:lpstr>Frais!Impression_des_titres</vt:lpstr>
      <vt:lpstr>Nom_Entreprise</vt:lpstr>
      <vt:lpstr>Titre_Feuille_Calcul</vt:lpstr>
      <vt:lpstr>Titre_Période_Prévisions</vt:lpstr>
      <vt:lpstr>Titre1</vt:lpstr>
      <vt:lpstr>Titre2</vt:lpstr>
      <vt:lpstr>Titre3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LIEGEOIS</dc:creator>
  <cp:lastModifiedBy>LIEGEOIS</cp:lastModifiedBy>
  <dcterms:created xsi:type="dcterms:W3CDTF">2016-12-06T05:59:57Z</dcterms:created>
  <dcterms:modified xsi:type="dcterms:W3CDTF">2019-02-04T16:56:54Z</dcterms:modified>
</cp:coreProperties>
</file>