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slicers/slicer2.xml" ContentType="application/vnd.ms-excel.slicer+xml"/>
  <Override PartName="/xl/drawings/drawing4.xml" ContentType="application/vnd.openxmlformats-officedocument.drawing+xml"/>
  <Override PartName="/xl/tables/table3.xml" ContentType="application/vnd.openxmlformats-officedocument.spreadsheetml.table+xml"/>
  <Override PartName="/xl/slicers/slicer3.xml" ContentType="application/vnd.ms-excel.slicer+xml"/>
  <Override PartName="/xl/drawings/drawing5.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J:\2023 2024\CSU2023\"/>
    </mc:Choice>
  </mc:AlternateContent>
  <xr:revisionPtr revIDLastSave="0" documentId="13_ncr:1_{B6D8149D-CD9A-471A-918F-46BF84C46341}" xr6:coauthVersionLast="47" xr6:coauthVersionMax="47" xr10:uidLastSave="{00000000-0000-0000-0000-000000000000}"/>
  <bookViews>
    <workbookView xWindow="28680" yWindow="-120" windowWidth="29040" windowHeight="16440" tabRatio="730" activeTab="4" xr2:uid="{00000000-000D-0000-FFFF-FFFF00000000}"/>
  </bookViews>
  <sheets>
    <sheet name="FEUILLE RECAP" sheetId="6" r:id="rId1"/>
    <sheet name="NOTESEQUIP" sheetId="1" r:id="rId2"/>
    <sheet name="NOTESINDIV" sheetId="4" r:id="rId3"/>
    <sheet name="Comment" sheetId="8" r:id="rId4"/>
    <sheet name="Explications Probleme" sheetId="9" r:id="rId5"/>
  </sheets>
  <definedNames>
    <definedName name="_xlnm.Print_Titles" localSheetId="0">'FEUILLE RECAP'!$3:$21</definedName>
    <definedName name="Segment_EQUIPE">#N/A</definedName>
    <definedName name="Segment_NOM2">#N/A</definedName>
    <definedName name="Segment_NOM21">#N/A</definedName>
    <definedName name="_xlnm.Print_Area" localSheetId="0">'FEUILLE RECAP'!$C$3:$L$52</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6"/>
        <x14:slicerCache r:id="rId7"/>
        <x14:slicerCache r:id="rId8"/>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9" l="1" a="1"/>
  <c r="Q19" i="9" s="1"/>
  <c r="V26" i="9"/>
  <c r="M26" i="9"/>
  <c r="V25" i="9"/>
  <c r="M25" i="9"/>
  <c r="V24" i="9"/>
  <c r="M24" i="9"/>
  <c r="V23" i="9"/>
  <c r="M23" i="9"/>
  <c r="V22" i="9"/>
  <c r="M22" i="9"/>
  <c r="V21" i="9"/>
  <c r="M21" i="9"/>
  <c r="V20" i="9"/>
  <c r="M20" i="9"/>
  <c r="V19" i="9"/>
  <c r="M19" i="9"/>
  <c r="Y5" i="4"/>
  <c r="Y6" i="4"/>
  <c r="Y7" i="4"/>
  <c r="Y8" i="4"/>
  <c r="Y9" i="4"/>
  <c r="Y10" i="4"/>
  <c r="Y11"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4" i="4"/>
  <c r="AD41" i="6"/>
  <c r="AL40" i="6"/>
  <c r="O26" i="9" a="1"/>
  <c r="O22" i="9" a="1"/>
  <c r="O19" i="9" a="1"/>
  <c r="O21" i="9" a="1"/>
  <c r="O24" i="9" a="1"/>
  <c r="O23" i="9" a="1"/>
  <c r="O20" i="9" a="1"/>
  <c r="O25" i="9" a="1"/>
  <c r="AE40" i="6" a="1"/>
  <c r="O25" i="9" l="1"/>
  <c r="O20" i="9"/>
  <c r="O23" i="9"/>
  <c r="O24" i="9"/>
  <c r="O21" i="9"/>
  <c r="O19" i="9"/>
  <c r="P19" i="9" s="1"/>
  <c r="O22" i="9"/>
  <c r="P22" i="9" s="1"/>
  <c r="O26" i="9"/>
  <c r="P26" i="9" s="1"/>
  <c r="P24" i="9"/>
  <c r="P21" i="9"/>
  <c r="AE40" i="6"/>
  <c r="AC40" i="6"/>
  <c r="AL39" i="6"/>
  <c r="AE39" i="6" a="1"/>
  <c r="R23" i="9" l="1"/>
  <c r="S23" i="9"/>
  <c r="R20" i="9"/>
  <c r="S20" i="9"/>
  <c r="S25" i="9"/>
  <c r="R25" i="9"/>
  <c r="P25" i="9"/>
  <c r="P23" i="9"/>
  <c r="P20" i="9"/>
  <c r="S26" i="9"/>
  <c r="R26" i="9"/>
  <c r="T26" i="9"/>
  <c r="S22" i="9"/>
  <c r="R22" i="9"/>
  <c r="S19" i="9"/>
  <c r="R19" i="9"/>
  <c r="T21" i="9"/>
  <c r="U21" i="9" s="1"/>
  <c r="R21" i="9"/>
  <c r="S21" i="9"/>
  <c r="S24" i="9"/>
  <c r="R24" i="9"/>
  <c r="AE39" i="6"/>
  <c r="AC39" i="6"/>
  <c r="AL38" i="6"/>
  <c r="AE38" i="6" a="1"/>
  <c r="AE38" i="6" l="1"/>
  <c r="AC38" i="6"/>
  <c r="AL37" i="6"/>
  <c r="AE37" i="6" a="1"/>
  <c r="AE37" i="6" l="1"/>
  <c r="AC37" i="6"/>
  <c r="AL36" i="6"/>
  <c r="AE36" i="6" a="1"/>
  <c r="AE36" i="6" l="1"/>
  <c r="AC36" i="6"/>
  <c r="AL35" i="6"/>
  <c r="AE35" i="6" a="1"/>
  <c r="AE35" i="6" l="1"/>
  <c r="AC35" i="6"/>
  <c r="AL34" i="6"/>
  <c r="AE34" i="6" a="1"/>
  <c r="AE34" i="6" l="1"/>
  <c r="AC34" i="6"/>
  <c r="AL33" i="6"/>
  <c r="AE33" i="6" a="1"/>
  <c r="AE33" i="6" l="1"/>
  <c r="AC33" i="6"/>
  <c r="AL32" i="6"/>
  <c r="AE32" i="6" a="1"/>
  <c r="AE32" i="6" l="1"/>
  <c r="AC32" i="6"/>
  <c r="AL31" i="6"/>
  <c r="AE31" i="6" a="1"/>
  <c r="AE31" i="6" l="1"/>
  <c r="AC31" i="6"/>
  <c r="AL30" i="6"/>
  <c r="AE30" i="6" a="1"/>
  <c r="AE30" i="6" l="1"/>
  <c r="AC30" i="6"/>
  <c r="AL29" i="6"/>
  <c r="AE29" i="6" a="1"/>
  <c r="AE29" i="6" l="1"/>
  <c r="AC29" i="6"/>
  <c r="AL28" i="6"/>
  <c r="AE28" i="6" a="1"/>
  <c r="AE28" i="6" l="1"/>
  <c r="AC28" i="6"/>
  <c r="AL27" i="6"/>
  <c r="AE27" i="6" a="1"/>
  <c r="AE27" i="6" l="1"/>
  <c r="AC27" i="6"/>
  <c r="AL26" i="6"/>
  <c r="AE26" i="6" a="1"/>
  <c r="AE26" i="6" l="1"/>
  <c r="AC26" i="6"/>
  <c r="AL25" i="6"/>
  <c r="AE25" i="6" a="1"/>
  <c r="AE25" i="6" l="1"/>
  <c r="AC25" i="6"/>
  <c r="AL24" i="6"/>
  <c r="AE24" i="6" a="1"/>
  <c r="AE24" i="6" l="1"/>
  <c r="AC24" i="6"/>
  <c r="AL23" i="6"/>
  <c r="AE23" i="6" a="1"/>
  <c r="AE23" i="6" l="1"/>
  <c r="AC23" i="6"/>
  <c r="AL22" i="6"/>
  <c r="AE22" i="6" a="1"/>
  <c r="AE22" i="6" l="1"/>
  <c r="AC22" i="6"/>
  <c r="AL21" i="6"/>
  <c r="AE21" i="6" a="1"/>
  <c r="AE21" i="6" l="1"/>
  <c r="AC21" i="6"/>
  <c r="AL20" i="6"/>
  <c r="AE20" i="6" a="1"/>
  <c r="AE20" i="6" l="1"/>
  <c r="AC20" i="6"/>
  <c r="AL19" i="6"/>
  <c r="AE19" i="6" a="1"/>
  <c r="AE19" i="6" l="1"/>
  <c r="AC19" i="6"/>
  <c r="AL18" i="6"/>
  <c r="AE18" i="6" a="1"/>
  <c r="AE18" i="6" l="1"/>
  <c r="AC18" i="6"/>
  <c r="AL17" i="6"/>
  <c r="AE17" i="6" a="1"/>
  <c r="AE17" i="6" l="1"/>
  <c r="AC17" i="6"/>
  <c r="AL16" i="6"/>
  <c r="AE16" i="6" a="1"/>
  <c r="AE16" i="6" l="1"/>
  <c r="AC16" i="6"/>
  <c r="AL15" i="6"/>
  <c r="AE15" i="6" a="1"/>
  <c r="AE15" i="6" l="1"/>
  <c r="AC15" i="6"/>
  <c r="AL14" i="6"/>
  <c r="AG14" i="6" a="1"/>
  <c r="AI16" i="6" s="1"/>
  <c r="AE14" i="6" a="1"/>
  <c r="AG14" i="6" l="1"/>
  <c r="AI15" i="6"/>
  <c r="AH15" i="6"/>
  <c r="AF40" i="6"/>
  <c r="AF39" i="6"/>
  <c r="AH40" i="6"/>
  <c r="AI40" i="6"/>
  <c r="AF38" i="6"/>
  <c r="AJ40" i="6"/>
  <c r="AK40" i="6" s="1"/>
  <c r="AI39" i="6"/>
  <c r="AH39" i="6"/>
  <c r="AF37" i="6"/>
  <c r="AH38" i="6"/>
  <c r="AJ38" i="6" s="1"/>
  <c r="AK38" i="6" s="1"/>
  <c r="AI38" i="6"/>
  <c r="AF36" i="6"/>
  <c r="AH37" i="6"/>
  <c r="AI37" i="6"/>
  <c r="AF35" i="6"/>
  <c r="AI36" i="6"/>
  <c r="AH36" i="6"/>
  <c r="AF34" i="6"/>
  <c r="AI35" i="6"/>
  <c r="AH35" i="6"/>
  <c r="AF33" i="6"/>
  <c r="AI34" i="6"/>
  <c r="AH34" i="6"/>
  <c r="AF32" i="6"/>
  <c r="AH33" i="6"/>
  <c r="AF31" i="6"/>
  <c r="AI33" i="6"/>
  <c r="AJ37" i="6"/>
  <c r="AH32" i="6"/>
  <c r="AI32" i="6"/>
  <c r="AF30" i="6"/>
  <c r="AI31" i="6"/>
  <c r="AH31" i="6"/>
  <c r="AF29" i="6"/>
  <c r="AK37" i="6"/>
  <c r="AI30" i="6"/>
  <c r="AH30" i="6"/>
  <c r="AJ31" i="6"/>
  <c r="AF28" i="6"/>
  <c r="AH29" i="6"/>
  <c r="AI29" i="6"/>
  <c r="AF27" i="6"/>
  <c r="AI28" i="6"/>
  <c r="AH28" i="6"/>
  <c r="AF26" i="6"/>
  <c r="AI27" i="6"/>
  <c r="AH27" i="6"/>
  <c r="AF25" i="6"/>
  <c r="AJ29" i="6"/>
  <c r="AK29" i="6" s="1"/>
  <c r="AI26" i="6"/>
  <c r="AH26" i="6"/>
  <c r="AF24" i="6"/>
  <c r="AI25" i="6"/>
  <c r="AH25" i="6"/>
  <c r="AJ25" i="6" s="1"/>
  <c r="AF23" i="6"/>
  <c r="AH24" i="6"/>
  <c r="AI24" i="6"/>
  <c r="AF22" i="6"/>
  <c r="AH23" i="6"/>
  <c r="AI23" i="6"/>
  <c r="AF21" i="6"/>
  <c r="AJ24" i="6"/>
  <c r="AI22" i="6"/>
  <c r="AH22" i="6"/>
  <c r="AF20" i="6"/>
  <c r="AI21" i="6"/>
  <c r="AH21" i="6"/>
  <c r="AF19" i="6"/>
  <c r="AI20" i="6"/>
  <c r="AH20" i="6"/>
  <c r="AF18" i="6"/>
  <c r="AH19" i="6"/>
  <c r="AI19" i="6"/>
  <c r="AF17" i="6"/>
  <c r="AI18" i="6"/>
  <c r="AH18" i="6"/>
  <c r="AF16" i="6"/>
  <c r="AK25" i="6"/>
  <c r="AH17" i="6"/>
  <c r="AF15" i="6"/>
  <c r="AJ21" i="6"/>
  <c r="AI17" i="6"/>
  <c r="AH16" i="6"/>
  <c r="AE14" i="6"/>
  <c r="AC14" i="6"/>
  <c r="AJ16" i="6" l="1"/>
  <c r="AK16" i="6" s="1"/>
  <c r="AI14" i="6"/>
  <c r="AH14" i="6"/>
  <c r="AF14" i="6"/>
  <c r="D51" i="6"/>
  <c r="C9" i="1"/>
  <c r="AL4" i="1" l="1"/>
  <c r="AP5" i="1"/>
  <c r="AL5" i="1"/>
  <c r="AL6" i="1"/>
  <c r="AL7" i="1"/>
  <c r="AL12" i="1"/>
  <c r="AL13" i="1"/>
  <c r="AL14" i="1"/>
  <c r="AL15" i="1"/>
  <c r="AL17" i="1"/>
  <c r="AL18" i="1"/>
  <c r="AL19" i="1"/>
  <c r="C4" i="8"/>
  <c r="C5" i="8"/>
  <c r="C6" i="8"/>
  <c r="C7" i="8"/>
  <c r="C8" i="8"/>
  <c r="C9" i="8"/>
  <c r="C10" i="8"/>
  <c r="C11" i="8"/>
  <c r="C12" i="8"/>
  <c r="C13" i="8"/>
  <c r="C14" i="8"/>
  <c r="C15" i="8"/>
  <c r="C16" i="8"/>
  <c r="C17" i="8"/>
  <c r="C18" i="8"/>
  <c r="C3" i="8"/>
  <c r="AO1" i="1"/>
  <c r="AO10" i="1" s="1"/>
  <c r="AN1" i="1"/>
  <c r="AN2" i="1" s="1"/>
  <c r="AM1" i="1"/>
  <c r="AM15" i="1" s="1"/>
  <c r="AM6" i="1"/>
  <c r="AL1" i="1"/>
  <c r="AL16" i="1" s="1"/>
  <c r="G18" i="6"/>
  <c r="G17" i="6"/>
  <c r="H14" i="6"/>
  <c r="G14" i="6"/>
  <c r="F14" i="6"/>
  <c r="H15" i="6"/>
  <c r="G15" i="6"/>
  <c r="H13" i="6"/>
  <c r="G13" i="6"/>
  <c r="F13" i="6"/>
  <c r="F15" i="6"/>
  <c r="U4" i="4"/>
  <c r="U5" i="4"/>
  <c r="U6" i="4"/>
  <c r="U7" i="4"/>
  <c r="U8" i="4"/>
  <c r="U9" i="4"/>
  <c r="U10" i="4"/>
  <c r="U11" i="4"/>
  <c r="U12" i="4"/>
  <c r="U13" i="4"/>
  <c r="U14" i="4"/>
  <c r="U15" i="4"/>
  <c r="U16" i="4"/>
  <c r="U17" i="4"/>
  <c r="U18" i="4"/>
  <c r="U19" i="4"/>
  <c r="U20" i="4"/>
  <c r="U21" i="4"/>
  <c r="U22" i="4"/>
  <c r="U23" i="4"/>
  <c r="U24" i="4"/>
  <c r="U25" i="4"/>
  <c r="U26" i="4"/>
  <c r="U27" i="4"/>
  <c r="U28" i="4"/>
  <c r="U29" i="4"/>
  <c r="U30" i="4"/>
  <c r="U31" i="4"/>
  <c r="U32"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68" i="4"/>
  <c r="U69" i="4"/>
  <c r="U70" i="4"/>
  <c r="U71" i="4"/>
  <c r="U72" i="4"/>
  <c r="U73" i="4"/>
  <c r="U74" i="4"/>
  <c r="U75" i="4"/>
  <c r="U76" i="4"/>
  <c r="U77" i="4"/>
  <c r="U78" i="4"/>
  <c r="U79" i="4"/>
  <c r="U80" i="4"/>
  <c r="AP4" i="1"/>
  <c r="AP6" i="1"/>
  <c r="AP7" i="1"/>
  <c r="AP8" i="1"/>
  <c r="AP9" i="1"/>
  <c r="AP10" i="1"/>
  <c r="AP11" i="1"/>
  <c r="AP12" i="1"/>
  <c r="AP13" i="1"/>
  <c r="AP14" i="1"/>
  <c r="AP15" i="1"/>
  <c r="AP16" i="1"/>
  <c r="AP17" i="1"/>
  <c r="AP18" i="1"/>
  <c r="AP19" i="1"/>
  <c r="D46" i="6"/>
  <c r="D43" i="6"/>
  <c r="D40" i="6"/>
  <c r="D37" i="6"/>
  <c r="D34" i="6"/>
  <c r="D31" i="6"/>
  <c r="D28" i="6"/>
  <c r="D25" i="6"/>
  <c r="S4" i="4"/>
  <c r="T4" i="4" s="1"/>
  <c r="S5" i="4"/>
  <c r="T5" i="4" s="1"/>
  <c r="S6" i="4"/>
  <c r="T6" i="4" s="1"/>
  <c r="S7" i="4"/>
  <c r="T7" i="4" s="1"/>
  <c r="S8" i="4"/>
  <c r="T8" i="4" s="1"/>
  <c r="S9" i="4"/>
  <c r="T9" i="4" s="1"/>
  <c r="S10" i="4"/>
  <c r="T10" i="4" s="1"/>
  <c r="S11" i="4"/>
  <c r="T11" i="4" s="1"/>
  <c r="S12" i="4"/>
  <c r="T12" i="4" s="1"/>
  <c r="S13" i="4"/>
  <c r="T13" i="4" s="1"/>
  <c r="S14" i="4"/>
  <c r="T14" i="4" s="1"/>
  <c r="S15" i="4"/>
  <c r="T15" i="4" s="1"/>
  <c r="S16" i="4"/>
  <c r="T16" i="4" s="1"/>
  <c r="S17" i="4"/>
  <c r="T17" i="4" s="1"/>
  <c r="S18" i="4"/>
  <c r="T18" i="4" s="1"/>
  <c r="S19" i="4"/>
  <c r="T19" i="4" s="1"/>
  <c r="S20" i="4"/>
  <c r="T20" i="4" s="1"/>
  <c r="S21" i="4"/>
  <c r="T21" i="4" s="1"/>
  <c r="S22" i="4"/>
  <c r="T22" i="4" s="1"/>
  <c r="S23" i="4"/>
  <c r="T23" i="4" s="1"/>
  <c r="S24" i="4"/>
  <c r="T24" i="4" s="1"/>
  <c r="S25" i="4"/>
  <c r="T25" i="4" s="1"/>
  <c r="S26" i="4"/>
  <c r="T26" i="4" s="1"/>
  <c r="S27" i="4"/>
  <c r="T27" i="4" s="1"/>
  <c r="S28" i="4"/>
  <c r="T28" i="4" s="1"/>
  <c r="S29" i="4"/>
  <c r="T29" i="4" s="1"/>
  <c r="S30" i="4"/>
  <c r="T30" i="4" s="1"/>
  <c r="S31" i="4"/>
  <c r="T31" i="4" s="1"/>
  <c r="S32" i="4"/>
  <c r="T32" i="4" s="1"/>
  <c r="S33" i="4"/>
  <c r="T33" i="4" s="1"/>
  <c r="S34" i="4"/>
  <c r="T34" i="4" s="1"/>
  <c r="S35" i="4"/>
  <c r="T35" i="4" s="1"/>
  <c r="S36" i="4"/>
  <c r="T36" i="4" s="1"/>
  <c r="S37" i="4"/>
  <c r="S38" i="4"/>
  <c r="S39" i="4"/>
  <c r="S40" i="4"/>
  <c r="S41" i="4"/>
  <c r="T41" i="4" s="1"/>
  <c r="S42" i="4"/>
  <c r="T42" i="4" s="1"/>
  <c r="S43" i="4"/>
  <c r="T43" i="4" s="1"/>
  <c r="S44" i="4"/>
  <c r="T44" i="4" s="1"/>
  <c r="S45" i="4"/>
  <c r="T45" i="4" s="1"/>
  <c r="S46" i="4"/>
  <c r="T46" i="4" s="1"/>
  <c r="S47" i="4"/>
  <c r="T47" i="4" s="1"/>
  <c r="S48" i="4"/>
  <c r="T48" i="4" s="1"/>
  <c r="S49" i="4"/>
  <c r="T49" i="4" s="1"/>
  <c r="S50" i="4"/>
  <c r="T50" i="4" s="1"/>
  <c r="S51" i="4"/>
  <c r="T51" i="4" s="1"/>
  <c r="S52" i="4"/>
  <c r="T52" i="4" s="1"/>
  <c r="S53" i="4"/>
  <c r="T53" i="4" s="1"/>
  <c r="S54" i="4"/>
  <c r="T54" i="4" s="1"/>
  <c r="S55" i="4"/>
  <c r="T55" i="4" s="1"/>
  <c r="S56" i="4"/>
  <c r="T56" i="4" s="1"/>
  <c r="S57" i="4"/>
  <c r="T57" i="4" s="1"/>
  <c r="S58" i="4"/>
  <c r="T58" i="4" s="1"/>
  <c r="S59" i="4"/>
  <c r="T59" i="4" s="1"/>
  <c r="S60" i="4"/>
  <c r="T60" i="4" s="1"/>
  <c r="S61" i="4"/>
  <c r="T61" i="4" s="1"/>
  <c r="S62" i="4"/>
  <c r="T62" i="4" s="1"/>
  <c r="S63" i="4"/>
  <c r="T63" i="4" s="1"/>
  <c r="S64" i="4"/>
  <c r="T64" i="4" s="1"/>
  <c r="S65" i="4"/>
  <c r="T65" i="4" s="1"/>
  <c r="S66" i="4"/>
  <c r="T66" i="4" s="1"/>
  <c r="S67" i="4"/>
  <c r="T67" i="4" s="1"/>
  <c r="S68" i="4"/>
  <c r="T68" i="4" s="1"/>
  <c r="S69" i="4"/>
  <c r="T69" i="4" s="1"/>
  <c r="S70" i="4"/>
  <c r="T70" i="4" s="1"/>
  <c r="S71" i="4"/>
  <c r="T71" i="4" s="1"/>
  <c r="S72" i="4"/>
  <c r="T72" i="4" s="1"/>
  <c r="S73" i="4"/>
  <c r="T73" i="4" s="1"/>
  <c r="S74" i="4"/>
  <c r="T74" i="4" s="1"/>
  <c r="S75" i="4"/>
  <c r="T75" i="4" s="1"/>
  <c r="S76" i="4"/>
  <c r="T76" i="4" s="1"/>
  <c r="S77" i="4"/>
  <c r="T77" i="4" s="1"/>
  <c r="S78" i="4"/>
  <c r="T78" i="4" s="1"/>
  <c r="S79" i="4"/>
  <c r="T79" i="4" s="1"/>
  <c r="S80" i="4"/>
  <c r="T80" i="4" s="1"/>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C4" i="1"/>
  <c r="C5" i="1"/>
  <c r="C6" i="1"/>
  <c r="C7" i="1"/>
  <c r="C8" i="1"/>
  <c r="C10" i="1"/>
  <c r="C11" i="1"/>
  <c r="C12" i="1"/>
  <c r="C13" i="1"/>
  <c r="C14" i="1"/>
  <c r="C15" i="1"/>
  <c r="C16" i="1"/>
  <c r="C17" i="1"/>
  <c r="C18" i="1"/>
  <c r="C19" i="1"/>
  <c r="AF7" i="6" l="1"/>
  <c r="AF9" i="6"/>
  <c r="AE7" i="6"/>
  <c r="AE11" i="6"/>
  <c r="AF10" i="6"/>
  <c r="AE9" i="6"/>
  <c r="AF8" i="6"/>
  <c r="AE10" i="6"/>
  <c r="AF11" i="6"/>
  <c r="AE8" i="6"/>
  <c r="AO8" i="1"/>
  <c r="AN5" i="1"/>
  <c r="AO7" i="1"/>
  <c r="AO5" i="1"/>
  <c r="AO6" i="1"/>
  <c r="AL11" i="1"/>
  <c r="V40" i="4" s="1"/>
  <c r="W40" i="4" s="1"/>
  <c r="AM4" i="1"/>
  <c r="AL10" i="1"/>
  <c r="V32" i="4" s="1"/>
  <c r="W32" i="4" s="1"/>
  <c r="AN4" i="1"/>
  <c r="AL9" i="1"/>
  <c r="V27" i="4" s="1"/>
  <c r="W27" i="4" s="1"/>
  <c r="AO4" i="1"/>
  <c r="AL8" i="1"/>
  <c r="V25" i="4" s="1"/>
  <c r="W25" i="4" s="1"/>
  <c r="AO9" i="1"/>
  <c r="AM5" i="1"/>
  <c r="K8" i="6"/>
  <c r="K7" i="6"/>
  <c r="K11" i="6"/>
  <c r="K10" i="6"/>
  <c r="K9" i="6"/>
  <c r="F7" i="6"/>
  <c r="T40" i="4"/>
  <c r="T39" i="4"/>
  <c r="T38" i="4"/>
  <c r="T37" i="4"/>
  <c r="AN15" i="1"/>
  <c r="AN14" i="1"/>
  <c r="AN13" i="1"/>
  <c r="AO2" i="1"/>
  <c r="AN9" i="1"/>
  <c r="AO19" i="1"/>
  <c r="AO18" i="1"/>
  <c r="AO17" i="1"/>
  <c r="AM14" i="1"/>
  <c r="AO16" i="1"/>
  <c r="AN7" i="1"/>
  <c r="AM13" i="1"/>
  <c r="AO15" i="1"/>
  <c r="AN17" i="1"/>
  <c r="AN6" i="1"/>
  <c r="AM12" i="1"/>
  <c r="AO14" i="1"/>
  <c r="AM11" i="1"/>
  <c r="AO13" i="1"/>
  <c r="AN18" i="1"/>
  <c r="AM10" i="1"/>
  <c r="AO12" i="1"/>
  <c r="AN8" i="1"/>
  <c r="AM9" i="1"/>
  <c r="AO11" i="1"/>
  <c r="AM8" i="1"/>
  <c r="G4" i="6"/>
  <c r="V61" i="4"/>
  <c r="W61" i="4" s="1"/>
  <c r="V56" i="4"/>
  <c r="W56" i="4" s="1"/>
  <c r="AM7" i="1"/>
  <c r="V80" i="4"/>
  <c r="W80" i="4" s="1"/>
  <c r="V75" i="4"/>
  <c r="W75" i="4" s="1"/>
  <c r="V70" i="4"/>
  <c r="W70" i="4" s="1"/>
  <c r="AN19" i="1"/>
  <c r="V18" i="4"/>
  <c r="W18" i="4" s="1"/>
  <c r="V13" i="4"/>
  <c r="W13" i="4" s="1"/>
  <c r="V9" i="4"/>
  <c r="W9" i="4" s="1"/>
  <c r="AN16" i="1"/>
  <c r="V42" i="4"/>
  <c r="W42" i="4" s="1"/>
  <c r="V5" i="4"/>
  <c r="W5" i="4" s="1"/>
  <c r="V50" i="4"/>
  <c r="W50" i="4" s="1"/>
  <c r="AM19" i="1"/>
  <c r="V52" i="4"/>
  <c r="W52" i="4" s="1"/>
  <c r="AM2" i="1"/>
  <c r="AM18" i="1"/>
  <c r="AM17" i="1"/>
  <c r="AN12" i="1"/>
  <c r="AL2" i="1"/>
  <c r="AM16" i="1"/>
  <c r="AN11" i="1"/>
  <c r="AN10" i="1"/>
  <c r="V71" i="4"/>
  <c r="W71" i="4" s="1"/>
  <c r="V57" i="4"/>
  <c r="W57" i="4" s="1"/>
  <c r="V69" i="4"/>
  <c r="W69" i="4" s="1"/>
  <c r="V68" i="4"/>
  <c r="W68" i="4" s="1"/>
  <c r="V64" i="4"/>
  <c r="W64" i="4" s="1"/>
  <c r="V63" i="4"/>
  <c r="W63" i="4" s="1"/>
  <c r="V58" i="4"/>
  <c r="W58" i="4" s="1"/>
  <c r="E8" i="6"/>
  <c r="F8" i="6"/>
  <c r="F9" i="6"/>
  <c r="I18" i="6"/>
  <c r="G8" i="6"/>
  <c r="I17" i="6"/>
  <c r="G11" i="6"/>
  <c r="I16" i="6"/>
  <c r="I14" i="6"/>
  <c r="I15" i="6"/>
  <c r="G10" i="6"/>
  <c r="V79" i="4"/>
  <c r="W79" i="4" s="1"/>
  <c r="E7" i="6"/>
  <c r="G9" i="6"/>
  <c r="G7" i="6"/>
  <c r="E9" i="6"/>
  <c r="E10" i="6"/>
  <c r="F10" i="6"/>
  <c r="E11" i="6"/>
  <c r="F11" i="6"/>
  <c r="V38" i="4" l="1"/>
  <c r="W38" i="4" s="1"/>
  <c r="V37" i="4"/>
  <c r="W37" i="4" s="1"/>
  <c r="V39" i="4"/>
  <c r="W39" i="4" s="1"/>
  <c r="V73" i="4"/>
  <c r="W73" i="4" s="1"/>
  <c r="V77" i="4"/>
  <c r="W77" i="4" s="1"/>
  <c r="V59" i="4"/>
  <c r="W59" i="4" s="1"/>
  <c r="V62" i="4"/>
  <c r="W62" i="4" s="1"/>
  <c r="V65" i="4"/>
  <c r="W65" i="4" s="1"/>
  <c r="V72" i="4"/>
  <c r="W72" i="4" s="1"/>
  <c r="V31" i="4"/>
  <c r="W31" i="4" s="1"/>
  <c r="V66" i="4"/>
  <c r="W66" i="4" s="1"/>
  <c r="V16" i="4"/>
  <c r="W16" i="4" s="1"/>
  <c r="V67" i="4"/>
  <c r="W67" i="4" s="1"/>
  <c r="V15" i="4"/>
  <c r="W15" i="4" s="1"/>
  <c r="V17" i="4"/>
  <c r="W17" i="4" s="1"/>
  <c r="V14" i="4"/>
  <c r="W14" i="4" s="1"/>
  <c r="V26" i="4"/>
  <c r="W26" i="4" s="1"/>
  <c r="V30" i="4"/>
  <c r="W30" i="4" s="1"/>
  <c r="V78" i="4"/>
  <c r="W78" i="4" s="1"/>
  <c r="V60" i="4"/>
  <c r="W60" i="4" s="1"/>
  <c r="V43" i="4"/>
  <c r="W43" i="4" s="1"/>
  <c r="V22" i="4"/>
  <c r="W22" i="4" s="1"/>
  <c r="V76" i="4"/>
  <c r="W76" i="4" s="1"/>
  <c r="V45" i="4"/>
  <c r="W45" i="4" s="1"/>
  <c r="V41" i="4"/>
  <c r="W41" i="4" s="1"/>
  <c r="V6" i="4"/>
  <c r="W6" i="4" s="1"/>
  <c r="V44" i="4"/>
  <c r="W44" i="4" s="1"/>
  <c r="V35" i="4"/>
  <c r="W35" i="4" s="1"/>
  <c r="V24" i="4"/>
  <c r="W24" i="4" s="1"/>
  <c r="D14" i="6"/>
  <c r="V23" i="4"/>
  <c r="W23" i="4" s="1"/>
  <c r="AQ8" i="1"/>
  <c r="AQ11" i="1"/>
  <c r="AQ7" i="1"/>
  <c r="V29" i="4"/>
  <c r="W29" i="4" s="1"/>
  <c r="V53" i="4"/>
  <c r="W53" i="4" s="1"/>
  <c r="V20" i="4"/>
  <c r="W20" i="4" s="1"/>
  <c r="V55" i="4"/>
  <c r="W55" i="4" s="1"/>
  <c r="V21" i="4"/>
  <c r="W21" i="4" s="1"/>
  <c r="AQ5" i="1"/>
  <c r="V33" i="4"/>
  <c r="W33" i="4" s="1"/>
  <c r="V48" i="4"/>
  <c r="W48" i="4" s="1"/>
  <c r="V46" i="4"/>
  <c r="W46" i="4" s="1"/>
  <c r="V7" i="4"/>
  <c r="W7" i="4" s="1"/>
  <c r="AQ19" i="1"/>
  <c r="V34" i="4"/>
  <c r="W34" i="4" s="1"/>
  <c r="AQ6" i="1"/>
  <c r="AQ12" i="1"/>
  <c r="AQ10" i="1"/>
  <c r="V54" i="4"/>
  <c r="W54" i="4" s="1"/>
  <c r="AQ9" i="1"/>
  <c r="AQ17" i="1"/>
  <c r="AQ18" i="1"/>
  <c r="V4" i="4"/>
  <c r="W4" i="4" s="1"/>
  <c r="V10" i="4"/>
  <c r="W10" i="4" s="1"/>
  <c r="V51" i="4"/>
  <c r="W51" i="4" s="1"/>
  <c r="V28" i="4"/>
  <c r="W28" i="4" s="1"/>
  <c r="V74" i="4"/>
  <c r="W74" i="4" s="1"/>
  <c r="V49" i="4"/>
  <c r="W49" i="4" s="1"/>
  <c r="V8" i="4"/>
  <c r="W8" i="4" s="1"/>
  <c r="AQ15" i="1"/>
  <c r="V36" i="4"/>
  <c r="W36" i="4" s="1"/>
  <c r="V12" i="4"/>
  <c r="W12" i="4" s="1"/>
  <c r="V11" i="4"/>
  <c r="W11" i="4" s="1"/>
  <c r="AQ13" i="1"/>
  <c r="V47" i="4"/>
  <c r="W47" i="4" s="1"/>
  <c r="V19" i="4"/>
  <c r="W19" i="4" s="1"/>
  <c r="AQ14" i="1"/>
  <c r="AQ16" i="1"/>
  <c r="AQ4" i="1"/>
  <c r="K16" i="6" l="1"/>
  <c r="K14" i="6"/>
  <c r="K15" i="6"/>
  <c r="K17" i="6"/>
  <c r="K18" i="6"/>
  <c r="D17" i="6"/>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<sst xmlns="http://schemas.openxmlformats.org/spreadsheetml/2006/main" count="467" uniqueCount="255">
  <si>
    <t>Nom</t>
  </si>
  <si>
    <t>Né(e) le</t>
  </si>
  <si>
    <t>Sexe</t>
  </si>
  <si>
    <t>ABSENCE</t>
  </si>
  <si>
    <t>Manon</t>
  </si>
  <si>
    <t>Jamila</t>
  </si>
  <si>
    <t>Jovanni</t>
  </si>
  <si>
    <t>Jordan</t>
  </si>
  <si>
    <t>Cassandra</t>
  </si>
  <si>
    <t>Hannia</t>
  </si>
  <si>
    <t>Sabina</t>
  </si>
  <si>
    <t>Jonas</t>
  </si>
  <si>
    <t>Jovelsy</t>
  </si>
  <si>
    <t>Hilary</t>
  </si>
  <si>
    <t>Yahya</t>
  </si>
  <si>
    <t>Emily</t>
  </si>
  <si>
    <t>Lyna</t>
  </si>
  <si>
    <t>Cirine</t>
  </si>
  <si>
    <t>Sarah</t>
  </si>
  <si>
    <t>Samira</t>
  </si>
  <si>
    <t>Laetitia</t>
  </si>
  <si>
    <t>Sami</t>
  </si>
  <si>
    <t>Hyacine</t>
  </si>
  <si>
    <t>Romane</t>
  </si>
  <si>
    <t>Anna</t>
  </si>
  <si>
    <t>Sara</t>
  </si>
  <si>
    <t>Lucie</t>
  </si>
  <si>
    <t>Alexia</t>
  </si>
  <si>
    <t>Laurianne</t>
  </si>
  <si>
    <t>Christophe</t>
  </si>
  <si>
    <t>Julia</t>
  </si>
  <si>
    <t>Matthieu</t>
  </si>
  <si>
    <t>Elodie</t>
  </si>
  <si>
    <t>Nga</t>
  </si>
  <si>
    <t>Ambroise</t>
  </si>
  <si>
    <t>Samantha</t>
  </si>
  <si>
    <t>Clémentine</t>
  </si>
  <si>
    <t>Ali</t>
  </si>
  <si>
    <t>Claire</t>
  </si>
  <si>
    <t>Alexis</t>
  </si>
  <si>
    <t>Louis</t>
  </si>
  <si>
    <t>Talia</t>
  </si>
  <si>
    <t>Adam</t>
  </si>
  <si>
    <t>Audrey</t>
  </si>
  <si>
    <t>Sébastien</t>
  </si>
  <si>
    <t>Theo</t>
  </si>
  <si>
    <t>Léonie</t>
  </si>
  <si>
    <t>Antonin</t>
  </si>
  <si>
    <t>Coraelle</t>
  </si>
  <si>
    <t>Thomas</t>
  </si>
  <si>
    <t>Stéphane</t>
  </si>
  <si>
    <t>Hugo</t>
  </si>
  <si>
    <t>Antony</t>
  </si>
  <si>
    <t>Nadege</t>
  </si>
  <si>
    <t>Mohamed</t>
  </si>
  <si>
    <t>Léo</t>
  </si>
  <si>
    <t>Natalia</t>
  </si>
  <si>
    <t>Myrine</t>
  </si>
  <si>
    <t>Manel</t>
  </si>
  <si>
    <t>Kilian</t>
  </si>
  <si>
    <t>Killian</t>
  </si>
  <si>
    <t>Safae</t>
  </si>
  <si>
    <t>Margot</t>
  </si>
  <si>
    <t>Djalas</t>
  </si>
  <si>
    <t>Lelia</t>
  </si>
  <si>
    <t>Léa</t>
  </si>
  <si>
    <t>Eugénie</t>
  </si>
  <si>
    <t>Wahiba</t>
  </si>
  <si>
    <t>Clarisse</t>
  </si>
  <si>
    <t>Cyrielle</t>
  </si>
  <si>
    <t>Lisa</t>
  </si>
  <si>
    <t>Aymar</t>
  </si>
  <si>
    <t>Jean-Laurent</t>
  </si>
  <si>
    <t>Akouvi Biliva</t>
  </si>
  <si>
    <t>NOM</t>
  </si>
  <si>
    <t>Prénom</t>
  </si>
  <si>
    <t>Age</t>
  </si>
  <si>
    <t>Classe</t>
  </si>
  <si>
    <t>Abs</t>
  </si>
  <si>
    <t>JOUR MOIS</t>
  </si>
  <si>
    <t>MOIS</t>
  </si>
  <si>
    <t>EQUIPE</t>
  </si>
  <si>
    <t>NOM2</t>
  </si>
  <si>
    <t>SKICO</t>
  </si>
  <si>
    <t>Jeu TSA</t>
  </si>
  <si>
    <t>SECURE BOARD</t>
  </si>
  <si>
    <t>GREEN’TECH</t>
  </si>
  <si>
    <t>BIOCAF</t>
  </si>
  <si>
    <t>DISNOV</t>
  </si>
  <si>
    <t>AIDE PIT’CHOU</t>
  </si>
  <si>
    <t>EKO</t>
  </si>
  <si>
    <t>BIO Chewing-gums</t>
  </si>
  <si>
    <t>PARPECO</t>
  </si>
  <si>
    <t>Système Sun</t>
  </si>
  <si>
    <t>Pet peetch</t>
  </si>
  <si>
    <t>OK</t>
  </si>
  <si>
    <t>10-nov</t>
  </si>
  <si>
    <t>NOK</t>
  </si>
  <si>
    <t xml:space="preserve">travail en autonomie et assiduité </t>
  </si>
  <si>
    <t>Profil entrepreunarial</t>
  </si>
  <si>
    <t>participation</t>
  </si>
  <si>
    <t xml:space="preserve">BP </t>
  </si>
  <si>
    <t>ANALYSE
DU
MARCHÉ</t>
  </si>
  <si>
    <t>PLAN
MARKETING</t>
  </si>
  <si>
    <t>Vidéo</t>
  </si>
  <si>
    <t>PPTX</t>
  </si>
  <si>
    <t>Métier</t>
  </si>
  <si>
    <t>Motivations</t>
  </si>
  <si>
    <t>Moyens</t>
  </si>
  <si>
    <t>Proposition de valeur</t>
  </si>
  <si>
    <t>Architecture de l’offre</t>
  </si>
  <si>
    <t>Modèle Eco</t>
  </si>
  <si>
    <t>Accès marché</t>
  </si>
  <si>
    <t>Marché</t>
  </si>
  <si>
    <t>Zoom</t>
  </si>
  <si>
    <t>Pestel</t>
  </si>
  <si>
    <t>Porter</t>
  </si>
  <si>
    <t>SWOT</t>
  </si>
  <si>
    <t>Quali</t>
  </si>
  <si>
    <t>Quanti</t>
  </si>
  <si>
    <t>Persona</t>
  </si>
  <si>
    <t>Logo</t>
  </si>
  <si>
    <t>Charte</t>
  </si>
  <si>
    <t>Site</t>
  </si>
  <si>
    <t>RS</t>
  </si>
  <si>
    <t>PLV</t>
  </si>
  <si>
    <t xml:space="preserve">PAC </t>
  </si>
  <si>
    <t>PAM</t>
  </si>
  <si>
    <t>NOTE GLOBALE</t>
  </si>
  <si>
    <t>NOTE EQUIPE</t>
  </si>
  <si>
    <t>Concurrence</t>
  </si>
  <si>
    <t>RCA</t>
  </si>
  <si>
    <t>N°</t>
  </si>
  <si>
    <t>31-déc</t>
  </si>
  <si>
    <t>10-févr</t>
  </si>
  <si>
    <t>31-janv</t>
  </si>
  <si>
    <t>N° perso</t>
  </si>
  <si>
    <t>N° APP</t>
  </si>
  <si>
    <t>Equipe :</t>
  </si>
  <si>
    <t xml:space="preserve">Nom Equipe : </t>
  </si>
  <si>
    <t>TOTAL</t>
  </si>
  <si>
    <t>Reste</t>
  </si>
  <si>
    <t xml:space="preserve">Polvision </t>
  </si>
  <si>
    <t>Assiduité - participation -  Profil entrepreneurial</t>
  </si>
  <si>
    <t>METIER - MOTIVATIONS - MOYENS</t>
  </si>
  <si>
    <t>Plan média</t>
  </si>
  <si>
    <t>CLASSEMENT EQUIPE</t>
  </si>
  <si>
    <t>FINANCES</t>
  </si>
  <si>
    <t>note</t>
  </si>
  <si>
    <t>Présentation</t>
  </si>
  <si>
    <t>Clareté</t>
  </si>
  <si>
    <t>Fond</t>
  </si>
  <si>
    <t>NOTE GLOBAL DOCUMENT</t>
  </si>
  <si>
    <t>Rang</t>
  </si>
  <si>
    <t>NOTE GLOBALE INDIVIDUELLE</t>
  </si>
  <si>
    <t>NOTE PONDEREE</t>
  </si>
  <si>
    <t>DETAIL DES NOTES</t>
  </si>
  <si>
    <t>COMMENTAIRES</t>
  </si>
  <si>
    <t>Aissata Hawa</t>
  </si>
  <si>
    <t>HOMA</t>
  </si>
  <si>
    <t>MOYENS FINANCIERS R-E  Soulever des fonds 
 comble un manque dans les ménages qui sont sensible ??? A QUOI ?
ATTENTION AUX FAUTES
Manque la partie MOTIVATION
développer les 3 parties ENTREPRISE SW un peu faible
Marché référent -&gt; Marché des pdts LATIN Pas de sources marché
retravailler le PESTEL (CHAT GPT pour démarrer)
REVOIR LE PORTER Pourquoi utiliser MENACE quand seul le pouvoir de négo est utilisé
MANQUE LES CIBLES CLIENTS</t>
  </si>
  <si>
    <t>REGL’O</t>
  </si>
  <si>
    <r>
      <t xml:space="preserve">ATTENTION A mettre les numéros de page
Developper les points forts de chacun sur les fiches individuelles
Mettre des mots en gras pour une lecture plus simple
Développer plus les forces et les faiblesses 
Zoom marché à revoir en s'inspirant de l'exemple
De plus, le marché de la </t>
    </r>
    <r>
      <rPr>
        <b/>
        <sz val="11"/>
        <color theme="1"/>
        <rFont val="Calibri"/>
        <family val="2"/>
        <scheme val="minor"/>
      </rPr>
      <t>brosse</t>
    </r>
    <r>
      <rPr>
        <sz val="11"/>
        <color theme="1"/>
        <rFont val="Calibri"/>
        <family val="2"/>
        <scheme val="minor"/>
      </rPr>
      <t xml:space="preserve"> est un marché mature, qui ne...
Mettre le lien vers les études
Pouvoir de négociation A REVOIR
Pas nécessair de reprendre le SW après OT 
MANQUE LES CIBLES CLIENTS</t>
    </r>
  </si>
  <si>
    <t>Developper la partie METIER trop light notamment le développement
ATTENTION AUX FAUTES Retirer Bloc 3 
OU EST LA PARTIE MARCHE ? 
Mettre le ZOOM puis le marché avec les chiffres et l'evolution  le PORTER Pouvoir de négociation ?? Voir Sources et les FCS ?</t>
  </si>
  <si>
    <t>Revoir la présentation mais aussi ecrire d'une manière plus dynamique
Le concept que nous souhaitons mettre en place est donc de proposer un jeu pour les enfants atteint de TSA -&gt; Nous proposons un jeu à destination des enfant atteint de TSA.
Repartition des parts 101% ?
Maturité du marché ??
ou est le pestel - le porter - les FCS et les cibles clients ????</t>
  </si>
  <si>
    <t>ATTENTION A mettre les numéros de page utiliser les meme polices de caractères et la meme manière de mettre les titres 
Ou est l'executive summary ?
Remettre la stratégie de dev au début 
Production ou commercialisation ?
SW fini la partie Entreprise
Zoom marché non fait
les chiffres du marché ??
PESTEL et PORTER à revoir
SWOT  ????</t>
  </si>
  <si>
    <t>Présentation des personnes à revoir (Photo)
FORCE(S) attention aux fautes
Mettre les sources de manière plus claire
Synthèse du marché pas terminée
retravailler le PESTEL pas clair + Synthèse
Porter à terminer 
numéroter les slides
les dernière slide pas compréhensibles
MANQUE LES CIBLES CLIENTS</t>
  </si>
  <si>
    <t xml:space="preserve">Mettre les fonctions de chacun et 3 mots clés
Grille d'évaluation ??
Love money ?
Montant 50K€ ?? Mauvais calcul
OT trop tot puis non expliqués
Carte mentale non accessible
Pestel mettre en avant les facteurs favorables et défavorables
FCS apres le PORTER (Pouvoir de négociation ??)
La fin les slides à remettre dans l'ordre
</t>
  </si>
  <si>
    <t>Mettre 3 mots clés sur les profil de chacun
Manque de niveau de lecture
Votre capital est ce que vouos mettez en ressources externes
Developper le SW
Attention aux police de caractères
Police trop grosse 
Developper les OT</t>
  </si>
  <si>
    <t>La partie métier est beaucoup trop synthétique
Constat Ok
Le chewing gum se consomme en été ? Ah bon 
Attentin aux changement de CAPS
culture de l'entreprise est limite Valeurs 
Forces en Rouge et faiblesses en vert ?
Et l'équipe n'a pas de FF ?
Zoom 27 remettre dans le bon ordre
35 Quel intéret ?il n'y a pas de CG
La France est un pays démocratique et stable, membre de l’Union Européenne et la zone Euro - Oui et ??
PESTEL manque de fond trop scolaire
FCS Prix compétitif - prématuré de dire ceci 
Partie OT faible à étoffer
IDEM pour les cibles clients</t>
  </si>
  <si>
    <t xml:space="preserve">Mettre une page de garde meme provisoire et numéroter les pages
2 pages avec photo uniquement oui et ????
Manque la répartition du capital
Inversez les couleurs SW
Pas d’offre commerciale structurer -ATTENTION AUX FAUTES
Ce qui signifie que les +64ans ainsi que les CSP+ en appartement sont nos cibles principales. Pas forcement 
</t>
  </si>
  <si>
    <t>numéroter les pages
Attention par moment vos cercles empechent la lecture
Vous ne pouvez pas etre en ressource interne et externe
Votre entreprise n'a pas de Forces et Faiblesses ??
Etoffer les Zooms ce n'est pas juste vente à …
Retravailler le PESTEL autrement qu'en tableau et mettre du gras pour les élements important ou est le lien entre les différents élment et le rapport avec le marché client concurrents 
PORTER POUVOIR DE NEGOCIATION NON 
Etoffer la partie OT
PErsona à la fin prématuré et non raccordé à la réalité</t>
  </si>
  <si>
    <t>Switch-Shirt</t>
  </si>
  <si>
    <t>2fois culture et valeurs 
Dans les forces vous parlez de La veste [...] ????
Remplacez les […] par Switch-Shirt et le mettre en gras
le LOGO à revoir car non lisible
SW n'y a-t-il pas des élément liés à l'entreprise ???
ZOOM revoir les Zooms revoir l'exemple
mettre les sources des chiffres avancés
Ce grand classique du vestiaire mixte est devenu ces dix dernières années un objet «mode» ... c'était un incoutournable des dressing H/F depuis les années 30 il revient sur le devant de la scene
Travailler le PESTEL en litéraire plutot qu'en tableau meilleur lisibilité en reliant les critères exemple Les consommateurs sont désormais tournés vers les produits conçus à partir de matériaux recyclés, recyclables, et éco-responsables (ce qui à des conséquence en R&amp;D... prendrel'exemplede FLOTTE
SLIDE ANALYSE DE PORTER AUCUN INTERET
sivous mettez un tableau et un detail en dessous le tableaupeutetreen bullet points
FCS CIBLES CLIENTS ??</t>
  </si>
  <si>
    <t xml:space="preserve">Mettre la photo d'Audrey
Attention à mettre toujour la meme police de caractère en meme caps
répartition du capital manquant
Il n'y a pas de CEO ?
SW vous parlez de prix abordable Vous connaissez déjà le prix de fabrication ?
Vous ne parlez que du produit et pas de l'entreprise et vous dites que c'est compatible avec tous les type de foyer et de l'autre pas compatible lequel est vrai ?
changer de couleur en fonction des Forces et des faiblesses
ZOOM marché à refaire 
Mettre les sources
OT tous n'est pas traité + mettre à la fin après l'analyse du marché pertinence
Pouvoir de négociation des fournisseurset des clients (revoir le cours)
</t>
  </si>
  <si>
    <t>Mettre des mots clés pour chacun et du gras pour faire ressortir les qualités
Mettre SW avant le marché
Revoir le Zoom (exemple dans le cours)
Entreprises resistantes au changement. Ne fontpas partie des cibles exclues
océan rouge. En effet, il correspond à un espace stratégique non exploité. rouge?
Manque la segmentation clients</t>
  </si>
  <si>
    <t>ABD.</t>
  </si>
  <si>
    <t>ASS.</t>
  </si>
  <si>
    <t>BAR.</t>
  </si>
  <si>
    <t>BES.</t>
  </si>
  <si>
    <t>DRI.</t>
  </si>
  <si>
    <t>BOR.</t>
  </si>
  <si>
    <t>DJE.</t>
  </si>
  <si>
    <t>KHA.</t>
  </si>
  <si>
    <t>STR.</t>
  </si>
  <si>
    <t>AVE.</t>
  </si>
  <si>
    <t>BEN.</t>
  </si>
  <si>
    <t>DUF.</t>
  </si>
  <si>
    <t>FER.</t>
  </si>
  <si>
    <t>SBA.</t>
  </si>
  <si>
    <t>BER.</t>
  </si>
  <si>
    <t>BOU.</t>
  </si>
  <si>
    <t>CAR.</t>
  </si>
  <si>
    <t>LAL.</t>
  </si>
  <si>
    <t>PHA.</t>
  </si>
  <si>
    <t>AIS.</t>
  </si>
  <si>
    <t>BEI.</t>
  </si>
  <si>
    <t>DUB.</t>
  </si>
  <si>
    <t>FUE.</t>
  </si>
  <si>
    <t>GOM.</t>
  </si>
  <si>
    <t>JOA.</t>
  </si>
  <si>
    <t>MAU.</t>
  </si>
  <si>
    <t>POU.</t>
  </si>
  <si>
    <t>BEZ.</t>
  </si>
  <si>
    <t>CHA.</t>
  </si>
  <si>
    <t>M’B.</t>
  </si>
  <si>
    <t>MAD.</t>
  </si>
  <si>
    <t>NGU.</t>
  </si>
  <si>
    <t>HAN.</t>
  </si>
  <si>
    <t>HUC.</t>
  </si>
  <si>
    <t>MAN.</t>
  </si>
  <si>
    <t>MIC.</t>
  </si>
  <si>
    <t>AYI.</t>
  </si>
  <si>
    <t>CHE.</t>
  </si>
  <si>
    <t>KIF.</t>
  </si>
  <si>
    <t>KLE.</t>
  </si>
  <si>
    <t>TES.</t>
  </si>
  <si>
    <t>CAC.</t>
  </si>
  <si>
    <t>LAI.</t>
  </si>
  <si>
    <t>LE .</t>
  </si>
  <si>
    <t>PEC.</t>
  </si>
  <si>
    <t>RAM.</t>
  </si>
  <si>
    <t>ABO.</t>
  </si>
  <si>
    <t>AND.</t>
  </si>
  <si>
    <t>MOR.</t>
  </si>
  <si>
    <t>NOU.</t>
  </si>
  <si>
    <t>SAB.</t>
  </si>
  <si>
    <t>CAL.</t>
  </si>
  <si>
    <t>HAM.</t>
  </si>
  <si>
    <t>MEY.</t>
  </si>
  <si>
    <t>MOU.</t>
  </si>
  <si>
    <t>REC.</t>
  </si>
  <si>
    <t>HUM.</t>
  </si>
  <si>
    <t>LAM.</t>
  </si>
  <si>
    <t>SAM.</t>
  </si>
  <si>
    <t>TER.</t>
  </si>
  <si>
    <t>VEG.</t>
  </si>
  <si>
    <t>KRE.</t>
  </si>
  <si>
    <t>SAL.</t>
  </si>
  <si>
    <t>VIG.</t>
  </si>
  <si>
    <t>WAL.</t>
  </si>
  <si>
    <t>COM.</t>
  </si>
  <si>
    <t>GAL.</t>
  </si>
  <si>
    <t>MAR.</t>
  </si>
  <si>
    <t>SAF.</t>
  </si>
  <si>
    <t>DAM.</t>
  </si>
  <si>
    <t>ETH.</t>
  </si>
  <si>
    <t>MEN.</t>
  </si>
  <si>
    <t>Note</t>
  </si>
  <si>
    <t>Note max</t>
  </si>
  <si>
    <t>Note/Note Max</t>
  </si>
  <si>
    <t>Note %</t>
  </si>
  <si>
    <t>Tot Notes / TotNoteMax</t>
  </si>
  <si>
    <t>formule pour INDIRECT</t>
  </si>
  <si>
    <t>=RECHERCHEX('FEUILLE RECAP'!$B$1;NotesEQ[N°];INDIRECT(V19))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</si>
</sst>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
      <sz val="8"/>
      <color theme="1"/>
      <name val="Calibri"/>
      <family val="2"/>
      <scheme val="minor"/>
    </font>
    <font>
      <b/>
      <sz val="8"/>
      <color theme="1"/>
      <name val="Calibri"/>
      <family val="2"/>
      <scheme val="minor"/>
    </font>
    <font>
      <sz val="8"/>
      <color theme="1" tint="0.34998626667073579"/>
      <name val="Calibri"/>
      <family val="2"/>
      <scheme val="minor"/>
    </font>
    <font>
      <b/>
      <sz val="9"/>
      <color theme="0"/>
      <name val="Calibri"/>
      <family val="2"/>
      <scheme val="minor"/>
    </font>
    <font>
      <b/>
      <sz val="8"/>
      <color theme="0"/>
      <name val="Calibri"/>
      <family val="2"/>
      <scheme val="minor"/>
    </font>
    <font>
      <b/>
      <sz val="9"/>
      <color theme="1"/>
      <name val="Calibri"/>
      <family val="2"/>
      <scheme val="minor"/>
    </font>
    <font>
      <b/>
      <sz val="16"/>
      <color theme="0"/>
      <name val="Calibri"/>
      <family val="2"/>
      <scheme val="minor"/>
    </font>
    <font>
      <sz val="6"/>
      <color theme="1"/>
      <name val="Calibri"/>
      <family val="2"/>
      <scheme val="minor"/>
    </font>
    <font>
      <sz val="11"/>
      <color theme="6"/>
      <name val="Wingdings"/>
      <charset val="2"/>
    </font>
    <font>
      <b/>
      <sz val="14"/>
      <color theme="6"/>
      <name val="Calibri"/>
      <family val="2"/>
      <scheme val="minor"/>
    </font>
    <font>
      <b/>
      <sz val="14"/>
      <color theme="0"/>
      <name val="Calibri"/>
      <family val="2"/>
      <scheme val="minor"/>
    </font>
    <font>
      <b/>
      <sz val="20"/>
      <color theme="0"/>
      <name val="Calibri"/>
      <family val="2"/>
      <scheme val="minor"/>
    </font>
    <font>
      <sz val="9"/>
      <color theme="7"/>
      <name val="Calibri"/>
      <family val="2"/>
      <scheme val="minor"/>
    </font>
    <font>
      <b/>
      <sz val="10"/>
      <color theme="3" tint="0.39997558519241921"/>
      <name val="Calibri"/>
      <family val="2"/>
      <scheme val="minor"/>
    </font>
    <font>
      <sz val="11"/>
      <color theme="3" tint="0.59999389629810485"/>
      <name val="Calibri"/>
      <family val="2"/>
      <scheme val="minor"/>
    </font>
    <font>
      <b/>
      <sz val="14"/>
      <color theme="3" tint="0.59999389629810485"/>
      <name val="Calibri"/>
      <family val="2"/>
      <scheme val="minor"/>
    </font>
  </fonts>
  <fills count="5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theme="4" tint="0.79998168889431442"/>
      </patternFill>
    </fill>
    <fill>
      <patternFill patternType="solid">
        <fgColor theme="4"/>
        <bgColor theme="4"/>
      </patternFill>
    </fill>
    <fill>
      <patternFill patternType="solid">
        <fgColor theme="6" tint="0.59999389629810485"/>
        <bgColor indexed="64"/>
      </patternFill>
    </fill>
    <fill>
      <patternFill patternType="solid">
        <fgColor theme="3"/>
        <bgColor indexed="64"/>
      </patternFill>
    </fill>
    <fill>
      <patternFill patternType="solid">
        <fgColor theme="9" tint="0.59999389629810485"/>
        <bgColor indexed="64"/>
      </patternFill>
    </fill>
    <fill>
      <patternFill patternType="solid">
        <fgColor theme="7"/>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rgb="FFA162D0"/>
        <bgColor indexed="64"/>
      </patternFill>
    </fill>
    <fill>
      <patternFill patternType="solid">
        <fgColor rgb="FFB888DC"/>
        <bgColor indexed="64"/>
      </patternFill>
    </fill>
    <fill>
      <patternFill patternType="solid">
        <fgColor rgb="FFC00000"/>
        <bgColor indexed="64"/>
      </patternFill>
    </fill>
    <fill>
      <patternFill patternType="solid">
        <fgColor theme="4" tint="-0.249977111117893"/>
        <bgColor indexed="64"/>
      </patternFill>
    </fill>
    <fill>
      <patternFill patternType="solid">
        <fgColor rgb="FFF19A6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rgb="FF78B5CB"/>
        <bgColor indexed="64"/>
      </patternFill>
    </fill>
    <fill>
      <patternFill patternType="solid">
        <fgColor theme="2"/>
        <bgColor indexed="64"/>
      </patternFill>
    </fill>
    <fill>
      <patternFill patternType="solid">
        <fgColor theme="3" tint="0.59999389629810485"/>
        <bgColor indexed="64"/>
      </patternFill>
    </fill>
    <fill>
      <patternFill patternType="solid">
        <fgColor theme="3" tint="0.39994506668294322"/>
        <bgColor indexed="64"/>
      </patternFill>
    </fill>
  </fills>
  <borders count="16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theme="4" tint="0.39997558519241921"/>
      </top>
      <bottom style="thin">
        <color theme="4" tint="0.39997558519241921"/>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top style="thin">
        <color theme="3" tint="0.39994506668294322"/>
      </top>
      <bottom/>
      <diagonal/>
    </border>
    <border>
      <left style="thin">
        <color theme="3" tint="0.39994506668294322"/>
      </left>
      <right style="thin">
        <color theme="3" tint="0.39994506668294322"/>
      </right>
      <top style="thin">
        <color theme="3" tint="0.39994506668294322"/>
      </top>
      <bottom/>
      <diagonal/>
    </border>
    <border>
      <left style="thin">
        <color theme="3" tint="0.39994506668294322"/>
      </left>
      <right style="thin">
        <color theme="3" tint="0.39994506668294322"/>
      </right>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1454817346722"/>
      </left>
      <right/>
      <top style="thin">
        <color theme="3" tint="0.39991454817346722"/>
      </top>
      <bottom style="thin">
        <color theme="3" tint="0.39991454817346722"/>
      </bottom>
      <diagonal/>
    </border>
    <border>
      <left style="medium">
        <color theme="3" tint="0.39988402966399123"/>
      </left>
      <right style="thin">
        <color theme="3" tint="0.39991454817346722"/>
      </right>
      <top style="medium">
        <color theme="3" tint="0.39988402966399123"/>
      </top>
      <bottom style="thin">
        <color theme="3" tint="0.39991454817346722"/>
      </bottom>
      <diagonal/>
    </border>
    <border>
      <left style="thin">
        <color theme="3" tint="0.39991454817346722"/>
      </left>
      <right style="thin">
        <color theme="3" tint="0.39991454817346722"/>
      </right>
      <top style="medium">
        <color theme="3" tint="0.39988402966399123"/>
      </top>
      <bottom style="thin">
        <color theme="3" tint="0.39991454817346722"/>
      </bottom>
      <diagonal/>
    </border>
    <border>
      <left style="thin">
        <color theme="3" tint="0.39991454817346722"/>
      </left>
      <right style="medium">
        <color theme="3" tint="0.39988402966399123"/>
      </right>
      <top style="medium">
        <color theme="3" tint="0.39988402966399123"/>
      </top>
      <bottom style="thin">
        <color theme="3" tint="0.39991454817346722"/>
      </bottom>
      <diagonal/>
    </border>
    <border>
      <left style="medium">
        <color theme="3" tint="0.39988402966399123"/>
      </left>
      <right style="thin">
        <color theme="3" tint="0.39991454817346722"/>
      </right>
      <top style="thin">
        <color theme="3" tint="0.39991454817346722"/>
      </top>
      <bottom style="thin">
        <color theme="3" tint="0.39991454817346722"/>
      </bottom>
      <diagonal/>
    </border>
    <border>
      <left style="thin">
        <color theme="3" tint="0.39991454817346722"/>
      </left>
      <right style="medium">
        <color theme="3" tint="0.39988402966399123"/>
      </right>
      <top style="thin">
        <color theme="3" tint="0.39991454817346722"/>
      </top>
      <bottom style="thin">
        <color theme="3" tint="0.39991454817346722"/>
      </bottom>
      <diagonal/>
    </border>
    <border>
      <left style="medium">
        <color theme="3" tint="0.39988402966399123"/>
      </left>
      <right style="thin">
        <color theme="3" tint="0.39991454817346722"/>
      </right>
      <top style="thin">
        <color theme="3" tint="0.39991454817346722"/>
      </top>
      <bottom style="medium">
        <color theme="3" tint="0.39988402966399123"/>
      </bottom>
      <diagonal/>
    </border>
    <border>
      <left style="thin">
        <color theme="3" tint="0.39991454817346722"/>
      </left>
      <right style="thin">
        <color theme="3" tint="0.39991454817346722"/>
      </right>
      <top style="thin">
        <color theme="3" tint="0.39991454817346722"/>
      </top>
      <bottom style="medium">
        <color theme="3" tint="0.39988402966399123"/>
      </bottom>
      <diagonal/>
    </border>
    <border>
      <left style="thin">
        <color theme="3" tint="0.39991454817346722"/>
      </left>
      <right style="medium">
        <color theme="3" tint="0.39988402966399123"/>
      </right>
      <top style="thin">
        <color theme="3" tint="0.39991454817346722"/>
      </top>
      <bottom style="medium">
        <color theme="3" tint="0.39988402966399123"/>
      </bottom>
      <diagonal/>
    </border>
    <border>
      <left style="medium">
        <color theme="3" tint="0.39988402966399123"/>
      </left>
      <right style="medium">
        <color theme="3" tint="0.39988402966399123"/>
      </right>
      <top style="medium">
        <color theme="3" tint="0.39988402966399123"/>
      </top>
      <bottom style="thin">
        <color theme="3" tint="0.39991454817346722"/>
      </bottom>
      <diagonal/>
    </border>
    <border>
      <left style="medium">
        <color theme="3" tint="0.39988402966399123"/>
      </left>
      <right style="medium">
        <color theme="3" tint="0.39988402966399123"/>
      </right>
      <top style="thin">
        <color theme="3" tint="0.39991454817346722"/>
      </top>
      <bottom style="thin">
        <color theme="3" tint="0.39991454817346722"/>
      </bottom>
      <diagonal/>
    </border>
    <border>
      <left style="medium">
        <color theme="3" tint="0.39988402966399123"/>
      </left>
      <right style="medium">
        <color theme="3" tint="0.39988402966399123"/>
      </right>
      <top style="thin">
        <color theme="3" tint="0.39991454817346722"/>
      </top>
      <bottom style="medium">
        <color theme="3" tint="0.39988402966399123"/>
      </bottom>
      <diagonal/>
    </border>
    <border>
      <left style="thin">
        <color theme="3" tint="0.39991454817346722"/>
      </left>
      <right style="medium">
        <color theme="3" tint="0.39988402966399123"/>
      </right>
      <top style="medium">
        <color theme="3" tint="0.39988402966399123"/>
      </top>
      <bottom/>
      <diagonal/>
    </border>
    <border>
      <left style="medium">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medium">
        <color theme="3" tint="0.39994506668294322"/>
      </right>
      <top style="medium">
        <color theme="3" tint="0.39994506668294322"/>
      </top>
      <bottom style="thin">
        <color theme="3" tint="0.39994506668294322"/>
      </bottom>
      <diagonal/>
    </border>
    <border>
      <left style="medium">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medium">
        <color theme="3" tint="0.39994506668294322"/>
      </right>
      <top style="thin">
        <color theme="3" tint="0.39994506668294322"/>
      </top>
      <bottom style="thin">
        <color theme="3" tint="0.39994506668294322"/>
      </bottom>
      <diagonal/>
    </border>
    <border>
      <left style="thin">
        <color theme="3" tint="0.39994506668294322"/>
      </left>
      <right/>
      <top style="medium">
        <color theme="3" tint="0.39994506668294322"/>
      </top>
      <bottom style="thin">
        <color theme="3" tint="0.39994506668294322"/>
      </bottom>
      <diagonal/>
    </border>
    <border>
      <left style="thin">
        <color theme="3" tint="0.39994506668294322"/>
      </left>
      <right/>
      <top style="thin">
        <color theme="3" tint="0.39994506668294322"/>
      </top>
      <bottom style="thin">
        <color theme="3" tint="0.39994506668294322"/>
      </bottom>
      <diagonal/>
    </border>
    <border>
      <left style="medium">
        <color theme="3" tint="0.39994506668294322"/>
      </left>
      <right style="thin">
        <color theme="3" tint="0.39994506668294322"/>
      </right>
      <top style="thin">
        <color theme="3" tint="0.39994506668294322"/>
      </top>
      <bottom/>
      <diagonal/>
    </border>
    <border>
      <left style="thin">
        <color theme="3" tint="0.39994506668294322"/>
      </left>
      <right style="medium">
        <color theme="3" tint="0.39994506668294322"/>
      </right>
      <top style="thin">
        <color theme="3" tint="0.39994506668294322"/>
      </top>
      <bottom/>
      <diagonal/>
    </border>
    <border>
      <left style="medium">
        <color theme="3" tint="0.39994506668294322"/>
      </left>
      <right style="thin">
        <color theme="3" tint="0.39994506668294322"/>
      </right>
      <top/>
      <bottom style="thin">
        <color theme="3" tint="0.39994506668294322"/>
      </bottom>
      <diagonal/>
    </border>
    <border>
      <left style="thin">
        <color theme="3" tint="0.39994506668294322"/>
      </left>
      <right style="medium">
        <color theme="3" tint="0.39994506668294322"/>
      </right>
      <top/>
      <bottom style="thin">
        <color theme="3" tint="0.39994506668294322"/>
      </bottom>
      <diagonal/>
    </border>
    <border>
      <left style="medium">
        <color theme="3" tint="0.39991454817346722"/>
      </left>
      <right style="thin">
        <color theme="3" tint="0.39994506668294322"/>
      </right>
      <top style="medium">
        <color theme="3" tint="0.39991454817346722"/>
      </top>
      <bottom style="thin">
        <color theme="3" tint="0.39991454817346722"/>
      </bottom>
      <diagonal/>
    </border>
    <border>
      <left style="thin">
        <color theme="3" tint="0.39994506668294322"/>
      </left>
      <right style="thin">
        <color theme="3" tint="0.39994506668294322"/>
      </right>
      <top style="medium">
        <color theme="3" tint="0.39991454817346722"/>
      </top>
      <bottom style="thin">
        <color theme="3" tint="0.39991454817346722"/>
      </bottom>
      <diagonal/>
    </border>
    <border>
      <left style="thin">
        <color theme="3" tint="0.39994506668294322"/>
      </left>
      <right/>
      <top style="medium">
        <color theme="3" tint="0.39991454817346722"/>
      </top>
      <bottom style="thin">
        <color theme="3" tint="0.39991454817346722"/>
      </bottom>
      <diagonal/>
    </border>
    <border>
      <left style="medium">
        <color theme="3" tint="0.39994506668294322"/>
      </left>
      <right style="thin">
        <color theme="3" tint="0.39994506668294322"/>
      </right>
      <top style="medium">
        <color theme="3" tint="0.39991454817346722"/>
      </top>
      <bottom style="thin">
        <color theme="3" tint="0.39991454817346722"/>
      </bottom>
      <diagonal/>
    </border>
    <border>
      <left style="thin">
        <color theme="3" tint="0.39994506668294322"/>
      </left>
      <right style="medium">
        <color theme="3" tint="0.39991454817346722"/>
      </right>
      <top style="medium">
        <color theme="3" tint="0.39991454817346722"/>
      </top>
      <bottom style="thin">
        <color theme="3" tint="0.39991454817346722"/>
      </bottom>
      <diagonal/>
    </border>
    <border>
      <left style="medium">
        <color theme="3" tint="0.39991454817346722"/>
      </left>
      <right style="thin">
        <color theme="3" tint="0.39994506668294322"/>
      </right>
      <top style="thin">
        <color theme="3" tint="0.39991454817346722"/>
      </top>
      <bottom style="thin">
        <color theme="3" tint="0.39991454817346722"/>
      </bottom>
      <diagonal/>
    </border>
    <border>
      <left style="thin">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top style="thin">
        <color theme="3" tint="0.39991454817346722"/>
      </top>
      <bottom style="thin">
        <color theme="3" tint="0.39991454817346722"/>
      </bottom>
      <diagonal/>
    </border>
    <border>
      <left style="medium">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style="medium">
        <color theme="3" tint="0.39991454817346722"/>
      </right>
      <top style="thin">
        <color theme="3" tint="0.39991454817346722"/>
      </top>
      <bottom style="thin">
        <color theme="3" tint="0.39991454817346722"/>
      </bottom>
      <diagonal/>
    </border>
    <border>
      <left style="medium">
        <color theme="3" tint="0.39991454817346722"/>
      </left>
      <right style="thin">
        <color theme="3" tint="0.39994506668294322"/>
      </right>
      <top style="thin">
        <color theme="3" tint="0.39991454817346722"/>
      </top>
      <bottom style="medium">
        <color theme="3" tint="0.39991454817346722"/>
      </bottom>
      <diagonal/>
    </border>
    <border>
      <left style="thin">
        <color theme="3" tint="0.39994506668294322"/>
      </left>
      <right style="thin">
        <color theme="3" tint="0.39994506668294322"/>
      </right>
      <top style="thin">
        <color theme="3" tint="0.39991454817346722"/>
      </top>
      <bottom style="medium">
        <color theme="3" tint="0.39991454817346722"/>
      </bottom>
      <diagonal/>
    </border>
    <border>
      <left style="thin">
        <color theme="3" tint="0.39994506668294322"/>
      </left>
      <right/>
      <top style="thin">
        <color theme="3" tint="0.39991454817346722"/>
      </top>
      <bottom style="medium">
        <color theme="3" tint="0.39991454817346722"/>
      </bottom>
      <diagonal/>
    </border>
    <border>
      <left style="medium">
        <color theme="3" tint="0.39994506668294322"/>
      </left>
      <right style="thin">
        <color theme="3" tint="0.39994506668294322"/>
      </right>
      <top style="thin">
        <color theme="3" tint="0.39991454817346722"/>
      </top>
      <bottom style="medium">
        <color theme="3" tint="0.39991454817346722"/>
      </bottom>
      <diagonal/>
    </border>
    <border>
      <left style="thin">
        <color theme="3" tint="0.39994506668294322"/>
      </left>
      <right style="medium">
        <color theme="3" tint="0.39991454817346722"/>
      </right>
      <top style="thin">
        <color theme="3" tint="0.39991454817346722"/>
      </top>
      <bottom style="medium">
        <color theme="3" tint="0.39991454817346722"/>
      </bottom>
      <diagonal/>
    </border>
    <border>
      <left style="medium">
        <color theme="3" tint="0.39991454817346722"/>
      </left>
      <right/>
      <top style="medium">
        <color theme="3" tint="0.39991454817346722"/>
      </top>
      <bottom style="thin">
        <color theme="3" tint="0.39994506668294322"/>
      </bottom>
      <diagonal/>
    </border>
    <border>
      <left/>
      <right/>
      <top style="medium">
        <color theme="3" tint="0.39991454817346722"/>
      </top>
      <bottom style="thin">
        <color theme="3" tint="0.39994506668294322"/>
      </bottom>
      <diagonal/>
    </border>
    <border>
      <left style="medium">
        <color theme="3" tint="0.39991454817346722"/>
      </left>
      <right/>
      <top/>
      <bottom/>
      <diagonal/>
    </border>
    <border>
      <left style="medium">
        <color theme="3" tint="0.39991454817346722"/>
      </left>
      <right/>
      <top/>
      <bottom style="medium">
        <color theme="3" tint="0.39991454817346722"/>
      </bottom>
      <diagonal/>
    </border>
    <border>
      <left/>
      <right/>
      <top/>
      <bottom style="medium">
        <color theme="3" tint="0.39991454817346722"/>
      </bottom>
      <diagonal/>
    </border>
    <border>
      <left/>
      <right/>
      <top style="thin">
        <color theme="4" tint="0.39997558519241921"/>
      </top>
      <bottom style="medium">
        <color theme="3" tint="0.39991454817346722"/>
      </bottom>
      <diagonal/>
    </border>
    <border>
      <left style="medium">
        <color theme="3" tint="0.39991454817346722"/>
      </left>
      <right style="thin">
        <color theme="3" tint="0.39994506668294322"/>
      </right>
      <top style="thin">
        <color theme="3" tint="0.39991454817346722"/>
      </top>
      <bottom/>
      <diagonal/>
    </border>
    <border>
      <left style="thin">
        <color theme="3" tint="0.39994506668294322"/>
      </left>
      <right style="thin">
        <color theme="3" tint="0.39994506668294322"/>
      </right>
      <top style="thin">
        <color theme="3" tint="0.39991454817346722"/>
      </top>
      <bottom/>
      <diagonal/>
    </border>
    <border>
      <left style="thin">
        <color theme="3" tint="0.39994506668294322"/>
      </left>
      <right/>
      <top style="thin">
        <color theme="3" tint="0.39991454817346722"/>
      </top>
      <bottom/>
      <diagonal/>
    </border>
    <border>
      <left style="medium">
        <color theme="3" tint="0.39994506668294322"/>
      </left>
      <right style="thin">
        <color theme="3" tint="0.39994506668294322"/>
      </right>
      <top style="thin">
        <color theme="3" tint="0.39991454817346722"/>
      </top>
      <bottom/>
      <diagonal/>
    </border>
    <border>
      <left style="thin">
        <color theme="3" tint="0.39994506668294322"/>
      </left>
      <right style="medium">
        <color theme="3" tint="0.39991454817346722"/>
      </right>
      <top style="thin">
        <color theme="3" tint="0.39991454817346722"/>
      </top>
      <bottom/>
      <diagonal/>
    </border>
    <border>
      <left style="thin">
        <color theme="3" tint="0.39994506668294322"/>
      </left>
      <right style="thin">
        <color theme="3" tint="0.39994506668294322"/>
      </right>
      <top/>
      <bottom style="thin">
        <color theme="3" tint="0.39991454817346722"/>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thick">
        <color theme="5"/>
      </left>
      <right/>
      <top style="thick">
        <color theme="5"/>
      </top>
      <bottom/>
      <diagonal/>
    </border>
    <border>
      <left/>
      <right/>
      <top style="thick">
        <color theme="5"/>
      </top>
      <bottom/>
      <diagonal/>
    </border>
    <border>
      <left/>
      <right style="thick">
        <color theme="5"/>
      </right>
      <top style="thick">
        <color theme="5"/>
      </top>
      <bottom/>
      <diagonal/>
    </border>
    <border>
      <left style="thick">
        <color theme="5"/>
      </left>
      <right/>
      <top/>
      <bottom style="thick">
        <color theme="5"/>
      </bottom>
      <diagonal/>
    </border>
    <border>
      <left/>
      <right/>
      <top/>
      <bottom style="thick">
        <color theme="5"/>
      </bottom>
      <diagonal/>
    </border>
    <border>
      <left/>
      <right style="thick">
        <color theme="5"/>
      </right>
      <top/>
      <bottom style="thick">
        <color theme="5"/>
      </bottom>
      <diagonal/>
    </border>
    <border>
      <left style="thick">
        <color theme="6"/>
      </left>
      <right/>
      <top style="thick">
        <color theme="6"/>
      </top>
      <bottom/>
      <diagonal/>
    </border>
    <border>
      <left/>
      <right/>
      <top style="thick">
        <color theme="6"/>
      </top>
      <bottom/>
      <diagonal/>
    </border>
    <border>
      <left/>
      <right style="thick">
        <color theme="6"/>
      </right>
      <top style="thick">
        <color theme="6"/>
      </top>
      <bottom/>
      <diagonal/>
    </border>
    <border>
      <left style="thick">
        <color theme="6"/>
      </left>
      <right/>
      <top/>
      <bottom style="thick">
        <color theme="6"/>
      </bottom>
      <diagonal/>
    </border>
    <border>
      <left/>
      <right/>
      <top/>
      <bottom style="thick">
        <color theme="6"/>
      </bottom>
      <diagonal/>
    </border>
    <border>
      <left/>
      <right style="thick">
        <color theme="6"/>
      </right>
      <top/>
      <bottom style="thick">
        <color theme="6"/>
      </bottom>
      <diagonal/>
    </border>
    <border>
      <left style="thick">
        <color theme="6" tint="-0.24994659260841701"/>
      </left>
      <right/>
      <top style="thick">
        <color theme="6" tint="-0.24994659260841701"/>
      </top>
      <bottom/>
      <diagonal/>
    </border>
    <border>
      <left/>
      <right/>
      <top style="thick">
        <color theme="6" tint="-0.24994659260841701"/>
      </top>
      <bottom/>
      <diagonal/>
    </border>
    <border>
      <left/>
      <right style="thick">
        <color theme="6" tint="-0.24994659260841701"/>
      </right>
      <top style="thick">
        <color theme="6" tint="-0.24994659260841701"/>
      </top>
      <bottom/>
      <diagonal/>
    </border>
    <border>
      <left style="thick">
        <color theme="6" tint="-0.24994659260841701"/>
      </left>
      <right/>
      <top/>
      <bottom style="thick">
        <color theme="6" tint="-0.24994659260841701"/>
      </bottom>
      <diagonal/>
    </border>
    <border>
      <left/>
      <right/>
      <top/>
      <bottom style="thick">
        <color theme="6" tint="-0.24994659260841701"/>
      </bottom>
      <diagonal/>
    </border>
    <border>
      <left/>
      <right style="thick">
        <color theme="6" tint="-0.24994659260841701"/>
      </right>
      <top/>
      <bottom style="thick">
        <color theme="6" tint="-0.24994659260841701"/>
      </bottom>
      <diagonal/>
    </border>
    <border>
      <left style="thick">
        <color rgb="FF78B5CB"/>
      </left>
      <right/>
      <top style="thick">
        <color rgb="FF78B5CB"/>
      </top>
      <bottom/>
      <diagonal/>
    </border>
    <border>
      <left/>
      <right/>
      <top style="thick">
        <color rgb="FF78B5CB"/>
      </top>
      <bottom/>
      <diagonal/>
    </border>
    <border>
      <left/>
      <right style="thick">
        <color rgb="FF78B5CB"/>
      </right>
      <top style="thick">
        <color rgb="FF78B5CB"/>
      </top>
      <bottom/>
      <diagonal/>
    </border>
    <border>
      <left style="thick">
        <color rgb="FF78B5CB"/>
      </left>
      <right/>
      <top/>
      <bottom style="thick">
        <color rgb="FF78B5CB"/>
      </bottom>
      <diagonal/>
    </border>
    <border>
      <left/>
      <right/>
      <top/>
      <bottom style="thick">
        <color rgb="FF78B5CB"/>
      </bottom>
      <diagonal/>
    </border>
    <border>
      <left/>
      <right style="thick">
        <color rgb="FF78B5CB"/>
      </right>
      <top/>
      <bottom style="thick">
        <color rgb="FF78B5CB"/>
      </bottom>
      <diagonal/>
    </border>
    <border>
      <left style="thick">
        <color theme="9" tint="0.59996337778862885"/>
      </left>
      <right/>
      <top style="thick">
        <color theme="9" tint="0.59996337778862885"/>
      </top>
      <bottom/>
      <diagonal/>
    </border>
    <border>
      <left/>
      <right/>
      <top style="thick">
        <color theme="9" tint="0.59996337778862885"/>
      </top>
      <bottom/>
      <diagonal/>
    </border>
    <border>
      <left/>
      <right style="thick">
        <color theme="9" tint="0.59996337778862885"/>
      </right>
      <top style="thick">
        <color theme="9" tint="0.59996337778862885"/>
      </top>
      <bottom/>
      <diagonal/>
    </border>
    <border>
      <left style="thick">
        <color theme="9" tint="0.59996337778862885"/>
      </left>
      <right/>
      <top/>
      <bottom style="thick">
        <color theme="9" tint="0.59996337778862885"/>
      </bottom>
      <diagonal/>
    </border>
    <border>
      <left/>
      <right/>
      <top/>
      <bottom style="thick">
        <color theme="9" tint="0.59996337778862885"/>
      </bottom>
      <diagonal/>
    </border>
    <border>
      <left/>
      <right style="thick">
        <color theme="9" tint="0.59996337778862885"/>
      </right>
      <top/>
      <bottom style="thick">
        <color theme="9" tint="0.59996337778862885"/>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thick">
        <color theme="7"/>
      </left>
      <right/>
      <top style="thick">
        <color theme="7"/>
      </top>
      <bottom/>
      <diagonal/>
    </border>
    <border>
      <left/>
      <right/>
      <top style="thick">
        <color theme="7"/>
      </top>
      <bottom/>
      <diagonal/>
    </border>
    <border>
      <left/>
      <right style="thick">
        <color theme="7"/>
      </right>
      <top style="thick">
        <color theme="7"/>
      </top>
      <bottom/>
      <diagonal/>
    </border>
    <border>
      <left style="thick">
        <color theme="7"/>
      </left>
      <right/>
      <top/>
      <bottom style="thick">
        <color theme="7"/>
      </bottom>
      <diagonal/>
    </border>
    <border>
      <left/>
      <right/>
      <top/>
      <bottom style="thick">
        <color theme="7"/>
      </bottom>
      <diagonal/>
    </border>
    <border>
      <left/>
      <right style="thick">
        <color theme="7"/>
      </right>
      <top/>
      <bottom style="thick">
        <color theme="7"/>
      </bottom>
      <diagonal/>
    </border>
    <border>
      <left style="thick">
        <color theme="6" tint="0.39991454817346722"/>
      </left>
      <right/>
      <top style="thick">
        <color theme="6" tint="0.39991454817346722"/>
      </top>
      <bottom/>
      <diagonal/>
    </border>
    <border>
      <left/>
      <right/>
      <top style="thick">
        <color theme="6" tint="0.39991454817346722"/>
      </top>
      <bottom/>
      <diagonal/>
    </border>
    <border>
      <left/>
      <right style="thick">
        <color theme="6" tint="0.39991454817346722"/>
      </right>
      <top style="thick">
        <color theme="6" tint="0.39991454817346722"/>
      </top>
      <bottom/>
      <diagonal/>
    </border>
    <border>
      <left style="thick">
        <color theme="6" tint="0.39991454817346722"/>
      </left>
      <right/>
      <top/>
      <bottom style="thick">
        <color theme="6" tint="0.39991454817346722"/>
      </bottom>
      <diagonal/>
    </border>
    <border>
      <left/>
      <right/>
      <top/>
      <bottom style="thick">
        <color theme="6" tint="0.39991454817346722"/>
      </bottom>
      <diagonal/>
    </border>
    <border>
      <left/>
      <right style="thick">
        <color theme="6" tint="0.39991454817346722"/>
      </right>
      <top/>
      <bottom style="thick">
        <color theme="6" tint="0.39991454817346722"/>
      </bottom>
      <diagonal/>
    </border>
    <border>
      <left style="thick">
        <color theme="9" tint="0.39991454817346722"/>
      </left>
      <right/>
      <top style="thick">
        <color theme="9" tint="0.39991454817346722"/>
      </top>
      <bottom/>
      <diagonal/>
    </border>
    <border>
      <left/>
      <right/>
      <top style="thick">
        <color theme="9" tint="0.39991454817346722"/>
      </top>
      <bottom/>
      <diagonal/>
    </border>
    <border>
      <left/>
      <right style="thick">
        <color theme="9" tint="0.39991454817346722"/>
      </right>
      <top style="thick">
        <color theme="9" tint="0.39991454817346722"/>
      </top>
      <bottom/>
      <diagonal/>
    </border>
    <border>
      <left style="thick">
        <color theme="9" tint="0.39991454817346722"/>
      </left>
      <right/>
      <top/>
      <bottom style="thick">
        <color theme="9" tint="0.39991454817346722"/>
      </bottom>
      <diagonal/>
    </border>
    <border>
      <left/>
      <right/>
      <top/>
      <bottom style="thick">
        <color theme="9" tint="0.39991454817346722"/>
      </bottom>
      <diagonal/>
    </border>
    <border>
      <left/>
      <right style="thick">
        <color theme="9" tint="0.39991454817346722"/>
      </right>
      <top/>
      <bottom style="thick">
        <color theme="9" tint="0.39991454817346722"/>
      </bottom>
      <diagonal/>
    </border>
    <border>
      <left/>
      <right/>
      <top style="thick">
        <color theme="7"/>
      </top>
      <bottom style="mediumDashed">
        <color theme="3" tint="0.39994506668294322"/>
      </bottom>
      <diagonal/>
    </border>
    <border>
      <left style="medium">
        <color theme="3" tint="0.39988402966399123"/>
      </left>
      <right/>
      <top style="medium">
        <color theme="3" tint="0.39988402966399123"/>
      </top>
      <bottom/>
      <diagonal/>
    </border>
    <border>
      <left/>
      <right/>
      <top style="medium">
        <color theme="3" tint="0.39988402966399123"/>
      </top>
      <bottom/>
      <diagonal/>
    </border>
    <border>
      <left/>
      <right style="medium">
        <color theme="3" tint="0.39988402966399123"/>
      </right>
      <top style="medium">
        <color theme="3" tint="0.39988402966399123"/>
      </top>
      <bottom/>
      <diagonal/>
    </border>
    <border>
      <left style="medium">
        <color theme="3" tint="0.39988402966399123"/>
      </left>
      <right/>
      <top/>
      <bottom/>
      <diagonal/>
    </border>
    <border>
      <left/>
      <right style="medium">
        <color theme="3" tint="0.39988402966399123"/>
      </right>
      <top/>
      <bottom/>
      <diagonal/>
    </border>
    <border>
      <left style="medium">
        <color theme="3" tint="0.39988402966399123"/>
      </left>
      <right/>
      <top/>
      <bottom style="medium">
        <color theme="3" tint="0.39988402966399123"/>
      </bottom>
      <diagonal/>
    </border>
    <border>
      <left/>
      <right/>
      <top/>
      <bottom style="medium">
        <color theme="3" tint="0.39988402966399123"/>
      </bottom>
      <diagonal/>
    </border>
    <border>
      <left/>
      <right style="medium">
        <color theme="3" tint="0.39988402966399123"/>
      </right>
      <top/>
      <bottom style="medium">
        <color theme="3" tint="0.39988402966399123"/>
      </bottom>
      <diagonal/>
    </border>
    <border>
      <left style="thin">
        <color theme="3" tint="0.39991454817346722"/>
      </left>
      <right/>
      <top style="medium">
        <color theme="3" tint="0.39988402966399123"/>
      </top>
      <bottom style="thin">
        <color theme="3" tint="0.39991454817346722"/>
      </bottom>
      <diagonal/>
    </border>
    <border>
      <left style="thin">
        <color theme="3" tint="0.39991454817346722"/>
      </left>
      <right/>
      <top style="thin">
        <color theme="3" tint="0.39991454817346722"/>
      </top>
      <bottom style="medium">
        <color theme="3" tint="0.39988402966399123"/>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4"/>
      </left>
      <right style="medium">
        <color theme="4"/>
      </right>
      <top style="medium">
        <color theme="4"/>
      </top>
      <bottom style="thin">
        <color theme="3" tint="0.39991454817346722"/>
      </bottom>
      <diagonal/>
    </border>
    <border>
      <left style="medium">
        <color theme="4"/>
      </left>
      <right style="medium">
        <color theme="4"/>
      </right>
      <top/>
      <bottom/>
      <diagonal/>
    </border>
    <border>
      <left style="medium">
        <color theme="4"/>
      </left>
      <right style="medium">
        <color theme="4"/>
      </right>
      <top/>
      <bottom style="medium">
        <color theme="4"/>
      </bottom>
      <diagonal/>
    </border>
    <border>
      <left/>
      <right style="medium">
        <color theme="3" tint="0.39991454817346722"/>
      </right>
      <top style="medium">
        <color theme="3" tint="0.39991454817346722"/>
      </top>
      <bottom style="thin">
        <color theme="3" tint="0.39991454817346722"/>
      </bottom>
      <diagonal/>
    </border>
    <border>
      <left/>
      <right style="medium">
        <color theme="3" tint="0.39991454817346722"/>
      </right>
      <top style="thin">
        <color theme="3" tint="0.39991454817346722"/>
      </top>
      <bottom style="thin">
        <color theme="3" tint="0.39991454817346722"/>
      </bottom>
      <diagonal/>
    </border>
    <border>
      <left/>
      <right style="medium">
        <color theme="3" tint="0.39991454817346722"/>
      </right>
      <top style="thin">
        <color theme="3" tint="0.39991454817346722"/>
      </top>
      <bottom style="medium">
        <color theme="3" tint="0.39991454817346722"/>
      </bottom>
      <diagonal/>
    </border>
    <border>
      <left style="medium">
        <color theme="3" tint="0.39994506668294322"/>
      </left>
      <right style="thin">
        <color theme="3" tint="0.39994506668294322"/>
      </right>
      <top/>
      <bottom style="thin">
        <color theme="3" tint="0.39991454817346722"/>
      </bottom>
      <diagonal/>
    </border>
    <border>
      <left style="thin">
        <color theme="3" tint="0.39994506668294322"/>
      </left>
      <right style="medium">
        <color theme="3" tint="0.39991454817346722"/>
      </right>
      <top/>
      <bottom style="thin">
        <color theme="3" tint="0.39991454817346722"/>
      </bottom>
      <diagonal/>
    </border>
    <border>
      <left style="medium">
        <color theme="3" tint="0.39994506668294322"/>
      </left>
      <right style="thin">
        <color theme="3" tint="0.39991454817346722"/>
      </right>
      <top style="medium">
        <color theme="3" tint="0.39994506668294322"/>
      </top>
      <bottom style="medium">
        <color theme="3" tint="0.39994506668294322"/>
      </bottom>
      <diagonal/>
    </border>
    <border>
      <left style="thin">
        <color theme="3" tint="0.39991454817346722"/>
      </left>
      <right style="thin">
        <color theme="3" tint="0.39991454817346722"/>
      </right>
      <top style="medium">
        <color theme="3" tint="0.39994506668294322"/>
      </top>
      <bottom style="medium">
        <color theme="3" tint="0.39994506668294322"/>
      </bottom>
      <diagonal/>
    </border>
    <border>
      <left style="thin">
        <color theme="3" tint="0.39991454817346722"/>
      </left>
      <right style="medium">
        <color theme="3" tint="0.39994506668294322"/>
      </right>
      <top style="medium">
        <color theme="3" tint="0.39994506668294322"/>
      </top>
      <bottom style="medium">
        <color theme="3" tint="0.39994506668294322"/>
      </bottom>
      <diagonal/>
    </border>
    <border>
      <left style="medium">
        <color theme="3" tint="0.39994506668294322"/>
      </left>
      <right style="thin">
        <color theme="3" tint="0.39994506668294322"/>
      </right>
      <top style="medium">
        <color theme="3" tint="0.39994506668294322"/>
      </top>
      <bottom style="thin">
        <color theme="3" tint="0.39991454817346722"/>
      </bottom>
      <diagonal/>
    </border>
    <border>
      <left style="thin">
        <color theme="3" tint="0.39994506668294322"/>
      </left>
      <right style="thin">
        <color theme="3" tint="0.39994506668294322"/>
      </right>
      <top style="medium">
        <color theme="3" tint="0.39994506668294322"/>
      </top>
      <bottom style="thin">
        <color theme="3" tint="0.39991454817346722"/>
      </bottom>
      <diagonal/>
    </border>
    <border>
      <left style="thin">
        <color theme="3" tint="0.39994506668294322"/>
      </left>
      <right style="medium">
        <color theme="3" tint="0.39994506668294322"/>
      </right>
      <top style="medium">
        <color theme="3" tint="0.39994506668294322"/>
      </top>
      <bottom style="thin">
        <color theme="3" tint="0.39991454817346722"/>
      </bottom>
      <diagonal/>
    </border>
    <border>
      <left style="thin">
        <color theme="3" tint="0.39994506668294322"/>
      </left>
      <right style="medium">
        <color theme="3" tint="0.39994506668294322"/>
      </right>
      <top style="thin">
        <color theme="3" tint="0.39991454817346722"/>
      </top>
      <bottom style="thin">
        <color theme="3" tint="0.39991454817346722"/>
      </bottom>
      <diagonal/>
    </border>
    <border>
      <left style="medium">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medium">
        <color theme="3" tint="0.39994506668294322"/>
      </right>
      <top style="thin">
        <color theme="3" tint="0.39991454817346722"/>
      </top>
      <bottom style="medium">
        <color theme="3" tint="0.39994506668294322"/>
      </bottom>
      <diagonal/>
    </border>
  </borders>
  <cellStyleXfs count="43">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29">
    <xf numFmtId="0" fontId="0" fillId="0" borderId="0" xfId="0"/>
    <xf numFmtId="0" fontId="0" fillId="0" borderId="0" xfId="0" applyAlignment="1">
      <alignment horizontal="left"/>
    </xf>
    <xf numFmtId="0" fontId="19" fillId="0" borderId="0" xfId="0" applyFont="1"/>
    <xf numFmtId="2" fontId="19" fillId="0" borderId="0" xfId="0" applyNumberFormat="1" applyFont="1"/>
    <xf numFmtId="0" fontId="0" fillId="0" borderId="0" xfId="0" applyAlignment="1">
      <alignment wrapText="1"/>
    </xf>
    <xf numFmtId="0" fontId="19" fillId="0" borderId="0" xfId="0" applyFont="1" applyAlignment="1">
      <alignment horizontal="center" vertical="center"/>
    </xf>
    <xf numFmtId="16" fontId="19" fillId="0" borderId="0" xfId="0" applyNumberFormat="1" applyFont="1" applyAlignment="1">
      <alignment horizontal="center" vertical="center"/>
    </xf>
    <xf numFmtId="0" fontId="19" fillId="0" borderId="0" xfId="0" applyFont="1" applyAlignment="1">
      <alignment horizontal="center" vertical="center" wrapText="1"/>
    </xf>
    <xf numFmtId="14" fontId="19" fillId="0" borderId="0" xfId="0" applyNumberFormat="1" applyFont="1"/>
    <xf numFmtId="0" fontId="19" fillId="0" borderId="0" xfId="0" applyFont="1" applyAlignment="1">
      <alignment horizontal="center"/>
    </xf>
    <xf numFmtId="0" fontId="19" fillId="0" borderId="0" xfId="0" applyFont="1" applyAlignment="1">
      <alignment wrapText="1"/>
    </xf>
    <xf numFmtId="0" fontId="19" fillId="0" borderId="15" xfId="0" applyFont="1" applyBorder="1"/>
    <xf numFmtId="0" fontId="19" fillId="0" borderId="15" xfId="0" applyFont="1" applyBorder="1" applyAlignment="1">
      <alignment horizontal="center" vertical="center" wrapText="1"/>
    </xf>
    <xf numFmtId="0" fontId="19" fillId="0" borderId="15" xfId="0" applyFont="1" applyBorder="1" applyAlignment="1">
      <alignment wrapText="1"/>
    </xf>
    <xf numFmtId="0" fontId="19" fillId="0" borderId="16" xfId="0" applyFont="1" applyBorder="1"/>
    <xf numFmtId="0" fontId="19" fillId="0" borderId="20" xfId="0" applyFont="1" applyBorder="1"/>
    <xf numFmtId="0" fontId="19" fillId="0" borderId="21" xfId="0" applyFont="1" applyBorder="1"/>
    <xf numFmtId="0" fontId="19" fillId="0" borderId="22" xfId="0" applyFont="1" applyBorder="1"/>
    <xf numFmtId="0" fontId="19" fillId="0" borderId="23" xfId="0" applyFont="1" applyBorder="1"/>
    <xf numFmtId="0" fontId="19" fillId="0" borderId="24" xfId="0" applyFont="1" applyBorder="1"/>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0" xfId="0" applyFont="1" applyBorder="1" applyAlignment="1">
      <alignment wrapText="1"/>
    </xf>
    <xf numFmtId="0" fontId="19" fillId="0" borderId="21" xfId="0" applyFont="1" applyBorder="1" applyAlignment="1">
      <alignment wrapText="1"/>
    </xf>
    <xf numFmtId="0" fontId="19" fillId="0" borderId="22" xfId="0" applyFont="1" applyBorder="1" applyAlignment="1">
      <alignment wrapText="1"/>
    </xf>
    <xf numFmtId="0" fontId="19" fillId="0" borderId="23" xfId="0" applyFont="1" applyBorder="1" applyAlignment="1">
      <alignment wrapText="1"/>
    </xf>
    <xf numFmtId="0" fontId="19" fillId="0" borderId="24" xfId="0" applyFont="1" applyBorder="1" applyAlignment="1">
      <alignment wrapText="1"/>
    </xf>
    <xf numFmtId="0" fontId="19" fillId="0" borderId="26" xfId="0" applyFont="1" applyBorder="1"/>
    <xf numFmtId="0" fontId="19" fillId="0" borderId="27" xfId="0" applyFont="1" applyBorder="1"/>
    <xf numFmtId="0" fontId="19" fillId="0" borderId="29" xfId="0" applyFont="1" applyBorder="1"/>
    <xf numFmtId="0" fontId="19" fillId="0" borderId="30" xfId="0" applyFont="1" applyBorder="1"/>
    <xf numFmtId="14" fontId="19" fillId="0" borderId="30" xfId="0" applyNumberFormat="1" applyFont="1" applyBorder="1"/>
    <xf numFmtId="1" fontId="19" fillId="0" borderId="30" xfId="0" applyNumberFormat="1" applyFont="1" applyBorder="1"/>
    <xf numFmtId="0" fontId="19" fillId="0" borderId="30" xfId="0" applyFont="1" applyBorder="1" applyAlignment="1">
      <alignment horizontal="center"/>
    </xf>
    <xf numFmtId="0" fontId="19" fillId="0" borderId="30" xfId="0" applyFont="1" applyBorder="1" applyAlignment="1">
      <alignment horizontal="right"/>
    </xf>
    <xf numFmtId="0" fontId="19" fillId="0" borderId="32" xfId="0" applyFont="1" applyBorder="1"/>
    <xf numFmtId="0" fontId="19" fillId="0" borderId="11" xfId="0" applyFont="1" applyBorder="1"/>
    <xf numFmtId="14" fontId="19" fillId="0" borderId="11" xfId="0" applyNumberFormat="1" applyFont="1" applyBorder="1"/>
    <xf numFmtId="1" fontId="19" fillId="0" borderId="11" xfId="0" applyNumberFormat="1" applyFont="1" applyBorder="1"/>
    <xf numFmtId="0" fontId="19" fillId="0" borderId="11" xfId="0" applyFont="1" applyBorder="1" applyAlignment="1">
      <alignment horizontal="center"/>
    </xf>
    <xf numFmtId="0" fontId="19" fillId="0" borderId="11" xfId="0" applyFont="1" applyBorder="1" applyAlignment="1">
      <alignment horizontal="right"/>
    </xf>
    <xf numFmtId="0" fontId="19" fillId="0" borderId="34" xfId="0" applyFont="1" applyBorder="1" applyAlignment="1">
      <alignment horizontal="left"/>
    </xf>
    <xf numFmtId="0" fontId="19" fillId="0" borderId="35" xfId="0" applyFont="1" applyBorder="1" applyAlignment="1">
      <alignment horizontal="left"/>
    </xf>
    <xf numFmtId="0" fontId="19" fillId="0" borderId="36" xfId="0" applyFont="1" applyBorder="1"/>
    <xf numFmtId="0" fontId="19" fillId="0" borderId="13" xfId="0" applyFont="1" applyBorder="1"/>
    <xf numFmtId="14" fontId="19" fillId="0" borderId="13" xfId="0" applyNumberFormat="1" applyFont="1" applyBorder="1"/>
    <xf numFmtId="1" fontId="19" fillId="0" borderId="13" xfId="0" applyNumberFormat="1" applyFont="1" applyBorder="1"/>
    <xf numFmtId="0" fontId="19" fillId="0" borderId="13" xfId="0" applyFont="1" applyBorder="1" applyAlignment="1">
      <alignment horizontal="center"/>
    </xf>
    <xf numFmtId="0" fontId="19" fillId="0" borderId="13" xfId="0" applyFont="1" applyBorder="1" applyAlignment="1">
      <alignment horizontal="right"/>
    </xf>
    <xf numFmtId="0" fontId="19" fillId="0" borderId="12" xfId="0" applyFont="1" applyBorder="1" applyAlignment="1">
      <alignment horizontal="left"/>
    </xf>
    <xf numFmtId="0" fontId="19" fillId="0" borderId="14" xfId="0" applyFont="1" applyBorder="1" applyAlignment="1">
      <alignment horizontal="center"/>
    </xf>
    <xf numFmtId="0" fontId="19" fillId="0" borderId="40" xfId="0" applyFont="1" applyBorder="1"/>
    <xf numFmtId="0" fontId="19" fillId="0" borderId="41" xfId="0" applyFont="1" applyBorder="1"/>
    <xf numFmtId="14" fontId="19" fillId="0" borderId="41" xfId="0" applyNumberFormat="1" applyFont="1" applyBorder="1"/>
    <xf numFmtId="1" fontId="19" fillId="0" borderId="41" xfId="0" applyNumberFormat="1" applyFont="1" applyBorder="1"/>
    <xf numFmtId="0" fontId="19" fillId="0" borderId="41" xfId="0" applyFont="1" applyBorder="1" applyAlignment="1">
      <alignment horizontal="center"/>
    </xf>
    <xf numFmtId="0" fontId="19" fillId="0" borderId="41" xfId="0" applyFont="1" applyBorder="1" applyAlignment="1">
      <alignment horizontal="right"/>
    </xf>
    <xf numFmtId="0" fontId="19" fillId="0" borderId="42" xfId="0" applyFont="1" applyBorder="1" applyAlignment="1">
      <alignment horizontal="left"/>
    </xf>
    <xf numFmtId="0" fontId="19" fillId="0" borderId="45" xfId="0" applyFont="1" applyBorder="1"/>
    <xf numFmtId="0" fontId="19" fillId="0" borderId="46" xfId="0" applyFont="1" applyBorder="1"/>
    <xf numFmtId="14" fontId="19" fillId="0" borderId="46" xfId="0" applyNumberFormat="1" applyFont="1" applyBorder="1"/>
    <xf numFmtId="1" fontId="19" fillId="0" borderId="46" xfId="0" applyNumberFormat="1" applyFont="1" applyBorder="1"/>
    <xf numFmtId="0" fontId="19" fillId="0" borderId="46" xfId="0" applyFont="1" applyBorder="1" applyAlignment="1">
      <alignment horizontal="center"/>
    </xf>
    <xf numFmtId="0" fontId="19" fillId="0" borderId="46" xfId="0" applyFont="1" applyBorder="1" applyAlignment="1">
      <alignment horizontal="right"/>
    </xf>
    <xf numFmtId="0" fontId="19" fillId="0" borderId="47" xfId="0" applyFont="1" applyBorder="1" applyAlignment="1">
      <alignment horizontal="left"/>
    </xf>
    <xf numFmtId="0" fontId="19" fillId="0" borderId="50" xfId="0" applyFont="1" applyBorder="1"/>
    <xf numFmtId="0" fontId="19" fillId="0" borderId="51" xfId="0" applyFont="1" applyBorder="1"/>
    <xf numFmtId="14" fontId="19" fillId="0" borderId="51" xfId="0" applyNumberFormat="1" applyFont="1" applyBorder="1"/>
    <xf numFmtId="1" fontId="19" fillId="0" borderId="51" xfId="0" applyNumberFormat="1" applyFont="1" applyBorder="1"/>
    <xf numFmtId="0" fontId="19" fillId="0" borderId="51" xfId="0" applyFont="1" applyBorder="1" applyAlignment="1">
      <alignment horizontal="center"/>
    </xf>
    <xf numFmtId="0" fontId="19" fillId="0" borderId="51" xfId="0" applyFont="1" applyBorder="1" applyAlignment="1">
      <alignment horizontal="right"/>
    </xf>
    <xf numFmtId="0" fontId="19" fillId="0" borderId="52" xfId="0" applyFont="1" applyBorder="1" applyAlignment="1">
      <alignment horizontal="left"/>
    </xf>
    <xf numFmtId="0" fontId="19" fillId="0" borderId="55" xfId="0" applyFont="1" applyBorder="1" applyAlignment="1">
      <alignment horizontal="center" vertical="center"/>
    </xf>
    <xf numFmtId="0" fontId="19" fillId="0" borderId="56" xfId="0" applyFont="1" applyBorder="1" applyAlignment="1">
      <alignment horizontal="center" vertical="center"/>
    </xf>
    <xf numFmtId="16" fontId="19" fillId="0" borderId="56" xfId="0" applyNumberFormat="1" applyFont="1" applyBorder="1" applyAlignment="1">
      <alignment horizontal="center" vertical="center"/>
    </xf>
    <xf numFmtId="0" fontId="19" fillId="0" borderId="57" xfId="0" applyFont="1" applyBorder="1"/>
    <xf numFmtId="0" fontId="19" fillId="0" borderId="58" xfId="0" applyFont="1" applyBorder="1"/>
    <xf numFmtId="0" fontId="19" fillId="0" borderId="59" xfId="0" applyFont="1" applyBorder="1"/>
    <xf numFmtId="14" fontId="19" fillId="0" borderId="59" xfId="0" applyNumberFormat="1" applyFont="1" applyBorder="1"/>
    <xf numFmtId="0" fontId="19" fillId="0" borderId="61" xfId="0" applyFont="1" applyBorder="1"/>
    <xf numFmtId="0" fontId="19" fillId="0" borderId="62" xfId="0" applyFont="1" applyBorder="1"/>
    <xf numFmtId="14" fontId="19" fillId="0" borderId="62" xfId="0" applyNumberFormat="1" applyFont="1" applyBorder="1"/>
    <xf numFmtId="1" fontId="19" fillId="0" borderId="62" xfId="0" applyNumberFormat="1" applyFont="1" applyBorder="1"/>
    <xf numFmtId="0" fontId="19" fillId="0" borderId="62" xfId="0" applyFont="1" applyBorder="1" applyAlignment="1">
      <alignment horizontal="center"/>
    </xf>
    <xf numFmtId="0" fontId="19" fillId="0" borderId="62" xfId="0" applyFont="1" applyBorder="1" applyAlignment="1">
      <alignment horizontal="right"/>
    </xf>
    <xf numFmtId="0" fontId="19" fillId="0" borderId="63" xfId="0" applyFont="1" applyBorder="1" applyAlignment="1">
      <alignment horizontal="left"/>
    </xf>
    <xf numFmtId="14" fontId="19" fillId="0" borderId="30" xfId="0" applyNumberFormat="1" applyFont="1" applyBorder="1" applyAlignment="1">
      <alignment horizontal="center"/>
    </xf>
    <xf numFmtId="14" fontId="19" fillId="0" borderId="11" xfId="0" applyNumberFormat="1" applyFont="1" applyBorder="1" applyAlignment="1">
      <alignment horizontal="center"/>
    </xf>
    <xf numFmtId="14" fontId="19" fillId="0" borderId="13" xfId="0" applyNumberFormat="1" applyFont="1" applyBorder="1" applyAlignment="1">
      <alignment horizontal="center"/>
    </xf>
    <xf numFmtId="14" fontId="19" fillId="0" borderId="41" xfId="0" applyNumberFormat="1" applyFont="1" applyBorder="1" applyAlignment="1">
      <alignment horizontal="center"/>
    </xf>
    <xf numFmtId="14" fontId="19" fillId="0" borderId="46" xfId="0" applyNumberFormat="1" applyFont="1" applyBorder="1" applyAlignment="1">
      <alignment horizontal="center"/>
    </xf>
    <xf numFmtId="14" fontId="19" fillId="0" borderId="51" xfId="0" applyNumberFormat="1" applyFont="1" applyBorder="1" applyAlignment="1">
      <alignment horizontal="center"/>
    </xf>
    <xf numFmtId="14" fontId="19" fillId="0" borderId="62" xfId="0" applyNumberFormat="1" applyFont="1" applyBorder="1" applyAlignment="1">
      <alignment horizontal="center"/>
    </xf>
    <xf numFmtId="0" fontId="0" fillId="39" borderId="0" xfId="0" applyFill="1" applyAlignment="1">
      <alignment horizontal="centerContinuous" vertical="center"/>
    </xf>
    <xf numFmtId="0" fontId="17" fillId="0" borderId="0" xfId="0" applyFont="1" applyAlignment="1">
      <alignment horizontal="left"/>
    </xf>
    <xf numFmtId="0" fontId="0" fillId="0" borderId="67" xfId="0" applyBorder="1"/>
    <xf numFmtId="0" fontId="0" fillId="0" borderId="68" xfId="0" applyBorder="1"/>
    <xf numFmtId="0" fontId="0" fillId="0" borderId="69" xfId="0" applyBorder="1"/>
    <xf numFmtId="0" fontId="0" fillId="0" borderId="70" xfId="0" applyBorder="1"/>
    <xf numFmtId="0" fontId="13" fillId="39" borderId="0" xfId="0" applyFont="1" applyFill="1" applyAlignment="1">
      <alignment horizontal="centerContinuous" vertical="center"/>
    </xf>
    <xf numFmtId="0" fontId="0" fillId="0" borderId="71" xfId="0" applyBorder="1"/>
    <xf numFmtId="0" fontId="0" fillId="0" borderId="72" xfId="0" applyBorder="1"/>
    <xf numFmtId="0" fontId="0" fillId="0" borderId="73" xfId="0" applyBorder="1"/>
    <xf numFmtId="0" fontId="0" fillId="0" borderId="74" xfId="0" applyBorder="1"/>
    <xf numFmtId="0" fontId="0" fillId="39" borderId="0" xfId="0" applyFill="1" applyAlignment="1">
      <alignment horizontal="centerContinuous"/>
    </xf>
    <xf numFmtId="0" fontId="0" fillId="39" borderId="0" xfId="0" applyFill="1"/>
    <xf numFmtId="0" fontId="19" fillId="0" borderId="32" xfId="0" applyFont="1" applyBorder="1" applyAlignment="1">
      <alignment horizontal="center"/>
    </xf>
    <xf numFmtId="0" fontId="19" fillId="0" borderId="33" xfId="0" applyFont="1" applyBorder="1" applyAlignment="1">
      <alignment horizontal="center"/>
    </xf>
    <xf numFmtId="0" fontId="19" fillId="0" borderId="36" xfId="0" applyFont="1" applyBorder="1" applyAlignment="1">
      <alignment horizontal="center"/>
    </xf>
    <xf numFmtId="0" fontId="19" fillId="0" borderId="37" xfId="0" applyFont="1" applyBorder="1" applyAlignment="1">
      <alignment horizontal="center"/>
    </xf>
    <xf numFmtId="0" fontId="19" fillId="0" borderId="43" xfId="0" applyFont="1" applyBorder="1" applyAlignment="1">
      <alignment horizontal="center"/>
    </xf>
    <xf numFmtId="0" fontId="19" fillId="0" borderId="44" xfId="0" applyFont="1" applyBorder="1" applyAlignment="1">
      <alignment horizontal="center"/>
    </xf>
    <xf numFmtId="0" fontId="19" fillId="0" borderId="48" xfId="0" applyFont="1" applyBorder="1" applyAlignment="1">
      <alignment horizontal="center"/>
    </xf>
    <xf numFmtId="0" fontId="19" fillId="0" borderId="49" xfId="0" applyFont="1" applyBorder="1" applyAlignment="1">
      <alignment horizontal="center"/>
    </xf>
    <xf numFmtId="0" fontId="19" fillId="0" borderId="53" xfId="0" applyFont="1" applyBorder="1" applyAlignment="1">
      <alignment horizontal="center"/>
    </xf>
    <xf numFmtId="0" fontId="19" fillId="0" borderId="54" xfId="0" applyFont="1" applyBorder="1" applyAlignment="1">
      <alignment horizontal="center"/>
    </xf>
    <xf numFmtId="0" fontId="19" fillId="0" borderId="64" xfId="0" applyFont="1" applyBorder="1" applyAlignment="1">
      <alignment horizontal="center"/>
    </xf>
    <xf numFmtId="0" fontId="19" fillId="0" borderId="65" xfId="0" applyFont="1" applyBorder="1" applyAlignment="1">
      <alignment horizontal="center"/>
    </xf>
    <xf numFmtId="0" fontId="21" fillId="45" borderId="28" xfId="0" applyFont="1" applyFill="1" applyBorder="1" applyAlignment="1">
      <alignment horizontal="center" vertical="center" wrapText="1"/>
    </xf>
    <xf numFmtId="9" fontId="19" fillId="0" borderId="31" xfId="1" applyFont="1" applyBorder="1" applyAlignment="1">
      <alignment horizontal="center"/>
    </xf>
    <xf numFmtId="9" fontId="19" fillId="0" borderId="33" xfId="1" applyFont="1" applyBorder="1" applyAlignment="1">
      <alignment horizontal="center"/>
    </xf>
    <xf numFmtId="9" fontId="19" fillId="0" borderId="37" xfId="1" applyFont="1" applyBorder="1" applyAlignment="1">
      <alignment horizontal="center"/>
    </xf>
    <xf numFmtId="0" fontId="0" fillId="46" borderId="0" xfId="0" applyFill="1"/>
    <xf numFmtId="0" fontId="0" fillId="47" borderId="0" xfId="0" applyFill="1"/>
    <xf numFmtId="0" fontId="0" fillId="48" borderId="0" xfId="0" applyFill="1"/>
    <xf numFmtId="0" fontId="0" fillId="38" borderId="0" xfId="0" applyFill="1"/>
    <xf numFmtId="0" fontId="0" fillId="49" borderId="0" xfId="0" applyFill="1"/>
    <xf numFmtId="0" fontId="0" fillId="0" borderId="78" xfId="0" applyBorder="1"/>
    <xf numFmtId="0" fontId="0" fillId="0" borderId="79" xfId="0" applyBorder="1"/>
    <xf numFmtId="0" fontId="0" fillId="0" borderId="80" xfId="0" applyBorder="1"/>
    <xf numFmtId="0" fontId="17" fillId="47" borderId="0" xfId="0" applyFont="1" applyFill="1"/>
    <xf numFmtId="0" fontId="0" fillId="35" borderId="0" xfId="0" applyFill="1"/>
    <xf numFmtId="0" fontId="0" fillId="50" borderId="0" xfId="0" applyFill="1"/>
    <xf numFmtId="0" fontId="16" fillId="48" borderId="0" xfId="0" applyFont="1" applyFill="1"/>
    <xf numFmtId="0" fontId="0" fillId="52" borderId="0" xfId="0" applyFill="1"/>
    <xf numFmtId="0" fontId="0" fillId="37" borderId="0" xfId="0" applyFill="1"/>
    <xf numFmtId="0" fontId="0" fillId="53" borderId="0" xfId="0" applyFill="1"/>
    <xf numFmtId="0" fontId="0" fillId="54" borderId="0" xfId="0" applyFill="1"/>
    <xf numFmtId="0" fontId="17" fillId="53" borderId="0" xfId="0" applyFont="1" applyFill="1"/>
    <xf numFmtId="0" fontId="13" fillId="54" borderId="0" xfId="0" applyFont="1" applyFill="1"/>
    <xf numFmtId="0" fontId="17" fillId="36" borderId="0" xfId="0" applyFont="1" applyFill="1"/>
    <xf numFmtId="0" fontId="13" fillId="36" borderId="0" xfId="0" applyFont="1" applyFill="1"/>
    <xf numFmtId="0" fontId="16" fillId="52" borderId="0" xfId="0" applyFont="1" applyFill="1"/>
    <xf numFmtId="0" fontId="13" fillId="47" borderId="0" xfId="0" applyFont="1" applyFill="1"/>
    <xf numFmtId="0" fontId="17" fillId="38" borderId="0" xfId="0" applyFont="1" applyFill="1"/>
    <xf numFmtId="0" fontId="13" fillId="38" borderId="0" xfId="0" applyFont="1" applyFill="1"/>
    <xf numFmtId="0" fontId="13" fillId="48" borderId="82" xfId="0" applyFont="1" applyFill="1" applyBorder="1" applyAlignment="1">
      <alignment horizontal="centerContinuous"/>
    </xf>
    <xf numFmtId="0" fontId="16" fillId="48" borderId="82" xfId="0" applyFont="1" applyFill="1" applyBorder="1"/>
    <xf numFmtId="0" fontId="16" fillId="48" borderId="83" xfId="0" applyFont="1" applyFill="1" applyBorder="1"/>
    <xf numFmtId="0" fontId="0" fillId="0" borderId="84" xfId="0" applyBorder="1"/>
    <xf numFmtId="0" fontId="0" fillId="0" borderId="85" xfId="0" applyBorder="1"/>
    <xf numFmtId="0" fontId="0" fillId="0" borderId="86" xfId="0" applyBorder="1"/>
    <xf numFmtId="0" fontId="13" fillId="47" borderId="75" xfId="0" applyFont="1" applyFill="1" applyBorder="1" applyAlignment="1">
      <alignment horizontal="left"/>
    </xf>
    <xf numFmtId="0" fontId="13" fillId="47" borderId="76" xfId="0" applyFont="1" applyFill="1" applyBorder="1" applyAlignment="1">
      <alignment horizontal="left"/>
    </xf>
    <xf numFmtId="0" fontId="16" fillId="47" borderId="76" xfId="0" applyFont="1" applyFill="1" applyBorder="1" applyAlignment="1">
      <alignment horizontal="left"/>
    </xf>
    <xf numFmtId="0" fontId="16" fillId="47" borderId="77" xfId="0" applyFont="1" applyFill="1" applyBorder="1" applyAlignment="1">
      <alignment horizontal="left"/>
    </xf>
    <xf numFmtId="0" fontId="13" fillId="48" borderId="81" xfId="0" applyFont="1" applyFill="1" applyBorder="1" applyAlignment="1">
      <alignment horizontal="left"/>
    </xf>
    <xf numFmtId="9" fontId="17" fillId="47" borderId="0" xfId="1" applyFont="1" applyFill="1"/>
    <xf numFmtId="0" fontId="0" fillId="0" borderId="76" xfId="0" applyBorder="1"/>
    <xf numFmtId="9" fontId="0" fillId="35" borderId="0" xfId="1" applyFont="1" applyFill="1"/>
    <xf numFmtId="9" fontId="0" fillId="50" borderId="0" xfId="1" applyFont="1" applyFill="1"/>
    <xf numFmtId="9" fontId="0" fillId="48" borderId="0" xfId="1" applyFont="1" applyFill="1"/>
    <xf numFmtId="9" fontId="0" fillId="52" borderId="0" xfId="1" applyFont="1" applyFill="1"/>
    <xf numFmtId="9" fontId="0" fillId="37" borderId="0" xfId="1" applyFont="1" applyFill="1"/>
    <xf numFmtId="9" fontId="0" fillId="53" borderId="0" xfId="1" applyFont="1" applyFill="1"/>
    <xf numFmtId="9" fontId="17" fillId="36" borderId="0" xfId="1" applyFont="1" applyFill="1"/>
    <xf numFmtId="9" fontId="17" fillId="38" borderId="0" xfId="1" applyFont="1" applyFill="1"/>
    <xf numFmtId="0" fontId="13" fillId="51" borderId="87" xfId="0" applyFont="1" applyFill="1" applyBorder="1" applyAlignment="1">
      <alignment horizontal="left"/>
    </xf>
    <xf numFmtId="0" fontId="13" fillId="51" borderId="88" xfId="0" applyFont="1" applyFill="1" applyBorder="1" applyAlignment="1">
      <alignment horizontal="centerContinuous"/>
    </xf>
    <xf numFmtId="0" fontId="16" fillId="51" borderId="88" xfId="0" applyFont="1" applyFill="1" applyBorder="1"/>
    <xf numFmtId="0" fontId="16" fillId="51" borderId="89" xfId="0" applyFont="1" applyFill="1" applyBorder="1"/>
    <xf numFmtId="0" fontId="0" fillId="0" borderId="90" xfId="0" applyBorder="1"/>
    <xf numFmtId="0" fontId="0" fillId="0" borderId="91" xfId="0" applyBorder="1"/>
    <xf numFmtId="0" fontId="0" fillId="0" borderId="92" xfId="0" applyBorder="1"/>
    <xf numFmtId="0" fontId="13" fillId="55" borderId="93" xfId="0" applyFont="1" applyFill="1" applyBorder="1" applyAlignment="1">
      <alignment horizontal="left"/>
    </xf>
    <xf numFmtId="0" fontId="13" fillId="55" borderId="94" xfId="0" applyFont="1" applyFill="1" applyBorder="1" applyAlignment="1">
      <alignment horizontal="centerContinuous"/>
    </xf>
    <xf numFmtId="0" fontId="16" fillId="55" borderId="94" xfId="0" applyFont="1" applyFill="1" applyBorder="1"/>
    <xf numFmtId="0" fontId="16" fillId="55" borderId="95" xfId="0" applyFont="1" applyFill="1" applyBorder="1"/>
    <xf numFmtId="0" fontId="0" fillId="0" borderId="96" xfId="0" applyBorder="1"/>
    <xf numFmtId="0" fontId="0" fillId="0" borderId="97" xfId="0" applyBorder="1"/>
    <xf numFmtId="0" fontId="0" fillId="0" borderId="98" xfId="0" applyBorder="1"/>
    <xf numFmtId="0" fontId="13" fillId="37" borderId="99" xfId="0" applyFont="1" applyFill="1" applyBorder="1" applyAlignment="1">
      <alignment horizontal="left"/>
    </xf>
    <xf numFmtId="0" fontId="13" fillId="37" borderId="100" xfId="0" applyFont="1" applyFill="1" applyBorder="1" applyAlignment="1">
      <alignment horizontal="centerContinuous"/>
    </xf>
    <xf numFmtId="0" fontId="16" fillId="37" borderId="100" xfId="0" applyFont="1" applyFill="1" applyBorder="1"/>
    <xf numFmtId="0" fontId="16" fillId="37" borderId="101" xfId="0" applyFont="1" applyFill="1" applyBorder="1"/>
    <xf numFmtId="0" fontId="0" fillId="0" borderId="102" xfId="0" applyBorder="1"/>
    <xf numFmtId="0" fontId="0" fillId="0" borderId="103" xfId="0" applyBorder="1"/>
    <xf numFmtId="0" fontId="0" fillId="0" borderId="104" xfId="0" applyBorder="1"/>
    <xf numFmtId="0" fontId="13" fillId="36" borderId="105" xfId="0" applyFont="1" applyFill="1" applyBorder="1" applyAlignment="1">
      <alignment horizontal="left"/>
    </xf>
    <xf numFmtId="0" fontId="13" fillId="36" borderId="106" xfId="0" applyFont="1" applyFill="1" applyBorder="1" applyAlignment="1">
      <alignment horizontal="centerContinuous"/>
    </xf>
    <xf numFmtId="0" fontId="16" fillId="36" borderId="106" xfId="0" applyFont="1" applyFill="1" applyBorder="1"/>
    <xf numFmtId="0" fontId="16" fillId="36" borderId="107" xfId="0" applyFont="1" applyFill="1" applyBorder="1"/>
    <xf numFmtId="0" fontId="0" fillId="0" borderId="108" xfId="0" applyBorder="1"/>
    <xf numFmtId="0" fontId="0" fillId="0" borderId="109" xfId="0" applyBorder="1"/>
    <xf numFmtId="0" fontId="0" fillId="0" borderId="110" xfId="0" applyBorder="1"/>
    <xf numFmtId="0" fontId="13" fillId="38" borderId="111" xfId="0" applyFont="1" applyFill="1" applyBorder="1" applyAlignment="1">
      <alignment horizontal="left"/>
    </xf>
    <xf numFmtId="0" fontId="13" fillId="38" borderId="112" xfId="0" applyFont="1" applyFill="1" applyBorder="1" applyAlignment="1">
      <alignment horizontal="centerContinuous"/>
    </xf>
    <xf numFmtId="0" fontId="16" fillId="38" borderId="112" xfId="0" applyFont="1" applyFill="1" applyBorder="1"/>
    <xf numFmtId="0" fontId="16" fillId="38" borderId="113" xfId="0" applyFont="1" applyFill="1" applyBorder="1"/>
    <xf numFmtId="0" fontId="0" fillId="0" borderId="114" xfId="0" applyBorder="1"/>
    <xf numFmtId="0" fontId="0" fillId="0" borderId="115" xfId="0" applyBorder="1"/>
    <xf numFmtId="0" fontId="0" fillId="0" borderId="116" xfId="0" applyBorder="1"/>
    <xf numFmtId="0" fontId="0" fillId="47" borderId="76" xfId="0" applyFill="1" applyBorder="1"/>
    <xf numFmtId="0" fontId="13" fillId="50" borderId="117" xfId="0" applyFont="1" applyFill="1" applyBorder="1" applyAlignment="1">
      <alignment horizontal="left"/>
    </xf>
    <xf numFmtId="0" fontId="13" fillId="50" borderId="118" xfId="0" applyFont="1" applyFill="1" applyBorder="1" applyAlignment="1">
      <alignment horizontal="centerContinuous"/>
    </xf>
    <xf numFmtId="0" fontId="16" fillId="50" borderId="118" xfId="0" applyFont="1" applyFill="1" applyBorder="1"/>
    <xf numFmtId="0" fontId="16" fillId="50" borderId="119" xfId="0" applyFont="1" applyFill="1" applyBorder="1"/>
    <xf numFmtId="0" fontId="0" fillId="0" borderId="120" xfId="0" applyBorder="1"/>
    <xf numFmtId="0" fontId="0" fillId="0" borderId="121" xfId="0" applyBorder="1"/>
    <xf numFmtId="0" fontId="0" fillId="0" borderId="122" xfId="0" applyBorder="1"/>
    <xf numFmtId="0" fontId="0" fillId="38" borderId="112" xfId="0" applyFill="1" applyBorder="1"/>
    <xf numFmtId="0" fontId="0" fillId="36" borderId="106" xfId="0" applyFill="1" applyBorder="1"/>
    <xf numFmtId="0" fontId="13" fillId="53" borderId="123" xfId="0" applyFont="1" applyFill="1" applyBorder="1" applyAlignment="1">
      <alignment horizontal="left"/>
    </xf>
    <xf numFmtId="0" fontId="0" fillId="53" borderId="124" xfId="0" applyFill="1" applyBorder="1"/>
    <xf numFmtId="0" fontId="13" fillId="53" borderId="124" xfId="0" applyFont="1" applyFill="1" applyBorder="1" applyAlignment="1">
      <alignment horizontal="centerContinuous"/>
    </xf>
    <xf numFmtId="0" fontId="16" fillId="53" borderId="124" xfId="0" applyFont="1" applyFill="1" applyBorder="1"/>
    <xf numFmtId="0" fontId="16" fillId="53" borderId="125" xfId="0" applyFont="1" applyFill="1" applyBorder="1"/>
    <xf numFmtId="0" fontId="0" fillId="0" borderId="126" xfId="0" applyBorder="1"/>
    <xf numFmtId="0" fontId="0" fillId="0" borderId="127" xfId="0" applyBorder="1"/>
    <xf numFmtId="0" fontId="0" fillId="0" borderId="128" xfId="0" applyBorder="1"/>
    <xf numFmtId="0" fontId="0" fillId="37" borderId="100" xfId="0" applyFill="1" applyBorder="1"/>
    <xf numFmtId="0" fontId="0" fillId="52" borderId="94" xfId="0" applyFill="1" applyBorder="1"/>
    <xf numFmtId="0" fontId="0" fillId="51" borderId="88" xfId="0" applyFill="1" applyBorder="1"/>
    <xf numFmtId="0" fontId="0" fillId="48" borderId="82" xfId="0" applyFill="1" applyBorder="1"/>
    <xf numFmtId="0" fontId="0" fillId="50" borderId="118" xfId="0" applyFill="1" applyBorder="1"/>
    <xf numFmtId="0" fontId="17" fillId="39" borderId="0" xfId="0" applyFont="1" applyFill="1"/>
    <xf numFmtId="0" fontId="13" fillId="39" borderId="0" xfId="0" applyFont="1" applyFill="1"/>
    <xf numFmtId="0" fontId="13" fillId="39" borderId="0" xfId="0" applyFont="1" applyFill="1" applyAlignment="1">
      <alignment horizontal="centerContinuous" wrapText="1"/>
    </xf>
    <xf numFmtId="0" fontId="23" fillId="39" borderId="0" xfId="0" applyFont="1" applyFill="1" applyAlignment="1">
      <alignment horizontal="centerContinuous" wrapText="1"/>
    </xf>
    <xf numFmtId="0" fontId="17" fillId="39" borderId="0" xfId="0" applyFont="1" applyFill="1" applyAlignment="1">
      <alignment horizontal="centerContinuous"/>
    </xf>
    <xf numFmtId="0" fontId="25" fillId="39" borderId="0" xfId="0" applyFont="1" applyFill="1" applyAlignment="1">
      <alignment horizontal="left"/>
    </xf>
    <xf numFmtId="0" fontId="0" fillId="0" borderId="129" xfId="0" applyBorder="1"/>
    <xf numFmtId="0" fontId="0" fillId="0" borderId="0" xfId="0" applyAlignment="1">
      <alignment horizontal="center" vertical="center"/>
    </xf>
    <xf numFmtId="0" fontId="27" fillId="0" borderId="0" xfId="0" applyFont="1"/>
    <xf numFmtId="0" fontId="24" fillId="56" borderId="0" xfId="0" applyFont="1" applyFill="1" applyAlignment="1">
      <alignment horizontal="center" vertical="center"/>
    </xf>
    <xf numFmtId="0" fontId="28" fillId="56" borderId="0" xfId="0" applyFont="1" applyFill="1" applyAlignment="1">
      <alignment horizontal="center"/>
    </xf>
    <xf numFmtId="0" fontId="27" fillId="56" borderId="0" xfId="0" applyFont="1" applyFill="1" applyAlignment="1">
      <alignment horizontal="center" vertical="center"/>
    </xf>
    <xf numFmtId="0" fontId="24" fillId="56" borderId="0" xfId="0" applyFont="1" applyFill="1" applyAlignment="1">
      <alignment horizontal="centerContinuous" vertical="center"/>
    </xf>
    <xf numFmtId="0" fontId="0" fillId="56" borderId="0" xfId="0" applyFill="1" applyAlignment="1">
      <alignment horizontal="centerContinuous" vertical="center"/>
    </xf>
    <xf numFmtId="0" fontId="0" fillId="56" borderId="0" xfId="0" applyFill="1"/>
    <xf numFmtId="0" fontId="17" fillId="57" borderId="0" xfId="0" applyFont="1" applyFill="1"/>
    <xf numFmtId="0" fontId="22" fillId="57" borderId="0" xfId="0" applyFont="1" applyFill="1" applyAlignment="1">
      <alignment horizontal="centerContinuous" vertical="center"/>
    </xf>
    <xf numFmtId="0" fontId="17" fillId="57" borderId="0" xfId="0" applyFont="1" applyFill="1" applyAlignment="1">
      <alignment horizontal="centerContinuous" vertical="center"/>
    </xf>
    <xf numFmtId="0" fontId="17" fillId="58" borderId="0" xfId="0" applyFont="1" applyFill="1" applyAlignment="1">
      <alignment horizontal="centerContinuous"/>
    </xf>
    <xf numFmtId="2" fontId="20" fillId="0" borderId="0" xfId="0" applyNumberFormat="1" applyFont="1"/>
    <xf numFmtId="0" fontId="30" fillId="39" borderId="0" xfId="0" applyFont="1" applyFill="1" applyAlignment="1">
      <alignment horizontal="centerContinuous" vertical="center"/>
    </xf>
    <xf numFmtId="0" fontId="13" fillId="39" borderId="0" xfId="0" applyFont="1" applyFill="1" applyAlignment="1">
      <alignment vertical="center"/>
    </xf>
    <xf numFmtId="0" fontId="22" fillId="39" borderId="0" xfId="0" applyFont="1" applyFill="1" applyAlignment="1">
      <alignment horizontal="left" vertical="center" indent="2"/>
    </xf>
    <xf numFmtId="0" fontId="29" fillId="39" borderId="0" xfId="0" applyFont="1" applyFill="1" applyAlignment="1">
      <alignment horizontal="centerContinuous" vertical="center"/>
    </xf>
    <xf numFmtId="164" fontId="28" fillId="56" borderId="0" xfId="0" applyNumberFormat="1" applyFont="1" applyFill="1" applyAlignment="1">
      <alignment horizontal="center"/>
    </xf>
    <xf numFmtId="0" fontId="13" fillId="39" borderId="0" xfId="0" applyFont="1" applyFill="1" applyAlignment="1">
      <alignment horizontal="right"/>
    </xf>
    <xf numFmtId="0" fontId="31" fillId="0" borderId="0" xfId="0" applyFont="1" applyAlignment="1">
      <alignment horizontal="right" vertical="center"/>
    </xf>
    <xf numFmtId="0" fontId="19" fillId="0" borderId="0" xfId="0" applyFont="1" applyAlignment="1">
      <alignment horizontal="left" indent="1"/>
    </xf>
    <xf numFmtId="0" fontId="32" fillId="39" borderId="0" xfId="0" applyFont="1" applyFill="1" applyAlignment="1">
      <alignment horizontal="center" vertical="center"/>
    </xf>
    <xf numFmtId="0" fontId="33" fillId="57" borderId="0" xfId="0" applyFont="1" applyFill="1" applyAlignment="1">
      <alignment horizontal="centerContinuous" vertical="center"/>
    </xf>
    <xf numFmtId="0" fontId="34" fillId="57" borderId="0" xfId="0" applyFont="1" applyFill="1" applyAlignment="1">
      <alignment horizontal="centerContinuous" vertical="center"/>
    </xf>
    <xf numFmtId="0" fontId="23" fillId="34" borderId="56" xfId="0" applyFont="1" applyFill="1" applyBorder="1" applyAlignment="1">
      <alignment horizontal="center" vertical="center"/>
    </xf>
    <xf numFmtId="0" fontId="19" fillId="33" borderId="10" xfId="0" applyFont="1" applyFill="1" applyBorder="1"/>
    <xf numFmtId="0" fontId="19" fillId="0" borderId="10" xfId="0" applyFont="1" applyBorder="1"/>
    <xf numFmtId="0" fontId="19" fillId="0" borderId="60" xfId="0" applyFont="1" applyBorder="1"/>
    <xf numFmtId="0" fontId="19" fillId="47" borderId="17" xfId="0" applyFont="1" applyFill="1" applyBorder="1" applyAlignment="1">
      <alignment horizontal="center" vertical="center" textRotation="90"/>
    </xf>
    <xf numFmtId="0" fontId="19" fillId="47" borderId="18" xfId="0" applyFont="1" applyFill="1" applyBorder="1" applyAlignment="1">
      <alignment horizontal="center" vertical="center" textRotation="90"/>
    </xf>
    <xf numFmtId="0" fontId="19" fillId="47" borderId="19" xfId="0" applyFont="1" applyFill="1" applyBorder="1" applyAlignment="1">
      <alignment horizontal="center" vertical="center" textRotation="90"/>
    </xf>
    <xf numFmtId="0" fontId="21" fillId="50" borderId="17" xfId="0" applyFont="1" applyFill="1" applyBorder="1" applyAlignment="1">
      <alignment horizontal="center" vertical="center" textRotation="90"/>
    </xf>
    <xf numFmtId="0" fontId="21" fillId="50" borderId="18" xfId="0" applyFont="1" applyFill="1" applyBorder="1" applyAlignment="1">
      <alignment horizontal="center" vertical="center" textRotation="90"/>
    </xf>
    <xf numFmtId="0" fontId="21" fillId="48" borderId="18" xfId="0" applyFont="1" applyFill="1" applyBorder="1" applyAlignment="1">
      <alignment horizontal="center" vertical="center" textRotation="90"/>
    </xf>
    <xf numFmtId="0" fontId="19" fillId="51" borderId="19" xfId="0" applyFont="1" applyFill="1" applyBorder="1" applyAlignment="1">
      <alignment horizontal="center" vertical="center" textRotation="90"/>
    </xf>
    <xf numFmtId="0" fontId="19" fillId="46" borderId="17" xfId="0" applyFont="1" applyFill="1" applyBorder="1" applyAlignment="1">
      <alignment horizontal="center" vertical="center" textRotation="90" wrapText="1"/>
    </xf>
    <xf numFmtId="0" fontId="19" fillId="46" borderId="18" xfId="0" applyFont="1" applyFill="1" applyBorder="1" applyAlignment="1">
      <alignment horizontal="center" vertical="center" textRotation="90" wrapText="1"/>
    </xf>
    <xf numFmtId="0" fontId="19" fillId="46" borderId="19" xfId="0" applyFont="1" applyFill="1" applyBorder="1" applyAlignment="1">
      <alignment horizontal="center" vertical="center" textRotation="90" wrapText="1"/>
    </xf>
    <xf numFmtId="0" fontId="19" fillId="42" borderId="17" xfId="0" applyFont="1" applyFill="1" applyBorder="1" applyAlignment="1">
      <alignment horizontal="center" vertical="center" textRotation="90"/>
    </xf>
    <xf numFmtId="0" fontId="19" fillId="42" borderId="18" xfId="0" applyFont="1" applyFill="1" applyBorder="1" applyAlignment="1">
      <alignment horizontal="center" vertical="center" textRotation="90"/>
    </xf>
    <xf numFmtId="0" fontId="19" fillId="41" borderId="18" xfId="0" applyFont="1" applyFill="1" applyBorder="1" applyAlignment="1">
      <alignment horizontal="center" vertical="center" textRotation="90"/>
    </xf>
    <xf numFmtId="0" fontId="19" fillId="41" borderId="19" xfId="0" applyFont="1" applyFill="1" applyBorder="1" applyAlignment="1">
      <alignment horizontal="center" vertical="center" textRotation="90" wrapText="1"/>
    </xf>
    <xf numFmtId="0" fontId="19" fillId="44" borderId="25" xfId="0" applyFont="1" applyFill="1" applyBorder="1" applyAlignment="1">
      <alignment horizontal="center" vertical="center" textRotation="90"/>
    </xf>
    <xf numFmtId="0" fontId="19" fillId="43" borderId="17" xfId="0" applyFont="1" applyFill="1" applyBorder="1" applyAlignment="1">
      <alignment horizontal="center" vertical="center" textRotation="90"/>
    </xf>
    <xf numFmtId="0" fontId="19" fillId="0" borderId="59" xfId="0" applyFont="1" applyBorder="1" applyAlignment="1">
      <alignment horizontal="center"/>
    </xf>
    <xf numFmtId="0" fontId="26" fillId="0" borderId="130" xfId="0" applyFont="1" applyBorder="1" applyAlignment="1">
      <alignment horizontal="center" vertical="center" textRotation="90" wrapText="1"/>
    </xf>
    <xf numFmtId="0" fontId="26" fillId="0" borderId="131" xfId="0" applyFont="1" applyBorder="1" applyAlignment="1">
      <alignment horizontal="center" vertical="center" textRotation="90" wrapText="1"/>
    </xf>
    <xf numFmtId="0" fontId="26" fillId="0" borderId="132" xfId="0" applyFont="1" applyBorder="1" applyAlignment="1">
      <alignment horizontal="center" vertical="center" textRotation="90" wrapText="1"/>
    </xf>
    <xf numFmtId="164" fontId="19" fillId="0" borderId="133" xfId="0" applyNumberFormat="1" applyFont="1" applyBorder="1"/>
    <xf numFmtId="164" fontId="19" fillId="0" borderId="0" xfId="0" applyNumberFormat="1" applyFont="1"/>
    <xf numFmtId="164" fontId="19" fillId="0" borderId="134" xfId="0" applyNumberFormat="1" applyFont="1" applyBorder="1"/>
    <xf numFmtId="164" fontId="19" fillId="0" borderId="135" xfId="0" applyNumberFormat="1" applyFont="1" applyBorder="1"/>
    <xf numFmtId="164" fontId="19" fillId="0" borderId="136" xfId="0" applyNumberFormat="1" applyFont="1" applyBorder="1"/>
    <xf numFmtId="164" fontId="19" fillId="0" borderId="137" xfId="0" applyNumberFormat="1" applyFont="1" applyBorder="1"/>
    <xf numFmtId="0" fontId="19" fillId="43" borderId="138" xfId="0" applyFont="1" applyFill="1" applyBorder="1" applyAlignment="1">
      <alignment horizontal="center" vertical="center" textRotation="90"/>
    </xf>
    <xf numFmtId="0" fontId="19" fillId="0" borderId="139" xfId="0" applyFont="1" applyBorder="1"/>
    <xf numFmtId="0" fontId="26" fillId="0" borderId="140" xfId="0" applyFont="1" applyBorder="1" applyAlignment="1">
      <alignment horizontal="center" vertical="center" textRotation="90" wrapText="1"/>
    </xf>
    <xf numFmtId="0" fontId="26" fillId="0" borderId="141" xfId="0" applyFont="1" applyBorder="1" applyAlignment="1">
      <alignment horizontal="center" vertical="center" textRotation="90" wrapText="1"/>
    </xf>
    <xf numFmtId="0" fontId="26" fillId="0" borderId="142" xfId="0" applyFont="1" applyBorder="1" applyAlignment="1">
      <alignment horizontal="center" vertical="center" textRotation="90" wrapText="1"/>
    </xf>
    <xf numFmtId="164" fontId="19" fillId="0" borderId="143" xfId="0" applyNumberFormat="1" applyFont="1" applyBorder="1"/>
    <xf numFmtId="164" fontId="19" fillId="0" borderId="144" xfId="0" applyNumberFormat="1" applyFont="1" applyBorder="1"/>
    <xf numFmtId="164" fontId="19" fillId="0" borderId="145" xfId="0" applyNumberFormat="1" applyFont="1" applyBorder="1"/>
    <xf numFmtId="164" fontId="19" fillId="0" borderId="146" xfId="0" applyNumberFormat="1" applyFont="1" applyBorder="1"/>
    <xf numFmtId="164" fontId="19" fillId="0" borderId="147" xfId="0" applyNumberFormat="1" applyFont="1" applyBorder="1"/>
    <xf numFmtId="0" fontId="19" fillId="43" borderId="148" xfId="0" applyFont="1" applyFill="1" applyBorder="1" applyAlignment="1">
      <alignment horizontal="center" vertical="center"/>
    </xf>
    <xf numFmtId="164" fontId="19" fillId="0" borderId="149" xfId="0" applyNumberFormat="1" applyFont="1" applyBorder="1"/>
    <xf numFmtId="164" fontId="19" fillId="0" borderId="150" xfId="0" applyNumberFormat="1" applyFont="1" applyBorder="1"/>
    <xf numFmtId="0" fontId="21" fillId="45" borderId="132" xfId="0" applyFont="1" applyFill="1" applyBorder="1" applyAlignment="1">
      <alignment horizontal="center" vertical="center" wrapText="1"/>
    </xf>
    <xf numFmtId="0" fontId="19" fillId="0" borderId="151" xfId="0" applyFont="1" applyBorder="1" applyAlignment="1">
      <alignment horizontal="center"/>
    </xf>
    <xf numFmtId="0" fontId="19" fillId="0" borderId="152" xfId="0" applyFont="1" applyBorder="1" applyAlignment="1">
      <alignment horizontal="center"/>
    </xf>
    <xf numFmtId="0" fontId="19" fillId="0" borderId="153" xfId="0" applyFont="1" applyBorder="1" applyAlignment="1">
      <alignment horizontal="center"/>
    </xf>
    <xf numFmtId="0" fontId="19" fillId="0" borderId="38" xfId="0" applyFont="1" applyBorder="1" applyAlignment="1">
      <alignment horizontal="center"/>
    </xf>
    <xf numFmtId="0" fontId="19" fillId="0" borderId="39" xfId="0" applyFont="1" applyBorder="1" applyAlignment="1">
      <alignment horizontal="center"/>
    </xf>
    <xf numFmtId="0" fontId="19" fillId="0" borderId="154" xfId="0" applyFont="1" applyBorder="1" applyAlignment="1">
      <alignment horizontal="center"/>
    </xf>
    <xf numFmtId="0" fontId="19" fillId="0" borderId="66" xfId="0" applyFont="1" applyBorder="1" applyAlignment="1">
      <alignment horizontal="center"/>
    </xf>
    <xf numFmtId="0" fontId="19" fillId="0" borderId="155" xfId="0" applyFont="1" applyBorder="1" applyAlignment="1">
      <alignment horizontal="center"/>
    </xf>
    <xf numFmtId="0" fontId="21" fillId="40" borderId="156" xfId="0" applyFont="1" applyFill="1" applyBorder="1" applyAlignment="1">
      <alignment horizontal="center" vertical="center" wrapText="1"/>
    </xf>
    <xf numFmtId="0" fontId="21" fillId="40" borderId="157" xfId="0" applyFont="1" applyFill="1" applyBorder="1" applyAlignment="1">
      <alignment horizontal="center" vertical="center" wrapText="1"/>
    </xf>
    <xf numFmtId="0" fontId="21" fillId="40" borderId="158" xfId="0" applyFont="1" applyFill="1" applyBorder="1" applyAlignment="1">
      <alignment horizontal="center" vertical="center" wrapText="1"/>
    </xf>
    <xf numFmtId="0" fontId="19" fillId="0" borderId="159" xfId="0" applyFont="1" applyBorder="1" applyAlignment="1">
      <alignment horizontal="center"/>
    </xf>
    <xf numFmtId="0" fontId="19" fillId="0" borderId="160" xfId="0" applyFont="1" applyBorder="1" applyAlignment="1">
      <alignment horizontal="center"/>
    </xf>
    <xf numFmtId="0" fontId="19" fillId="0" borderId="161" xfId="0" applyFont="1" applyBorder="1" applyAlignment="1">
      <alignment horizontal="center"/>
    </xf>
    <xf numFmtId="0" fontId="19" fillId="0" borderId="162" xfId="0" applyFont="1" applyBorder="1" applyAlignment="1">
      <alignment horizontal="center"/>
    </xf>
    <xf numFmtId="0" fontId="19" fillId="0" borderId="163" xfId="0" applyFont="1" applyBorder="1" applyAlignment="1">
      <alignment horizontal="center"/>
    </xf>
    <xf numFmtId="0" fontId="19" fillId="0" borderId="164" xfId="0" applyFont="1" applyBorder="1" applyAlignment="1">
      <alignment horizontal="center"/>
    </xf>
    <xf numFmtId="0" fontId="19" fillId="0" borderId="165" xfId="0" applyFont="1" applyBorder="1" applyAlignment="1">
      <alignment horizontal="center"/>
    </xf>
    <xf numFmtId="0" fontId="0" fillId="0" borderId="0" xfId="0" applyAlignment="1">
      <alignment horizontal="left" vertical="top" wrapText="1"/>
    </xf>
    <xf numFmtId="0" fontId="19" fillId="0" borderId="0" xfId="0" applyFont="1" applyAlignment="1">
      <alignment horizontal="right"/>
    </xf>
    <xf numFmtId="0" fontId="17" fillId="47" borderId="0" xfId="0" applyFont="1" applyFill="1" applyAlignment="1">
      <alignment horizontal="center"/>
    </xf>
    <xf numFmtId="0" fontId="0" fillId="35" borderId="0" xfId="0" applyFill="1" applyAlignment="1">
      <alignment horizontal="center"/>
    </xf>
    <xf numFmtId="0" fontId="17" fillId="47" borderId="0" xfId="0" applyFont="1" applyFill="1" applyAlignment="1">
      <alignment horizontal="left" indent="2"/>
    </xf>
    <xf numFmtId="0" fontId="0" fillId="35" borderId="0" xfId="0" applyFill="1" applyAlignment="1">
      <alignment horizontal="left" indent="2"/>
    </xf>
    <xf numFmtId="0" fontId="19" fillId="0" borderId="0" xfId="0" applyFont="1" applyAlignment="1">
      <alignment horizontal="right" wrapText="1"/>
    </xf>
    <xf numFmtId="0" fontId="0" fillId="0" borderId="0" xfId="0" quotePrefix="1"/>
    <xf numFmtId="0" fontId="13" fillId="47" borderId="0" xfId="0" applyFont="1" applyFill="1" applyAlignment="1">
      <alignment horizontal="center"/>
    </xf>
    <xf numFmtId="0" fontId="0" fillId="48" borderId="0" xfId="0" applyFill="1" applyAlignment="1">
      <alignment horizontal="center"/>
    </xf>
    <xf numFmtId="0" fontId="0" fillId="0" borderId="0" xfId="0" applyAlignment="1">
      <alignment horizontal="center"/>
    </xf>
  </cellXfs>
  <cellStyles count="43">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Entrée" xfId="10" builtinId="20" customBuiltin="1"/>
    <cellStyle name="Insatisfaisant" xfId="8" builtinId="27" customBuiltin="1"/>
    <cellStyle name="Neutre" xfId="9" builtinId="28" customBuiltin="1"/>
    <cellStyle name="Normal" xfId="0" builtinId="0"/>
    <cellStyle name="Note" xfId="16" builtinId="10" customBuiltin="1"/>
    <cellStyle name="Pourcentage" xfId="1" builtinId="5"/>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73">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val="0"/>
        <i val="0"/>
        <strike val="0"/>
        <condense val="0"/>
        <extend val="0"/>
        <outline val="0"/>
        <shadow val="0"/>
        <u val="none"/>
        <vertAlign val="baseline"/>
        <sz val="8"/>
        <color theme="1"/>
        <name val="Calibri"/>
        <family val="2"/>
        <scheme val="minor"/>
      </font>
      <numFmt numFmtId="0" formatCode="General"/>
      <fill>
        <patternFill patternType="none">
          <fgColor indexed="64"/>
          <bgColor auto="1"/>
        </patternFill>
      </fill>
      <border diagonalUp="0" diagonalDown="0">
        <left/>
        <right/>
        <top style="thin">
          <color theme="4" tint="0.39997558519241921"/>
        </top>
        <bottom style="thin">
          <color theme="4" tint="0.39997558519241921"/>
        </bottom>
      </border>
    </dxf>
    <dxf>
      <font>
        <b val="0"/>
        <i val="0"/>
        <strike val="0"/>
        <condense val="0"/>
        <extend val="0"/>
        <outline val="0"/>
        <shadow val="0"/>
        <u val="none"/>
        <vertAlign val="baseline"/>
        <sz val="8"/>
        <color theme="1"/>
        <name val="Calibri"/>
        <family val="2"/>
        <scheme val="minor"/>
      </font>
      <border diagonalUp="0" diagonalDown="0" outline="0">
        <left/>
        <right/>
        <top style="thin">
          <color theme="4" tint="0.39997558519241921"/>
        </top>
        <bottom style="thin">
          <color theme="4" tint="0.39997558519241921"/>
        </bottom>
      </border>
    </dxf>
    <dxf>
      <border outline="0">
        <left style="medium">
          <color theme="3" tint="0.39991454817346722"/>
        </left>
      </border>
    </dxf>
    <dxf>
      <font>
        <b/>
        <strike val="0"/>
        <outline val="0"/>
        <shadow val="0"/>
        <u val="none"/>
        <vertAlign val="baseline"/>
        <sz val="8"/>
        <color theme="1"/>
        <name val="Calibri"/>
        <family val="2"/>
        <scheme val="minor"/>
      </font>
      <numFmt numFmtId="2" formatCode="0.00"/>
    </dxf>
    <dxf>
      <font>
        <strike val="0"/>
        <outline val="0"/>
        <shadow val="0"/>
        <u val="none"/>
        <vertAlign val="baseline"/>
        <sz val="8"/>
        <color theme="1"/>
        <name val="Calibri"/>
        <family val="2"/>
        <scheme val="minor"/>
      </font>
      <numFmt numFmtId="2" formatCode="0.00"/>
    </dxf>
    <dxf>
      <font>
        <strike val="0"/>
        <outline val="0"/>
        <shadow val="0"/>
        <u val="none"/>
        <vertAlign val="baseline"/>
        <sz val="8"/>
        <color theme="1"/>
        <name val="Calibri"/>
        <family val="2"/>
        <scheme val="minor"/>
      </font>
      <numFmt numFmtId="2" formatCode="0.00"/>
    </dxf>
    <dxf>
      <font>
        <sz val="8"/>
      </font>
      <numFmt numFmtId="13" formatCode="0%"/>
      <alignment horizontal="center" vertical="bottom" textRotation="0" wrapText="0" indent="0" justifyLastLine="0" shrinkToFit="0" readingOrder="0"/>
      <border diagonalUp="0" diagonalDown="0" outline="0">
        <left style="thin">
          <color theme="3" tint="0.39994506668294322"/>
        </left>
        <right/>
        <top style="thin">
          <color theme="3" tint="0.39991454817346722"/>
        </top>
        <bottom style="thin">
          <color theme="3" tint="0.39991454817346722"/>
        </bottom>
      </border>
    </dxf>
    <dxf>
      <font>
        <sz val="8"/>
      </font>
      <numFmt numFmtId="0" formatCode="General"/>
      <alignment horizontal="center" vertical="bottom" textRotation="0" wrapText="0" indent="0" justifyLastLine="0" shrinkToFit="0" readingOrder="0"/>
      <border diagonalUp="0" diagonalDown="0">
        <left style="thin">
          <color theme="3" tint="0.39994506668294322"/>
        </left>
        <right style="medium">
          <color theme="3" tint="0.399914548173467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thin">
          <color theme="3" tint="0.39994506668294322"/>
        </left>
        <right style="medium">
          <color theme="3" tint="0.399914548173467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medium">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left" vertical="bottom" textRotation="0" wrapText="0" indent="0" justifyLastLine="0" shrinkToFit="0" readingOrder="0"/>
      <border diagonalUp="0" diagonalDown="0">
        <left style="thin">
          <color theme="3" tint="0.39994506668294322"/>
        </left>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right"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numFmt numFmtId="1" formatCode="0"/>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numFmt numFmtId="19" formatCode="dd/mm/yyyy"/>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numFmt numFmtId="19" formatCode="dd/mm/yyyy"/>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medium">
          <color theme="3" tint="0.399914548173467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numFmt numFmtId="19" formatCode="dd/mm/yyyy"/>
      <alignment horizontal="center"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border outline="0">
        <bottom style="medium">
          <color theme="3" tint="0.39991454817346722"/>
        </bottom>
      </border>
    </dxf>
    <dxf>
      <font>
        <strike val="0"/>
        <outline val="0"/>
        <shadow val="0"/>
        <u val="none"/>
        <vertAlign val="baseline"/>
        <sz val="8"/>
        <name val="Calibri"/>
        <family val="2"/>
        <scheme val="minor"/>
      </font>
      <numFmt numFmtId="164" formatCode="0.0"/>
      <border diagonalUp="0" diagonalDown="0">
        <left style="medium">
          <color theme="4"/>
        </left>
        <right style="medium">
          <color theme="4"/>
        </right>
        <vertical/>
      </border>
    </dxf>
    <dxf>
      <font>
        <strike val="0"/>
        <outline val="0"/>
        <shadow val="0"/>
        <u val="none"/>
        <vertAlign val="baseline"/>
        <sz val="8"/>
        <name val="Calibri"/>
        <family val="2"/>
        <scheme val="minor"/>
      </font>
      <numFmt numFmtId="164" formatCode="0.0"/>
      <border diagonalUp="0" diagonalDown="0">
        <left/>
        <right style="medium">
          <color theme="4"/>
        </right>
        <vertical/>
      </border>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border diagonalUp="0" diagonalDown="0">
        <left style="medium">
          <color theme="4"/>
        </left>
        <right/>
        <vertical/>
      </border>
    </dxf>
    <dxf>
      <font>
        <strike val="0"/>
        <outline val="0"/>
        <shadow val="0"/>
        <u val="none"/>
        <vertAlign val="baseline"/>
        <sz val="8"/>
        <name val="Calibri"/>
        <family val="2"/>
        <scheme val="minor"/>
      </font>
      <border diagonalUp="0" diagonalDown="0" outline="0">
        <left style="thin">
          <color theme="3" tint="0.39991454817346722"/>
        </left>
        <right/>
        <top style="thin">
          <color theme="3" tint="0.39991454817346722"/>
        </top>
        <bottom style="thin">
          <color theme="3" tint="0.39991454817346722"/>
        </bottom>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border diagonalUp="0" diagonalDown="0">
        <left/>
        <right style="medium">
          <color theme="3" tint="0.39988402966399123"/>
        </right>
        <top/>
        <bottom/>
        <vertical/>
        <horizontal/>
      </border>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border diagonalUp="0" diagonalDown="0">
        <left style="medium">
          <color theme="3" tint="0.39988402966399123"/>
        </left>
        <right/>
        <top/>
        <bottom/>
        <vertical/>
        <horizontal/>
      </border>
    </dxf>
    <dxf>
      <font>
        <strike val="0"/>
        <outline val="0"/>
        <shadow val="0"/>
        <u val="none"/>
        <vertAlign val="baseline"/>
        <sz val="8"/>
        <name val="Calibri"/>
        <family val="2"/>
        <scheme val="minor"/>
      </font>
      <alignment horizontal="center" vertical="bottom" textRotation="0" wrapText="0" indent="0" justifyLastLine="0" shrinkToFit="0" readingOrder="0"/>
      <border diagonalUp="0" diagonalDown="0">
        <left/>
        <right style="medium">
          <color theme="3" tint="0.39991454817346722"/>
        </right>
        <vertical/>
      </border>
    </dxf>
    <dxf>
      <font>
        <strike val="0"/>
        <outline val="0"/>
        <shadow val="0"/>
        <u val="none"/>
        <vertAlign val="baseline"/>
        <sz val="8"/>
        <name val="Calibri"/>
        <family val="2"/>
        <scheme val="minor"/>
      </font>
      <numFmt numFmtId="19" formatCode="dd/mm/yyyy"/>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0" formatCode="General"/>
    </dxf>
    <dxf>
      <font>
        <strike val="0"/>
        <outline val="0"/>
        <shadow val="0"/>
        <u val="none"/>
        <vertAlign val="baseline"/>
        <sz val="8"/>
        <name val="Calibri"/>
        <family val="2"/>
        <scheme val="minor"/>
      </font>
      <border diagonalUp="0" diagonalDown="0">
        <left style="medium">
          <color theme="3" tint="0.39991454817346722"/>
        </left>
        <right/>
        <vertical/>
      </border>
    </dxf>
    <dxf>
      <font>
        <strike val="0"/>
        <outline val="0"/>
        <shadow val="0"/>
        <u val="none"/>
        <vertAlign val="baseline"/>
        <sz val="8"/>
        <name val="Calibri"/>
        <family val="2"/>
        <scheme val="minor"/>
      </font>
    </dxf>
    <dxf>
      <alignment horizontal="center" vertical="center" indent="0" justifyLastLine="0" shrinkToFit="0" readingOrder="0"/>
    </dxf>
  </dxfs>
  <tableStyles count="0" defaultTableStyle="TableStyleMedium2" defaultPivotStyle="PivotStyleLight16"/>
  <colors>
    <mruColors>
      <color rgb="FF78B5CB"/>
      <color rgb="FFED7D31"/>
      <color rgb="FFA162D0"/>
      <color rgb="FFFFFFFF"/>
      <color rgb="FFF19A65"/>
      <color rgb="FF7E36B4"/>
      <color rgb="FF9E0000"/>
      <color rgb="FFB888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2577-4BED-9FC1-1CF7C7EF3FE2}"/>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2577-4BED-9FC1-1CF7C7EF3FE2}"/>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2577-4BED-9FC1-1CF7C7EF3FE2}"/>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2577-4BED-9FC1-1CF7C7EF3FE2}"/>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2577-4BED-9FC1-1CF7C7EF3FE2}"/>
              </c:ext>
            </c:extLst>
          </c:dPt>
          <c:dLbls>
            <c:dLbl>
              <c:idx val="0"/>
              <c:tx>
                <c:rich>
                  <a:bodyPr/>
                  <a:lstStyle/>
                  <a:p>
                    <a:fld id="{78A72A5B-650F-480F-ADEB-EA142A53F622}"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2577-4BED-9FC1-1CF7C7EF3FE2}"/>
                </c:ext>
              </c:extLst>
            </c:dLbl>
            <c:dLbl>
              <c:idx val="1"/>
              <c:tx>
                <c:rich>
                  <a:bodyPr/>
                  <a:lstStyle/>
                  <a:p>
                    <a:fld id="{913F33B6-E6A8-4E53-BD95-1C89FB532C39}"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2577-4BED-9FC1-1CF7C7EF3FE2}"/>
                </c:ext>
              </c:extLst>
            </c:dLbl>
            <c:dLbl>
              <c:idx val="2"/>
              <c:tx>
                <c:rich>
                  <a:bodyPr/>
                  <a:lstStyle/>
                  <a:p>
                    <a:fld id="{8C4A0F53-D2EA-41F1-A236-E6DF86DC8A5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2577-4BED-9FC1-1CF7C7EF3FE2}"/>
                </c:ext>
              </c:extLst>
            </c:dLbl>
            <c:dLbl>
              <c:idx val="3"/>
              <c:tx>
                <c:rich>
                  <a:bodyPr/>
                  <a:lstStyle/>
                  <a:p>
                    <a:fld id="{6AC8D736-63B2-41FD-98BE-D3F4C2842D68}"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2577-4BED-9FC1-1CF7C7EF3FE2}"/>
                </c:ext>
              </c:extLst>
            </c:dLbl>
            <c:dLbl>
              <c:idx val="4"/>
              <c:tx>
                <c:rich>
                  <a:bodyPr/>
                  <a:lstStyle/>
                  <a:p>
                    <a:fld id="{5E33CE2E-F529-41C0-B1F0-10E63AFFD640}"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2577-4BED-9FC1-1CF7C7EF3FE2}"/>
                </c:ext>
              </c:extLst>
            </c:dLbl>
            <c:dLbl>
              <c:idx val="5"/>
              <c:tx>
                <c:rich>
                  <a:bodyPr/>
                  <a:lstStyle/>
                  <a:p>
                    <a:fld id="{58F3C5DE-70D3-4580-96F3-34724A56B8C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2577-4BED-9FC1-1CF7C7EF3FE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RECAP'!$AD$32:$AD$37</c:f>
              <c:strCache>
                <c:ptCount val="6"/>
                <c:pt idx="0">
                  <c:v>Logo</c:v>
                </c:pt>
                <c:pt idx="1">
                  <c:v>Charte</c:v>
                </c:pt>
                <c:pt idx="2">
                  <c:v>Site</c:v>
                </c:pt>
                <c:pt idx="3">
                  <c:v>RS</c:v>
                </c:pt>
                <c:pt idx="4">
                  <c:v>PLV</c:v>
                </c:pt>
                <c:pt idx="5">
                  <c:v>Plan média</c:v>
                </c:pt>
              </c:strCache>
            </c:strRef>
          </c:cat>
          <c:val>
            <c:numRef>
              <c:f>'FEUILLE RECAP'!$AE$32:$AE$37</c:f>
              <c:numCache>
                <c:formatCode>General</c:formatCode>
                <c:ptCount val="6"/>
                <c:pt idx="0">
                  <c:v>0</c:v>
                </c:pt>
                <c:pt idx="1">
                  <c:v>0</c:v>
                </c:pt>
                <c:pt idx="2">
                  <c:v>0</c:v>
                </c:pt>
                <c:pt idx="3">
                  <c:v>0</c:v>
                </c:pt>
                <c:pt idx="4">
                  <c:v>0</c:v>
                </c:pt>
                <c:pt idx="5">
                  <c:v>0</c:v>
                </c:pt>
              </c:numCache>
            </c:numRef>
          </c:val>
          <c:extLst>
            <c:ext xmlns:c15="http://schemas.microsoft.com/office/drawing/2012/chart" uri="{02D57815-91ED-43cb-92C2-25804820EDAC}">
              <c15:datalabelsRange>
                <c15:f>'FEUILLE RECAP'!$AI$32:$AI$37</c15:f>
                <c15:dlblRangeCache>
                  <c:ptCount val="6"/>
                  <c:pt idx="0">
                    <c:v>0%</c:v>
                  </c:pt>
                  <c:pt idx="1">
                    <c:v>0%</c:v>
                  </c:pt>
                  <c:pt idx="2">
                    <c:v>0%</c:v>
                  </c:pt>
                  <c:pt idx="3">
                    <c:v>0%</c:v>
                  </c:pt>
                  <c:pt idx="4">
                    <c:v>0%</c:v>
                  </c:pt>
                  <c:pt idx="5">
                    <c:v>0%</c:v>
                  </c:pt>
                </c15:dlblRangeCache>
              </c15:datalabelsRange>
            </c:ext>
            <c:ext xmlns:c16="http://schemas.microsoft.com/office/drawing/2014/chart" uri="{C3380CC4-5D6E-409C-BE32-E72D297353CC}">
              <c16:uniqueId val="{0000000A-2577-4BED-9FC1-1CF7C7EF3FE2}"/>
            </c:ext>
          </c:extLst>
        </c:ser>
        <c:ser>
          <c:idx val="1"/>
          <c:order val="1"/>
          <c:spPr>
            <a:solidFill>
              <a:schemeClr val="bg1"/>
            </a:solidFill>
            <a:ln w="19050">
              <a:solidFill>
                <a:schemeClr val="lt1"/>
              </a:solidFill>
            </a:ln>
            <a:effectLst/>
          </c:spPr>
          <c:invertIfNegative val="0"/>
          <c:cat>
            <c:strRef>
              <c:f>'FEUILLE RECAP'!$AD$32:$AD$37</c:f>
              <c:strCache>
                <c:ptCount val="6"/>
                <c:pt idx="0">
                  <c:v>Logo</c:v>
                </c:pt>
                <c:pt idx="1">
                  <c:v>Charte</c:v>
                </c:pt>
                <c:pt idx="2">
                  <c:v>Site</c:v>
                </c:pt>
                <c:pt idx="3">
                  <c:v>RS</c:v>
                </c:pt>
                <c:pt idx="4">
                  <c:v>PLV</c:v>
                </c:pt>
                <c:pt idx="5">
                  <c:v>Plan média</c:v>
                </c:pt>
              </c:strCache>
            </c:strRef>
          </c:cat>
          <c:val>
            <c:numRef>
              <c:f>'FEUILLE RECAP'!$AF$32:$AF$37</c:f>
              <c:numCache>
                <c:formatCode>General</c:formatCode>
                <c:ptCount val="6"/>
                <c:pt idx="0">
                  <c:v>10</c:v>
                </c:pt>
                <c:pt idx="1">
                  <c:v>10</c:v>
                </c:pt>
                <c:pt idx="2">
                  <c:v>10</c:v>
                </c:pt>
                <c:pt idx="3">
                  <c:v>10</c:v>
                </c:pt>
                <c:pt idx="4">
                  <c:v>10</c:v>
                </c:pt>
                <c:pt idx="5">
                  <c:v>10</c:v>
                </c:pt>
              </c:numCache>
            </c:numRef>
          </c:val>
          <c:extLst>
            <c:ext xmlns:c16="http://schemas.microsoft.com/office/drawing/2014/chart" uri="{C3380CC4-5D6E-409C-BE32-E72D297353CC}">
              <c16:uniqueId val="{0000000B-2577-4BED-9FC1-1CF7C7EF3FE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ln>
                  <a:noFill/>
                </a:ln>
                <a:solidFill>
                  <a:schemeClr val="accent6">
                    <a:lumMod val="60000"/>
                    <a:lumOff val="40000"/>
                  </a:schemeClr>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D40B-4B73-99CE-066C1E7F7BD0}"/>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D40B-4B73-99CE-066C1E7F7BD0}"/>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D40B-4B73-99CE-066C1E7F7BD0}"/>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D40B-4B73-99CE-066C1E7F7BD0}"/>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D40B-4B73-99CE-066C1E7F7BD0}"/>
              </c:ext>
            </c:extLst>
          </c:dPt>
          <c:dLbls>
            <c:dLbl>
              <c:idx val="0"/>
              <c:tx>
                <c:rich>
                  <a:bodyPr/>
                  <a:lstStyle/>
                  <a:p>
                    <a:fld id="{734B1DE0-FEE7-4211-AFA0-017F92EB4606}"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D40B-4B73-99CE-066C1E7F7BD0}"/>
                </c:ext>
              </c:extLst>
            </c:dLbl>
            <c:dLbl>
              <c:idx val="1"/>
              <c:tx>
                <c:rich>
                  <a:bodyPr/>
                  <a:lstStyle/>
                  <a:p>
                    <a:fld id="{D210E28F-B0D8-4ABF-B032-19A083B9B1B0}"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D40B-4B73-99CE-066C1E7F7BD0}"/>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D40B-4B73-99CE-066C1E7F7BD0}"/>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D40B-4B73-99CE-066C1E7F7BD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RECAP'!$AD$30:$AD$31</c:f>
              <c:strCache>
                <c:ptCount val="2"/>
                <c:pt idx="0">
                  <c:v>PAC </c:v>
                </c:pt>
                <c:pt idx="1">
                  <c:v>PAM</c:v>
                </c:pt>
              </c:strCache>
            </c:strRef>
          </c:cat>
          <c:val>
            <c:numRef>
              <c:f>'FEUILLE RECAP'!$AE$30:$AE$31</c:f>
              <c:numCache>
                <c:formatCode>General</c:formatCode>
                <c:ptCount val="2"/>
                <c:pt idx="0">
                  <c:v>0</c:v>
                </c:pt>
                <c:pt idx="1">
                  <c:v>0</c:v>
                </c:pt>
              </c:numCache>
            </c:numRef>
          </c:val>
          <c:extLst>
            <c:ext xmlns:c15="http://schemas.microsoft.com/office/drawing/2012/chart" uri="{02D57815-91ED-43cb-92C2-25804820EDAC}">
              <c15:datalabelsRange>
                <c15:f>'FEUILLE RECAP'!$AI$30:$AI$31</c15:f>
                <c15:dlblRangeCache>
                  <c:ptCount val="2"/>
                  <c:pt idx="0">
                    <c:v>0%</c:v>
                  </c:pt>
                  <c:pt idx="1">
                    <c:v>0%</c:v>
                  </c:pt>
                </c15:dlblRangeCache>
              </c15:datalabelsRange>
            </c:ext>
            <c:ext xmlns:c16="http://schemas.microsoft.com/office/drawing/2014/chart" uri="{C3380CC4-5D6E-409C-BE32-E72D297353CC}">
              <c16:uniqueId val="{0000000A-D40B-4B73-99CE-066C1E7F7BD0}"/>
            </c:ext>
          </c:extLst>
        </c:ser>
        <c:ser>
          <c:idx val="1"/>
          <c:order val="1"/>
          <c:spPr>
            <a:solidFill>
              <a:schemeClr val="bg1"/>
            </a:solidFill>
            <a:ln w="19050">
              <a:solidFill>
                <a:schemeClr val="lt1"/>
              </a:solidFill>
            </a:ln>
            <a:effectLst/>
          </c:spPr>
          <c:invertIfNegative val="0"/>
          <c:cat>
            <c:strRef>
              <c:f>'FEUILLE RECAP'!$AD$30:$AD$31</c:f>
              <c:strCache>
                <c:ptCount val="2"/>
                <c:pt idx="0">
                  <c:v>PAC </c:v>
                </c:pt>
                <c:pt idx="1">
                  <c:v>PAM</c:v>
                </c:pt>
              </c:strCache>
            </c:strRef>
          </c:cat>
          <c:val>
            <c:numRef>
              <c:f>'FEUILLE RECAP'!$AF$30:$AF$31</c:f>
              <c:numCache>
                <c:formatCode>General</c:formatCode>
                <c:ptCount val="2"/>
                <c:pt idx="0">
                  <c:v>10</c:v>
                </c:pt>
                <c:pt idx="1">
                  <c:v>10</c:v>
                </c:pt>
              </c:numCache>
            </c:numRef>
          </c:val>
          <c:extLst>
            <c:ext xmlns:c16="http://schemas.microsoft.com/office/drawing/2014/chart" uri="{C3380CC4-5D6E-409C-BE32-E72D297353CC}">
              <c16:uniqueId val="{0000000B-D40B-4B73-99CE-066C1E7F7BD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6">
                    <a:lumMod val="40000"/>
                    <a:lumOff val="60000"/>
                  </a:schemeClr>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6732934978866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7660-4679-9CEB-566A3103DE97}"/>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7660-4679-9CEB-566A3103DE97}"/>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7660-4679-9CEB-566A3103DE97}"/>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7660-4679-9CEB-566A3103DE97}"/>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7660-4679-9CEB-566A3103DE97}"/>
              </c:ext>
            </c:extLst>
          </c:dPt>
          <c:dLbls>
            <c:dLbl>
              <c:idx val="0"/>
              <c:tx>
                <c:rich>
                  <a:bodyPr/>
                  <a:lstStyle/>
                  <a:p>
                    <a:fld id="{E77E0F14-116E-43D6-82B3-5C23295521C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7660-4679-9CEB-566A3103DE97}"/>
                </c:ext>
              </c:extLst>
            </c:dLbl>
            <c:dLbl>
              <c:idx val="1"/>
              <c:tx>
                <c:rich>
                  <a:bodyPr/>
                  <a:lstStyle/>
                  <a:p>
                    <a:fld id="{2508DB68-A2CE-4AB9-B896-AA5DE75ED9B2}"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7660-4679-9CEB-566A3103DE97}"/>
                </c:ext>
              </c:extLst>
            </c:dLbl>
            <c:dLbl>
              <c:idx val="2"/>
              <c:tx>
                <c:rich>
                  <a:bodyPr/>
                  <a:lstStyle/>
                  <a:p>
                    <a:fld id="{96E07DA6-42DB-45AC-AD6C-4287BFDCC81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7660-4679-9CEB-566A3103DE97}"/>
                </c:ext>
              </c:extLst>
            </c:dLbl>
            <c:dLbl>
              <c:idx val="3"/>
              <c:tx>
                <c:rich>
                  <a:bodyPr/>
                  <a:lstStyle/>
                  <a:p>
                    <a:fld id="{ACB5E1B2-4A7B-4829-8370-35D01426DA3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7660-4679-9CEB-566A3103DE97}"/>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RECAP'!$AD$26:$AD$29</c:f>
              <c:strCache>
                <c:ptCount val="4"/>
                <c:pt idx="0">
                  <c:v>Proposition de valeur</c:v>
                </c:pt>
                <c:pt idx="1">
                  <c:v>Architecture de l’offre</c:v>
                </c:pt>
                <c:pt idx="2">
                  <c:v>Modèle Eco</c:v>
                </c:pt>
                <c:pt idx="3">
                  <c:v>Accès marché</c:v>
                </c:pt>
              </c:strCache>
            </c:strRef>
          </c:cat>
          <c:val>
            <c:numRef>
              <c:f>'FEUILLE RECAP'!$AE$26:$AE$29</c:f>
              <c:numCache>
                <c:formatCode>General</c:formatCode>
                <c:ptCount val="4"/>
                <c:pt idx="0">
                  <c:v>0</c:v>
                </c:pt>
                <c:pt idx="1">
                  <c:v>0</c:v>
                </c:pt>
                <c:pt idx="2">
                  <c:v>0</c:v>
                </c:pt>
                <c:pt idx="3">
                  <c:v>0</c:v>
                </c:pt>
              </c:numCache>
            </c:numRef>
          </c:val>
          <c:extLst>
            <c:ext xmlns:c15="http://schemas.microsoft.com/office/drawing/2012/chart" uri="{02D57815-91ED-43cb-92C2-25804820EDAC}">
              <c15:datalabelsRange>
                <c15:f>'FEUILLE RECAP'!$AI$26:$AI$29</c15:f>
                <c15:dlblRangeCache>
                  <c:ptCount val="4"/>
                  <c:pt idx="0">
                    <c:v>0%</c:v>
                  </c:pt>
                  <c:pt idx="1">
                    <c:v>0%</c:v>
                  </c:pt>
                  <c:pt idx="2">
                    <c:v>0%</c:v>
                  </c:pt>
                  <c:pt idx="3">
                    <c:v>0%</c:v>
                  </c:pt>
                </c15:dlblRangeCache>
              </c15:datalabelsRange>
            </c:ext>
            <c:ext xmlns:c16="http://schemas.microsoft.com/office/drawing/2014/chart" uri="{C3380CC4-5D6E-409C-BE32-E72D297353CC}">
              <c16:uniqueId val="{0000000A-7660-4679-9CEB-566A3103DE97}"/>
            </c:ext>
          </c:extLst>
        </c:ser>
        <c:ser>
          <c:idx val="1"/>
          <c:order val="1"/>
          <c:spPr>
            <a:solidFill>
              <a:schemeClr val="bg1"/>
            </a:solidFill>
            <a:ln w="19050">
              <a:solidFill>
                <a:schemeClr val="lt1"/>
              </a:solidFill>
            </a:ln>
            <a:effectLst/>
          </c:spPr>
          <c:invertIfNegative val="0"/>
          <c:cat>
            <c:strRef>
              <c:f>'FEUILLE RECAP'!$AD$26:$AD$29</c:f>
              <c:strCache>
                <c:ptCount val="4"/>
                <c:pt idx="0">
                  <c:v>Proposition de valeur</c:v>
                </c:pt>
                <c:pt idx="1">
                  <c:v>Architecture de l’offre</c:v>
                </c:pt>
                <c:pt idx="2">
                  <c:v>Modèle Eco</c:v>
                </c:pt>
                <c:pt idx="3">
                  <c:v>Accès marché</c:v>
                </c:pt>
              </c:strCache>
            </c:strRef>
          </c:cat>
          <c:val>
            <c:numRef>
              <c:f>'FEUILLE RECAP'!$AF$26:$AF$29</c:f>
              <c:numCache>
                <c:formatCode>General</c:formatCode>
                <c:ptCount val="4"/>
                <c:pt idx="0">
                  <c:v>10</c:v>
                </c:pt>
                <c:pt idx="1">
                  <c:v>10</c:v>
                </c:pt>
                <c:pt idx="2">
                  <c:v>10</c:v>
                </c:pt>
                <c:pt idx="3">
                  <c:v>10</c:v>
                </c:pt>
              </c:numCache>
            </c:numRef>
          </c:val>
          <c:extLst>
            <c:ext xmlns:c16="http://schemas.microsoft.com/office/drawing/2014/chart" uri="{C3380CC4-5D6E-409C-BE32-E72D297353CC}">
              <c16:uniqueId val="{0000000B-7660-4679-9CEB-566A3103DE97}"/>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1" i="0" u="none" strike="noStrike" kern="1200" baseline="0">
                <a:ln>
                  <a:noFill/>
                </a:ln>
                <a:solidFill>
                  <a:schemeClr val="accent1"/>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noFill/>
            </a:ln>
            <a:effectLst/>
          </c:spPr>
          <c:invertIfNegative val="0"/>
          <c:dPt>
            <c:idx val="0"/>
            <c:invertIfNegative val="0"/>
            <c:bubble3D val="0"/>
            <c:spPr>
              <a:noFill/>
              <a:ln w="19050">
                <a:noFill/>
              </a:ln>
              <a:effectLst/>
            </c:spPr>
            <c:extLst>
              <c:ext xmlns:c16="http://schemas.microsoft.com/office/drawing/2014/chart" uri="{C3380CC4-5D6E-409C-BE32-E72D297353CC}">
                <c16:uniqueId val="{00000001-14BA-4468-AAB1-9F396AE99220}"/>
              </c:ext>
            </c:extLst>
          </c:dPt>
          <c:dPt>
            <c:idx val="1"/>
            <c:invertIfNegative val="0"/>
            <c:bubble3D val="0"/>
            <c:spPr>
              <a:noFill/>
              <a:ln w="19050">
                <a:noFill/>
              </a:ln>
              <a:effectLst/>
            </c:spPr>
            <c:extLst>
              <c:ext xmlns:c16="http://schemas.microsoft.com/office/drawing/2014/chart" uri="{C3380CC4-5D6E-409C-BE32-E72D297353CC}">
                <c16:uniqueId val="{00000003-14BA-4468-AAB1-9F396AE99220}"/>
              </c:ext>
            </c:extLst>
          </c:dPt>
          <c:dPt>
            <c:idx val="2"/>
            <c:invertIfNegative val="0"/>
            <c:bubble3D val="0"/>
            <c:spPr>
              <a:noFill/>
              <a:ln w="19050">
                <a:noFill/>
              </a:ln>
              <a:effectLst/>
            </c:spPr>
            <c:extLst>
              <c:ext xmlns:c16="http://schemas.microsoft.com/office/drawing/2014/chart" uri="{C3380CC4-5D6E-409C-BE32-E72D297353CC}">
                <c16:uniqueId val="{00000005-14BA-4468-AAB1-9F396AE99220}"/>
              </c:ext>
            </c:extLst>
          </c:dPt>
          <c:dPt>
            <c:idx val="3"/>
            <c:invertIfNegative val="0"/>
            <c:bubble3D val="0"/>
            <c:spPr>
              <a:noFill/>
              <a:ln w="19050">
                <a:noFill/>
              </a:ln>
              <a:effectLst/>
            </c:spPr>
            <c:extLst>
              <c:ext xmlns:c16="http://schemas.microsoft.com/office/drawing/2014/chart" uri="{C3380CC4-5D6E-409C-BE32-E72D297353CC}">
                <c16:uniqueId val="{00000007-14BA-4468-AAB1-9F396AE99220}"/>
              </c:ext>
            </c:extLst>
          </c:dPt>
          <c:dPt>
            <c:idx val="4"/>
            <c:invertIfNegative val="0"/>
            <c:bubble3D val="0"/>
            <c:spPr>
              <a:noFill/>
              <a:ln w="19050">
                <a:noFill/>
              </a:ln>
              <a:effectLst/>
            </c:spPr>
            <c:extLst>
              <c:ext xmlns:c16="http://schemas.microsoft.com/office/drawing/2014/chart" uri="{C3380CC4-5D6E-409C-BE32-E72D297353CC}">
                <c16:uniqueId val="{00000009-14BA-4468-AAB1-9F396AE99220}"/>
              </c:ext>
            </c:extLst>
          </c:dPt>
          <c:dLbls>
            <c:dLbl>
              <c:idx val="0"/>
              <c:tx>
                <c:rich>
                  <a:bodyPr/>
                  <a:lstStyle/>
                  <a:p>
                    <a:fld id="{B1C2644C-C3AC-4278-94E3-8E3D2C58220B}"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14BA-4468-AAB1-9F396AE99220}"/>
                </c:ext>
              </c:extLst>
            </c:dLbl>
            <c:dLbl>
              <c:idx val="1"/>
              <c:tx>
                <c:rich>
                  <a:bodyPr/>
                  <a:lstStyle/>
                  <a:p>
                    <a:fld id="{C282EB3B-04B7-4FFE-A498-AC1C0A94A2AB}"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4BA-4468-AAB1-9F396AE99220}"/>
                </c:ext>
              </c:extLst>
            </c:dLbl>
            <c:dLbl>
              <c:idx val="2"/>
              <c:tx>
                <c:rich>
                  <a:bodyPr/>
                  <a:lstStyle/>
                  <a:p>
                    <a:fld id="{C5731BAA-4697-42AA-BFE2-AAB46A435D69}"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4BA-4468-AAB1-9F396AE9922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lumMod val="85000"/>
                      </a:schemeClr>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4.5</c:v>
                </c:pt>
                <c:pt idx="2">
                  <c:v>4.5</c:v>
                </c:pt>
              </c:numCache>
            </c:numRef>
          </c:val>
          <c:extLst>
            <c:ext xmlns:c15="http://schemas.microsoft.com/office/drawing/2012/chart" uri="{02D57815-91ED-43cb-92C2-25804820EDAC}">
              <c15:datalabelsRange>
                <c15:f>'FEUILLE RECAP'!$AI$14:$AI$16</c15:f>
                <c15:dlblRangeCache>
                  <c:ptCount val="3"/>
                  <c:pt idx="0">
                    <c:v>90%</c:v>
                  </c:pt>
                  <c:pt idx="1">
                    <c:v>90%</c:v>
                  </c:pt>
                  <c:pt idx="2">
                    <c:v>90%</c:v>
                  </c:pt>
                </c15:dlblRangeCache>
              </c15:datalabelsRange>
            </c:ext>
            <c:ext xmlns:c16="http://schemas.microsoft.com/office/drawing/2014/chart" uri="{C3380CC4-5D6E-409C-BE32-E72D297353CC}">
              <c16:uniqueId val="{0000000A-14BA-4468-AAB1-9F396AE99220}"/>
            </c:ext>
          </c:extLst>
        </c:ser>
        <c:ser>
          <c:idx val="1"/>
          <c:order val="1"/>
          <c:spPr>
            <a:solidFill>
              <a:schemeClr val="bg1"/>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0.5</c:v>
                </c:pt>
                <c:pt idx="2">
                  <c:v>0.5</c:v>
                </c:pt>
              </c:numCache>
            </c:numRef>
          </c:val>
          <c:extLst>
            <c:ext xmlns:c16="http://schemas.microsoft.com/office/drawing/2014/chart" uri="{C3380CC4-5D6E-409C-BE32-E72D297353CC}">
              <c16:uniqueId val="{0000000B-14BA-4468-AAB1-9F396AE9922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7795154345818623"/>
          <c:y val="8.2303308415365255E-3"/>
          <c:w val="0.71938841170224055"/>
          <c:h val="0.99176954732510292"/>
        </c:manualLayout>
      </c:layout>
      <c:barChart>
        <c:barDir val="bar"/>
        <c:grouping val="percentStacked"/>
        <c:varyColors val="0"/>
        <c:ser>
          <c:idx val="0"/>
          <c:order val="0"/>
          <c:spPr>
            <a:solidFill>
              <a:srgbClr val="ED7D31"/>
            </a:solidFill>
            <a:ln w="19050">
              <a:solidFill>
                <a:schemeClr val="lt1"/>
              </a:solidFill>
            </a:ln>
            <a:effectLst/>
          </c:spPr>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9962-4DE4-AE14-5FE406C4E814}"/>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9962-4DE4-AE14-5FE406C4E814}"/>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9962-4DE4-AE14-5FE406C4E814}"/>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9962-4DE4-AE14-5FE406C4E814}"/>
              </c:ext>
            </c:extLst>
          </c:dPt>
          <c:dPt>
            <c:idx val="4"/>
            <c:invertIfNegative val="0"/>
            <c:bubble3D val="0"/>
            <c:spPr>
              <a:solidFill>
                <a:schemeClr val="accent5"/>
              </a:solidFill>
              <a:ln w="19050">
                <a:solidFill>
                  <a:schemeClr val="lt1"/>
                </a:solidFill>
              </a:ln>
              <a:effectLst/>
            </c:spPr>
            <c:extLst>
              <c:ext xmlns:c16="http://schemas.microsoft.com/office/drawing/2014/chart" uri="{C3380CC4-5D6E-409C-BE32-E72D297353CC}">
                <c16:uniqueId val="{00000009-9962-4DE4-AE14-5FE406C4E814}"/>
              </c:ext>
            </c:extLst>
          </c:dPt>
          <c:cat>
            <c:strRef>
              <c:f>'FEUILLE RECAP'!$E$7:$E$11</c:f>
              <c:strCache>
                <c:ptCount val="5"/>
                <c:pt idx="0">
                  <c:v>BEZ.</c:v>
                </c:pt>
                <c:pt idx="1">
                  <c:v>CHA.</c:v>
                </c:pt>
                <c:pt idx="2">
                  <c:v>M’B.</c:v>
                </c:pt>
                <c:pt idx="3">
                  <c:v>MAD.</c:v>
                </c:pt>
                <c:pt idx="4">
                  <c:v>NGU.</c:v>
                </c:pt>
              </c:strCache>
            </c:strRef>
          </c:cat>
          <c:val>
            <c:numRef>
              <c:f>'FEUILLE RECAP'!$AE$7:$AE$11</c:f>
              <c:numCache>
                <c:formatCode>General</c:formatCode>
                <c:ptCount val="5"/>
                <c:pt idx="0">
                  <c:v>0.72499999999999998</c:v>
                </c:pt>
                <c:pt idx="1">
                  <c:v>0.8</c:v>
                </c:pt>
                <c:pt idx="2">
                  <c:v>0.6</c:v>
                </c:pt>
                <c:pt idx="3">
                  <c:v>0.72499999999999998</c:v>
                </c:pt>
                <c:pt idx="4">
                  <c:v>0.8</c:v>
                </c:pt>
              </c:numCache>
            </c:numRef>
          </c:val>
          <c:extLst>
            <c:ext xmlns:c16="http://schemas.microsoft.com/office/drawing/2014/chart" uri="{C3380CC4-5D6E-409C-BE32-E72D297353CC}">
              <c16:uniqueId val="{0000000A-9962-4DE4-AE14-5FE406C4E814}"/>
            </c:ext>
          </c:extLst>
        </c:ser>
        <c:ser>
          <c:idx val="1"/>
          <c:order val="1"/>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C-9962-4DE4-AE14-5FE406C4E814}"/>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E-9962-4DE4-AE14-5FE406C4E814}"/>
              </c:ext>
            </c:extLst>
          </c:dPt>
          <c:cat>
            <c:strRef>
              <c:f>'FEUILLE RECAP'!$E$7:$E$11</c:f>
              <c:strCache>
                <c:ptCount val="5"/>
                <c:pt idx="0">
                  <c:v>BEZ.</c:v>
                </c:pt>
                <c:pt idx="1">
                  <c:v>CHA.</c:v>
                </c:pt>
                <c:pt idx="2">
                  <c:v>M’B.</c:v>
                </c:pt>
                <c:pt idx="3">
                  <c:v>MAD.</c:v>
                </c:pt>
                <c:pt idx="4">
                  <c:v>NGU.</c:v>
                </c:pt>
              </c:strCache>
            </c:strRef>
          </c:cat>
          <c:val>
            <c:numRef>
              <c:f>'FEUILLE RECAP'!$AF$7:$AF$11</c:f>
              <c:numCache>
                <c:formatCode>General</c:formatCode>
                <c:ptCount val="5"/>
                <c:pt idx="0">
                  <c:v>0.27500000000000002</c:v>
                </c:pt>
                <c:pt idx="1">
                  <c:v>0.19999999999999996</c:v>
                </c:pt>
                <c:pt idx="2">
                  <c:v>0.4</c:v>
                </c:pt>
                <c:pt idx="3">
                  <c:v>0.27500000000000002</c:v>
                </c:pt>
                <c:pt idx="4">
                  <c:v>0.19999999999999996</c:v>
                </c:pt>
              </c:numCache>
            </c:numRef>
          </c:val>
          <c:extLst>
            <c:ext xmlns:c16="http://schemas.microsoft.com/office/drawing/2014/chart" uri="{C3380CC4-5D6E-409C-BE32-E72D297353CC}">
              <c16:uniqueId val="{0000000F-9962-4DE4-AE14-5FE406C4E814}"/>
            </c:ext>
          </c:extLst>
        </c:ser>
        <c:dLbls>
          <c:showLegendKey val="0"/>
          <c:showVal val="0"/>
          <c:showCatName val="0"/>
          <c:showSerName val="0"/>
          <c:showPercent val="0"/>
          <c:showBubbleSize val="0"/>
        </c:dLbls>
        <c:gapWidth val="100"/>
        <c:overlap val="100"/>
        <c:axId val="883534111"/>
        <c:axId val="597852767"/>
      </c:barChart>
      <c:valAx>
        <c:axId val="597852767"/>
        <c:scaling>
          <c:orientation val="minMax"/>
        </c:scaling>
        <c:delete val="1"/>
        <c:axPos val="t"/>
        <c:majorGridlines>
          <c:spPr>
            <a:ln w="12700" cap="flat" cmpd="sng" algn="ctr">
              <a:solidFill>
                <a:schemeClr val="accent1"/>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14BA-4468-AAB1-9F396AE99220}"/>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14BA-4468-AAB1-9F396AE99220}"/>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14BA-4468-AAB1-9F396AE99220}"/>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14BA-4468-AAB1-9F396AE99220}"/>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14BA-4468-AAB1-9F396AE99220}"/>
              </c:ext>
            </c:extLst>
          </c:dPt>
          <c:dLbls>
            <c:dLbl>
              <c:idx val="0"/>
              <c:tx>
                <c:rich>
                  <a:bodyPr/>
                  <a:lstStyle/>
                  <a:p>
                    <a:fld id="{398455AD-4518-44CA-AC4E-2B31AF6948AC}"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4BA-4468-AAB1-9F396AE99220}"/>
                </c:ext>
              </c:extLst>
            </c:dLbl>
            <c:dLbl>
              <c:idx val="1"/>
              <c:tx>
                <c:rich>
                  <a:bodyPr/>
                  <a:lstStyle/>
                  <a:p>
                    <a:fld id="{AB816CB5-7F8D-4FD6-BB61-1165EBDD7B35}"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4BA-4468-AAB1-9F396AE99220}"/>
                </c:ext>
              </c:extLst>
            </c:dLbl>
            <c:dLbl>
              <c:idx val="2"/>
              <c:tx>
                <c:rich>
                  <a:bodyPr/>
                  <a:lstStyle/>
                  <a:p>
                    <a:fld id="{54DC4BBF-9180-439C-BD10-0C8B64E80F78}"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4BA-4468-AAB1-9F396AE99220}"/>
                </c:ext>
              </c:extLst>
            </c:dLbl>
            <c:dLbl>
              <c:idx val="3"/>
              <c:tx>
                <c:rich>
                  <a:bodyPr/>
                  <a:lstStyle/>
                  <a:p>
                    <a:fld id="{48B2D61A-D7A9-4621-BDF5-637229C38E22}"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4BA-4468-AAB1-9F396AE99220}"/>
                </c:ext>
              </c:extLst>
            </c:dLbl>
            <c:dLbl>
              <c:idx val="4"/>
              <c:tx>
                <c:rich>
                  <a:bodyPr/>
                  <a:lstStyle/>
                  <a:p>
                    <a:fld id="{2047B0ED-795C-4B55-AFEB-CF569C1D1CA3}"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14BA-4468-AAB1-9F396AE9922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RECAP'!$AD$17:$AD$21</c:f>
              <c:strCache>
                <c:ptCount val="5"/>
                <c:pt idx="0">
                  <c:v>Marché</c:v>
                </c:pt>
                <c:pt idx="1">
                  <c:v>Zoom</c:v>
                </c:pt>
                <c:pt idx="2">
                  <c:v>Pestel</c:v>
                </c:pt>
                <c:pt idx="3">
                  <c:v>Porter</c:v>
                </c:pt>
                <c:pt idx="4">
                  <c:v>SWOT</c:v>
                </c:pt>
              </c:strCache>
            </c:strRef>
          </c:cat>
          <c:val>
            <c:numRef>
              <c:f>'FEUILLE RECAP'!$AE$17:$AE$21</c:f>
              <c:numCache>
                <c:formatCode>General</c:formatCode>
                <c:ptCount val="5"/>
                <c:pt idx="0">
                  <c:v>4.5</c:v>
                </c:pt>
                <c:pt idx="1">
                  <c:v>4.5</c:v>
                </c:pt>
                <c:pt idx="2">
                  <c:v>4.5</c:v>
                </c:pt>
                <c:pt idx="3">
                  <c:v>4.5</c:v>
                </c:pt>
                <c:pt idx="4">
                  <c:v>4.5</c:v>
                </c:pt>
              </c:numCache>
            </c:numRef>
          </c:val>
          <c:extLst>
            <c:ext xmlns:c15="http://schemas.microsoft.com/office/drawing/2012/chart" uri="{02D57815-91ED-43cb-92C2-25804820EDAC}">
              <c15:datalabelsRange>
                <c15:f>'FEUILLE RECAP'!$AI$17:$AI$21</c15:f>
                <c15:dlblRangeCache>
                  <c:ptCount val="5"/>
                  <c:pt idx="0">
                    <c:v>45%</c:v>
                  </c:pt>
                  <c:pt idx="1">
                    <c:v>45%</c:v>
                  </c:pt>
                  <c:pt idx="2">
                    <c:v>45%</c:v>
                  </c:pt>
                  <c:pt idx="3">
                    <c:v>45%</c:v>
                  </c:pt>
                  <c:pt idx="4">
                    <c:v>45%</c:v>
                  </c:pt>
                </c15:dlblRangeCache>
              </c15:datalabelsRange>
            </c:ext>
            <c:ext xmlns:c16="http://schemas.microsoft.com/office/drawing/2014/chart" uri="{C3380CC4-5D6E-409C-BE32-E72D297353CC}">
              <c16:uniqueId val="{0000000A-14BA-4468-AAB1-9F396AE99220}"/>
            </c:ext>
          </c:extLst>
        </c:ser>
        <c:ser>
          <c:idx val="1"/>
          <c:order val="1"/>
          <c:spPr>
            <a:solidFill>
              <a:schemeClr val="bg1"/>
            </a:solidFill>
            <a:ln w="19050">
              <a:solidFill>
                <a:schemeClr val="lt1"/>
              </a:solidFill>
            </a:ln>
            <a:effectLst/>
          </c:spPr>
          <c:invertIfNegative val="0"/>
          <c:cat>
            <c:strRef>
              <c:f>'FEUILLE RECAP'!$AD$17:$AD$21</c:f>
              <c:strCache>
                <c:ptCount val="5"/>
                <c:pt idx="0">
                  <c:v>Marché</c:v>
                </c:pt>
                <c:pt idx="1">
                  <c:v>Zoom</c:v>
                </c:pt>
                <c:pt idx="2">
                  <c:v>Pestel</c:v>
                </c:pt>
                <c:pt idx="3">
                  <c:v>Porter</c:v>
                </c:pt>
                <c:pt idx="4">
                  <c:v>SWOT</c:v>
                </c:pt>
              </c:strCache>
            </c:strRef>
          </c:cat>
          <c:val>
            <c:numRef>
              <c:f>'FEUILLE RECAP'!$AF$17:$AF$21</c:f>
              <c:numCache>
                <c:formatCode>General</c:formatCode>
                <c:ptCount val="5"/>
                <c:pt idx="0">
                  <c:v>5.5</c:v>
                </c:pt>
                <c:pt idx="1">
                  <c:v>5.5</c:v>
                </c:pt>
                <c:pt idx="2">
                  <c:v>5.5</c:v>
                </c:pt>
                <c:pt idx="3">
                  <c:v>5.5</c:v>
                </c:pt>
                <c:pt idx="4">
                  <c:v>5.5</c:v>
                </c:pt>
              </c:numCache>
            </c:numRef>
          </c:val>
          <c:extLst>
            <c:ext xmlns:c16="http://schemas.microsoft.com/office/drawing/2014/chart" uri="{C3380CC4-5D6E-409C-BE32-E72D297353CC}">
              <c16:uniqueId val="{0000000B-14BA-4468-AAB1-9F396AE9922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ln>
                  <a:noFill/>
                </a:ln>
                <a:solidFill>
                  <a:schemeClr val="accent3">
                    <a:lumMod val="60000"/>
                    <a:lumOff val="40000"/>
                  </a:schemeClr>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AC1D-4C56-ACA0-F94E3C948D42}"/>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AC1D-4C56-ACA0-F94E3C948D42}"/>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AC1D-4C56-ACA0-F94E3C948D42}"/>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AC1D-4C56-ACA0-F94E3C948D42}"/>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AC1D-4C56-ACA0-F94E3C948D42}"/>
              </c:ext>
            </c:extLst>
          </c:dPt>
          <c:dLbls>
            <c:dLbl>
              <c:idx val="0"/>
              <c:tx>
                <c:rich>
                  <a:bodyPr/>
                  <a:lstStyle/>
                  <a:p>
                    <a:fld id="{9830000F-DD52-4B50-A72A-04F9F72482E1}"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C1D-4C56-ACA0-F94E3C948D42}"/>
                </c:ext>
              </c:extLst>
            </c:dLbl>
            <c:dLbl>
              <c:idx val="1"/>
              <c:tx>
                <c:rich>
                  <a:bodyPr/>
                  <a:lstStyle/>
                  <a:p>
                    <a:fld id="{67E4E21E-E5C1-4633-A568-0F8C6568AF5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AC1D-4C56-ACA0-F94E3C948D42}"/>
                </c:ext>
              </c:extLst>
            </c:dLbl>
            <c:dLbl>
              <c:idx val="2"/>
              <c:tx>
                <c:rich>
                  <a:bodyPr/>
                  <a:lstStyle/>
                  <a:p>
                    <a:fld id="{4BE42C90-88A9-4AC6-9E44-01A4ACAFD20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AC1D-4C56-ACA0-F94E3C948D42}"/>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C1D-4C56-ACA0-F94E3C948D42}"/>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C1D-4C56-ACA0-F94E3C948D4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RECAP'!$AD$22:$AD$24</c:f>
              <c:strCache>
                <c:ptCount val="3"/>
                <c:pt idx="0">
                  <c:v>Quali</c:v>
                </c:pt>
                <c:pt idx="1">
                  <c:v>Quanti</c:v>
                </c:pt>
                <c:pt idx="2">
                  <c:v>Persona</c:v>
                </c:pt>
              </c:strCache>
            </c:strRef>
          </c:cat>
          <c:val>
            <c:numRef>
              <c:f>'FEUILLE RECAP'!$AE$22:$AE$24</c:f>
              <c:numCache>
                <c:formatCode>General</c:formatCode>
                <c:ptCount val="3"/>
                <c:pt idx="0">
                  <c:v>0</c:v>
                </c:pt>
                <c:pt idx="1">
                  <c:v>0</c:v>
                </c:pt>
                <c:pt idx="2">
                  <c:v>0</c:v>
                </c:pt>
              </c:numCache>
            </c:numRef>
          </c:val>
          <c:extLst>
            <c:ext xmlns:c15="http://schemas.microsoft.com/office/drawing/2012/chart" uri="{02D57815-91ED-43cb-92C2-25804820EDAC}">
              <c15:datalabelsRange>
                <c15:f>'FEUILLE RECAP'!$AI$17:$AI$21</c15:f>
                <c15:dlblRangeCache>
                  <c:ptCount val="5"/>
                  <c:pt idx="0">
                    <c:v>45%</c:v>
                  </c:pt>
                  <c:pt idx="1">
                    <c:v>45%</c:v>
                  </c:pt>
                  <c:pt idx="2">
                    <c:v>45%</c:v>
                  </c:pt>
                  <c:pt idx="3">
                    <c:v>45%</c:v>
                  </c:pt>
                  <c:pt idx="4">
                    <c:v>45%</c:v>
                  </c:pt>
                </c15:dlblRangeCache>
              </c15:datalabelsRange>
            </c:ext>
            <c:ext xmlns:c16="http://schemas.microsoft.com/office/drawing/2014/chart" uri="{C3380CC4-5D6E-409C-BE32-E72D297353CC}">
              <c16:uniqueId val="{0000000A-AC1D-4C56-ACA0-F94E3C948D42}"/>
            </c:ext>
          </c:extLst>
        </c:ser>
        <c:ser>
          <c:idx val="1"/>
          <c:order val="1"/>
          <c:spPr>
            <a:solidFill>
              <a:schemeClr val="bg1"/>
            </a:solidFill>
            <a:ln w="19050">
              <a:solidFill>
                <a:schemeClr val="lt1"/>
              </a:solidFill>
            </a:ln>
            <a:effectLst/>
          </c:spPr>
          <c:invertIfNegative val="0"/>
          <c:cat>
            <c:strRef>
              <c:f>'FEUILLE RECAP'!$AD$22:$AD$24</c:f>
              <c:strCache>
                <c:ptCount val="3"/>
                <c:pt idx="0">
                  <c:v>Quali</c:v>
                </c:pt>
                <c:pt idx="1">
                  <c:v>Quanti</c:v>
                </c:pt>
                <c:pt idx="2">
                  <c:v>Persona</c:v>
                </c:pt>
              </c:strCache>
            </c:strRef>
          </c:cat>
          <c:val>
            <c:numRef>
              <c:f>'FEUILLE RECAP'!$AF$22:$AF$24</c:f>
              <c:numCache>
                <c:formatCode>General</c:formatCode>
                <c:ptCount val="3"/>
                <c:pt idx="0">
                  <c:v>10</c:v>
                </c:pt>
                <c:pt idx="1">
                  <c:v>10</c:v>
                </c:pt>
                <c:pt idx="2">
                  <c:v>10</c:v>
                </c:pt>
              </c:numCache>
            </c:numRef>
          </c:val>
          <c:extLst>
            <c:ext xmlns:c16="http://schemas.microsoft.com/office/drawing/2014/chart" uri="{C3380CC4-5D6E-409C-BE32-E72D297353CC}">
              <c16:uniqueId val="{0000000B-AC1D-4C56-ACA0-F94E3C948D4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3"/>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1-B8E7-43EA-A915-A7C13D021618}"/>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3-B8E7-43EA-A915-A7C13D021618}"/>
              </c:ext>
            </c:extLst>
          </c:dPt>
          <c:dPt>
            <c:idx val="2"/>
            <c:invertIfNegative val="0"/>
            <c:bubble3D val="0"/>
            <c:spPr>
              <a:noFill/>
              <a:ln w="19050">
                <a:solidFill>
                  <a:schemeClr val="lt1"/>
                </a:solidFill>
              </a:ln>
              <a:effectLst/>
            </c:spPr>
            <c:extLst>
              <c:ext xmlns:c16="http://schemas.microsoft.com/office/drawing/2014/chart" uri="{C3380CC4-5D6E-409C-BE32-E72D297353CC}">
                <c16:uniqueId val="{00000005-B8E7-43EA-A915-A7C13D021618}"/>
              </c:ext>
            </c:extLst>
          </c:dPt>
          <c:dPt>
            <c:idx val="3"/>
            <c:invertIfNegative val="0"/>
            <c:bubble3D val="0"/>
            <c:spPr>
              <a:noFill/>
              <a:ln w="19050">
                <a:solidFill>
                  <a:schemeClr val="lt1"/>
                </a:solidFill>
              </a:ln>
              <a:effectLst/>
            </c:spPr>
            <c:extLst>
              <c:ext xmlns:c16="http://schemas.microsoft.com/office/drawing/2014/chart" uri="{C3380CC4-5D6E-409C-BE32-E72D297353CC}">
                <c16:uniqueId val="{00000007-B8E7-43EA-A915-A7C13D021618}"/>
              </c:ext>
            </c:extLst>
          </c:dPt>
          <c:dPt>
            <c:idx val="4"/>
            <c:invertIfNegative val="0"/>
            <c:bubble3D val="0"/>
            <c:spPr>
              <a:noFill/>
              <a:ln w="19050">
                <a:solidFill>
                  <a:schemeClr val="lt1"/>
                </a:solidFill>
              </a:ln>
              <a:effectLst/>
            </c:spPr>
            <c:extLst>
              <c:ext xmlns:c16="http://schemas.microsoft.com/office/drawing/2014/chart" uri="{C3380CC4-5D6E-409C-BE32-E72D297353CC}">
                <c16:uniqueId val="{00000009-B8E7-43EA-A915-A7C13D021618}"/>
              </c:ext>
            </c:extLst>
          </c:dPt>
          <c:dLbls>
            <c:dLbl>
              <c:idx val="0"/>
              <c:tx>
                <c:rich>
                  <a:bodyPr/>
                  <a:lstStyle/>
                  <a:p>
                    <a:fld id="{35A9C526-3EA8-4E89-A0C3-1CA308619575}"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B8E7-43EA-A915-A7C13D021618}"/>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B8E7-43EA-A915-A7C13D021618}"/>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B8E7-43EA-A915-A7C13D021618}"/>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RECAP'!$AD$25</c:f>
              <c:strCache>
                <c:ptCount val="1"/>
                <c:pt idx="0">
                  <c:v>Concurrence</c:v>
                </c:pt>
              </c:strCache>
            </c:strRef>
          </c:cat>
          <c:val>
            <c:numRef>
              <c:f>'FEUILLE RECAP'!$AE$25</c:f>
              <c:numCache>
                <c:formatCode>General</c:formatCode>
                <c:ptCount val="1"/>
                <c:pt idx="0">
                  <c:v>0</c:v>
                </c:pt>
              </c:numCache>
            </c:numRef>
          </c:val>
          <c:extLst>
            <c:ext xmlns:c15="http://schemas.microsoft.com/office/drawing/2012/chart" uri="{02D57815-91ED-43cb-92C2-25804820EDAC}">
              <c15:datalabelsRange>
                <c15:f>'FEUILLE RECAP'!$AI$25</c15:f>
                <c15:dlblRangeCache>
                  <c:ptCount val="1"/>
                  <c:pt idx="0">
                    <c:v>0%</c:v>
                  </c:pt>
                </c15:dlblRangeCache>
              </c15:datalabelsRange>
            </c:ext>
            <c:ext xmlns:c16="http://schemas.microsoft.com/office/drawing/2014/chart" uri="{C3380CC4-5D6E-409C-BE32-E72D297353CC}">
              <c16:uniqueId val="{0000000A-B8E7-43EA-A915-A7C13D021618}"/>
            </c:ext>
          </c:extLst>
        </c:ser>
        <c:ser>
          <c:idx val="1"/>
          <c:order val="1"/>
          <c:spPr>
            <a:solidFill>
              <a:schemeClr val="bg1"/>
            </a:solidFill>
            <a:ln w="19050">
              <a:solidFill>
                <a:schemeClr val="lt1"/>
              </a:solidFill>
            </a:ln>
            <a:effectLst/>
          </c:spPr>
          <c:invertIfNegative val="0"/>
          <c:cat>
            <c:strRef>
              <c:f>'FEUILLE RECAP'!$AD$25</c:f>
              <c:strCache>
                <c:ptCount val="1"/>
                <c:pt idx="0">
                  <c:v>Concurrence</c:v>
                </c:pt>
              </c:strCache>
            </c:strRef>
          </c:cat>
          <c:val>
            <c:numRef>
              <c:f>'FEUILLE RECAP'!$AF$25</c:f>
              <c:numCache>
                <c:formatCode>General</c:formatCode>
                <c:ptCount val="1"/>
                <c:pt idx="0">
                  <c:v>30</c:v>
                </c:pt>
              </c:numCache>
            </c:numRef>
          </c:val>
          <c:extLst>
            <c:ext xmlns:c16="http://schemas.microsoft.com/office/drawing/2014/chart" uri="{C3380CC4-5D6E-409C-BE32-E72D297353CC}">
              <c16:uniqueId val="{0000000B-B8E7-43EA-A915-A7C13D021618}"/>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3"/>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1-ADEB-4CE6-AE3B-D7A3D4044312}"/>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3-ADEB-4CE6-AE3B-D7A3D4044312}"/>
              </c:ext>
            </c:extLst>
          </c:dPt>
          <c:dPt>
            <c:idx val="2"/>
            <c:invertIfNegative val="0"/>
            <c:bubble3D val="0"/>
            <c:spPr>
              <a:noFill/>
              <a:ln w="19050">
                <a:solidFill>
                  <a:schemeClr val="lt1"/>
                </a:solidFill>
              </a:ln>
              <a:effectLst/>
            </c:spPr>
            <c:extLst>
              <c:ext xmlns:c16="http://schemas.microsoft.com/office/drawing/2014/chart" uri="{C3380CC4-5D6E-409C-BE32-E72D297353CC}">
                <c16:uniqueId val="{00000005-ADEB-4CE6-AE3B-D7A3D4044312}"/>
              </c:ext>
            </c:extLst>
          </c:dPt>
          <c:dPt>
            <c:idx val="3"/>
            <c:invertIfNegative val="0"/>
            <c:bubble3D val="0"/>
            <c:spPr>
              <a:noFill/>
              <a:ln w="19050">
                <a:solidFill>
                  <a:schemeClr val="lt1"/>
                </a:solidFill>
              </a:ln>
              <a:effectLst/>
            </c:spPr>
            <c:extLst>
              <c:ext xmlns:c16="http://schemas.microsoft.com/office/drawing/2014/chart" uri="{C3380CC4-5D6E-409C-BE32-E72D297353CC}">
                <c16:uniqueId val="{00000007-ADEB-4CE6-AE3B-D7A3D4044312}"/>
              </c:ext>
            </c:extLst>
          </c:dPt>
          <c:dPt>
            <c:idx val="4"/>
            <c:invertIfNegative val="0"/>
            <c:bubble3D val="0"/>
            <c:spPr>
              <a:noFill/>
              <a:ln w="19050">
                <a:solidFill>
                  <a:schemeClr val="lt1"/>
                </a:solidFill>
              </a:ln>
              <a:effectLst/>
            </c:spPr>
            <c:extLst>
              <c:ext xmlns:c16="http://schemas.microsoft.com/office/drawing/2014/chart" uri="{C3380CC4-5D6E-409C-BE32-E72D297353CC}">
                <c16:uniqueId val="{00000009-ADEB-4CE6-AE3B-D7A3D4044312}"/>
              </c:ext>
            </c:extLst>
          </c:dPt>
          <c:dLbls>
            <c:dLbl>
              <c:idx val="0"/>
              <c:tx>
                <c:rich>
                  <a:bodyPr/>
                  <a:lstStyle/>
                  <a:p>
                    <a:fld id="{8E162656-A6D6-4545-8D31-D2C863E71EDB}"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DEB-4CE6-AE3B-D7A3D4044312}"/>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DEB-4CE6-AE3B-D7A3D4044312}"/>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DEB-4CE6-AE3B-D7A3D404431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RECAP'!$AD$38</c:f>
              <c:strCache>
                <c:ptCount val="1"/>
                <c:pt idx="0">
                  <c:v>RCA</c:v>
                </c:pt>
              </c:strCache>
            </c:strRef>
          </c:cat>
          <c:val>
            <c:numRef>
              <c:f>'FEUILLE RECAP'!$AE$38</c:f>
              <c:numCache>
                <c:formatCode>General</c:formatCode>
                <c:ptCount val="1"/>
                <c:pt idx="0">
                  <c:v>0</c:v>
                </c:pt>
              </c:numCache>
            </c:numRef>
          </c:val>
          <c:extLst>
            <c:ext xmlns:c15="http://schemas.microsoft.com/office/drawing/2012/chart" uri="{02D57815-91ED-43cb-92C2-25804820EDAC}">
              <c15:datalabelsRange>
                <c15:f>'FEUILLE RECAP'!$AI$38</c15:f>
                <c15:dlblRangeCache>
                  <c:ptCount val="1"/>
                  <c:pt idx="0">
                    <c:v>0%</c:v>
                  </c:pt>
                </c15:dlblRangeCache>
              </c15:datalabelsRange>
            </c:ext>
            <c:ext xmlns:c16="http://schemas.microsoft.com/office/drawing/2014/chart" uri="{C3380CC4-5D6E-409C-BE32-E72D297353CC}">
              <c16:uniqueId val="{0000000A-ADEB-4CE6-AE3B-D7A3D4044312}"/>
            </c:ext>
          </c:extLst>
        </c:ser>
        <c:ser>
          <c:idx val="1"/>
          <c:order val="1"/>
          <c:spPr>
            <a:solidFill>
              <a:schemeClr val="bg1"/>
            </a:solidFill>
            <a:ln w="19050">
              <a:solidFill>
                <a:schemeClr val="lt1"/>
              </a:solidFill>
            </a:ln>
            <a:effectLst/>
          </c:spPr>
          <c:invertIfNegative val="0"/>
          <c:cat>
            <c:strRef>
              <c:f>'FEUILLE RECAP'!$AD$38</c:f>
              <c:strCache>
                <c:ptCount val="1"/>
                <c:pt idx="0">
                  <c:v>RCA</c:v>
                </c:pt>
              </c:strCache>
            </c:strRef>
          </c:cat>
          <c:val>
            <c:numRef>
              <c:f>'FEUILLE RECAP'!$AF$38</c:f>
              <c:numCache>
                <c:formatCode>General</c:formatCode>
                <c:ptCount val="1"/>
                <c:pt idx="0">
                  <c:v>20</c:v>
                </c:pt>
              </c:numCache>
            </c:numRef>
          </c:val>
          <c:extLst>
            <c:ext xmlns:c16="http://schemas.microsoft.com/office/drawing/2014/chart" uri="{C3380CC4-5D6E-409C-BE32-E72D297353CC}">
              <c16:uniqueId val="{0000000B-ADEB-4CE6-AE3B-D7A3D404431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6258-4CB9-AC47-11082E51FAEB}"/>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6258-4CB9-AC47-11082E51FAEB}"/>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6258-4CB9-AC47-11082E51FAEB}"/>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6258-4CB9-AC47-11082E51FAEB}"/>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6258-4CB9-AC47-11082E51FAEB}"/>
              </c:ext>
            </c:extLst>
          </c:dPt>
          <c:dLbls>
            <c:dLbl>
              <c:idx val="0"/>
              <c:tx>
                <c:rich>
                  <a:bodyPr/>
                  <a:lstStyle/>
                  <a:p>
                    <a:fld id="{C1E65710-9263-458B-9548-13604A01418E}"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6258-4CB9-AC47-11082E51FAEB}"/>
                </c:ext>
              </c:extLst>
            </c:dLbl>
            <c:dLbl>
              <c:idx val="1"/>
              <c:tx>
                <c:rich>
                  <a:bodyPr/>
                  <a:lstStyle/>
                  <a:p>
                    <a:fld id="{C859C6FC-481D-43DF-88CD-AFA7460B3625}"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6258-4CB9-AC47-11082E51FAEB}"/>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6258-4CB9-AC47-11082E51FAEB}"/>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6258-4CB9-AC47-11082E51FAEB}"/>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RECAP'!$AD$39:$AD$40</c:f>
              <c:strCache>
                <c:ptCount val="2"/>
                <c:pt idx="0">
                  <c:v>Vidéo</c:v>
                </c:pt>
                <c:pt idx="1">
                  <c:v>PPTX</c:v>
                </c:pt>
              </c:strCache>
            </c:strRef>
          </c:cat>
          <c:val>
            <c:numRef>
              <c:f>'FEUILLE RECAP'!$AE$39:$AE$40</c:f>
              <c:numCache>
                <c:formatCode>General</c:formatCode>
                <c:ptCount val="2"/>
                <c:pt idx="0">
                  <c:v>0</c:v>
                </c:pt>
                <c:pt idx="1">
                  <c:v>0</c:v>
                </c:pt>
              </c:numCache>
            </c:numRef>
          </c:val>
          <c:extLst>
            <c:ext xmlns:c15="http://schemas.microsoft.com/office/drawing/2012/chart" uri="{02D57815-91ED-43cb-92C2-25804820EDAC}">
              <c15:datalabelsRange>
                <c15:f>'FEUILLE RECAP'!$AI$39:$AI$40</c15:f>
                <c15:dlblRangeCache>
                  <c:ptCount val="2"/>
                  <c:pt idx="0">
                    <c:v>0%</c:v>
                  </c:pt>
                  <c:pt idx="1">
                    <c:v>0%</c:v>
                  </c:pt>
                </c15:dlblRangeCache>
              </c15:datalabelsRange>
            </c:ext>
            <c:ext xmlns:c16="http://schemas.microsoft.com/office/drawing/2014/chart" uri="{C3380CC4-5D6E-409C-BE32-E72D297353CC}">
              <c16:uniqueId val="{0000000A-6258-4CB9-AC47-11082E51FAEB}"/>
            </c:ext>
          </c:extLst>
        </c:ser>
        <c:ser>
          <c:idx val="1"/>
          <c:order val="1"/>
          <c:spPr>
            <a:solidFill>
              <a:schemeClr val="bg1"/>
            </a:solidFill>
            <a:ln w="19050">
              <a:solidFill>
                <a:schemeClr val="lt1"/>
              </a:solidFill>
            </a:ln>
            <a:effectLst/>
          </c:spPr>
          <c:invertIfNegative val="0"/>
          <c:cat>
            <c:strRef>
              <c:f>'FEUILLE RECAP'!$AD$39:$AD$40</c:f>
              <c:strCache>
                <c:ptCount val="2"/>
                <c:pt idx="0">
                  <c:v>Vidéo</c:v>
                </c:pt>
                <c:pt idx="1">
                  <c:v>PPTX</c:v>
                </c:pt>
              </c:strCache>
            </c:strRef>
          </c:cat>
          <c:val>
            <c:numRef>
              <c:f>'FEUILLE RECAP'!$AF$39:$AF$40</c:f>
              <c:numCache>
                <c:formatCode>General</c:formatCode>
                <c:ptCount val="2"/>
                <c:pt idx="0">
                  <c:v>20</c:v>
                </c:pt>
                <c:pt idx="1">
                  <c:v>20</c:v>
                </c:pt>
              </c:numCache>
            </c:numRef>
          </c:val>
          <c:extLst>
            <c:ext xmlns:c16="http://schemas.microsoft.com/office/drawing/2014/chart" uri="{C3380CC4-5D6E-409C-BE32-E72D297353CC}">
              <c16:uniqueId val="{0000000B-6258-4CB9-AC47-11082E51FAEB}"/>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4"/>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noFill/>
            </a:ln>
            <a:effectLst/>
          </c:spPr>
          <c:invertIfNegative val="0"/>
          <c:dPt>
            <c:idx val="0"/>
            <c:invertIfNegative val="0"/>
            <c:bubble3D val="0"/>
            <c:spPr>
              <a:noFill/>
              <a:ln w="19050">
                <a:noFill/>
              </a:ln>
              <a:effectLst/>
            </c:spPr>
            <c:extLst>
              <c:ext xmlns:c16="http://schemas.microsoft.com/office/drawing/2014/chart" uri="{C3380CC4-5D6E-409C-BE32-E72D297353CC}">
                <c16:uniqueId val="{00000001-92E4-4D42-911A-8A0F221F7895}"/>
              </c:ext>
            </c:extLst>
          </c:dPt>
          <c:dPt>
            <c:idx val="1"/>
            <c:invertIfNegative val="0"/>
            <c:bubble3D val="0"/>
            <c:spPr>
              <a:noFill/>
              <a:ln w="19050">
                <a:noFill/>
              </a:ln>
              <a:effectLst/>
            </c:spPr>
            <c:extLst>
              <c:ext xmlns:c16="http://schemas.microsoft.com/office/drawing/2014/chart" uri="{C3380CC4-5D6E-409C-BE32-E72D297353CC}">
                <c16:uniqueId val="{00000003-92E4-4D42-911A-8A0F221F7895}"/>
              </c:ext>
            </c:extLst>
          </c:dPt>
          <c:dPt>
            <c:idx val="2"/>
            <c:invertIfNegative val="0"/>
            <c:bubble3D val="0"/>
            <c:spPr>
              <a:noFill/>
              <a:ln w="19050">
                <a:noFill/>
              </a:ln>
              <a:effectLst/>
            </c:spPr>
            <c:extLst>
              <c:ext xmlns:c16="http://schemas.microsoft.com/office/drawing/2014/chart" uri="{C3380CC4-5D6E-409C-BE32-E72D297353CC}">
                <c16:uniqueId val="{00000005-92E4-4D42-911A-8A0F221F7895}"/>
              </c:ext>
            </c:extLst>
          </c:dPt>
          <c:dPt>
            <c:idx val="3"/>
            <c:invertIfNegative val="0"/>
            <c:bubble3D val="0"/>
            <c:spPr>
              <a:noFill/>
              <a:ln w="19050">
                <a:noFill/>
              </a:ln>
              <a:effectLst/>
            </c:spPr>
            <c:extLst>
              <c:ext xmlns:c16="http://schemas.microsoft.com/office/drawing/2014/chart" uri="{C3380CC4-5D6E-409C-BE32-E72D297353CC}">
                <c16:uniqueId val="{00000007-92E4-4D42-911A-8A0F221F7895}"/>
              </c:ext>
            </c:extLst>
          </c:dPt>
          <c:dPt>
            <c:idx val="4"/>
            <c:invertIfNegative val="0"/>
            <c:bubble3D val="0"/>
            <c:spPr>
              <a:noFill/>
              <a:ln w="19050">
                <a:noFill/>
              </a:ln>
              <a:effectLst/>
            </c:spPr>
            <c:extLst>
              <c:ext xmlns:c16="http://schemas.microsoft.com/office/drawing/2014/chart" uri="{C3380CC4-5D6E-409C-BE32-E72D297353CC}">
                <c16:uniqueId val="{00000009-92E4-4D42-911A-8A0F221F7895}"/>
              </c:ext>
            </c:extLst>
          </c:dPt>
          <c:dLbls>
            <c:dLbl>
              <c:idx val="0"/>
              <c:tx>
                <c:rich>
                  <a:bodyPr/>
                  <a:lstStyle/>
                  <a:p>
                    <a:fld id="{53997E48-7F5B-4099-967D-FF25B24251F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2E4-4D42-911A-8A0F221F7895}"/>
                </c:ext>
              </c:extLst>
            </c:dLbl>
            <c:dLbl>
              <c:idx val="1"/>
              <c:tx>
                <c:rich>
                  <a:bodyPr/>
                  <a:lstStyle/>
                  <a:p>
                    <a:fld id="{24CCB3B0-F2CC-416A-AE03-E6E8F7D2D32C}"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92E4-4D42-911A-8A0F221F7895}"/>
                </c:ext>
              </c:extLst>
            </c:dLbl>
            <c:dLbl>
              <c:idx val="2"/>
              <c:tx>
                <c:rich>
                  <a:bodyPr/>
                  <a:lstStyle/>
                  <a:p>
                    <a:fld id="{81119599-7455-4115-959E-3E57E8ACFEA9}"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92E4-4D42-911A-8A0F221F7895}"/>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lumMod val="85000"/>
                      </a:schemeClr>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4.5</c:v>
                </c:pt>
                <c:pt idx="2">
                  <c:v>4.5</c:v>
                </c:pt>
              </c:numCache>
            </c:numRef>
          </c:val>
          <c:extLst>
            <c:ext xmlns:c15="http://schemas.microsoft.com/office/drawing/2012/chart" uri="{02D57815-91ED-43cb-92C2-25804820EDAC}">
              <c15:datalabelsRange>
                <c15:f>'FEUILLE RECAP'!$AI$14:$AI$16</c15:f>
                <c15:dlblRangeCache>
                  <c:ptCount val="3"/>
                  <c:pt idx="0">
                    <c:v>90%</c:v>
                  </c:pt>
                  <c:pt idx="1">
                    <c:v>90%</c:v>
                  </c:pt>
                  <c:pt idx="2">
                    <c:v>90%</c:v>
                  </c:pt>
                </c15:dlblRangeCache>
              </c15:datalabelsRange>
            </c:ext>
            <c:ext xmlns:c16="http://schemas.microsoft.com/office/drawing/2014/chart" uri="{C3380CC4-5D6E-409C-BE32-E72D297353CC}">
              <c16:uniqueId val="{0000000A-92E4-4D42-911A-8A0F221F7895}"/>
            </c:ext>
          </c:extLst>
        </c:ser>
        <c:ser>
          <c:idx val="1"/>
          <c:order val="1"/>
          <c:spPr>
            <a:solidFill>
              <a:schemeClr val="bg1"/>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0.5</c:v>
                </c:pt>
                <c:pt idx="2">
                  <c:v>0.5</c:v>
                </c:pt>
              </c:numCache>
            </c:numRef>
          </c:val>
          <c:extLst>
            <c:ext xmlns:c16="http://schemas.microsoft.com/office/drawing/2014/chart" uri="{C3380CC4-5D6E-409C-BE32-E72D297353CC}">
              <c16:uniqueId val="{0000000B-92E4-4D42-911A-8A0F221F7895}"/>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tx2">
                <a:alpha val="17000"/>
              </a:schemeClr>
            </a:solidFill>
            <a:ln w="19050">
              <a:noFill/>
            </a:ln>
            <a:effectLst/>
          </c:spPr>
          <c:invertIfNegative val="0"/>
          <c:dPt>
            <c:idx val="0"/>
            <c:invertIfNegative val="0"/>
            <c:bubble3D val="0"/>
            <c:spPr>
              <a:solidFill>
                <a:schemeClr val="tx2">
                  <a:alpha val="17000"/>
                </a:schemeClr>
              </a:solidFill>
              <a:ln w="19050">
                <a:noFill/>
              </a:ln>
              <a:effectLst/>
            </c:spPr>
            <c:extLst>
              <c:ext xmlns:c16="http://schemas.microsoft.com/office/drawing/2014/chart" uri="{C3380CC4-5D6E-409C-BE32-E72D297353CC}">
                <c16:uniqueId val="{00000001-92E4-4D42-911A-8A0F221F7895}"/>
              </c:ext>
            </c:extLst>
          </c:dPt>
          <c:dPt>
            <c:idx val="1"/>
            <c:invertIfNegative val="0"/>
            <c:bubble3D val="0"/>
            <c:spPr>
              <a:solidFill>
                <a:schemeClr val="tx2">
                  <a:alpha val="17000"/>
                </a:schemeClr>
              </a:solidFill>
              <a:ln w="19050">
                <a:noFill/>
              </a:ln>
              <a:effectLst/>
            </c:spPr>
            <c:extLst>
              <c:ext xmlns:c16="http://schemas.microsoft.com/office/drawing/2014/chart" uri="{C3380CC4-5D6E-409C-BE32-E72D297353CC}">
                <c16:uniqueId val="{00000003-92E4-4D42-911A-8A0F221F7895}"/>
              </c:ext>
            </c:extLst>
          </c:dPt>
          <c:dPt>
            <c:idx val="2"/>
            <c:invertIfNegative val="0"/>
            <c:bubble3D val="0"/>
            <c:spPr>
              <a:solidFill>
                <a:schemeClr val="tx2">
                  <a:alpha val="17000"/>
                </a:schemeClr>
              </a:solidFill>
              <a:ln w="19050">
                <a:noFill/>
              </a:ln>
              <a:effectLst/>
            </c:spPr>
            <c:extLst>
              <c:ext xmlns:c16="http://schemas.microsoft.com/office/drawing/2014/chart" uri="{C3380CC4-5D6E-409C-BE32-E72D297353CC}">
                <c16:uniqueId val="{00000005-92E4-4D42-911A-8A0F221F7895}"/>
              </c:ext>
            </c:extLst>
          </c:dPt>
          <c:dPt>
            <c:idx val="3"/>
            <c:invertIfNegative val="0"/>
            <c:bubble3D val="0"/>
            <c:spPr>
              <a:solidFill>
                <a:schemeClr val="tx2">
                  <a:alpha val="17000"/>
                </a:schemeClr>
              </a:solidFill>
              <a:ln w="19050">
                <a:noFill/>
              </a:ln>
              <a:effectLst/>
            </c:spPr>
            <c:extLst>
              <c:ext xmlns:c16="http://schemas.microsoft.com/office/drawing/2014/chart" uri="{C3380CC4-5D6E-409C-BE32-E72D297353CC}">
                <c16:uniqueId val="{00000007-92E4-4D42-911A-8A0F221F7895}"/>
              </c:ext>
            </c:extLst>
          </c:dPt>
          <c:dPt>
            <c:idx val="4"/>
            <c:invertIfNegative val="0"/>
            <c:bubble3D val="0"/>
            <c:spPr>
              <a:solidFill>
                <a:schemeClr val="tx2">
                  <a:alpha val="17000"/>
                </a:schemeClr>
              </a:solidFill>
              <a:ln w="19050">
                <a:noFill/>
              </a:ln>
              <a:effectLst/>
            </c:spPr>
            <c:extLst>
              <c:ext xmlns:c16="http://schemas.microsoft.com/office/drawing/2014/chart" uri="{C3380CC4-5D6E-409C-BE32-E72D297353CC}">
                <c16:uniqueId val="{00000009-92E4-4D42-911A-8A0F221F7895}"/>
              </c:ext>
            </c:extLst>
          </c:dPt>
          <c:dLbls>
            <c:dLbl>
              <c:idx val="0"/>
              <c:tx>
                <c:rich>
                  <a:bodyPr/>
                  <a:lstStyle/>
                  <a:p>
                    <a:fld id="{0C55F1B1-297E-49C1-960D-207E9805EF66}"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2E4-4D42-911A-8A0F221F7895}"/>
                </c:ext>
              </c:extLst>
            </c:dLbl>
            <c:dLbl>
              <c:idx val="1"/>
              <c:tx>
                <c:rich>
                  <a:bodyPr/>
                  <a:lstStyle/>
                  <a:p>
                    <a:fld id="{28CFE32B-7BE9-47D0-B1FD-0598C797EAEF}"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92E4-4D42-911A-8A0F221F7895}"/>
                </c:ext>
              </c:extLst>
            </c:dLbl>
            <c:dLbl>
              <c:idx val="2"/>
              <c:tx>
                <c:rich>
                  <a:bodyPr/>
                  <a:lstStyle/>
                  <a:p>
                    <a:fld id="{CDC3A9FE-ADA8-4B21-97D6-DF599F2D481F}"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92E4-4D42-911A-8A0F221F7895}"/>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4.5</c:v>
                </c:pt>
                <c:pt idx="2">
                  <c:v>4.5</c:v>
                </c:pt>
              </c:numCache>
            </c:numRef>
          </c:val>
          <c:extLst>
            <c:ext xmlns:c15="http://schemas.microsoft.com/office/drawing/2012/chart" uri="{02D57815-91ED-43cb-92C2-25804820EDAC}">
              <c15:datalabelsRange>
                <c15:f>'FEUILLE RECAP'!$AI$14:$AI$16</c15:f>
                <c15:dlblRangeCache>
                  <c:ptCount val="3"/>
                  <c:pt idx="0">
                    <c:v>90%</c:v>
                  </c:pt>
                  <c:pt idx="1">
                    <c:v>90%</c:v>
                  </c:pt>
                  <c:pt idx="2">
                    <c:v>90%</c:v>
                  </c:pt>
                </c15:dlblRangeCache>
              </c15:datalabelsRange>
            </c:ext>
            <c:ext xmlns:c16="http://schemas.microsoft.com/office/drawing/2014/chart" uri="{C3380CC4-5D6E-409C-BE32-E72D297353CC}">
              <c16:uniqueId val="{0000000A-92E4-4D42-911A-8A0F221F7895}"/>
            </c:ext>
          </c:extLst>
        </c:ser>
        <c:ser>
          <c:idx val="1"/>
          <c:order val="1"/>
          <c:spPr>
            <a:solidFill>
              <a:schemeClr val="accent4"/>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0.5</c:v>
                </c:pt>
                <c:pt idx="2">
                  <c:v>0.5</c:v>
                </c:pt>
              </c:numCache>
            </c:numRef>
          </c:val>
          <c:extLst>
            <c:ext xmlns:c16="http://schemas.microsoft.com/office/drawing/2014/chart" uri="{C3380CC4-5D6E-409C-BE32-E72D297353CC}">
              <c16:uniqueId val="{0000000B-92E4-4D42-911A-8A0F221F7895}"/>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5</xdr:col>
      <xdr:colOff>285750</xdr:colOff>
      <xdr:row>40</xdr:row>
      <xdr:rowOff>85725</xdr:rowOff>
    </xdr:from>
    <xdr:to>
      <xdr:col>8</xdr:col>
      <xdr:colOff>466725</xdr:colOff>
      <xdr:row>40</xdr:row>
      <xdr:rowOff>1581151</xdr:rowOff>
    </xdr:to>
    <xdr:grpSp>
      <xdr:nvGrpSpPr>
        <xdr:cNvPr id="71" name="Groupe 70">
          <a:extLst>
            <a:ext uri="{FF2B5EF4-FFF2-40B4-BE49-F238E27FC236}">
              <a16:creationId xmlns:a16="http://schemas.microsoft.com/office/drawing/2014/main" id="{F043587F-C3A7-4076-9F88-C3A0CB764A7D}"/>
            </a:ext>
          </a:extLst>
        </xdr:cNvPr>
        <xdr:cNvGrpSpPr/>
      </xdr:nvGrpSpPr>
      <xdr:grpSpPr>
        <a:xfrm>
          <a:off x="2505075" y="12372975"/>
          <a:ext cx="2466975" cy="1495426"/>
          <a:chOff x="2505075" y="4000499"/>
          <a:chExt cx="2880000" cy="2046339"/>
        </a:xfrm>
      </xdr:grpSpPr>
      <xdr:sp macro="" textlink="">
        <xdr:nvSpPr>
          <xdr:cNvPr id="72" name="Rectangle 71">
            <a:extLst>
              <a:ext uri="{FF2B5EF4-FFF2-40B4-BE49-F238E27FC236}">
                <a16:creationId xmlns:a16="http://schemas.microsoft.com/office/drawing/2014/main" id="{7E3ACCB8-7157-3D49-C7D0-AF9B47C27967}"/>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3" name="Rectangle 72">
            <a:extLst>
              <a:ext uri="{FF2B5EF4-FFF2-40B4-BE49-F238E27FC236}">
                <a16:creationId xmlns:a16="http://schemas.microsoft.com/office/drawing/2014/main" id="{7BC3EC65-9DE7-1383-7981-A23F4E5B0DF9}"/>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4" name="Rectangle 73">
            <a:extLst>
              <a:ext uri="{FF2B5EF4-FFF2-40B4-BE49-F238E27FC236}">
                <a16:creationId xmlns:a16="http://schemas.microsoft.com/office/drawing/2014/main" id="{B63476CC-7236-1599-BCEB-A993D619EB62}"/>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5" name="Rectangle 74">
            <a:extLst>
              <a:ext uri="{FF2B5EF4-FFF2-40B4-BE49-F238E27FC236}">
                <a16:creationId xmlns:a16="http://schemas.microsoft.com/office/drawing/2014/main" id="{98A45F57-38E1-3E58-E519-6124BD217876}"/>
              </a:ext>
            </a:extLst>
          </xdr:cNvPr>
          <xdr:cNvSpPr/>
        </xdr:nvSpPr>
        <xdr:spPr>
          <a:xfrm>
            <a:off x="2505075" y="50958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6" name="Rectangle 75">
            <a:extLst>
              <a:ext uri="{FF2B5EF4-FFF2-40B4-BE49-F238E27FC236}">
                <a16:creationId xmlns:a16="http://schemas.microsoft.com/office/drawing/2014/main" id="{517EF849-70CB-9ABB-D65D-29CB3DC63C3E}"/>
              </a:ext>
            </a:extLst>
          </xdr:cNvPr>
          <xdr:cNvSpPr/>
        </xdr:nvSpPr>
        <xdr:spPr>
          <a:xfrm>
            <a:off x="2505075" y="54673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9" name="Rectangle 78">
            <a:extLst>
              <a:ext uri="{FF2B5EF4-FFF2-40B4-BE49-F238E27FC236}">
                <a16:creationId xmlns:a16="http://schemas.microsoft.com/office/drawing/2014/main" id="{0CE12204-87AE-891E-481D-86F5240C634B}"/>
              </a:ext>
            </a:extLst>
          </xdr:cNvPr>
          <xdr:cNvSpPr/>
        </xdr:nvSpPr>
        <xdr:spPr>
          <a:xfrm>
            <a:off x="2505075" y="5822881"/>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40</xdr:row>
      <xdr:rowOff>9524</xdr:rowOff>
    </xdr:from>
    <xdr:to>
      <xdr:col>9</xdr:col>
      <xdr:colOff>219075</xdr:colOff>
      <xdr:row>40</xdr:row>
      <xdr:rowOff>1638300</xdr:rowOff>
    </xdr:to>
    <xdr:graphicFrame macro="">
      <xdr:nvGraphicFramePr>
        <xdr:cNvPr id="78" name="Graphique 77">
          <a:extLst>
            <a:ext uri="{FF2B5EF4-FFF2-40B4-BE49-F238E27FC236}">
              <a16:creationId xmlns:a16="http://schemas.microsoft.com/office/drawing/2014/main" id="{C424E37C-949B-485A-8953-E1DAF089ED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285750</xdr:colOff>
      <xdr:row>37</xdr:row>
      <xdr:rowOff>95251</xdr:rowOff>
    </xdr:from>
    <xdr:to>
      <xdr:col>8</xdr:col>
      <xdr:colOff>447750</xdr:colOff>
      <xdr:row>37</xdr:row>
      <xdr:rowOff>679670</xdr:rowOff>
    </xdr:to>
    <xdr:grpSp>
      <xdr:nvGrpSpPr>
        <xdr:cNvPr id="65" name="Groupe 64">
          <a:extLst>
            <a:ext uri="{FF2B5EF4-FFF2-40B4-BE49-F238E27FC236}">
              <a16:creationId xmlns:a16="http://schemas.microsoft.com/office/drawing/2014/main" id="{D29F7211-1F9E-457B-AC02-A3F42C4EA36C}"/>
            </a:ext>
          </a:extLst>
        </xdr:cNvPr>
        <xdr:cNvGrpSpPr/>
      </xdr:nvGrpSpPr>
      <xdr:grpSpPr>
        <a:xfrm>
          <a:off x="2505075" y="11325226"/>
          <a:ext cx="2448000" cy="584419"/>
          <a:chOff x="2505075" y="2447925"/>
          <a:chExt cx="2448000" cy="605475"/>
        </a:xfrm>
      </xdr:grpSpPr>
      <xdr:sp macro="" textlink="">
        <xdr:nvSpPr>
          <xdr:cNvPr id="66" name="Rectangle 65">
            <a:extLst>
              <a:ext uri="{FF2B5EF4-FFF2-40B4-BE49-F238E27FC236}">
                <a16:creationId xmlns:a16="http://schemas.microsoft.com/office/drawing/2014/main" id="{282C1EA3-0D51-BF6B-1E40-4CCC1EB93DA6}"/>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7" name="Rectangle 66">
            <a:extLst>
              <a:ext uri="{FF2B5EF4-FFF2-40B4-BE49-F238E27FC236}">
                <a16:creationId xmlns:a16="http://schemas.microsoft.com/office/drawing/2014/main" id="{E51D3C75-3EA1-44A2-109B-1FB96BA80CE4}"/>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37</xdr:row>
      <xdr:rowOff>9524</xdr:rowOff>
    </xdr:from>
    <xdr:to>
      <xdr:col>9</xdr:col>
      <xdr:colOff>219075</xdr:colOff>
      <xdr:row>37</xdr:row>
      <xdr:rowOff>1504949</xdr:rowOff>
    </xdr:to>
    <xdr:graphicFrame macro="">
      <xdr:nvGraphicFramePr>
        <xdr:cNvPr id="70" name="Graphique 69">
          <a:extLst>
            <a:ext uri="{FF2B5EF4-FFF2-40B4-BE49-F238E27FC236}">
              <a16:creationId xmlns:a16="http://schemas.microsoft.com/office/drawing/2014/main" id="{918F7788-2288-409C-A2F0-3A02AC115A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285750</xdr:colOff>
      <xdr:row>34</xdr:row>
      <xdr:rowOff>76197</xdr:rowOff>
    </xdr:from>
    <xdr:to>
      <xdr:col>8</xdr:col>
      <xdr:colOff>466725</xdr:colOff>
      <xdr:row>34</xdr:row>
      <xdr:rowOff>1282197</xdr:rowOff>
    </xdr:to>
    <xdr:grpSp>
      <xdr:nvGrpSpPr>
        <xdr:cNvPr id="57" name="Groupe 56">
          <a:extLst>
            <a:ext uri="{FF2B5EF4-FFF2-40B4-BE49-F238E27FC236}">
              <a16:creationId xmlns:a16="http://schemas.microsoft.com/office/drawing/2014/main" id="{9290DE17-FD4D-402F-A902-0F503CD15C92}"/>
            </a:ext>
          </a:extLst>
        </xdr:cNvPr>
        <xdr:cNvGrpSpPr/>
      </xdr:nvGrpSpPr>
      <xdr:grpSpPr>
        <a:xfrm>
          <a:off x="2505075" y="9658347"/>
          <a:ext cx="2466975" cy="1206000"/>
          <a:chOff x="2505075" y="4000499"/>
          <a:chExt cx="2880000" cy="1330912"/>
        </a:xfrm>
      </xdr:grpSpPr>
      <xdr:sp macro="" textlink="">
        <xdr:nvSpPr>
          <xdr:cNvPr id="58" name="Rectangle 57">
            <a:extLst>
              <a:ext uri="{FF2B5EF4-FFF2-40B4-BE49-F238E27FC236}">
                <a16:creationId xmlns:a16="http://schemas.microsoft.com/office/drawing/2014/main" id="{8AFB49D8-B0F0-45BD-3BA8-35000692874E}"/>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9" name="Rectangle 58">
            <a:extLst>
              <a:ext uri="{FF2B5EF4-FFF2-40B4-BE49-F238E27FC236}">
                <a16:creationId xmlns:a16="http://schemas.microsoft.com/office/drawing/2014/main" id="{3A937C02-B04B-85D9-EB3E-8139722F4EA7}"/>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0" name="Rectangle 59">
            <a:extLst>
              <a:ext uri="{FF2B5EF4-FFF2-40B4-BE49-F238E27FC236}">
                <a16:creationId xmlns:a16="http://schemas.microsoft.com/office/drawing/2014/main" id="{8E739C07-019D-7155-B825-497E39ABA7AD}"/>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1" name="Rectangle 60">
            <a:extLst>
              <a:ext uri="{FF2B5EF4-FFF2-40B4-BE49-F238E27FC236}">
                <a16:creationId xmlns:a16="http://schemas.microsoft.com/office/drawing/2014/main" id="{3B9D64F4-91E4-4F7A-4717-14DCF2D1ED10}"/>
              </a:ext>
            </a:extLst>
          </xdr:cNvPr>
          <xdr:cNvSpPr/>
        </xdr:nvSpPr>
        <xdr:spPr>
          <a:xfrm>
            <a:off x="2505075" y="510745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34</xdr:row>
      <xdr:rowOff>9524</xdr:rowOff>
    </xdr:from>
    <xdr:to>
      <xdr:col>9</xdr:col>
      <xdr:colOff>219075</xdr:colOff>
      <xdr:row>34</xdr:row>
      <xdr:rowOff>1504949</xdr:rowOff>
    </xdr:to>
    <xdr:graphicFrame macro="">
      <xdr:nvGraphicFramePr>
        <xdr:cNvPr id="64" name="Graphique 63">
          <a:extLst>
            <a:ext uri="{FF2B5EF4-FFF2-40B4-BE49-F238E27FC236}">
              <a16:creationId xmlns:a16="http://schemas.microsoft.com/office/drawing/2014/main" id="{45487B9D-6F19-471F-963F-28D8D11752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304800</xdr:colOff>
      <xdr:row>31</xdr:row>
      <xdr:rowOff>104775</xdr:rowOff>
    </xdr:from>
    <xdr:to>
      <xdr:col>8</xdr:col>
      <xdr:colOff>466725</xdr:colOff>
      <xdr:row>31</xdr:row>
      <xdr:rowOff>390525</xdr:rowOff>
    </xdr:to>
    <xdr:sp macro="" textlink="">
      <xdr:nvSpPr>
        <xdr:cNvPr id="56" name="Rectangle 55">
          <a:extLst>
            <a:ext uri="{FF2B5EF4-FFF2-40B4-BE49-F238E27FC236}">
              <a16:creationId xmlns:a16="http://schemas.microsoft.com/office/drawing/2014/main" id="{74DC0290-7D74-9D8F-9DF4-6F568C09C14F}"/>
            </a:ext>
          </a:extLst>
        </xdr:cNvPr>
        <xdr:cNvSpPr/>
      </xdr:nvSpPr>
      <xdr:spPr>
        <a:xfrm>
          <a:off x="2524125" y="7505700"/>
          <a:ext cx="2447925" cy="28575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285750</xdr:colOff>
      <xdr:row>28</xdr:row>
      <xdr:rowOff>95250</xdr:rowOff>
    </xdr:from>
    <xdr:to>
      <xdr:col>8</xdr:col>
      <xdr:colOff>447750</xdr:colOff>
      <xdr:row>28</xdr:row>
      <xdr:rowOff>1072200</xdr:rowOff>
    </xdr:to>
    <xdr:grpSp>
      <xdr:nvGrpSpPr>
        <xdr:cNvPr id="52" name="Groupe 51">
          <a:extLst>
            <a:ext uri="{FF2B5EF4-FFF2-40B4-BE49-F238E27FC236}">
              <a16:creationId xmlns:a16="http://schemas.microsoft.com/office/drawing/2014/main" id="{F9D4E88B-E09A-7550-F798-5456A0A13F79}"/>
            </a:ext>
          </a:extLst>
        </xdr:cNvPr>
        <xdr:cNvGrpSpPr/>
      </xdr:nvGrpSpPr>
      <xdr:grpSpPr>
        <a:xfrm>
          <a:off x="2505075" y="7477125"/>
          <a:ext cx="2448000" cy="976950"/>
          <a:chOff x="2505075" y="2447925"/>
          <a:chExt cx="2448000" cy="976950"/>
        </a:xfrm>
      </xdr:grpSpPr>
      <xdr:sp macro="" textlink="">
        <xdr:nvSpPr>
          <xdr:cNvPr id="53" name="Rectangle 52">
            <a:extLst>
              <a:ext uri="{FF2B5EF4-FFF2-40B4-BE49-F238E27FC236}">
                <a16:creationId xmlns:a16="http://schemas.microsoft.com/office/drawing/2014/main" id="{2D514D94-D42D-1DC2-E963-49FAABBE776D}"/>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4" name="Rectangle 53">
            <a:extLst>
              <a:ext uri="{FF2B5EF4-FFF2-40B4-BE49-F238E27FC236}">
                <a16:creationId xmlns:a16="http://schemas.microsoft.com/office/drawing/2014/main" id="{74A3A405-69D0-B171-1806-14C39C3E8ADB}"/>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5" name="Rectangle 54">
            <a:extLst>
              <a:ext uri="{FF2B5EF4-FFF2-40B4-BE49-F238E27FC236}">
                <a16:creationId xmlns:a16="http://schemas.microsoft.com/office/drawing/2014/main" id="{864C4803-7B04-7AC9-84FD-7E7CF25562F4}"/>
              </a:ext>
            </a:extLst>
          </xdr:cNvPr>
          <xdr:cNvSpPr/>
        </xdr:nvSpPr>
        <xdr:spPr>
          <a:xfrm>
            <a:off x="2505075" y="319087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5</xdr:col>
      <xdr:colOff>285750</xdr:colOff>
      <xdr:row>22</xdr:row>
      <xdr:rowOff>85725</xdr:rowOff>
    </xdr:from>
    <xdr:to>
      <xdr:col>8</xdr:col>
      <xdr:colOff>447750</xdr:colOff>
      <xdr:row>22</xdr:row>
      <xdr:rowOff>1044675</xdr:rowOff>
    </xdr:to>
    <xdr:grpSp>
      <xdr:nvGrpSpPr>
        <xdr:cNvPr id="43" name="Groupe 42">
          <a:extLst>
            <a:ext uri="{FF2B5EF4-FFF2-40B4-BE49-F238E27FC236}">
              <a16:creationId xmlns:a16="http://schemas.microsoft.com/office/drawing/2014/main" id="{F63778F2-8987-FF60-F3E8-9F3C5FB85169}"/>
            </a:ext>
          </a:extLst>
        </xdr:cNvPr>
        <xdr:cNvGrpSpPr/>
      </xdr:nvGrpSpPr>
      <xdr:grpSpPr>
        <a:xfrm>
          <a:off x="2505075" y="4210050"/>
          <a:ext cx="2448000" cy="958950"/>
          <a:chOff x="2505075" y="2447925"/>
          <a:chExt cx="2448000" cy="958950"/>
        </a:xfrm>
      </xdr:grpSpPr>
      <xdr:sp macro="" textlink="">
        <xdr:nvSpPr>
          <xdr:cNvPr id="37" name="Rectangle 36">
            <a:extLst>
              <a:ext uri="{FF2B5EF4-FFF2-40B4-BE49-F238E27FC236}">
                <a16:creationId xmlns:a16="http://schemas.microsoft.com/office/drawing/2014/main" id="{DC2DCC77-1DEF-BDCF-A1B0-217ED55CC93B}"/>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Rectangle 37">
            <a:extLst>
              <a:ext uri="{FF2B5EF4-FFF2-40B4-BE49-F238E27FC236}">
                <a16:creationId xmlns:a16="http://schemas.microsoft.com/office/drawing/2014/main" id="{FB0474E1-272C-989C-C1A3-12DC7E3A80EB}"/>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9" name="Rectangle 38">
            <a:extLst>
              <a:ext uri="{FF2B5EF4-FFF2-40B4-BE49-F238E27FC236}">
                <a16:creationId xmlns:a16="http://schemas.microsoft.com/office/drawing/2014/main" id="{687D2047-DC54-B0BE-8F7F-F6F75BB89FC8}"/>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22</xdr:row>
      <xdr:rowOff>0</xdr:rowOff>
    </xdr:from>
    <xdr:to>
      <xdr:col>9</xdr:col>
      <xdr:colOff>219075</xdr:colOff>
      <xdr:row>22</xdr:row>
      <xdr:rowOff>1123950</xdr:rowOff>
    </xdr:to>
    <xdr:graphicFrame macro="">
      <xdr:nvGraphicFramePr>
        <xdr:cNvPr id="27" name="Graphique 26">
          <a:extLst>
            <a:ext uri="{FF2B5EF4-FFF2-40B4-BE49-F238E27FC236}">
              <a16:creationId xmlns:a16="http://schemas.microsoft.com/office/drawing/2014/main" id="{356737E9-59FB-4B2A-8843-853A354601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285750</xdr:colOff>
      <xdr:row>25</xdr:row>
      <xdr:rowOff>85724</xdr:rowOff>
    </xdr:from>
    <xdr:to>
      <xdr:col>8</xdr:col>
      <xdr:colOff>466725</xdr:colOff>
      <xdr:row>25</xdr:row>
      <xdr:rowOff>1444669</xdr:rowOff>
    </xdr:to>
    <xdr:grpSp>
      <xdr:nvGrpSpPr>
        <xdr:cNvPr id="51" name="Groupe 50">
          <a:extLst>
            <a:ext uri="{FF2B5EF4-FFF2-40B4-BE49-F238E27FC236}">
              <a16:creationId xmlns:a16="http://schemas.microsoft.com/office/drawing/2014/main" id="{6F63972B-9257-9179-B393-6FD9247BFA70}"/>
            </a:ext>
          </a:extLst>
        </xdr:cNvPr>
        <xdr:cNvGrpSpPr/>
      </xdr:nvGrpSpPr>
      <xdr:grpSpPr>
        <a:xfrm>
          <a:off x="2505075" y="5648324"/>
          <a:ext cx="2466975" cy="1358945"/>
          <a:chOff x="2505075" y="4000499"/>
          <a:chExt cx="2880000" cy="1690807"/>
        </a:xfrm>
      </xdr:grpSpPr>
      <xdr:sp macro="" textlink="">
        <xdr:nvSpPr>
          <xdr:cNvPr id="40" name="Rectangle 39">
            <a:extLst>
              <a:ext uri="{FF2B5EF4-FFF2-40B4-BE49-F238E27FC236}">
                <a16:creationId xmlns:a16="http://schemas.microsoft.com/office/drawing/2014/main" id="{F9B4879F-BA0F-4FB7-BD0C-5BF190FE4905}"/>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1" name="Rectangle 40">
            <a:extLst>
              <a:ext uri="{FF2B5EF4-FFF2-40B4-BE49-F238E27FC236}">
                <a16:creationId xmlns:a16="http://schemas.microsoft.com/office/drawing/2014/main" id="{1B20C207-7C34-4D3A-9440-3F5EF16071C5}"/>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2" name="Rectangle 41">
            <a:extLst>
              <a:ext uri="{FF2B5EF4-FFF2-40B4-BE49-F238E27FC236}">
                <a16:creationId xmlns:a16="http://schemas.microsoft.com/office/drawing/2014/main" id="{5F60DFA4-6A28-4E82-BE15-E2EE970513A9}"/>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4" name="Rectangle 43">
            <a:extLst>
              <a:ext uri="{FF2B5EF4-FFF2-40B4-BE49-F238E27FC236}">
                <a16:creationId xmlns:a16="http://schemas.microsoft.com/office/drawing/2014/main" id="{93D248CB-0EAC-933E-E6B4-703B2B6DD555}"/>
              </a:ext>
            </a:extLst>
          </xdr:cNvPr>
          <xdr:cNvSpPr/>
        </xdr:nvSpPr>
        <xdr:spPr>
          <a:xfrm>
            <a:off x="2505075" y="50958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 name="Rectangle 44">
            <a:extLst>
              <a:ext uri="{FF2B5EF4-FFF2-40B4-BE49-F238E27FC236}">
                <a16:creationId xmlns:a16="http://schemas.microsoft.com/office/drawing/2014/main" id="{1ED7F45B-A668-26FD-C7D9-6B207E43DF95}"/>
              </a:ext>
            </a:extLst>
          </xdr:cNvPr>
          <xdr:cNvSpPr/>
        </xdr:nvSpPr>
        <xdr:spPr>
          <a:xfrm>
            <a:off x="2505075" y="54673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6</xdr:col>
      <xdr:colOff>209551</xdr:colOff>
      <xdr:row>6</xdr:row>
      <xdr:rowOff>0</xdr:rowOff>
    </xdr:from>
    <xdr:to>
      <xdr:col>10</xdr:col>
      <xdr:colOff>209551</xdr:colOff>
      <xdr:row>11</xdr:row>
      <xdr:rowOff>60825</xdr:rowOff>
    </xdr:to>
    <xdr:graphicFrame macro="">
      <xdr:nvGraphicFramePr>
        <xdr:cNvPr id="3" name="Graphique 2">
          <a:extLst>
            <a:ext uri="{FF2B5EF4-FFF2-40B4-BE49-F238E27FC236}">
              <a16:creationId xmlns:a16="http://schemas.microsoft.com/office/drawing/2014/main" id="{2561ED34-A936-4EB3-916B-B66850F60A7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238126</xdr:colOff>
      <xdr:row>22</xdr:row>
      <xdr:rowOff>9524</xdr:rowOff>
    </xdr:from>
    <xdr:to>
      <xdr:col>11</xdr:col>
      <xdr:colOff>9526</xdr:colOff>
      <xdr:row>22</xdr:row>
      <xdr:rowOff>1133475</xdr:rowOff>
    </xdr:to>
    <xdr:sp macro="" textlink="$AJ$16">
      <xdr:nvSpPr>
        <xdr:cNvPr id="10" name="ZoneTexte 9">
          <a:extLst>
            <a:ext uri="{FF2B5EF4-FFF2-40B4-BE49-F238E27FC236}">
              <a16:creationId xmlns:a16="http://schemas.microsoft.com/office/drawing/2014/main" id="{77157F68-32C1-439C-B847-BFE6CC61A3D9}"/>
            </a:ext>
          </a:extLst>
        </xdr:cNvPr>
        <xdr:cNvSpPr txBox="1"/>
      </xdr:nvSpPr>
      <xdr:spPr>
        <a:xfrm>
          <a:off x="5505451" y="2371724"/>
          <a:ext cx="1295400" cy="1123951"/>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6BB660CE-4D58-4E7C-AA6D-3DD19DCB86FB}" type="TxLink">
            <a:rPr lang="en-US" sz="2400" b="1" i="0" u="none" strike="noStrike">
              <a:solidFill>
                <a:srgbClr val="FFFFFF"/>
              </a:solidFill>
              <a:effectLst/>
              <a:latin typeface="Calibri"/>
              <a:ea typeface="Calibri"/>
              <a:cs typeface="Calibri"/>
            </a:rPr>
            <a:pPr marL="0" indent="0" algn="ctr"/>
            <a:t>13,5/15</a:t>
          </a:fld>
          <a:endParaRPr lang="en-US" sz="8800" b="1" i="0" u="none" strike="noStrike">
            <a:solidFill>
              <a:schemeClr val="bg1"/>
            </a:solidFill>
            <a:effectLst/>
            <a:latin typeface="Calibri"/>
            <a:ea typeface="Calibri"/>
            <a:cs typeface="Calibri"/>
          </a:endParaRPr>
        </a:p>
      </xdr:txBody>
    </xdr:sp>
    <xdr:clientData/>
  </xdr:twoCellAnchor>
  <xdr:twoCellAnchor>
    <xdr:from>
      <xdr:col>9</xdr:col>
      <xdr:colOff>247650</xdr:colOff>
      <xdr:row>25</xdr:row>
      <xdr:rowOff>9524</xdr:rowOff>
    </xdr:from>
    <xdr:to>
      <xdr:col>11</xdr:col>
      <xdr:colOff>9525</xdr:colOff>
      <xdr:row>26</xdr:row>
      <xdr:rowOff>0</xdr:rowOff>
    </xdr:to>
    <xdr:sp macro="" textlink="$AJ$21">
      <xdr:nvSpPr>
        <xdr:cNvPr id="20" name="ZoneTexte 19">
          <a:extLst>
            <a:ext uri="{FF2B5EF4-FFF2-40B4-BE49-F238E27FC236}">
              <a16:creationId xmlns:a16="http://schemas.microsoft.com/office/drawing/2014/main" id="{BD8005D0-0CD3-4767-B8E3-6AE8989C7F78}"/>
            </a:ext>
          </a:extLst>
        </xdr:cNvPr>
        <xdr:cNvSpPr txBox="1"/>
      </xdr:nvSpPr>
      <xdr:spPr>
        <a:xfrm>
          <a:off x="5514975" y="3924299"/>
          <a:ext cx="1285875" cy="1514476"/>
        </a:xfrm>
        <a:prstGeom prst="rect">
          <a:avLst/>
        </a:prstGeom>
        <a:solidFill>
          <a:schemeClr val="accent3">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882CB709-21B4-4BF0-86F4-98FF9F1BD791}" type="TxLink">
            <a:rPr lang="en-US" sz="2400" b="1" i="0" u="none" strike="noStrike">
              <a:solidFill>
                <a:schemeClr val="bg1"/>
              </a:solidFill>
              <a:effectLst/>
              <a:latin typeface="Calibri"/>
              <a:ea typeface="Calibri"/>
              <a:cs typeface="Calibri"/>
            </a:rPr>
            <a:pPr marL="0" indent="0" algn="ctr"/>
            <a:t>22,5/50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25</xdr:row>
      <xdr:rowOff>9524</xdr:rowOff>
    </xdr:from>
    <xdr:to>
      <xdr:col>9</xdr:col>
      <xdr:colOff>219075</xdr:colOff>
      <xdr:row>25</xdr:row>
      <xdr:rowOff>1504949</xdr:rowOff>
    </xdr:to>
    <xdr:graphicFrame macro="">
      <xdr:nvGraphicFramePr>
        <xdr:cNvPr id="28" name="Graphique 27">
          <a:extLst>
            <a:ext uri="{FF2B5EF4-FFF2-40B4-BE49-F238E27FC236}">
              <a16:creationId xmlns:a16="http://schemas.microsoft.com/office/drawing/2014/main" id="{4CD99017-3C03-4B84-DE0A-EE543917F0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247650</xdr:colOff>
      <xdr:row>28</xdr:row>
      <xdr:rowOff>9524</xdr:rowOff>
    </xdr:from>
    <xdr:to>
      <xdr:col>11</xdr:col>
      <xdr:colOff>9525</xdr:colOff>
      <xdr:row>29</xdr:row>
      <xdr:rowOff>0</xdr:rowOff>
    </xdr:to>
    <xdr:sp macro="" textlink="$AJ$24">
      <xdr:nvSpPr>
        <xdr:cNvPr id="29" name="ZoneTexte 28">
          <a:extLst>
            <a:ext uri="{FF2B5EF4-FFF2-40B4-BE49-F238E27FC236}">
              <a16:creationId xmlns:a16="http://schemas.microsoft.com/office/drawing/2014/main" id="{8C344F7F-051E-412D-ADE5-3552AA080E36}"/>
            </a:ext>
          </a:extLst>
        </xdr:cNvPr>
        <xdr:cNvSpPr txBox="1"/>
      </xdr:nvSpPr>
      <xdr:spPr>
        <a:xfrm>
          <a:off x="5514975" y="3924299"/>
          <a:ext cx="1285875" cy="1514476"/>
        </a:xfrm>
        <a:prstGeom prst="rect">
          <a:avLst/>
        </a:prstGeom>
        <a:solidFill>
          <a:schemeClr val="accent3"/>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A162EF7C-83E7-4B8B-BA58-3A60928AC0CE}" type="TxLink">
            <a:rPr lang="en-US" sz="2400" b="1" i="0" u="none" strike="noStrike">
              <a:solidFill>
                <a:schemeClr val="bg1"/>
              </a:solidFill>
              <a:effectLst/>
              <a:latin typeface="Calibri"/>
              <a:ea typeface="Calibri"/>
              <a:cs typeface="Calibri"/>
            </a:rPr>
            <a:pPr marL="0" indent="0" algn="ctr"/>
            <a:t>0/30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28</xdr:row>
      <xdr:rowOff>9524</xdr:rowOff>
    </xdr:from>
    <xdr:to>
      <xdr:col>9</xdr:col>
      <xdr:colOff>219075</xdr:colOff>
      <xdr:row>28</xdr:row>
      <xdr:rowOff>1504949</xdr:rowOff>
    </xdr:to>
    <xdr:graphicFrame macro="">
      <xdr:nvGraphicFramePr>
        <xdr:cNvPr id="30" name="Graphique 29">
          <a:extLst>
            <a:ext uri="{FF2B5EF4-FFF2-40B4-BE49-F238E27FC236}">
              <a16:creationId xmlns:a16="http://schemas.microsoft.com/office/drawing/2014/main" id="{B55525FF-1113-497A-8C45-CC873596E5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9</xdr:col>
      <xdr:colOff>247650</xdr:colOff>
      <xdr:row>31</xdr:row>
      <xdr:rowOff>9524</xdr:rowOff>
    </xdr:from>
    <xdr:to>
      <xdr:col>11</xdr:col>
      <xdr:colOff>9525</xdr:colOff>
      <xdr:row>32</xdr:row>
      <xdr:rowOff>0</xdr:rowOff>
    </xdr:to>
    <xdr:sp macro="" textlink="$AJ$25">
      <xdr:nvSpPr>
        <xdr:cNvPr id="33" name="ZoneTexte 32">
          <a:extLst>
            <a:ext uri="{FF2B5EF4-FFF2-40B4-BE49-F238E27FC236}">
              <a16:creationId xmlns:a16="http://schemas.microsoft.com/office/drawing/2014/main" id="{D5368159-0911-4253-AAEE-9FD36BF81727}"/>
            </a:ext>
          </a:extLst>
        </xdr:cNvPr>
        <xdr:cNvSpPr txBox="1"/>
      </xdr:nvSpPr>
      <xdr:spPr>
        <a:xfrm>
          <a:off x="5514975" y="5857874"/>
          <a:ext cx="1285875" cy="1133476"/>
        </a:xfrm>
        <a:prstGeom prst="rect">
          <a:avLst/>
        </a:prstGeom>
        <a:solidFill>
          <a:schemeClr val="accent3">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3B985643-076C-445A-9663-8DE5522FD7E7}" type="TxLink">
            <a:rPr lang="en-US" sz="2400" b="1" i="0" u="none" strike="noStrike">
              <a:solidFill>
                <a:schemeClr val="bg1"/>
              </a:solidFill>
              <a:effectLst/>
              <a:latin typeface="Calibri"/>
              <a:ea typeface="Calibri"/>
              <a:cs typeface="Calibri"/>
            </a:rPr>
            <a:pPr marL="0" indent="0" algn="ctr"/>
            <a:t>0/30</a:t>
          </a:fld>
          <a:endParaRPr lang="en-US" sz="6000" b="1" i="0" u="none" strike="noStrike">
            <a:solidFill>
              <a:schemeClr val="bg1"/>
            </a:solidFill>
            <a:effectLst/>
            <a:latin typeface="Calibri"/>
            <a:ea typeface="Calibri"/>
            <a:cs typeface="Calibri"/>
          </a:endParaRPr>
        </a:p>
      </xdr:txBody>
    </xdr:sp>
    <xdr:clientData/>
  </xdr:twoCellAnchor>
  <xdr:twoCellAnchor>
    <xdr:from>
      <xdr:col>4</xdr:col>
      <xdr:colOff>19049</xdr:colOff>
      <xdr:row>31</xdr:row>
      <xdr:rowOff>9524</xdr:rowOff>
    </xdr:from>
    <xdr:to>
      <xdr:col>9</xdr:col>
      <xdr:colOff>219075</xdr:colOff>
      <xdr:row>31</xdr:row>
      <xdr:rowOff>1504949</xdr:rowOff>
    </xdr:to>
    <xdr:graphicFrame macro="">
      <xdr:nvGraphicFramePr>
        <xdr:cNvPr id="34" name="Graphique 33">
          <a:extLst>
            <a:ext uri="{FF2B5EF4-FFF2-40B4-BE49-F238E27FC236}">
              <a16:creationId xmlns:a16="http://schemas.microsoft.com/office/drawing/2014/main" id="{23E70746-E13D-4354-A71F-01CB1258D9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9</xdr:col>
      <xdr:colOff>247650</xdr:colOff>
      <xdr:row>34</xdr:row>
      <xdr:rowOff>9524</xdr:rowOff>
    </xdr:from>
    <xdr:to>
      <xdr:col>11</xdr:col>
      <xdr:colOff>9525</xdr:colOff>
      <xdr:row>35</xdr:row>
      <xdr:rowOff>0</xdr:rowOff>
    </xdr:to>
    <xdr:sp macro="" textlink="$AJ$29">
      <xdr:nvSpPr>
        <xdr:cNvPr id="63" name="ZoneTexte 62">
          <a:extLst>
            <a:ext uri="{FF2B5EF4-FFF2-40B4-BE49-F238E27FC236}">
              <a16:creationId xmlns:a16="http://schemas.microsoft.com/office/drawing/2014/main" id="{40B51076-D5B9-4A36-8C20-ED43804DF1D7}"/>
            </a:ext>
          </a:extLst>
        </xdr:cNvPr>
        <xdr:cNvSpPr txBox="1"/>
      </xdr:nvSpPr>
      <xdr:spPr>
        <a:xfrm>
          <a:off x="5514975" y="3924299"/>
          <a:ext cx="1285875" cy="1514476"/>
        </a:xfrm>
        <a:prstGeom prst="rect">
          <a:avLst/>
        </a:prstGeom>
        <a:solidFill>
          <a:srgbClr val="78B5C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6CFFB15D-F626-4BCD-A89E-01BD8536DB47}" type="TxLink">
            <a:rPr lang="en-US" sz="2400" b="1" i="0" u="none" strike="noStrike">
              <a:solidFill>
                <a:schemeClr val="bg1"/>
              </a:solidFill>
              <a:effectLst/>
              <a:latin typeface="Calibri"/>
              <a:ea typeface="Calibri"/>
              <a:cs typeface="Calibri"/>
            </a:rPr>
            <a:pPr marL="0" indent="0" algn="ctr"/>
            <a:t>0/40</a:t>
          </a:fld>
          <a:endParaRPr lang="en-US" sz="16600" b="1" i="0" u="none" strike="noStrike">
            <a:solidFill>
              <a:schemeClr val="bg1"/>
            </a:solidFill>
            <a:effectLst/>
            <a:latin typeface="Calibri"/>
            <a:ea typeface="Calibri"/>
            <a:cs typeface="Calibri"/>
          </a:endParaRPr>
        </a:p>
      </xdr:txBody>
    </xdr:sp>
    <xdr:clientData/>
  </xdr:twoCellAnchor>
  <xdr:twoCellAnchor>
    <xdr:from>
      <xdr:col>9</xdr:col>
      <xdr:colOff>247650</xdr:colOff>
      <xdr:row>37</xdr:row>
      <xdr:rowOff>9524</xdr:rowOff>
    </xdr:from>
    <xdr:to>
      <xdr:col>11</xdr:col>
      <xdr:colOff>9525</xdr:colOff>
      <xdr:row>38</xdr:row>
      <xdr:rowOff>0</xdr:rowOff>
    </xdr:to>
    <xdr:sp macro="" textlink="$AJ$31">
      <xdr:nvSpPr>
        <xdr:cNvPr id="69" name="ZoneTexte 68">
          <a:extLst>
            <a:ext uri="{FF2B5EF4-FFF2-40B4-BE49-F238E27FC236}">
              <a16:creationId xmlns:a16="http://schemas.microsoft.com/office/drawing/2014/main" id="{BF474A32-A225-4F32-BB32-DE5FBBCBC998}"/>
            </a:ext>
          </a:extLst>
        </xdr:cNvPr>
        <xdr:cNvSpPr txBox="1"/>
      </xdr:nvSpPr>
      <xdr:spPr>
        <a:xfrm>
          <a:off x="5514975" y="5619749"/>
          <a:ext cx="1285875" cy="1133476"/>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DC672689-385B-4B12-BC6B-F26C107DDBAE}" type="TxLink">
            <a:rPr lang="en-US" sz="2400" b="1" i="0" u="none" strike="noStrike">
              <a:solidFill>
                <a:schemeClr val="bg1"/>
              </a:solidFill>
              <a:effectLst/>
              <a:latin typeface="Calibri"/>
              <a:ea typeface="Calibri"/>
              <a:cs typeface="Calibri"/>
            </a:rPr>
            <a:pPr marL="0" indent="0" algn="ctr"/>
            <a:t>0/20</a:t>
          </a:fld>
          <a:endParaRPr lang="en-US" sz="16600" b="1" i="0" u="none" strike="noStrike">
            <a:solidFill>
              <a:schemeClr val="bg1"/>
            </a:solidFill>
            <a:effectLst/>
            <a:latin typeface="Calibri"/>
            <a:ea typeface="Calibri"/>
            <a:cs typeface="Calibri"/>
          </a:endParaRPr>
        </a:p>
      </xdr:txBody>
    </xdr:sp>
    <xdr:clientData/>
  </xdr:twoCellAnchor>
  <xdr:twoCellAnchor>
    <xdr:from>
      <xdr:col>9</xdr:col>
      <xdr:colOff>247650</xdr:colOff>
      <xdr:row>40</xdr:row>
      <xdr:rowOff>9524</xdr:rowOff>
    </xdr:from>
    <xdr:to>
      <xdr:col>11</xdr:col>
      <xdr:colOff>9525</xdr:colOff>
      <xdr:row>41</xdr:row>
      <xdr:rowOff>0</xdr:rowOff>
    </xdr:to>
    <xdr:sp macro="" textlink="$AJ$37">
      <xdr:nvSpPr>
        <xdr:cNvPr id="77" name="ZoneTexte 76">
          <a:extLst>
            <a:ext uri="{FF2B5EF4-FFF2-40B4-BE49-F238E27FC236}">
              <a16:creationId xmlns:a16="http://schemas.microsoft.com/office/drawing/2014/main" id="{CC14A047-5614-456F-A7F8-7043505E480A}"/>
            </a:ext>
          </a:extLst>
        </xdr:cNvPr>
        <xdr:cNvSpPr txBox="1"/>
      </xdr:nvSpPr>
      <xdr:spPr>
        <a:xfrm>
          <a:off x="5514975" y="3809999"/>
          <a:ext cx="1285875" cy="1514476"/>
        </a:xfrm>
        <a:prstGeom prst="rect">
          <a:avLst/>
        </a:prstGeom>
        <a:solidFill>
          <a:schemeClr val="accent6">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1B538041-D9B5-4FC2-BA7F-047530FB5B2B}" type="TxLink">
            <a:rPr lang="en-US" sz="2400" b="1" i="0" u="none" strike="noStrike">
              <a:solidFill>
                <a:schemeClr val="bg1"/>
              </a:solidFill>
              <a:effectLst/>
              <a:latin typeface="Calibri"/>
              <a:ea typeface="Calibri"/>
              <a:cs typeface="Calibri"/>
            </a:rPr>
            <a:pPr marL="0" indent="0" algn="ctr"/>
            <a:t>0/60</a:t>
          </a:fld>
          <a:endParaRPr lang="en-US" sz="16600" b="1" i="0" u="none" strike="noStrike">
            <a:solidFill>
              <a:schemeClr val="bg1"/>
            </a:solidFill>
            <a:effectLst/>
            <a:latin typeface="Calibri"/>
            <a:ea typeface="Calibri"/>
            <a:cs typeface="Calibri"/>
          </a:endParaRPr>
        </a:p>
      </xdr:txBody>
    </xdr:sp>
    <xdr:clientData/>
  </xdr:twoCellAnchor>
  <xdr:twoCellAnchor>
    <xdr:from>
      <xdr:col>5</xdr:col>
      <xdr:colOff>304800</xdr:colOff>
      <xdr:row>43</xdr:row>
      <xdr:rowOff>104775</xdr:rowOff>
    </xdr:from>
    <xdr:to>
      <xdr:col>8</xdr:col>
      <xdr:colOff>466725</xdr:colOff>
      <xdr:row>43</xdr:row>
      <xdr:rowOff>390525</xdr:rowOff>
    </xdr:to>
    <xdr:sp macro="" textlink="">
      <xdr:nvSpPr>
        <xdr:cNvPr id="80" name="Rectangle 79">
          <a:extLst>
            <a:ext uri="{FF2B5EF4-FFF2-40B4-BE49-F238E27FC236}">
              <a16:creationId xmlns:a16="http://schemas.microsoft.com/office/drawing/2014/main" id="{1E1043E9-F92D-46CF-B780-729813283994}"/>
            </a:ext>
          </a:extLst>
        </xdr:cNvPr>
        <xdr:cNvSpPr/>
      </xdr:nvSpPr>
      <xdr:spPr>
        <a:xfrm>
          <a:off x="2524125" y="7134225"/>
          <a:ext cx="2447925" cy="28575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247650</xdr:colOff>
      <xdr:row>43</xdr:row>
      <xdr:rowOff>9524</xdr:rowOff>
    </xdr:from>
    <xdr:to>
      <xdr:col>11</xdr:col>
      <xdr:colOff>9525</xdr:colOff>
      <xdr:row>44</xdr:row>
      <xdr:rowOff>0</xdr:rowOff>
    </xdr:to>
    <xdr:sp macro="" textlink="$AJ$38">
      <xdr:nvSpPr>
        <xdr:cNvPr id="81" name="ZoneTexte 80">
          <a:extLst>
            <a:ext uri="{FF2B5EF4-FFF2-40B4-BE49-F238E27FC236}">
              <a16:creationId xmlns:a16="http://schemas.microsoft.com/office/drawing/2014/main" id="{DCF54706-1819-4A44-8794-C0D03C74F5AE}"/>
            </a:ext>
          </a:extLst>
        </xdr:cNvPr>
        <xdr:cNvSpPr txBox="1"/>
      </xdr:nvSpPr>
      <xdr:spPr>
        <a:xfrm>
          <a:off x="5514975" y="7038974"/>
          <a:ext cx="1285875" cy="457201"/>
        </a:xfrm>
        <a:prstGeom prst="rect">
          <a:avLst/>
        </a:prstGeom>
        <a:solidFill>
          <a:schemeClr val="tx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9C1A7479-7D3F-4FB1-BAEF-4F29000AECCC}" type="TxLink">
            <a:rPr lang="en-US" sz="2400" b="1" i="0" u="none" strike="noStrike">
              <a:solidFill>
                <a:schemeClr val="bg1"/>
              </a:solidFill>
              <a:effectLst/>
              <a:latin typeface="Calibri"/>
              <a:ea typeface="Calibri"/>
              <a:cs typeface="Calibri"/>
            </a:rPr>
            <a:pPr marL="0" indent="0" algn="ctr"/>
            <a:t>0/20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43</xdr:row>
      <xdr:rowOff>9524</xdr:rowOff>
    </xdr:from>
    <xdr:to>
      <xdr:col>9</xdr:col>
      <xdr:colOff>219075</xdr:colOff>
      <xdr:row>43</xdr:row>
      <xdr:rowOff>1504949</xdr:rowOff>
    </xdr:to>
    <xdr:graphicFrame macro="">
      <xdr:nvGraphicFramePr>
        <xdr:cNvPr id="82" name="Graphique 81">
          <a:extLst>
            <a:ext uri="{FF2B5EF4-FFF2-40B4-BE49-F238E27FC236}">
              <a16:creationId xmlns:a16="http://schemas.microsoft.com/office/drawing/2014/main" id="{28D9E77F-7326-4982-A1A6-F9D05FF952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285750</xdr:colOff>
      <xdr:row>46</xdr:row>
      <xdr:rowOff>95251</xdr:rowOff>
    </xdr:from>
    <xdr:to>
      <xdr:col>8</xdr:col>
      <xdr:colOff>447750</xdr:colOff>
      <xdr:row>46</xdr:row>
      <xdr:rowOff>679670</xdr:rowOff>
    </xdr:to>
    <xdr:grpSp>
      <xdr:nvGrpSpPr>
        <xdr:cNvPr id="83" name="Groupe 82">
          <a:extLst>
            <a:ext uri="{FF2B5EF4-FFF2-40B4-BE49-F238E27FC236}">
              <a16:creationId xmlns:a16="http://schemas.microsoft.com/office/drawing/2014/main" id="{437C7226-DB0D-4F3D-996A-DB9ECE8D9BC7}"/>
            </a:ext>
          </a:extLst>
        </xdr:cNvPr>
        <xdr:cNvGrpSpPr/>
      </xdr:nvGrpSpPr>
      <xdr:grpSpPr>
        <a:xfrm>
          <a:off x="2505075" y="15097126"/>
          <a:ext cx="2448000" cy="584419"/>
          <a:chOff x="2505075" y="2447925"/>
          <a:chExt cx="2448000" cy="605475"/>
        </a:xfrm>
      </xdr:grpSpPr>
      <xdr:sp macro="" textlink="">
        <xdr:nvSpPr>
          <xdr:cNvPr id="84" name="Rectangle 83">
            <a:extLst>
              <a:ext uri="{FF2B5EF4-FFF2-40B4-BE49-F238E27FC236}">
                <a16:creationId xmlns:a16="http://schemas.microsoft.com/office/drawing/2014/main" id="{AFC5AC4B-D051-E8F2-3D28-D12D5B1E8030}"/>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85" name="Rectangle 84">
            <a:extLst>
              <a:ext uri="{FF2B5EF4-FFF2-40B4-BE49-F238E27FC236}">
                <a16:creationId xmlns:a16="http://schemas.microsoft.com/office/drawing/2014/main" id="{7C1A0010-2C31-D704-013F-D917884411D1}"/>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46</xdr:row>
      <xdr:rowOff>9524</xdr:rowOff>
    </xdr:from>
    <xdr:to>
      <xdr:col>9</xdr:col>
      <xdr:colOff>219075</xdr:colOff>
      <xdr:row>46</xdr:row>
      <xdr:rowOff>1504949</xdr:rowOff>
    </xdr:to>
    <xdr:graphicFrame macro="">
      <xdr:nvGraphicFramePr>
        <xdr:cNvPr id="86" name="Graphique 85">
          <a:extLst>
            <a:ext uri="{FF2B5EF4-FFF2-40B4-BE49-F238E27FC236}">
              <a16:creationId xmlns:a16="http://schemas.microsoft.com/office/drawing/2014/main" id="{880266BF-7CCC-4FD0-B3A8-C27A38BE01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9</xdr:col>
      <xdr:colOff>247650</xdr:colOff>
      <xdr:row>46</xdr:row>
      <xdr:rowOff>9524</xdr:rowOff>
    </xdr:from>
    <xdr:to>
      <xdr:col>11</xdr:col>
      <xdr:colOff>9525</xdr:colOff>
      <xdr:row>47</xdr:row>
      <xdr:rowOff>0</xdr:rowOff>
    </xdr:to>
    <xdr:sp macro="" textlink="$AJ$40">
      <xdr:nvSpPr>
        <xdr:cNvPr id="87" name="ZoneTexte 86">
          <a:extLst>
            <a:ext uri="{FF2B5EF4-FFF2-40B4-BE49-F238E27FC236}">
              <a16:creationId xmlns:a16="http://schemas.microsoft.com/office/drawing/2014/main" id="{7EC28694-B006-46D1-B2F0-0B463EDCD32E}"/>
            </a:ext>
          </a:extLst>
        </xdr:cNvPr>
        <xdr:cNvSpPr txBox="1"/>
      </xdr:nvSpPr>
      <xdr:spPr>
        <a:xfrm>
          <a:off x="5514975" y="9544049"/>
          <a:ext cx="1285875" cy="752476"/>
        </a:xfrm>
        <a:prstGeom prst="rect">
          <a:avLst/>
        </a:prstGeom>
        <a:solidFill>
          <a:schemeClr val="accent4"/>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E6A6B01E-FF7C-4634-8514-FCE4B9A3B6F7}" type="TxLink">
            <a:rPr lang="en-US" sz="2400" b="1" i="0" u="none" strike="noStrike">
              <a:solidFill>
                <a:schemeClr val="bg1"/>
              </a:solidFill>
              <a:effectLst/>
              <a:latin typeface="Calibri"/>
              <a:ea typeface="Calibri"/>
              <a:cs typeface="Calibri"/>
            </a:rPr>
            <a:pPr marL="0" indent="0" algn="ctr"/>
            <a:t>0/40</a:t>
          </a:fld>
          <a:endParaRPr lang="en-US" sz="71400" b="1" i="0" u="none" strike="noStrike">
            <a:solidFill>
              <a:schemeClr val="bg1"/>
            </a:solidFill>
            <a:effectLst/>
            <a:latin typeface="Calibri"/>
            <a:ea typeface="Calibri"/>
            <a:cs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133349</xdr:colOff>
      <xdr:row>0</xdr:row>
      <xdr:rowOff>0</xdr:rowOff>
    </xdr:from>
    <xdr:to>
      <xdr:col>43</xdr:col>
      <xdr:colOff>9524</xdr:colOff>
      <xdr:row>0</xdr:row>
      <xdr:rowOff>885825</xdr:rowOff>
    </xdr:to>
    <mc:AlternateContent xmlns:mc="http://schemas.openxmlformats.org/markup-compatibility/2006" xmlns:sle15="http://schemas.microsoft.com/office/drawing/2012/slicer">
      <mc:Choice Requires="sle15">
        <xdr:graphicFrame macro="">
          <xdr:nvGraphicFramePr>
            <xdr:cNvPr id="2" name="NOM2">
              <a:extLst>
                <a:ext uri="{FF2B5EF4-FFF2-40B4-BE49-F238E27FC236}">
                  <a16:creationId xmlns:a16="http://schemas.microsoft.com/office/drawing/2014/main" id="{023A280A-FD1C-46BB-407F-2CB1E53BB0FD}"/>
                </a:ext>
              </a:extLst>
            </xdr:cNvPr>
            <xdr:cNvGraphicFramePr/>
          </xdr:nvGraphicFramePr>
          <xdr:xfrm>
            <a:off x="0" y="0"/>
            <a:ext cx="0" cy="0"/>
          </xdr:xfrm>
          <a:graphic>
            <a:graphicData uri="http://schemas.microsoft.com/office/drawing/2010/slicer">
              <sle:slicer xmlns:sle="http://schemas.microsoft.com/office/drawing/2010/slicer" name="NOM2"/>
            </a:graphicData>
          </a:graphic>
        </xdr:graphicFrame>
      </mc:Choice>
      <mc:Fallback xmlns="">
        <xdr:sp macro="" textlink="">
          <xdr:nvSpPr>
            <xdr:cNvPr id="0" name=""/>
            <xdr:cNvSpPr>
              <a:spLocks noTextEdit="1"/>
            </xdr:cNvSpPr>
          </xdr:nvSpPr>
          <xdr:spPr>
            <a:xfrm>
              <a:off x="1762124" y="0"/>
              <a:ext cx="10925175" cy="8858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19050</xdr:rowOff>
    </xdr:from>
    <xdr:to>
      <xdr:col>20</xdr:col>
      <xdr:colOff>352425</xdr:colOff>
      <xdr:row>1</xdr:row>
      <xdr:rowOff>0</xdr:rowOff>
    </xdr:to>
    <mc:AlternateContent xmlns:mc="http://schemas.openxmlformats.org/markup-compatibility/2006" xmlns:sle15="http://schemas.microsoft.com/office/drawing/2012/slicer">
      <mc:Choice Requires="sle15">
        <xdr:graphicFrame macro="">
          <xdr:nvGraphicFramePr>
            <xdr:cNvPr id="3" name="NOM2 1">
              <a:extLst>
                <a:ext uri="{FF2B5EF4-FFF2-40B4-BE49-F238E27FC236}">
                  <a16:creationId xmlns:a16="http://schemas.microsoft.com/office/drawing/2014/main" id="{BEBA8994-D32D-5129-AFD6-BB81DC2EFD4B}"/>
                </a:ext>
              </a:extLst>
            </xdr:cNvPr>
            <xdr:cNvGraphicFramePr/>
          </xdr:nvGraphicFramePr>
          <xdr:xfrm>
            <a:off x="0" y="0"/>
            <a:ext cx="0" cy="0"/>
          </xdr:xfrm>
          <a:graphic>
            <a:graphicData uri="http://schemas.microsoft.com/office/drawing/2010/slicer">
              <sle:slicer xmlns:sle="http://schemas.microsoft.com/office/drawing/2010/slicer" name="NOM2 1"/>
            </a:graphicData>
          </a:graphic>
        </xdr:graphicFrame>
      </mc:Choice>
      <mc:Fallback xmlns="">
        <xdr:sp macro="" textlink="">
          <xdr:nvSpPr>
            <xdr:cNvPr id="0" name=""/>
            <xdr:cNvSpPr>
              <a:spLocks noTextEdit="1"/>
            </xdr:cNvSpPr>
          </xdr:nvSpPr>
          <xdr:spPr>
            <a:xfrm>
              <a:off x="390525" y="19050"/>
              <a:ext cx="11734800" cy="9048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752475</xdr:colOff>
      <xdr:row>0</xdr:row>
      <xdr:rowOff>9525</xdr:rowOff>
    </xdr:from>
    <xdr:to>
      <xdr:col>4</xdr:col>
      <xdr:colOff>0</xdr:colOff>
      <xdr:row>0</xdr:row>
      <xdr:rowOff>857250</xdr:rowOff>
    </xdr:to>
    <mc:AlternateContent xmlns:mc="http://schemas.openxmlformats.org/markup-compatibility/2006" xmlns:sle15="http://schemas.microsoft.com/office/drawing/2012/slicer">
      <mc:Choice Requires="sle15">
        <xdr:graphicFrame macro="">
          <xdr:nvGraphicFramePr>
            <xdr:cNvPr id="2" name="EQUIPE">
              <a:extLst>
                <a:ext uri="{FF2B5EF4-FFF2-40B4-BE49-F238E27FC236}">
                  <a16:creationId xmlns:a16="http://schemas.microsoft.com/office/drawing/2014/main" id="{FB89C695-6611-2A2E-5216-BA91A0C47D6B}"/>
                </a:ext>
              </a:extLst>
            </xdr:cNvPr>
            <xdr:cNvGraphicFramePr/>
          </xdr:nvGraphicFramePr>
          <xdr:xfrm>
            <a:off x="0" y="0"/>
            <a:ext cx="0" cy="0"/>
          </xdr:xfrm>
          <a:graphic>
            <a:graphicData uri="http://schemas.microsoft.com/office/drawing/2010/slicer">
              <sle:slicer xmlns:sle="http://schemas.microsoft.com/office/drawing/2010/slicer" name="EQUIPE"/>
            </a:graphicData>
          </a:graphic>
        </xdr:graphicFrame>
      </mc:Choice>
      <mc:Fallback xmlns="">
        <xdr:sp macro="" textlink="">
          <xdr:nvSpPr>
            <xdr:cNvPr id="0" name=""/>
            <xdr:cNvSpPr>
              <a:spLocks noTextEdit="1"/>
            </xdr:cNvSpPr>
          </xdr:nvSpPr>
          <xdr:spPr>
            <a:xfrm>
              <a:off x="752475" y="9525"/>
              <a:ext cx="9048750" cy="8477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4</xdr:col>
      <xdr:colOff>533401</xdr:colOff>
      <xdr:row>3</xdr:row>
      <xdr:rowOff>57149</xdr:rowOff>
    </xdr:from>
    <xdr:to>
      <xdr:col>7</xdr:col>
      <xdr:colOff>504825</xdr:colOff>
      <xdr:row>3</xdr:row>
      <xdr:rowOff>849149</xdr:rowOff>
    </xdr:to>
    <xdr:grpSp>
      <xdr:nvGrpSpPr>
        <xdr:cNvPr id="2" name="Groupe 1">
          <a:extLst>
            <a:ext uri="{FF2B5EF4-FFF2-40B4-BE49-F238E27FC236}">
              <a16:creationId xmlns:a16="http://schemas.microsoft.com/office/drawing/2014/main" id="{B0732C94-2972-4AB6-A720-50EB3120D588}"/>
            </a:ext>
          </a:extLst>
        </xdr:cNvPr>
        <xdr:cNvGrpSpPr/>
      </xdr:nvGrpSpPr>
      <xdr:grpSpPr>
        <a:xfrm>
          <a:off x="2524126" y="647699"/>
          <a:ext cx="2257424" cy="792000"/>
          <a:chOff x="2505075" y="2447925"/>
          <a:chExt cx="2448000" cy="958950"/>
        </a:xfrm>
      </xdr:grpSpPr>
      <xdr:sp macro="" textlink="">
        <xdr:nvSpPr>
          <xdr:cNvPr id="3" name="Rectangle 2">
            <a:extLst>
              <a:ext uri="{FF2B5EF4-FFF2-40B4-BE49-F238E27FC236}">
                <a16:creationId xmlns:a16="http://schemas.microsoft.com/office/drawing/2014/main" id="{D46312C4-66CE-F173-B6DC-122381D4C0F2}"/>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 name="Rectangle 3">
            <a:extLst>
              <a:ext uri="{FF2B5EF4-FFF2-40B4-BE49-F238E27FC236}">
                <a16:creationId xmlns:a16="http://schemas.microsoft.com/office/drawing/2014/main" id="{F0099691-6CB5-EAAD-E0FD-8C2CEEBDDF89}"/>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 name="Rectangle 4">
            <a:extLst>
              <a:ext uri="{FF2B5EF4-FFF2-40B4-BE49-F238E27FC236}">
                <a16:creationId xmlns:a16="http://schemas.microsoft.com/office/drawing/2014/main" id="{FE1E46E2-D11A-5ECB-FC70-7FA83CF34159}"/>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3</xdr:col>
      <xdr:colOff>19049</xdr:colOff>
      <xdr:row>3</xdr:row>
      <xdr:rowOff>0</xdr:rowOff>
    </xdr:from>
    <xdr:to>
      <xdr:col>8</xdr:col>
      <xdr:colOff>219075</xdr:colOff>
      <xdr:row>3</xdr:row>
      <xdr:rowOff>1123950</xdr:rowOff>
    </xdr:to>
    <xdr:graphicFrame macro="">
      <xdr:nvGraphicFramePr>
        <xdr:cNvPr id="6" name="Graphique 5">
          <a:extLst>
            <a:ext uri="{FF2B5EF4-FFF2-40B4-BE49-F238E27FC236}">
              <a16:creationId xmlns:a16="http://schemas.microsoft.com/office/drawing/2014/main" id="{11AD9AD5-944F-4D2C-BB9C-AF552C3174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685801</xdr:colOff>
      <xdr:row>3</xdr:row>
      <xdr:rowOff>76199</xdr:rowOff>
    </xdr:from>
    <xdr:to>
      <xdr:col>14</xdr:col>
      <xdr:colOff>657225</xdr:colOff>
      <xdr:row>3</xdr:row>
      <xdr:rowOff>868199</xdr:rowOff>
    </xdr:to>
    <xdr:grpSp>
      <xdr:nvGrpSpPr>
        <xdr:cNvPr id="7" name="Groupe 6">
          <a:extLst>
            <a:ext uri="{FF2B5EF4-FFF2-40B4-BE49-F238E27FC236}">
              <a16:creationId xmlns:a16="http://schemas.microsoft.com/office/drawing/2014/main" id="{07F48F11-EF14-179B-FCEF-EF22D6FBA6D0}"/>
            </a:ext>
          </a:extLst>
        </xdr:cNvPr>
        <xdr:cNvGrpSpPr/>
      </xdr:nvGrpSpPr>
      <xdr:grpSpPr>
        <a:xfrm>
          <a:off x="6915151" y="666749"/>
          <a:ext cx="2181224" cy="792000"/>
          <a:chOff x="2505075" y="2447925"/>
          <a:chExt cx="2448000" cy="958950"/>
        </a:xfrm>
      </xdr:grpSpPr>
      <xdr:sp macro="" textlink="">
        <xdr:nvSpPr>
          <xdr:cNvPr id="8" name="Rectangle 7">
            <a:extLst>
              <a:ext uri="{FF2B5EF4-FFF2-40B4-BE49-F238E27FC236}">
                <a16:creationId xmlns:a16="http://schemas.microsoft.com/office/drawing/2014/main" id="{D5960DEB-31F5-0FF1-505C-15BE646B930B}"/>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9" name="Rectangle 8">
            <a:extLst>
              <a:ext uri="{FF2B5EF4-FFF2-40B4-BE49-F238E27FC236}">
                <a16:creationId xmlns:a16="http://schemas.microsoft.com/office/drawing/2014/main" id="{DDDA1653-971B-52D0-C98F-0A40CC32B721}"/>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0" name="Rectangle 9">
            <a:extLst>
              <a:ext uri="{FF2B5EF4-FFF2-40B4-BE49-F238E27FC236}">
                <a16:creationId xmlns:a16="http://schemas.microsoft.com/office/drawing/2014/main" id="{D4B1AB67-0118-8546-1F4A-B87B0FE336BF}"/>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9</xdr:col>
      <xdr:colOff>214312</xdr:colOff>
      <xdr:row>3</xdr:row>
      <xdr:rowOff>261939</xdr:rowOff>
    </xdr:from>
    <xdr:to>
      <xdr:col>11</xdr:col>
      <xdr:colOff>561977</xdr:colOff>
      <xdr:row>3</xdr:row>
      <xdr:rowOff>671514</xdr:rowOff>
    </xdr:to>
    <xdr:sp macro="" textlink="">
      <xdr:nvSpPr>
        <xdr:cNvPr id="11" name="Flèche : bas 10">
          <a:extLst>
            <a:ext uri="{FF2B5EF4-FFF2-40B4-BE49-F238E27FC236}">
              <a16:creationId xmlns:a16="http://schemas.microsoft.com/office/drawing/2014/main" id="{194A4950-9C22-B83B-E831-F180D27DB598}"/>
            </a:ext>
          </a:extLst>
        </xdr:cNvPr>
        <xdr:cNvSpPr/>
      </xdr:nvSpPr>
      <xdr:spPr>
        <a:xfrm rot="5400000">
          <a:off x="7803357" y="121444"/>
          <a:ext cx="409575" cy="187166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752475</xdr:colOff>
      <xdr:row>3</xdr:row>
      <xdr:rowOff>876300</xdr:rowOff>
    </xdr:from>
    <xdr:to>
      <xdr:col>14</xdr:col>
      <xdr:colOff>647700</xdr:colOff>
      <xdr:row>6</xdr:row>
      <xdr:rowOff>95250</xdr:rowOff>
    </xdr:to>
    <xdr:sp macro="" textlink="">
      <xdr:nvSpPr>
        <xdr:cNvPr id="12" name="ZoneTexte 11">
          <a:extLst>
            <a:ext uri="{FF2B5EF4-FFF2-40B4-BE49-F238E27FC236}">
              <a16:creationId xmlns:a16="http://schemas.microsoft.com/office/drawing/2014/main" id="{F297365B-5793-8796-6BB0-0A82CAFCBC8E}"/>
            </a:ext>
          </a:extLst>
        </xdr:cNvPr>
        <xdr:cNvSpPr txBox="1"/>
      </xdr:nvSpPr>
      <xdr:spPr>
        <a:xfrm>
          <a:off x="8077200" y="1466850"/>
          <a:ext cx="2181225"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sont en arrière plan</a:t>
          </a:r>
        </a:p>
        <a:p>
          <a:r>
            <a:rPr lang="fr-FR" sz="1100" baseline="0"/>
            <a:t>Le graphique est en barre H</a:t>
          </a:r>
        </a:p>
        <a:p>
          <a:endParaRPr lang="fr-FR" sz="1100"/>
        </a:p>
      </xdr:txBody>
    </xdr:sp>
    <xdr:clientData/>
  </xdr:twoCellAnchor>
  <xdr:twoCellAnchor>
    <xdr:from>
      <xdr:col>14</xdr:col>
      <xdr:colOff>466724</xdr:colOff>
      <xdr:row>3</xdr:row>
      <xdr:rowOff>0</xdr:rowOff>
    </xdr:from>
    <xdr:to>
      <xdr:col>20</xdr:col>
      <xdr:colOff>219075</xdr:colOff>
      <xdr:row>4</xdr:row>
      <xdr:rowOff>0</xdr:rowOff>
    </xdr:to>
    <xdr:graphicFrame macro="">
      <xdr:nvGraphicFramePr>
        <xdr:cNvPr id="13" name="Graphique 12">
          <a:extLst>
            <a:ext uri="{FF2B5EF4-FFF2-40B4-BE49-F238E27FC236}">
              <a16:creationId xmlns:a16="http://schemas.microsoft.com/office/drawing/2014/main" id="{31D533BC-E6E9-BAFD-BEFA-280DB6C25C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619125</xdr:colOff>
      <xdr:row>16</xdr:row>
      <xdr:rowOff>161924</xdr:rowOff>
    </xdr:from>
    <xdr:to>
      <xdr:col>21</xdr:col>
      <xdr:colOff>514350</xdr:colOff>
      <xdr:row>17</xdr:row>
      <xdr:rowOff>152399</xdr:rowOff>
    </xdr:to>
    <xdr:cxnSp macro="">
      <xdr:nvCxnSpPr>
        <xdr:cNvPr id="15" name="Connecteur : en angle 14">
          <a:extLst>
            <a:ext uri="{FF2B5EF4-FFF2-40B4-BE49-F238E27FC236}">
              <a16:creationId xmlns:a16="http://schemas.microsoft.com/office/drawing/2014/main" id="{1C714489-D956-615E-9745-C30091073FE1}"/>
            </a:ext>
          </a:extLst>
        </xdr:cNvPr>
        <xdr:cNvCxnSpPr/>
      </xdr:nvCxnSpPr>
      <xdr:spPr>
        <a:xfrm rot="10800000" flipV="1">
          <a:off x="11287125" y="3971924"/>
          <a:ext cx="4914900" cy="180975"/>
        </a:xfrm>
        <a:prstGeom prst="bentConnector3">
          <a:avLst>
            <a:gd name="adj1" fmla="val 100000"/>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xdr:colOff>
      <xdr:row>18</xdr:row>
      <xdr:rowOff>0</xdr:rowOff>
    </xdr:from>
    <xdr:to>
      <xdr:col>16</xdr:col>
      <xdr:colOff>38100</xdr:colOff>
      <xdr:row>21</xdr:row>
      <xdr:rowOff>0</xdr:rowOff>
    </xdr:to>
    <xdr:sp macro="" textlink="">
      <xdr:nvSpPr>
        <xdr:cNvPr id="17" name="Rectangle 16">
          <a:extLst>
            <a:ext uri="{FF2B5EF4-FFF2-40B4-BE49-F238E27FC236}">
              <a16:creationId xmlns:a16="http://schemas.microsoft.com/office/drawing/2014/main" id="{BEB4A499-3A24-1234-AC18-A0ACB1EB0376}"/>
            </a:ext>
          </a:extLst>
        </xdr:cNvPr>
        <xdr:cNvSpPr/>
      </xdr:nvSpPr>
      <xdr:spPr>
        <a:xfrm>
          <a:off x="9925050" y="4295775"/>
          <a:ext cx="2305050" cy="571500"/>
        </a:xfrm>
        <a:prstGeom prst="rect">
          <a:avLst/>
        </a:prstGeom>
        <a:noFill/>
        <a:ln w="28575">
          <a:solidFill>
            <a:schemeClr val="accent4">
              <a:lumMod val="75000"/>
            </a:schemeClr>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500062</xdr:colOff>
      <xdr:row>4</xdr:row>
      <xdr:rowOff>0</xdr:rowOff>
    </xdr:from>
    <xdr:to>
      <xdr:col>12</xdr:col>
      <xdr:colOff>647700</xdr:colOff>
      <xdr:row>19</xdr:row>
      <xdr:rowOff>114300</xdr:rowOff>
    </xdr:to>
    <xdr:cxnSp macro="">
      <xdr:nvCxnSpPr>
        <xdr:cNvPr id="19" name="Connecteur : en angle 18">
          <a:extLst>
            <a:ext uri="{FF2B5EF4-FFF2-40B4-BE49-F238E27FC236}">
              <a16:creationId xmlns:a16="http://schemas.microsoft.com/office/drawing/2014/main" id="{25332F93-57AB-ACA4-1D5A-841E7636BBCB}"/>
            </a:ext>
          </a:extLst>
        </xdr:cNvPr>
        <xdr:cNvCxnSpPr>
          <a:stCxn id="6" idx="2"/>
        </xdr:cNvCxnSpPr>
      </xdr:nvCxnSpPr>
      <xdr:spPr>
        <a:xfrm rot="16200000" flipH="1">
          <a:off x="5507831" y="316706"/>
          <a:ext cx="3086100" cy="5481638"/>
        </a:xfrm>
        <a:prstGeom prst="bentConnector2">
          <a:avLst/>
        </a:prstGeom>
        <a:ln w="28575">
          <a:solidFill>
            <a:schemeClr val="accent4">
              <a:alpha val="93000"/>
            </a:schemeClr>
          </a:solidFill>
          <a:prstDash val="dashDot"/>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209550</xdr:colOff>
      <xdr:row>28</xdr:row>
      <xdr:rowOff>0</xdr:rowOff>
    </xdr:from>
    <xdr:to>
      <xdr:col>14</xdr:col>
      <xdr:colOff>104775</xdr:colOff>
      <xdr:row>32</xdr:row>
      <xdr:rowOff>19050</xdr:rowOff>
    </xdr:to>
    <xdr:sp macro="" textlink="">
      <xdr:nvSpPr>
        <xdr:cNvPr id="22" name="ZoneTexte 21">
          <a:extLst>
            <a:ext uri="{FF2B5EF4-FFF2-40B4-BE49-F238E27FC236}">
              <a16:creationId xmlns:a16="http://schemas.microsoft.com/office/drawing/2014/main" id="{53B9B974-19C2-C8EF-BD07-D299BB8598F2}"/>
            </a:ext>
          </a:extLst>
        </xdr:cNvPr>
        <xdr:cNvSpPr txBox="1"/>
      </xdr:nvSpPr>
      <xdr:spPr>
        <a:xfrm>
          <a:off x="8591550" y="6200775"/>
          <a:ext cx="2181225" cy="78105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DYNAMIQUE ISSU DE LA FEUILLE</a:t>
          </a:r>
          <a:r>
            <a:rPr lang="fr-FR" sz="1100" baseline="0"/>
            <a:t> </a:t>
          </a:r>
          <a:r>
            <a:rPr lang="fr-FR" sz="1100" b="1" baseline="0">
              <a:solidFill>
                <a:schemeClr val="accent3"/>
              </a:solidFill>
            </a:rPr>
            <a:t>NOTESEQUIPE</a:t>
          </a:r>
          <a:r>
            <a:rPr lang="fr-FR" sz="1100" baseline="0"/>
            <a:t> EN FONCTION DU N° D'EQUIPE EN A1 </a:t>
          </a:r>
          <a:r>
            <a:rPr lang="fr-FR" sz="1100" b="1" baseline="0">
              <a:solidFill>
                <a:schemeClr val="tx2"/>
              </a:solidFill>
            </a:rPr>
            <a:t>FEUILLE RECAP</a:t>
          </a:r>
        </a:p>
        <a:p>
          <a:endParaRPr lang="fr-FR" sz="1100"/>
        </a:p>
      </xdr:txBody>
    </xdr:sp>
    <xdr:clientData/>
  </xdr:twoCellAnchor>
  <xdr:twoCellAnchor>
    <xdr:from>
      <xdr:col>14</xdr:col>
      <xdr:colOff>104775</xdr:colOff>
      <xdr:row>26</xdr:row>
      <xdr:rowOff>57150</xdr:rowOff>
    </xdr:from>
    <xdr:to>
      <xdr:col>16</xdr:col>
      <xdr:colOff>485775</xdr:colOff>
      <xdr:row>30</xdr:row>
      <xdr:rowOff>9525</xdr:rowOff>
    </xdr:to>
    <xdr:cxnSp macro="">
      <xdr:nvCxnSpPr>
        <xdr:cNvPr id="24" name="Connecteur : en angle 23">
          <a:extLst>
            <a:ext uri="{FF2B5EF4-FFF2-40B4-BE49-F238E27FC236}">
              <a16:creationId xmlns:a16="http://schemas.microsoft.com/office/drawing/2014/main" id="{FEF319A2-5FEE-21FA-B49B-B120B85094FD}"/>
            </a:ext>
          </a:extLst>
        </xdr:cNvPr>
        <xdr:cNvCxnSpPr>
          <a:stCxn id="22" idx="3"/>
        </xdr:cNvCxnSpPr>
      </xdr:nvCxnSpPr>
      <xdr:spPr>
        <a:xfrm flipV="1">
          <a:off x="10772775" y="5876925"/>
          <a:ext cx="1905000" cy="714375"/>
        </a:xfrm>
        <a:prstGeom prst="bentConnector3">
          <a:avLst>
            <a:gd name="adj1" fmla="val 100000"/>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5</xdr:col>
      <xdr:colOff>533400</xdr:colOff>
      <xdr:row>17</xdr:row>
      <xdr:rowOff>266700</xdr:rowOff>
    </xdr:from>
    <xdr:to>
      <xdr:col>9</xdr:col>
      <xdr:colOff>628650</xdr:colOff>
      <xdr:row>19</xdr:row>
      <xdr:rowOff>85724</xdr:rowOff>
    </xdr:to>
    <xdr:sp macro="" textlink="">
      <xdr:nvSpPr>
        <xdr:cNvPr id="26" name="ZoneTexte 25">
          <a:extLst>
            <a:ext uri="{FF2B5EF4-FFF2-40B4-BE49-F238E27FC236}">
              <a16:creationId xmlns:a16="http://schemas.microsoft.com/office/drawing/2014/main" id="{DF1CE901-6088-CA15-CA5E-9DFF787060E2}"/>
            </a:ext>
          </a:extLst>
        </xdr:cNvPr>
        <xdr:cNvSpPr txBox="1"/>
      </xdr:nvSpPr>
      <xdr:spPr>
        <a:xfrm>
          <a:off x="3286125" y="4267200"/>
          <a:ext cx="3143250" cy="304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Valeurs prise en compte pour le graphique</a:t>
          </a:r>
          <a:endParaRPr lang="fr-FR" sz="1100" baseline="0"/>
        </a:p>
        <a:p>
          <a:endParaRPr lang="fr-FR" sz="1100"/>
        </a:p>
      </xdr:txBody>
    </xdr:sp>
    <xdr:clientData/>
  </xdr:twoCellAnchor>
  <xdr:twoCellAnchor>
    <xdr:from>
      <xdr:col>16</xdr:col>
      <xdr:colOff>390525</xdr:colOff>
      <xdr:row>3</xdr:row>
      <xdr:rowOff>885824</xdr:rowOff>
    </xdr:from>
    <xdr:to>
      <xdr:col>18</xdr:col>
      <xdr:colOff>104774</xdr:colOff>
      <xdr:row>19</xdr:row>
      <xdr:rowOff>95250</xdr:rowOff>
    </xdr:to>
    <xdr:cxnSp macro="">
      <xdr:nvCxnSpPr>
        <xdr:cNvPr id="28" name="Connecteur droit avec flèche 27">
          <a:extLst>
            <a:ext uri="{FF2B5EF4-FFF2-40B4-BE49-F238E27FC236}">
              <a16:creationId xmlns:a16="http://schemas.microsoft.com/office/drawing/2014/main" id="{E931CBC5-8BBB-3EB3-EA73-082051A4A774}"/>
            </a:ext>
          </a:extLst>
        </xdr:cNvPr>
        <xdr:cNvCxnSpPr>
          <a:stCxn id="34" idx="2"/>
          <a:endCxn id="32" idx="1"/>
        </xdr:cNvCxnSpPr>
      </xdr:nvCxnSpPr>
      <xdr:spPr>
        <a:xfrm>
          <a:off x="11525250" y="1476374"/>
          <a:ext cx="1238249" cy="3105151"/>
        </a:xfrm>
        <a:prstGeom prst="straightConnector1">
          <a:avLst/>
        </a:prstGeom>
        <a:ln>
          <a:solidFill>
            <a:schemeClr val="accent3">
              <a:alpha val="43000"/>
            </a:schemeClr>
          </a:solidFill>
          <a:prstDash val="dash"/>
          <a:tailEnd type="triangle"/>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18</xdr:col>
      <xdr:colOff>104774</xdr:colOff>
      <xdr:row>18</xdr:row>
      <xdr:rowOff>0</xdr:rowOff>
    </xdr:from>
    <xdr:to>
      <xdr:col>19</xdr:col>
      <xdr:colOff>104774</xdr:colOff>
      <xdr:row>21</xdr:row>
      <xdr:rowOff>0</xdr:rowOff>
    </xdr:to>
    <xdr:sp macro="" textlink="">
      <xdr:nvSpPr>
        <xdr:cNvPr id="32" name="Rectangle 31">
          <a:extLst>
            <a:ext uri="{FF2B5EF4-FFF2-40B4-BE49-F238E27FC236}">
              <a16:creationId xmlns:a16="http://schemas.microsoft.com/office/drawing/2014/main" id="{D2D6BBCA-6CA9-FDDF-64AC-084D7ACD3D4D}"/>
            </a:ext>
          </a:extLst>
        </xdr:cNvPr>
        <xdr:cNvSpPr/>
      </xdr:nvSpPr>
      <xdr:spPr>
        <a:xfrm>
          <a:off x="12763499" y="4295775"/>
          <a:ext cx="447675" cy="571500"/>
        </a:xfrm>
        <a:prstGeom prst="rect">
          <a:avLst/>
        </a:prstGeom>
        <a:noFill/>
        <a:ln w="28575">
          <a:solidFill>
            <a:schemeClr val="accent3"/>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228599</xdr:colOff>
      <xdr:row>3</xdr:row>
      <xdr:rowOff>57149</xdr:rowOff>
    </xdr:from>
    <xdr:to>
      <xdr:col>16</xdr:col>
      <xdr:colOff>552450</xdr:colOff>
      <xdr:row>3</xdr:row>
      <xdr:rowOff>885824</xdr:rowOff>
    </xdr:to>
    <xdr:sp macro="" textlink="">
      <xdr:nvSpPr>
        <xdr:cNvPr id="34" name="Rectangle 33">
          <a:extLst>
            <a:ext uri="{FF2B5EF4-FFF2-40B4-BE49-F238E27FC236}">
              <a16:creationId xmlns:a16="http://schemas.microsoft.com/office/drawing/2014/main" id="{401D3FB6-7299-2362-5125-1D711D044551}"/>
            </a:ext>
          </a:extLst>
        </xdr:cNvPr>
        <xdr:cNvSpPr/>
      </xdr:nvSpPr>
      <xdr:spPr>
        <a:xfrm>
          <a:off x="11363324" y="647699"/>
          <a:ext cx="323851" cy="828675"/>
        </a:xfrm>
        <a:prstGeom prst="rect">
          <a:avLst/>
        </a:prstGeom>
        <a:noFill/>
        <a:ln w="28575">
          <a:solidFill>
            <a:schemeClr val="accent3"/>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638176</xdr:colOff>
      <xdr:row>3</xdr:row>
      <xdr:rowOff>885824</xdr:rowOff>
    </xdr:from>
    <xdr:to>
      <xdr:col>18</xdr:col>
      <xdr:colOff>381000</xdr:colOff>
      <xdr:row>6</xdr:row>
      <xdr:rowOff>190499</xdr:rowOff>
    </xdr:to>
    <xdr:sp macro="" textlink="">
      <xdr:nvSpPr>
        <xdr:cNvPr id="36" name="ZoneTexte 35">
          <a:extLst>
            <a:ext uri="{FF2B5EF4-FFF2-40B4-BE49-F238E27FC236}">
              <a16:creationId xmlns:a16="http://schemas.microsoft.com/office/drawing/2014/main" id="{22573B2F-E561-75CB-0ACE-CB343D2080E1}"/>
            </a:ext>
          </a:extLst>
        </xdr:cNvPr>
        <xdr:cNvSpPr txBox="1"/>
      </xdr:nvSpPr>
      <xdr:spPr>
        <a:xfrm>
          <a:off x="11772901" y="1476374"/>
          <a:ext cx="1266824"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grises sont transparentes dans le graphique</a:t>
          </a:r>
        </a:p>
        <a:p>
          <a:endParaRPr lang="fr-FR" sz="1100"/>
        </a:p>
      </xdr:txBody>
    </xdr:sp>
    <xdr:clientData/>
  </xdr:twoCellAnchor>
  <xdr:twoCellAnchor>
    <xdr:from>
      <xdr:col>19</xdr:col>
      <xdr:colOff>542926</xdr:colOff>
      <xdr:row>2</xdr:row>
      <xdr:rowOff>171449</xdr:rowOff>
    </xdr:from>
    <xdr:to>
      <xdr:col>21</xdr:col>
      <xdr:colOff>285750</xdr:colOff>
      <xdr:row>4</xdr:row>
      <xdr:rowOff>9524</xdr:rowOff>
    </xdr:to>
    <xdr:sp macro="" textlink="">
      <xdr:nvSpPr>
        <xdr:cNvPr id="37" name="ZoneTexte 36">
          <a:extLst>
            <a:ext uri="{FF2B5EF4-FFF2-40B4-BE49-F238E27FC236}">
              <a16:creationId xmlns:a16="http://schemas.microsoft.com/office/drawing/2014/main" id="{83242EAD-1CB8-CDDA-652C-9591CCC7DDF3}"/>
            </a:ext>
          </a:extLst>
        </xdr:cNvPr>
        <xdr:cNvSpPr txBox="1"/>
      </xdr:nvSpPr>
      <xdr:spPr>
        <a:xfrm>
          <a:off x="13649326" y="561974"/>
          <a:ext cx="1266824" cy="962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Rouge sont blanche et masquent les barres dégradées en arrière plan</a:t>
          </a:r>
        </a:p>
        <a:p>
          <a:endParaRPr lang="fr-FR" sz="1100"/>
        </a:p>
      </xdr:txBody>
    </xdr:sp>
    <xdr:clientData/>
  </xdr:twoCellAnchor>
  <xdr:twoCellAnchor>
    <xdr:from>
      <xdr:col>6</xdr:col>
      <xdr:colOff>161926</xdr:colOff>
      <xdr:row>8</xdr:row>
      <xdr:rowOff>114299</xdr:rowOff>
    </xdr:from>
    <xdr:to>
      <xdr:col>14</xdr:col>
      <xdr:colOff>561975</xdr:colOff>
      <xdr:row>14</xdr:row>
      <xdr:rowOff>57150</xdr:rowOff>
    </xdr:to>
    <xdr:sp macro="" textlink="">
      <xdr:nvSpPr>
        <xdr:cNvPr id="38" name="ZoneTexte 37">
          <a:extLst>
            <a:ext uri="{FF2B5EF4-FFF2-40B4-BE49-F238E27FC236}">
              <a16:creationId xmlns:a16="http://schemas.microsoft.com/office/drawing/2014/main" id="{04C019BD-10F5-1967-194F-A37F05BA18E0}"/>
            </a:ext>
          </a:extLst>
        </xdr:cNvPr>
        <xdr:cNvSpPr txBox="1"/>
      </xdr:nvSpPr>
      <xdr:spPr>
        <a:xfrm>
          <a:off x="3676651" y="2400299"/>
          <a:ext cx="5324474" cy="1085851"/>
        </a:xfrm>
        <a:prstGeom prst="rect">
          <a:avLst/>
        </a:prstGeom>
        <a:solidFill>
          <a:srgbClr val="C000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baseline="0">
              <a:solidFill>
                <a:schemeClr val="bg1"/>
              </a:solidFill>
            </a:rPr>
            <a:t>PROBLEME</a:t>
          </a:r>
        </a:p>
        <a:p>
          <a:r>
            <a:rPr lang="fr-FR" sz="1200" baseline="0">
              <a:solidFill>
                <a:schemeClr val="bg1"/>
              </a:solidFill>
            </a:rPr>
            <a:t>Quand les notes sont toutes à 4,5/5 - 8,5/10 ou 9,5/10 les graphiques ne fonctionnent pas en revanche si l'une des notes est différentes pas de soucis </a:t>
          </a:r>
        </a:p>
        <a:p>
          <a:endParaRPr lang="fr-FR" sz="1200" baseline="0">
            <a:solidFill>
              <a:schemeClr val="bg1"/>
            </a:solidFill>
          </a:endParaRPr>
        </a:p>
        <a:p>
          <a:r>
            <a:rPr lang="fr-FR" sz="1200" baseline="0">
              <a:solidFill>
                <a:schemeClr val="bg1"/>
              </a:solidFill>
            </a:rPr>
            <a:t>Je ne comprends pas la raison</a:t>
          </a:r>
        </a:p>
        <a:p>
          <a:endParaRPr lang="fr-FR" sz="1200">
            <a:solidFill>
              <a:schemeClr val="bg1"/>
            </a:solidFill>
          </a:endParaRPr>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2" xr10:uid="{00000000-0013-0000-FFFF-FFFF01000000}" sourceName="EQUIPE">
  <extLst>
    <x:ext xmlns:x15="http://schemas.microsoft.com/office/spreadsheetml/2010/11/main" uri="{2F2917AC-EB37-4324-AD4E-5DD8C200BD13}">
      <x15:tableSlicerCache tableId="1" column="1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21" xr10:uid="{00000000-0013-0000-FFFF-FFFF02000000}" sourceName="NOM2">
  <extLst>
    <x:ext xmlns:x15="http://schemas.microsoft.com/office/spreadsheetml/2010/11/main" uri="{2F2917AC-EB37-4324-AD4E-5DD8C200BD13}">
      <x15:tableSlicerCache tableId="2" column="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EQUIPE" xr10:uid="{00000000-0013-0000-FFFF-FFFF03000000}" sourceName="EQUIPE">
  <extLst>
    <x:ext xmlns:x15="http://schemas.microsoft.com/office/spreadsheetml/2010/11/main" uri="{2F2917AC-EB37-4324-AD4E-5DD8C200BD13}">
      <x15:tableSlicerCache tableId="3"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2" xr10:uid="{00000000-0014-0000-FFFF-FFFF01000000}" cache="Segment_NOM2" caption="EQUIPE" columnCount="8"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2 1" xr10:uid="{00000000-0014-0000-FFFF-FFFF02000000}" cache="Segment_NOM21" caption="NOM2" columnCount="8" rowHeight="2413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QUIPE" xr10:uid="{00000000-0014-0000-FFFF-FFFF03000000}" cache="Segment_EQUIPE" caption="EQUIPE" columnCount="8"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NotesEQ" displayName="NotesEQ" ref="B3:AQ19" totalsRowShown="0" headerRowDxfId="72" dataDxfId="71">
  <autoFilter ref="B3:AQ19"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autoFilter>
  <sortState xmlns:xlrd2="http://schemas.microsoft.com/office/spreadsheetml/2017/richdata2" ref="B4:G4">
    <sortCondition ref="B3:B4"/>
  </sortState>
  <tableColumns count="42">
    <tableColumn id="11" xr3:uid="{00000000-0010-0000-0000-00000B000000}" name="N°" dataDxfId="70"/>
    <tableColumn id="13" xr3:uid="{00000000-0010-0000-0000-00000D000000}" name="EQUIPE" dataDxfId="69">
      <calculatedColumnFormula>UPPER(_xlfn.XLOOKUP(NotesEQ[[#This Row],[N°]],NotesIndiv[EQUIPE],NotesIndiv[NOM2]))</calculatedColumnFormula>
    </tableColumn>
    <tableColumn id="14" xr3:uid="{00000000-0010-0000-0000-00000E000000}" name="10-nov" dataDxfId="68"/>
    <tableColumn id="4" xr3:uid="{00000000-0010-0000-0000-000004000000}" name="31-déc" dataDxfId="67"/>
    <tableColumn id="5" xr3:uid="{00000000-0010-0000-0000-000005000000}" name="31-janv" dataDxfId="66"/>
    <tableColumn id="7" xr3:uid="{00000000-0010-0000-0000-000007000000}" name="10-févr" dataDxfId="65"/>
    <tableColumn id="56" xr3:uid="{00000000-0010-0000-0000-000038000000}" name="Présentation" dataDxfId="64"/>
    <tableColumn id="57" xr3:uid="{00000000-0010-0000-0000-000039000000}" name="Clareté" dataDxfId="63"/>
    <tableColumn id="58" xr3:uid="{00000000-0010-0000-0000-00003A000000}" name="Fond" dataDxfId="62"/>
    <tableColumn id="15" xr3:uid="{00000000-0010-0000-0000-00000F000000}" name="Métier" dataDxfId="61"/>
    <tableColumn id="16" xr3:uid="{00000000-0010-0000-0000-000010000000}" name="Motivations" dataDxfId="60"/>
    <tableColumn id="17" xr3:uid="{00000000-0010-0000-0000-000011000000}" name="Moyens" dataDxfId="59"/>
    <tableColumn id="21" xr3:uid="{00000000-0010-0000-0000-000015000000}" name="Marché" dataDxfId="58"/>
    <tableColumn id="22" xr3:uid="{00000000-0010-0000-0000-000016000000}" name="Zoom" dataDxfId="57"/>
    <tableColumn id="23" xr3:uid="{00000000-0010-0000-0000-000017000000}" name="Pestel" dataDxfId="56"/>
    <tableColumn id="24" xr3:uid="{00000000-0010-0000-0000-000018000000}" name="Porter" dataDxfId="55"/>
    <tableColumn id="25" xr3:uid="{00000000-0010-0000-0000-000019000000}" name="SWOT" dataDxfId="54"/>
    <tableColumn id="26" xr3:uid="{00000000-0010-0000-0000-00001A000000}" name="Quali" dataDxfId="53"/>
    <tableColumn id="27" xr3:uid="{00000000-0010-0000-0000-00001B000000}" name="Quanti" dataDxfId="52"/>
    <tableColumn id="28" xr3:uid="{00000000-0010-0000-0000-00001C000000}" name="Persona" dataDxfId="51"/>
    <tableColumn id="29" xr3:uid="{00000000-0010-0000-0000-00001D000000}" name="Concurrence" dataDxfId="50"/>
    <tableColumn id="30" xr3:uid="{00000000-0010-0000-0000-00001E000000}" name="Proposition de valeur" dataDxfId="49"/>
    <tableColumn id="31" xr3:uid="{00000000-0010-0000-0000-00001F000000}" name="Architecture de l’offre" dataDxfId="48"/>
    <tableColumn id="32" xr3:uid="{00000000-0010-0000-0000-000020000000}" name="Modèle Eco" dataDxfId="47"/>
    <tableColumn id="33" xr3:uid="{00000000-0010-0000-0000-000021000000}" name="Accès marché" dataDxfId="46"/>
    <tableColumn id="34" xr3:uid="{00000000-0010-0000-0000-000022000000}" name="PAC " dataDxfId="45"/>
    <tableColumn id="35" xr3:uid="{00000000-0010-0000-0000-000023000000}" name="PAM" dataDxfId="44"/>
    <tableColumn id="36" xr3:uid="{00000000-0010-0000-0000-000024000000}" name="Logo" dataDxfId="43"/>
    <tableColumn id="37" xr3:uid="{00000000-0010-0000-0000-000025000000}" name="Charte" dataDxfId="42"/>
    <tableColumn id="38" xr3:uid="{00000000-0010-0000-0000-000026000000}" name="Site" dataDxfId="41"/>
    <tableColumn id="39" xr3:uid="{00000000-0010-0000-0000-000027000000}" name="RS" dataDxfId="40"/>
    <tableColumn id="40" xr3:uid="{00000000-0010-0000-0000-000028000000}" name="PLV" dataDxfId="39"/>
    <tableColumn id="41" xr3:uid="{00000000-0010-0000-0000-000029000000}" name="Plan média" dataDxfId="38"/>
    <tableColumn id="42" xr3:uid="{00000000-0010-0000-0000-00002A000000}" name="RCA" dataDxfId="37"/>
    <tableColumn id="43" xr3:uid="{00000000-0010-0000-0000-00002B000000}" name="Vidéo" dataDxfId="36"/>
    <tableColumn id="44" xr3:uid="{00000000-0010-0000-0000-00002C000000}" name="PPTX" dataDxfId="35"/>
    <tableColumn id="51" xr3:uid="{00000000-0010-0000-0000-000033000000}" name="NOTE GLOBALE" dataDxfId="34">
      <calculatedColumnFormula>SUM(NotesEQ[[#This Row],[Métier]:[PPTX]],NotesEQ[[#This Row],[Présentation]:[Fond]])/$AL$1</calculatedColumnFormula>
    </tableColumn>
    <tableColumn id="52" xr3:uid="{00000000-0010-0000-0000-000034000000}" name="BP " dataDxfId="33">
      <calculatedColumnFormula>SUM(NotesEQ[[#This Row],[Métier]:[Plan média]],NotesEQ[[#This Row],[Présentation]:[Fond]])/$AM$1</calculatedColumnFormula>
    </tableColumn>
    <tableColumn id="53" xr3:uid="{00000000-0010-0000-0000-000035000000}" name="ANALYSE_x000a_DU_x000a_MARCHÉ" dataDxfId="32">
      <calculatedColumnFormula>SUM(NotesEQ[[#This Row],[Métier]:[Concurrence]],NotesEQ[[#This Row],[Présentation]:[Fond]])/$AN$1</calculatedColumnFormula>
    </tableColumn>
    <tableColumn id="54" xr3:uid="{00000000-0010-0000-0000-000036000000}" name="PLAN_x000a_MARKETING" dataDxfId="31">
      <calculatedColumnFormula>SUM(W4:AH4,AJ4:AK4,NotesEQ[[#This Row],[Présentation]:[Fond]])/$AO$1</calculatedColumnFormula>
    </tableColumn>
    <tableColumn id="55" xr3:uid="{00000000-0010-0000-0000-000037000000}" name="FINANCES" dataDxfId="30">
      <calculatedColumnFormula>NotesEQ[[#This Row],[RCA]]</calculatedColumnFormula>
    </tableColumn>
    <tableColumn id="59" xr3:uid="{00000000-0010-0000-0000-00003B000000}" name="Rang" dataDxfId="29">
      <calculatedColumnFormula>RANK(NotesEQ[[#This Row],[NOTE GLOBALE]],NotesEQ[NOTE GLOBALE],0)</calculatedColumnFormula>
    </tableColumn>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NotesIndiv" displayName="NotesIndiv" ref="B3:W80" totalsRowShown="0" tableBorderDxfId="28">
  <autoFilter ref="B3:W80"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autoFilter>
  <tableColumns count="22">
    <tableColumn id="16" xr3:uid="{00000000-0010-0000-0100-000010000000}" name="N° perso" dataDxfId="27">
      <calculatedColumnFormula>_xlfn.CONCAT(NotesIndiv[[#This Row],[EQUIPE]]," - ",NotesIndiv[[#This Row],[N° APP]])</calculatedColumnFormula>
    </tableColumn>
    <tableColumn id="1" xr3:uid="{00000000-0010-0000-0100-000001000000}" name="NOM" dataDxfId="26"/>
    <tableColumn id="2" xr3:uid="{00000000-0010-0000-0100-000002000000}" name="Prénom" dataDxfId="25"/>
    <tableColumn id="3" xr3:uid="{00000000-0010-0000-0100-000003000000}" name="EQUIPE" dataDxfId="24"/>
    <tableColumn id="4" xr3:uid="{00000000-0010-0000-0100-000004000000}" name="NOM2" dataDxfId="23"/>
    <tableColumn id="5" xr3:uid="{00000000-0010-0000-0100-000005000000}" name="10-nov" dataDxfId="22"/>
    <tableColumn id="6" xr3:uid="{00000000-0010-0000-0100-000006000000}" name="Abs" dataDxfId="21"/>
    <tableColumn id="7" xr3:uid="{00000000-0010-0000-0100-000007000000}" name="Né(e) le" dataDxfId="20"/>
    <tableColumn id="17" xr3:uid="{00000000-0010-0000-0100-000011000000}" name="N° APP" dataDxfId="19"/>
    <tableColumn id="8" xr3:uid="{00000000-0010-0000-0100-000008000000}" name="Age" dataDxfId="18"/>
    <tableColumn id="9" xr3:uid="{00000000-0010-0000-0100-000009000000}" name="Sexe" dataDxfId="17"/>
    <tableColumn id="10" xr3:uid="{00000000-0010-0000-0100-00000A000000}" name="Classe" dataDxfId="16"/>
    <tableColumn id="11" xr3:uid="{00000000-0010-0000-0100-00000B000000}" name="JOUR MOIS" dataDxfId="15"/>
    <tableColumn id="12" xr3:uid="{00000000-0010-0000-0100-00000C000000}" name="MOIS" dataDxfId="14"/>
    <tableColumn id="13" xr3:uid="{00000000-0010-0000-0100-00000D000000}" name="travail en autonomie et assiduité " dataDxfId="13"/>
    <tableColumn id="14" xr3:uid="{00000000-0010-0000-0100-00000E000000}" name="Profil entrepreunarial" dataDxfId="12"/>
    <tableColumn id="15" xr3:uid="{00000000-0010-0000-0100-00000F000000}" name="participation" dataDxfId="11"/>
    <tableColumn id="18" xr3:uid="{00000000-0010-0000-0100-000012000000}" name="TOTAL" dataDxfId="10">
      <calculatedColumnFormula>SUM(NotesIndiv[[#This Row],[travail en autonomie et assiduité ]:[participation]])/20</calculatedColumnFormula>
    </tableColumn>
    <tableColumn id="19" xr3:uid="{00000000-0010-0000-0100-000013000000}" name="Reste" dataDxfId="9">
      <calculatedColumnFormula>1-NotesIndiv[[#This Row],[TOTAL]]</calculatedColumnFormula>
    </tableColumn>
    <tableColumn id="20" xr3:uid="{00000000-0010-0000-0100-000014000000}" name="note" dataDxfId="8">
      <calculatedColumnFormula>SUM(NotesIndiv[[#This Row],[travail en autonomie et assiduité ]:[participation]])</calculatedColumnFormula>
    </tableColumn>
    <tableColumn id="21" xr3:uid="{00000000-0010-0000-0100-000015000000}" name="NOTE GLOBALE" dataDxfId="7">
      <calculatedColumnFormula>_xlfn.XLOOKUP(NotesIndiv[[#This Row],[EQUIPE]],NotesEQ[N°],NotesEQ[NOTE GLOBALE])</calculatedColumnFormula>
    </tableColumn>
    <tableColumn id="22" xr3:uid="{00000000-0010-0000-0100-000016000000}" name="NOTE PONDEREE" dataDxfId="6">
      <calculatedColumnFormula>AVERAGE(U4,V4,V4)</calculatedColumnFormula>
    </tableColumn>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COMM" displayName="COMM" ref="B2:D18" totalsRowShown="0" tableBorderDxfId="5">
  <autoFilter ref="B2:D18" xr:uid="{00000000-0009-0000-0100-000003000000}">
    <filterColumn colId="0" hiddenButton="1"/>
    <filterColumn colId="1" hiddenButton="1"/>
    <filterColumn colId="2" hiddenButton="1"/>
  </autoFilter>
  <tableColumns count="3">
    <tableColumn id="1" xr3:uid="{00000000-0010-0000-0200-000001000000}" name="N°" dataDxfId="4"/>
    <tableColumn id="2" xr3:uid="{00000000-0010-0000-0200-000002000000}" name="EQUIPE" dataDxfId="3">
      <calculatedColumnFormula>UPPER(_xlfn.XLOOKUP(COMM[[#This Row],[N°]],NotesIndiv[EQUIPE],NotesIndiv[NOM2]))</calculatedColumnFormula>
    </tableColumn>
    <tableColumn id="3" xr3:uid="{00000000-0010-0000-0200-000003000000}" name="COMMENTAIR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Kris">
      <a:dk1>
        <a:sysClr val="windowText" lastClr="000000"/>
      </a:dk1>
      <a:lt1>
        <a:sysClr val="window" lastClr="FFFFFF"/>
      </a:lt1>
      <a:dk2>
        <a:srgbClr val="44546A"/>
      </a:dk2>
      <a:lt2>
        <a:srgbClr val="E7E6E6"/>
      </a:lt2>
      <a:accent1>
        <a:srgbClr val="377790"/>
      </a:accent1>
      <a:accent2>
        <a:srgbClr val="189A80"/>
      </a:accent2>
      <a:accent3>
        <a:srgbClr val="F09C2A"/>
      </a:accent3>
      <a:accent4>
        <a:srgbClr val="D24132"/>
      </a:accent4>
      <a:accent5>
        <a:srgbClr val="C490AA"/>
      </a:accent5>
      <a:accent6>
        <a:srgbClr val="7030A0"/>
      </a:accent6>
      <a:hlink>
        <a:srgbClr val="A5A5A5"/>
      </a:hlink>
      <a:folHlink>
        <a:srgbClr val="7B7B7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3.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AL56"/>
  <sheetViews>
    <sheetView showGridLines="0" zoomScaleNormal="100" workbookViewId="0">
      <selection activeCell="AE17" sqref="AE17:AE21"/>
    </sheetView>
  </sheetViews>
  <sheetFormatPr baseColWidth="10" defaultRowHeight="15" x14ac:dyDescent="0.25"/>
  <cols>
    <col min="1" max="1" width="9" customWidth="1"/>
    <col min="2" max="2" width="3.42578125" customWidth="1"/>
    <col min="3" max="3" width="2.85546875" customWidth="1"/>
    <col min="4" max="4" width="1" customWidth="1"/>
    <col min="5" max="5" width="17" customWidth="1"/>
    <col min="6" max="9" width="11.42578125" customWidth="1"/>
    <col min="12" max="12" width="2.42578125" customWidth="1"/>
    <col min="13" max="28" width="4.28515625" customWidth="1"/>
    <col min="29" max="29" width="4.140625" customWidth="1"/>
    <col min="33" max="33" width="9.5703125" bestFit="1" customWidth="1"/>
  </cols>
  <sheetData>
    <row r="1" spans="1:38" x14ac:dyDescent="0.25">
      <c r="A1" s="226" t="s">
        <v>138</v>
      </c>
      <c r="B1" s="226">
        <v>7</v>
      </c>
    </row>
    <row r="2" spans="1:38" ht="15.75" thickBot="1" x14ac:dyDescent="0.3"/>
    <row r="3" spans="1:38" x14ac:dyDescent="0.25">
      <c r="C3" s="95"/>
      <c r="D3" s="96"/>
      <c r="E3" s="96"/>
      <c r="F3" s="96"/>
      <c r="G3" s="96"/>
      <c r="H3" s="96"/>
      <c r="I3" s="96"/>
      <c r="J3" s="96"/>
      <c r="K3" s="96"/>
      <c r="L3" s="97"/>
    </row>
    <row r="4" spans="1:38" ht="21" x14ac:dyDescent="0.35">
      <c r="C4" s="98"/>
      <c r="D4" s="105"/>
      <c r="E4" s="99" t="s">
        <v>139</v>
      </c>
      <c r="F4" s="99"/>
      <c r="G4" s="230" t="str">
        <f>_xlfn.XLOOKUP(B1,NotesEQ[N°],NotesEQ[EQUIPE])</f>
        <v>SYSTÈME SUN</v>
      </c>
      <c r="H4" s="104"/>
      <c r="I4" s="104"/>
      <c r="J4" s="104"/>
      <c r="K4" s="105"/>
      <c r="L4" s="100"/>
    </row>
    <row r="5" spans="1:38" ht="6" customHeight="1" x14ac:dyDescent="0.25">
      <c r="C5" s="98"/>
      <c r="L5" s="100"/>
    </row>
    <row r="6" spans="1:38" x14ac:dyDescent="0.25">
      <c r="C6" s="98"/>
      <c r="D6" s="225"/>
      <c r="E6" s="226" t="s">
        <v>0</v>
      </c>
      <c r="F6" s="226" t="s">
        <v>75</v>
      </c>
      <c r="G6" s="227" t="s">
        <v>143</v>
      </c>
      <c r="H6" s="228"/>
      <c r="I6" s="228"/>
      <c r="J6" s="229"/>
      <c r="K6" s="250" t="s">
        <v>3</v>
      </c>
      <c r="L6" s="100"/>
    </row>
    <row r="7" spans="1:38" x14ac:dyDescent="0.25">
      <c r="A7" s="94">
        <v>1</v>
      </c>
      <c r="C7" s="98"/>
      <c r="D7" s="122"/>
      <c r="E7" t="str">
        <f>IF(ISNA(_xlfn.XLOOKUP(_xlfn.CONCAT($B$1," - ",$A7),NotesIndiv[N° perso],NotesIndiv[NOM])),"",_xlfn.XLOOKUP(_xlfn.CONCAT($B$1," - ",$A7),NotesIndiv[N° perso],NotesIndiv[NOM]))</f>
        <v>BEZ.</v>
      </c>
      <c r="F7" t="str">
        <f>IF(ISNA(_xlfn.XLOOKUP(_xlfn.CONCAT($B$1," - ",$A7),NotesIndiv[N° perso],NotesIndiv[Prénom])),"",_xlfn.XLOOKUP(_xlfn.CONCAT($B$1," - ",$A7),NotesIndiv[N° perso],NotesIndiv[Prénom]))</f>
        <v>Louis</v>
      </c>
      <c r="G7" s="252" t="str">
        <f>IF(ISNA(_xlfn.XLOOKUP(_xlfn.CONCAT($B$1," - ",$A7),NotesIndiv[N° perso],NotesIndiv[note])),"",ROUND(_xlfn.XLOOKUP(_xlfn.CONCAT($B$1," - ",$A7),NotesIndiv[N° perso],NotesIndiv[note]),2)&amp;"/20")</f>
        <v>14,5/20</v>
      </c>
      <c r="H7" s="9"/>
      <c r="I7" s="9"/>
      <c r="K7" s="251" t="str">
        <f>IF(ISNA(_xlfn.XLOOKUP(_xlfn.CONCAT($B$1," - ",$A7),NotesIndiv[N° perso],NotesIndiv[Abs])),"",_xlfn.XLOOKUP(_xlfn.CONCAT($B$1," - ",$A7),NotesIndiv[N° perso],NotesIndiv[Abs])&amp;"H")</f>
        <v>3,5H</v>
      </c>
      <c r="L7" s="100"/>
      <c r="AE7" s="2">
        <f>IF(ISNA(_xlfn.XLOOKUP(_xlfn.CONCAT('FEUILLE RECAP'!$B$1," - ",'FEUILLE RECAP'!$A7),NotesIndiv[N° perso],NotesIndiv[TOTAL])),"",_xlfn.XLOOKUP(_xlfn.CONCAT('FEUILLE RECAP'!$B$1," - ",'FEUILLE RECAP'!$A7),NotesIndiv[N° perso],NotesIndiv[TOTAL]))</f>
        <v>0.72499999999999998</v>
      </c>
      <c r="AF7" s="2">
        <f>IF(ISNA(_xlfn.XLOOKUP(_xlfn.CONCAT('FEUILLE RECAP'!$B$1," - ",'FEUILLE RECAP'!$A7),NotesIndiv[N° perso],NotesIndiv[TOTAL])),"",_xlfn.XLOOKUP(_xlfn.CONCAT('FEUILLE RECAP'!$B$1," - ",'FEUILLE RECAP'!$A7),NotesIndiv[N° perso],NotesIndiv[Reste]))</f>
        <v>0.27500000000000002</v>
      </c>
    </row>
    <row r="8" spans="1:38" x14ac:dyDescent="0.25">
      <c r="A8" s="94">
        <v>2</v>
      </c>
      <c r="C8" s="98"/>
      <c r="D8" s="123"/>
      <c r="E8" t="str">
        <f>IF(ISNA(_xlfn.XLOOKUP(_xlfn.CONCAT($B$1," - ",$A8),NotesIndiv[N° perso],NotesIndiv[NOM])),"",_xlfn.XLOOKUP(_xlfn.CONCAT($B$1," - ",$A8),NotesIndiv[N° perso],NotesIndiv[NOM]))</f>
        <v>CHA.</v>
      </c>
      <c r="F8" t="str">
        <f>IF(ISNA(_xlfn.XLOOKUP(_xlfn.CONCAT($B$1," - ",$A8),NotesIndiv[N° perso],NotesIndiv[Prénom])),"",_xlfn.XLOOKUP(_xlfn.CONCAT($B$1," - ",$A8),NotesIndiv[N° perso],NotesIndiv[Prénom]))</f>
        <v>Margot</v>
      </c>
      <c r="G8" s="252" t="str">
        <f>IF(ISNA(_xlfn.XLOOKUP(_xlfn.CONCAT($B$1," - ",$A8),NotesIndiv[N° perso],NotesIndiv[note])),"",ROUND(_xlfn.XLOOKUP(_xlfn.CONCAT($B$1," - ",$A8),NotesIndiv[N° perso],NotesIndiv[note]),2)&amp;"/20")</f>
        <v>16/20</v>
      </c>
      <c r="H8" s="9"/>
      <c r="I8" s="9"/>
      <c r="K8" s="251" t="str">
        <f>IF(ISNA(_xlfn.XLOOKUP(_xlfn.CONCAT($B$1," - ",$A8),NotesIndiv[N° perso],NotesIndiv[Prénom])),"",_xlfn.XLOOKUP(_xlfn.CONCAT($B$1," - ",$A8),NotesIndiv[N° perso],NotesIndiv[Abs])&amp;"H")</f>
        <v>H</v>
      </c>
      <c r="L8" s="100"/>
      <c r="AE8" s="2">
        <f>IF(ISNA(_xlfn.XLOOKUP(_xlfn.CONCAT('FEUILLE RECAP'!$B$1," - ",'FEUILLE RECAP'!$A8),NotesIndiv[N° perso],NotesIndiv[TOTAL])),"",_xlfn.XLOOKUP(_xlfn.CONCAT('FEUILLE RECAP'!$B$1," - ",'FEUILLE RECAP'!$A8),NotesIndiv[N° perso],NotesIndiv[TOTAL]))</f>
        <v>0.8</v>
      </c>
      <c r="AF8" s="2">
        <f>IF(ISNA(_xlfn.XLOOKUP(_xlfn.CONCAT('FEUILLE RECAP'!$B$1," - ",'FEUILLE RECAP'!$A8),NotesIndiv[N° perso],NotesIndiv[TOTAL])),"",_xlfn.XLOOKUP(_xlfn.CONCAT('FEUILLE RECAP'!$B$1," - ",'FEUILLE RECAP'!$A8),NotesIndiv[N° perso],NotesIndiv[Reste]))</f>
        <v>0.19999999999999996</v>
      </c>
    </row>
    <row r="9" spans="1:38" x14ac:dyDescent="0.25">
      <c r="A9" s="94">
        <v>3</v>
      </c>
      <c r="C9" s="98"/>
      <c r="D9" s="124"/>
      <c r="E9" t="str">
        <f>IF(ISNA(_xlfn.XLOOKUP(_xlfn.CONCAT($B$1," - ",$A9),NotesIndiv[N° perso],NotesIndiv[NOM])),"",_xlfn.XLOOKUP(_xlfn.CONCAT($B$1," - ",$A9),NotesIndiv[N° perso],NotesIndiv[NOM]))</f>
        <v>M’B.</v>
      </c>
      <c r="F9" t="str">
        <f>IF(ISNA(_xlfn.XLOOKUP(_xlfn.CONCAT($B$1," - ",$A9),NotesIndiv[N° perso],NotesIndiv[Prénom])),"",_xlfn.XLOOKUP(_xlfn.CONCAT($B$1," - ",$A9),NotesIndiv[N° perso],NotesIndiv[Prénom]))</f>
        <v>Aissata Hawa</v>
      </c>
      <c r="G9" s="252" t="str">
        <f>IF(ISNA(_xlfn.XLOOKUP(_xlfn.CONCAT($B$1," - ",$A9),NotesIndiv[N° perso],NotesIndiv[note])),"",ROUND(_xlfn.XLOOKUP(_xlfn.CONCAT($B$1," - ",$A9),NotesIndiv[N° perso],NotesIndiv[note]),2)&amp;"/20")</f>
        <v>12/20</v>
      </c>
      <c r="H9" s="9"/>
      <c r="I9" s="9"/>
      <c r="K9" s="251" t="str">
        <f>IF(ISNA(_xlfn.XLOOKUP(_xlfn.CONCAT($B$1," - ",$A9),NotesIndiv[N° perso],NotesIndiv[Prénom])),"",_xlfn.XLOOKUP(_xlfn.CONCAT($B$1," - ",$A9),NotesIndiv[N° perso],NotesIndiv[Abs])&amp;"H")</f>
        <v>14H</v>
      </c>
      <c r="L9" s="100"/>
      <c r="AE9" s="2">
        <f>IF(ISNA(_xlfn.XLOOKUP(_xlfn.CONCAT('FEUILLE RECAP'!$B$1," - ",'FEUILLE RECAP'!$A9),NotesIndiv[N° perso],NotesIndiv[TOTAL])),"",_xlfn.XLOOKUP(_xlfn.CONCAT('FEUILLE RECAP'!$B$1," - ",'FEUILLE RECAP'!$A9),NotesIndiv[N° perso],NotesIndiv[TOTAL]))</f>
        <v>0.6</v>
      </c>
      <c r="AF9" s="2">
        <f>IF(ISNA(_xlfn.XLOOKUP(_xlfn.CONCAT('FEUILLE RECAP'!$B$1," - ",'FEUILLE RECAP'!$A9),NotesIndiv[N° perso],NotesIndiv[TOTAL])),"",_xlfn.XLOOKUP(_xlfn.CONCAT('FEUILLE RECAP'!$B$1," - ",'FEUILLE RECAP'!$A9),NotesIndiv[N° perso],NotesIndiv[Reste]))</f>
        <v>0.4</v>
      </c>
    </row>
    <row r="10" spans="1:38" x14ac:dyDescent="0.25">
      <c r="A10" s="94">
        <v>4</v>
      </c>
      <c r="C10" s="98"/>
      <c r="D10" s="125"/>
      <c r="E10" t="str">
        <f>IF(ISNA(_xlfn.XLOOKUP(_xlfn.CONCAT($B$1," - ",$A10),NotesIndiv[N° perso],NotesIndiv[NOM])),"",_xlfn.XLOOKUP(_xlfn.CONCAT($B$1," - ",$A10),NotesIndiv[N° perso],NotesIndiv[NOM]))</f>
        <v>MAD.</v>
      </c>
      <c r="F10" t="str">
        <f>IF(ISNA(_xlfn.XLOOKUP(_xlfn.CONCAT($B$1," - ",$A10),NotesIndiv[N° perso],NotesIndiv[Prénom])),"",_xlfn.XLOOKUP(_xlfn.CONCAT($B$1," - ",$A10),NotesIndiv[N° perso],NotesIndiv[Prénom]))</f>
        <v>Coraelle</v>
      </c>
      <c r="G10" s="252" t="str">
        <f>IF(ISNA(_xlfn.XLOOKUP(_xlfn.CONCAT($B$1," - ",$A10),NotesIndiv[N° perso],NotesIndiv[note])),"",ROUND(_xlfn.XLOOKUP(_xlfn.CONCAT($B$1," - ",$A10),NotesIndiv[N° perso],NotesIndiv[note]),2)&amp;"/20")</f>
        <v>14,5/20</v>
      </c>
      <c r="H10" s="9"/>
      <c r="I10" s="9"/>
      <c r="K10" s="251" t="str">
        <f>IF(ISNA(_xlfn.XLOOKUP(_xlfn.CONCAT($B$1," - ",$A10),NotesIndiv[N° perso],NotesIndiv[Prénom])),"",_xlfn.XLOOKUP(_xlfn.CONCAT($B$1," - ",$A10),NotesIndiv[N° perso],NotesIndiv[Abs])&amp;"H")</f>
        <v>3,5H</v>
      </c>
      <c r="L10" s="100"/>
      <c r="AE10" s="2">
        <f>IF(ISNA(_xlfn.XLOOKUP(_xlfn.CONCAT('FEUILLE RECAP'!$B$1," - ",'FEUILLE RECAP'!$A10),NotesIndiv[N° perso],NotesIndiv[TOTAL])),"",_xlfn.XLOOKUP(_xlfn.CONCAT('FEUILLE RECAP'!$B$1," - ",'FEUILLE RECAP'!$A10),NotesIndiv[N° perso],NotesIndiv[TOTAL]))</f>
        <v>0.72499999999999998</v>
      </c>
      <c r="AF10" s="2">
        <f>IF(ISNA(_xlfn.XLOOKUP(_xlfn.CONCAT('FEUILLE RECAP'!$B$1," - ",'FEUILLE RECAP'!$A10),NotesIndiv[N° perso],NotesIndiv[TOTAL])),"",_xlfn.XLOOKUP(_xlfn.CONCAT('FEUILLE RECAP'!$B$1," - ",'FEUILLE RECAP'!$A10),NotesIndiv[N° perso],NotesIndiv[Reste]))</f>
        <v>0.27500000000000002</v>
      </c>
    </row>
    <row r="11" spans="1:38" x14ac:dyDescent="0.25">
      <c r="A11" s="94">
        <v>5</v>
      </c>
      <c r="C11" s="98"/>
      <c r="D11" s="126"/>
      <c r="E11" t="str">
        <f>IF(ISNA(_xlfn.XLOOKUP(_xlfn.CONCAT($B$1," - ",$A11),NotesIndiv[N° perso],NotesIndiv[NOM])),"",_xlfn.XLOOKUP(_xlfn.CONCAT($B$1," - ",$A11),NotesIndiv[N° perso],NotesIndiv[NOM]))</f>
        <v>NGU.</v>
      </c>
      <c r="F11" t="str">
        <f>IF(ISNA(_xlfn.XLOOKUP(_xlfn.CONCAT($B$1," - ",$A11),NotesIndiv[N° perso],NotesIndiv[Prénom])),"",_xlfn.XLOOKUP(_xlfn.CONCAT($B$1," - ",$A11),NotesIndiv[N° perso],NotesIndiv[Prénom]))</f>
        <v>Nga</v>
      </c>
      <c r="G11" s="252" t="str">
        <f>IF(ISNA(_xlfn.XLOOKUP(_xlfn.CONCAT($B$1," - ",$A11),NotesIndiv[N° perso],NotesIndiv[note])),"",ROUND(_xlfn.XLOOKUP(_xlfn.CONCAT($B$1," - ",$A11),NotesIndiv[N° perso],NotesIndiv[note]),2)&amp;"/20")</f>
        <v>16/20</v>
      </c>
      <c r="H11" s="9"/>
      <c r="I11" s="9"/>
      <c r="K11" s="251" t="str">
        <f>IF(ISNA(_xlfn.XLOOKUP(_xlfn.CONCAT($B$1," - ",$A11),NotesIndiv[N° perso],NotesIndiv[Prénom])),"",_xlfn.XLOOKUP(_xlfn.CONCAT($B$1," - ",$A11),NotesIndiv[N° perso],NotesIndiv[Abs])&amp;"H")</f>
        <v>H</v>
      </c>
      <c r="L11" s="100"/>
      <c r="O11" s="9"/>
      <c r="P11" s="233"/>
      <c r="AE11" s="2">
        <f>IF(ISNA(_xlfn.XLOOKUP(_xlfn.CONCAT('FEUILLE RECAP'!$B$1," - ",'FEUILLE RECAP'!$A11),NotesIndiv[N° perso],NotesIndiv[TOTAL])),"",_xlfn.XLOOKUP(_xlfn.CONCAT('FEUILLE RECAP'!$B$1," - ",'FEUILLE RECAP'!$A11),NotesIndiv[N° perso],NotesIndiv[TOTAL]))</f>
        <v>0.8</v>
      </c>
      <c r="AF11" s="2">
        <f>IF(ISNA(_xlfn.XLOOKUP(_xlfn.CONCAT('FEUILLE RECAP'!$B$1," - ",'FEUILLE RECAP'!$A11),NotesIndiv[N° perso],NotesIndiv[TOTAL])),"",_xlfn.XLOOKUP(_xlfn.CONCAT('FEUILLE RECAP'!$B$1," - ",'FEUILLE RECAP'!$A11),NotesIndiv[N° perso],NotesIndiv[Reste]))</f>
        <v>0.19999999999999996</v>
      </c>
    </row>
    <row r="12" spans="1:38" ht="10.5" customHeight="1" x14ac:dyDescent="0.25">
      <c r="C12" s="98"/>
      <c r="L12" s="100"/>
    </row>
    <row r="13" spans="1:38" ht="15.75" customHeight="1" x14ac:dyDescent="0.25">
      <c r="C13" s="98"/>
      <c r="D13" s="241" t="s">
        <v>129</v>
      </c>
      <c r="E13" s="242"/>
      <c r="F13" s="234" t="str">
        <f>UPPER("Présentation")</f>
        <v>PRÉSENTATION</v>
      </c>
      <c r="G13" s="234" t="str">
        <f>UPPER("Clareté")</f>
        <v>CLARETÉ</v>
      </c>
      <c r="H13" s="234" t="str">
        <f>UPPER("Fond")</f>
        <v>FOND</v>
      </c>
      <c r="I13" s="243" t="s">
        <v>154</v>
      </c>
      <c r="J13" s="243"/>
      <c r="K13" s="243"/>
      <c r="L13" s="100"/>
      <c r="AE13" s="319" t="s">
        <v>248</v>
      </c>
      <c r="AF13" s="319" t="s">
        <v>141</v>
      </c>
      <c r="AG13" s="319" t="s">
        <v>249</v>
      </c>
      <c r="AH13" s="319" t="s">
        <v>250</v>
      </c>
      <c r="AI13" s="319" t="s">
        <v>251</v>
      </c>
      <c r="AJ13" s="319"/>
      <c r="AK13" s="319"/>
    </row>
    <row r="14" spans="1:38" ht="15.75" customHeight="1" x14ac:dyDescent="0.3">
      <c r="C14" s="98"/>
      <c r="D14" s="255" t="str">
        <f>IF(ISNA(_xlfn.XLOOKUP($B$1,NotesEQ[N°],NotesEQ[NOTE GLOBALE])),"",ROUND(_xlfn.XLOOKUP($B$1,NotesEQ[N°],NotesEQ[NOTE GLOBALE]),1)&amp;"/20")</f>
        <v>2,3/20</v>
      </c>
      <c r="E14" s="254"/>
      <c r="F14" s="235">
        <f>IF(ISNA(_xlfn.XLOOKUP($B$1,NotesEQ[N°],NotesEQ[Présentation])),"",_xlfn.XLOOKUP($B$1,NotesEQ[N°],NotesEQ[Présentation]))</f>
        <v>0</v>
      </c>
      <c r="G14" s="235">
        <f>IF(ISNA(_xlfn.XLOOKUP($B$1,NotesEQ[N°],NotesEQ[Présentation])),"",_xlfn.XLOOKUP($B$1,NotesEQ[N°],NotesEQ[Clareté]))</f>
        <v>0</v>
      </c>
      <c r="H14" s="235">
        <f>IF(ISNA(_xlfn.XLOOKUP($B$1,NotesEQ[N°],NotesEQ[Présentation])),"",_xlfn.XLOOKUP($B$1,NotesEQ[N°],NotesEQ[Fond]))</f>
        <v>0</v>
      </c>
      <c r="I14" s="247" t="str">
        <f>IF(ISNA(_xlfn.XLOOKUP(_xlfn.CONCAT($B$1," - ",$A7),NotesIndiv[N° perso],NotesIndiv[NOM])),"",_xlfn.XLOOKUP(_xlfn.CONCAT($B$1," - ",$A7),NotesIndiv[N° perso],NotesIndiv[NOM])&amp;" "&amp;_xlfn.XLOOKUP(_xlfn.CONCAT($B$1," - ",$A7),NotesIndiv[N° perso],NotesIndiv[Prénom]))</f>
        <v>BEZ. Louis</v>
      </c>
      <c r="J14" s="246"/>
      <c r="K14" s="253" t="str">
        <f>IF(ISNA(_xlfn.XLOOKUP(_xlfn.CONCAT($B$1," - ",$A7),NotesIndiv[N° perso],NotesIndiv[note])),"",ROUND(_xlfn.XLOOKUP(_xlfn.CONCAT($B$1," - ",$A7),NotesIndiv[N° perso],NotesIndiv[NOTE PONDEREE]),1)&amp;"/20")</f>
        <v>6,3/20</v>
      </c>
      <c r="L14" s="100"/>
      <c r="AC14">
        <f>ROW()</f>
        <v>14</v>
      </c>
      <c r="AD14" s="130" t="s">
        <v>106</v>
      </c>
      <c r="AE14" s="130" cm="1">
        <f t="array" aca="1" ref="AE14" ca="1">_xlfn.XLOOKUP('FEUILLE RECAP'!$B$1,NotesEQ[N°],INDIRECT(AL14))</f>
        <v>4.5</v>
      </c>
      <c r="AF14" s="130">
        <f ca="1">AG14-AE14</f>
        <v>0.5</v>
      </c>
      <c r="AG14" s="130" cm="1">
        <f t="array" ref="AG14:AG40">TRANSPOSE(NOTESEQUIP!K2:AK2)</f>
        <v>5</v>
      </c>
      <c r="AH14" s="130" t="str">
        <f ca="1">_xlfn.CONCAT(AE14,"/",AG14)</f>
        <v>4,5/5</v>
      </c>
      <c r="AI14" s="157">
        <f ca="1">AE14/AG14</f>
        <v>0.9</v>
      </c>
      <c r="AJ14" s="130"/>
      <c r="AK14" s="130"/>
      <c r="AL14" t="str">
        <f>"NotesEQ["&amp;AD14&amp;"]"</f>
        <v>NotesEQ[Métier]</v>
      </c>
    </row>
    <row r="15" spans="1:38" ht="15.75" customHeight="1" x14ac:dyDescent="0.25">
      <c r="C15" s="98"/>
      <c r="D15" s="242"/>
      <c r="E15" s="242"/>
      <c r="F15" s="236" t="str">
        <f>IF(ISNA(_xlfn.XLOOKUP($B$1,NotesEQ[N°],NotesEQ[Présentation])),"",REPT("«",_xlfn.XLOOKUP($B$1,NotesEQ[N°],NotesEQ[Présentation])))</f>
        <v/>
      </c>
      <c r="G15" s="236" t="str">
        <f>IF(ISNA(_xlfn.XLOOKUP($B$1,NotesEQ[N°],NotesEQ[Présentation])),"",REPT("«",_xlfn.XLOOKUP($B$1,NotesEQ[N°],NotesEQ[Clareté])))</f>
        <v/>
      </c>
      <c r="H15" s="236" t="str">
        <f>IF(ISNA(_xlfn.XLOOKUP($B$1,NotesEQ[N°],NotesEQ[Présentation])),"",REPT("«",_xlfn.XLOOKUP($B$1,NotesEQ[N°],NotesEQ[Fond])))</f>
        <v/>
      </c>
      <c r="I15" s="247" t="str">
        <f>IF(ISNA(_xlfn.XLOOKUP(_xlfn.CONCAT($B$1," - ",$A8),NotesIndiv[N° perso],NotesIndiv[NOM])),"",_xlfn.XLOOKUP(_xlfn.CONCAT($B$1," - ",$A8),NotesIndiv[N° perso],NotesIndiv[NOM])&amp;" "&amp;_xlfn.XLOOKUP(_xlfn.CONCAT($B$1," - ",$A8),NotesIndiv[N° perso],NotesIndiv[Prénom]))</f>
        <v>CHA. Margot</v>
      </c>
      <c r="J15" s="246"/>
      <c r="K15" s="253" t="str">
        <f>IF(ISNA(_xlfn.XLOOKUP(_xlfn.CONCAT($B$1," - ",$A8),NotesIndiv[N° perso],NotesIndiv[note])),"",ROUND(_xlfn.XLOOKUP(_xlfn.CONCAT($B$1," - ",$A8),NotesIndiv[N° perso],NotesIndiv[NOTE PONDEREE]),1)&amp;"/20")</f>
        <v>6,8/20</v>
      </c>
      <c r="L15" s="100"/>
      <c r="AC15">
        <f>ROW()</f>
        <v>15</v>
      </c>
      <c r="AD15" s="130" t="s">
        <v>107</v>
      </c>
      <c r="AE15" s="130" cm="1">
        <f t="array" aca="1" ref="AE15" ca="1">_xlfn.XLOOKUP('FEUILLE RECAP'!$B$1,NotesEQ[N°],INDIRECT(AL15))</f>
        <v>4.5</v>
      </c>
      <c r="AF15" s="130">
        <f ca="1">AG15-AE15</f>
        <v>0.5</v>
      </c>
      <c r="AG15" s="130">
        <v>5</v>
      </c>
      <c r="AH15" s="130" t="str">
        <f ca="1">_xlfn.CONCAT(AE15,"/",AG15)</f>
        <v>4,5/5</v>
      </c>
      <c r="AI15" s="157">
        <f ca="1">AE15/AG15</f>
        <v>0.9</v>
      </c>
      <c r="AJ15" s="130"/>
      <c r="AK15" s="130"/>
      <c r="AL15" t="str">
        <f>"NotesEQ["&amp;AD15&amp;"]"</f>
        <v>NotesEQ[Motivations]</v>
      </c>
    </row>
    <row r="16" spans="1:38" ht="15.75" customHeight="1" x14ac:dyDescent="0.25">
      <c r="C16" s="98"/>
      <c r="D16" s="241" t="s">
        <v>146</v>
      </c>
      <c r="E16" s="242"/>
      <c r="F16" s="237" t="s">
        <v>152</v>
      </c>
      <c r="G16" s="238"/>
      <c r="H16" s="238"/>
      <c r="I16" s="247" t="str">
        <f>IF(ISNA(_xlfn.XLOOKUP(_xlfn.CONCAT($B$1," - ",$A9),NotesIndiv[N° perso],NotesIndiv[NOM])),"",_xlfn.XLOOKUP(_xlfn.CONCAT($B$1," - ",$A9),NotesIndiv[N° perso],NotesIndiv[NOM])&amp;" "&amp;_xlfn.XLOOKUP(_xlfn.CONCAT($B$1," - ",$A9),NotesIndiv[N° perso],NotesIndiv[Prénom]))</f>
        <v>M’B. Aissata Hawa</v>
      </c>
      <c r="J16" s="246"/>
      <c r="K16" s="253" t="str">
        <f>IF(ISNA(_xlfn.XLOOKUP(_xlfn.CONCAT($B$1," - ",$A9),NotesIndiv[N° perso],NotesIndiv[note])),"",ROUND(_xlfn.XLOOKUP(_xlfn.CONCAT($B$1," - ",$A9),NotesIndiv[N° perso],NotesIndiv[NOTE PONDEREE]),1)&amp;"/20")</f>
        <v>5,5/20</v>
      </c>
      <c r="L16" s="100"/>
      <c r="AC16">
        <f>ROW()</f>
        <v>16</v>
      </c>
      <c r="AD16" s="130" t="s">
        <v>108</v>
      </c>
      <c r="AE16" s="130" cm="1">
        <f t="array" aca="1" ref="AE16" ca="1">_xlfn.XLOOKUP('FEUILLE RECAP'!$B$1,NotesEQ[N°],INDIRECT(AL16))</f>
        <v>4.5</v>
      </c>
      <c r="AF16" s="130">
        <f ca="1">AG16-AE16</f>
        <v>0.5</v>
      </c>
      <c r="AG16" s="130">
        <v>5</v>
      </c>
      <c r="AH16" s="130" t="str">
        <f ca="1">_xlfn.CONCAT(AE16,"/",AG16)</f>
        <v>4,5/5</v>
      </c>
      <c r="AI16" s="157">
        <f ca="1">AE16/AG16</f>
        <v>0.9</v>
      </c>
      <c r="AJ16" s="130" t="str">
        <f ca="1">SUM(AE14:AE16)&amp;"/"&amp;SUM(AG14:AG16)</f>
        <v>13,5/15</v>
      </c>
      <c r="AK16" s="143" t="str">
        <f ca="1">AJ16</f>
        <v>13,5/15</v>
      </c>
      <c r="AL16" t="str">
        <f>"NotesEQ["&amp;AD16&amp;"]"</f>
        <v>NotesEQ[Moyens]</v>
      </c>
    </row>
    <row r="17" spans="3:38" ht="15.75" customHeight="1" x14ac:dyDescent="0.3">
      <c r="C17" s="98"/>
      <c r="D17" s="255" t="str">
        <f>IF(ISNA(_xlfn.XLOOKUP($B$1,NotesEQ[N°],NotesEQ[Rang])),"",_xlfn.XLOOKUP($B$1,NotesEQ[N°],NotesEQ[Rang])&amp;"/15")</f>
        <v>12/15</v>
      </c>
      <c r="E17" s="254"/>
      <c r="F17" s="239"/>
      <c r="G17" s="249" t="e">
        <f>IF(ISNA(_xlfn.XLOOKUP($B$1,NotesEQ[N°],NotesEQ[Présentation])),"",AVERAGE(_xlfn.XLOOKUP($B$1,NotesEQ[N°],NotesEQ[Présentation]),_xlfn.XLOOKUP($B$1,NotesEQ[N°],NotesEQ[Clareté]),_xlfn.XLOOKUP($B$1,NotesEQ[N°],NotesEQ[Fond])))</f>
        <v>#DIV/0!</v>
      </c>
      <c r="H17" s="239"/>
      <c r="I17" s="247" t="str">
        <f>IF(ISNA(_xlfn.XLOOKUP(_xlfn.CONCAT($B$1," - ",$A10),NotesIndiv[N° perso],NotesIndiv[NOM])),"",_xlfn.XLOOKUP(_xlfn.CONCAT($B$1," - ",$A10),NotesIndiv[N° perso],NotesIndiv[NOM])&amp;" "&amp;_xlfn.XLOOKUP(_xlfn.CONCAT($B$1," - ",$A10),NotesIndiv[N° perso],NotesIndiv[Prénom]))</f>
        <v>MAD. Coraelle</v>
      </c>
      <c r="J17" s="246"/>
      <c r="K17" s="253" t="str">
        <f>IF(ISNA(_xlfn.XLOOKUP(_xlfn.CONCAT($B$1," - ",$A10),NotesIndiv[N° perso],NotesIndiv[note])),"",ROUND(_xlfn.XLOOKUP(_xlfn.CONCAT($B$1," - ",$A10),NotesIndiv[N° perso],NotesIndiv[NOTE PONDEREE]),1)&amp;"/20")</f>
        <v>6,3/20</v>
      </c>
      <c r="L17" s="100"/>
      <c r="AC17">
        <f>ROW()</f>
        <v>17</v>
      </c>
      <c r="AD17" s="131" t="s">
        <v>113</v>
      </c>
      <c r="AE17" s="131" cm="1">
        <f t="array" aca="1" ref="AE17" ca="1">_xlfn.XLOOKUP('FEUILLE RECAP'!$B$1,NotesEQ[N°],INDIRECT(AL17))</f>
        <v>4.5</v>
      </c>
      <c r="AF17" s="131">
        <f ca="1">AG17-AE17</f>
        <v>5.5</v>
      </c>
      <c r="AG17" s="131">
        <v>10</v>
      </c>
      <c r="AH17" s="131" t="str">
        <f ca="1">_xlfn.CONCAT(AE17,"/",AG17)</f>
        <v>4,5/10</v>
      </c>
      <c r="AI17" s="159">
        <f ca="1">AE17/AG17</f>
        <v>0.45</v>
      </c>
      <c r="AJ17" s="131"/>
      <c r="AK17" s="124"/>
      <c r="AL17" t="str">
        <f>"NotesEQ["&amp;AD17&amp;"]"</f>
        <v>NotesEQ[Marché]</v>
      </c>
    </row>
    <row r="18" spans="3:38" ht="15.75" customHeight="1" x14ac:dyDescent="0.25">
      <c r="C18" s="98"/>
      <c r="D18" s="240"/>
      <c r="E18" s="240"/>
      <c r="F18" s="239"/>
      <c r="G18" s="236" t="e">
        <f>IF(ISNA(_xlfn.XLOOKUP($B$1,NotesEQ[N°],NotesEQ[Présentation])),"",REPT("«",AVERAGE(_xlfn.XLOOKUP($B$1,NotesEQ[N°],NotesEQ[Présentation]),_xlfn.XLOOKUP($B$1,NotesEQ[N°],NotesEQ[Clareté]),_xlfn.XLOOKUP($B$1,NotesEQ[N°],NotesEQ[Fond]))))</f>
        <v>#DIV/0!</v>
      </c>
      <c r="H18" s="239"/>
      <c r="I18" s="247" t="str">
        <f>IF(ISNA(_xlfn.XLOOKUP(_xlfn.CONCAT($B$1," - ",$A11),NotesIndiv[N° perso],NotesIndiv[NOM])),"",_xlfn.XLOOKUP(_xlfn.CONCAT($B$1," - ",$A11),NotesIndiv[N° perso],NotesIndiv[NOM])&amp;" "&amp;_xlfn.XLOOKUP(_xlfn.CONCAT($B$1," - ",$A11),NotesIndiv[N° perso],NotesIndiv[Prénom]))</f>
        <v>NGU. Nga</v>
      </c>
      <c r="J18" s="246"/>
      <c r="K18" s="253" t="str">
        <f>IF(ISNA(_xlfn.XLOOKUP(_xlfn.CONCAT($B$1," - ",$A11),NotesIndiv[N° perso],NotesIndiv[note])),"",ROUND(_xlfn.XLOOKUP(_xlfn.CONCAT($B$1," - ",$A11),NotesIndiv[N° perso],NotesIndiv[NOTE PONDEREE]),1)&amp;"/20")</f>
        <v>6,8/20</v>
      </c>
      <c r="L18" s="100"/>
      <c r="AC18">
        <f>ROW()</f>
        <v>18</v>
      </c>
      <c r="AD18" s="131" t="s">
        <v>114</v>
      </c>
      <c r="AE18" s="131" cm="1">
        <f t="array" aca="1" ref="AE18" ca="1">_xlfn.XLOOKUP('FEUILLE RECAP'!$B$1,NotesEQ[N°],INDIRECT(AL18))</f>
        <v>4.5</v>
      </c>
      <c r="AF18" s="131">
        <f ca="1">AG18-AE18</f>
        <v>5.5</v>
      </c>
      <c r="AG18" s="131">
        <v>10</v>
      </c>
      <c r="AH18" s="131" t="str">
        <f ca="1">_xlfn.CONCAT(AE18,"/",AG18)</f>
        <v>4,5/10</v>
      </c>
      <c r="AI18" s="159">
        <f ca="1">AE18/AG18</f>
        <v>0.45</v>
      </c>
      <c r="AJ18" s="131"/>
      <c r="AK18" s="124"/>
      <c r="AL18" t="str">
        <f>"NotesEQ["&amp;AD18&amp;"]"</f>
        <v>NotesEQ[Zoom]</v>
      </c>
    </row>
    <row r="19" spans="3:38" ht="8.25" customHeight="1" x14ac:dyDescent="0.25">
      <c r="C19" s="98"/>
      <c r="L19" s="100"/>
      <c r="AC19">
        <f>ROW()</f>
        <v>19</v>
      </c>
      <c r="AD19" s="131" t="s">
        <v>115</v>
      </c>
      <c r="AE19" s="131" cm="1">
        <f t="array" aca="1" ref="AE19" ca="1">_xlfn.XLOOKUP('FEUILLE RECAP'!$B$1,NotesEQ[N°],INDIRECT(AL19))</f>
        <v>4.5</v>
      </c>
      <c r="AF19" s="131">
        <f ca="1">AG19-AE19</f>
        <v>5.5</v>
      </c>
      <c r="AG19" s="131">
        <v>10</v>
      </c>
      <c r="AH19" s="131" t="str">
        <f ca="1">_xlfn.CONCAT(AE19,"/",AG19)</f>
        <v>4,5/10</v>
      </c>
      <c r="AI19" s="159">
        <f ca="1">AE19/AG19</f>
        <v>0.45</v>
      </c>
      <c r="AJ19" s="131"/>
      <c r="AK19" s="124"/>
      <c r="AL19" t="str">
        <f>"NotesEQ["&amp;AD19&amp;"]"</f>
        <v>NotesEQ[Pestel]</v>
      </c>
    </row>
    <row r="20" spans="3:38" ht="25.5" customHeight="1" x14ac:dyDescent="0.25">
      <c r="C20" s="98"/>
      <c r="D20" s="245" t="s">
        <v>156</v>
      </c>
      <c r="E20" s="93"/>
      <c r="F20" s="93"/>
      <c r="G20" s="93"/>
      <c r="H20" s="93"/>
      <c r="I20" s="93"/>
      <c r="J20" s="93"/>
      <c r="K20" s="93"/>
      <c r="L20" s="100"/>
      <c r="AC20">
        <f>ROW()</f>
        <v>20</v>
      </c>
      <c r="AD20" s="131" t="s">
        <v>116</v>
      </c>
      <c r="AE20" s="131" cm="1">
        <f t="array" aca="1" ref="AE20" ca="1">_xlfn.XLOOKUP('FEUILLE RECAP'!$B$1,NotesEQ[N°],INDIRECT(AL20))</f>
        <v>4.5</v>
      </c>
      <c r="AF20" s="131">
        <f ca="1">AG20-AE20</f>
        <v>5.5</v>
      </c>
      <c r="AG20" s="131">
        <v>10</v>
      </c>
      <c r="AH20" s="131" t="str">
        <f ca="1">_xlfn.CONCAT(AE20,"/",AG20)</f>
        <v>4,5/10</v>
      </c>
      <c r="AI20" s="159">
        <f ca="1">AE20/AG20</f>
        <v>0.45</v>
      </c>
      <c r="AJ20" s="131"/>
      <c r="AK20" s="124"/>
      <c r="AL20" t="str">
        <f>"NotesEQ["&amp;AD20&amp;"]"</f>
        <v>NotesEQ[Porter]</v>
      </c>
    </row>
    <row r="21" spans="3:38" ht="7.5" customHeight="1" thickBot="1" x14ac:dyDescent="0.3">
      <c r="C21" s="98"/>
      <c r="L21" s="100"/>
      <c r="AC21">
        <f>ROW()</f>
        <v>21</v>
      </c>
      <c r="AD21" s="131" t="s">
        <v>117</v>
      </c>
      <c r="AE21" s="131" cm="1">
        <f t="array" aca="1" ref="AE21" ca="1">_xlfn.XLOOKUP('FEUILLE RECAP'!$B$1,NotesEQ[N°],INDIRECT(AL21))</f>
        <v>4.5</v>
      </c>
      <c r="AF21" s="131">
        <f ca="1">AG21-AE21</f>
        <v>5.5</v>
      </c>
      <c r="AG21" s="131">
        <v>10</v>
      </c>
      <c r="AH21" s="131" t="str">
        <f ca="1">_xlfn.CONCAT(AE21,"/",AG21)</f>
        <v>4,5/10</v>
      </c>
      <c r="AI21" s="159">
        <f ca="1">AE21/AG21</f>
        <v>0.45</v>
      </c>
      <c r="AJ21" s="131" t="str">
        <f ca="1">SUM(AE17:AE21)&amp;"/"&amp;SUM(AG17:AG21)</f>
        <v>22,5/50</v>
      </c>
      <c r="AK21" s="124"/>
      <c r="AL21" t="str">
        <f>"NotesEQ["&amp;AD21&amp;"]"</f>
        <v>NotesEQ[SWOT]</v>
      </c>
    </row>
    <row r="22" spans="3:38" ht="15.75" thickTop="1" x14ac:dyDescent="0.25">
      <c r="C22" s="98"/>
      <c r="D22" s="152" t="s">
        <v>144</v>
      </c>
      <c r="E22" s="202"/>
      <c r="F22" s="153"/>
      <c r="G22" s="153"/>
      <c r="H22" s="154"/>
      <c r="I22" s="154"/>
      <c r="J22" s="154"/>
      <c r="K22" s="155"/>
      <c r="L22" s="100"/>
      <c r="AC22">
        <f>ROW()</f>
        <v>22</v>
      </c>
      <c r="AD22" s="132" t="s">
        <v>118</v>
      </c>
      <c r="AE22" s="132" cm="1">
        <f t="array" aca="1" ref="AE22" ca="1">_xlfn.XLOOKUP('FEUILLE RECAP'!$B$1,NotesEQ[N°],INDIRECT(AL22))</f>
        <v>0</v>
      </c>
      <c r="AF22" s="132">
        <f ca="1">AG22-AE22</f>
        <v>10</v>
      </c>
      <c r="AG22" s="132">
        <v>10</v>
      </c>
      <c r="AH22" s="132" t="str">
        <f ca="1">_xlfn.CONCAT(AE22,"/",AG22)</f>
        <v>0/10</v>
      </c>
      <c r="AI22" s="160">
        <f ca="1">AE22/AG22</f>
        <v>0</v>
      </c>
      <c r="AJ22" s="132"/>
      <c r="AK22" s="124"/>
      <c r="AL22" t="str">
        <f>"NotesEQ["&amp;AD22&amp;"]"</f>
        <v>NotesEQ[Quali]</v>
      </c>
    </row>
    <row r="23" spans="3:38" ht="90" customHeight="1" thickBot="1" x14ac:dyDescent="0.3">
      <c r="C23" s="98"/>
      <c r="D23" s="127"/>
      <c r="E23" s="128"/>
      <c r="F23" s="128"/>
      <c r="G23" s="128"/>
      <c r="H23" s="128"/>
      <c r="I23" s="128"/>
      <c r="J23" s="128"/>
      <c r="K23" s="129"/>
      <c r="L23" s="100"/>
      <c r="AC23">
        <f>ROW()</f>
        <v>23</v>
      </c>
      <c r="AD23" s="132" t="s">
        <v>119</v>
      </c>
      <c r="AE23" s="132" cm="1">
        <f t="array" aca="1" ref="AE23" ca="1">_xlfn.XLOOKUP('FEUILLE RECAP'!$B$1,NotesEQ[N°],INDIRECT(AL23))</f>
        <v>0</v>
      </c>
      <c r="AF23" s="132">
        <f ca="1">AG23-AE23</f>
        <v>10</v>
      </c>
      <c r="AG23" s="132">
        <v>10</v>
      </c>
      <c r="AH23" s="132" t="str">
        <f ca="1">_xlfn.CONCAT(AE23,"/",AG23)</f>
        <v>0/10</v>
      </c>
      <c r="AI23" s="160">
        <f ca="1">AE23/AG23</f>
        <v>0</v>
      </c>
      <c r="AJ23" s="132"/>
      <c r="AK23" s="124"/>
      <c r="AL23" t="str">
        <f>"NotesEQ["&amp;AD23&amp;"]"</f>
        <v>NotesEQ[Quanti]</v>
      </c>
    </row>
    <row r="24" spans="3:38" ht="7.5" customHeight="1" thickTop="1" thickBot="1" x14ac:dyDescent="0.3">
      <c r="C24" s="98"/>
      <c r="E24" s="158"/>
      <c r="F24" s="158"/>
      <c r="G24" s="158"/>
      <c r="H24" s="158"/>
      <c r="I24" s="158"/>
      <c r="J24" s="158"/>
      <c r="K24" s="158"/>
      <c r="L24" s="100"/>
      <c r="AC24">
        <f>ROW()</f>
        <v>24</v>
      </c>
      <c r="AD24" s="132" t="s">
        <v>120</v>
      </c>
      <c r="AE24" s="132" cm="1">
        <f t="array" aca="1" ref="AE24" ca="1">_xlfn.XLOOKUP('FEUILLE RECAP'!$B$1,NotesEQ[N°],INDIRECT(AL24))</f>
        <v>0</v>
      </c>
      <c r="AF24" s="132">
        <f ca="1">AG24-AE24</f>
        <v>10</v>
      </c>
      <c r="AG24" s="132">
        <v>10</v>
      </c>
      <c r="AH24" s="132" t="str">
        <f ca="1">_xlfn.CONCAT(AE24,"/",AG24)</f>
        <v>0/10</v>
      </c>
      <c r="AI24" s="160">
        <f ca="1">AE24/AG24</f>
        <v>0</v>
      </c>
      <c r="AJ24" s="132" t="str">
        <f ca="1">SUM(AE22:AE24)&amp;"/"&amp;SUM(AG22:AG24)</f>
        <v>0/30</v>
      </c>
      <c r="AK24" s="124"/>
      <c r="AL24" t="str">
        <f>"NotesEQ["&amp;AD24&amp;"]"</f>
        <v>NotesEQ[Persona]</v>
      </c>
    </row>
    <row r="25" spans="3:38" ht="15.75" thickTop="1" x14ac:dyDescent="0.25">
      <c r="C25" s="98"/>
      <c r="D25" s="203" t="str">
        <f>UPPER('FEUILLE RECAP'!AD17)</f>
        <v>MARCHÉ</v>
      </c>
      <c r="E25" s="224"/>
      <c r="F25" s="204"/>
      <c r="G25" s="204"/>
      <c r="H25" s="205"/>
      <c r="I25" s="205"/>
      <c r="J25" s="205"/>
      <c r="K25" s="206"/>
      <c r="L25" s="100"/>
      <c r="AC25">
        <f>ROW()</f>
        <v>25</v>
      </c>
      <c r="AD25" s="124" t="s">
        <v>130</v>
      </c>
      <c r="AE25" s="124" cm="1">
        <f t="array" aca="1" ref="AE25" ca="1">_xlfn.XLOOKUP('FEUILLE RECAP'!$B$1,NotesEQ[N°],INDIRECT(AL25))</f>
        <v>0</v>
      </c>
      <c r="AF25" s="124">
        <f ca="1">AG25-AE25</f>
        <v>30</v>
      </c>
      <c r="AG25" s="124">
        <v>30</v>
      </c>
      <c r="AH25" s="124" t="str">
        <f ca="1">_xlfn.CONCAT(AE25,"/",AG25)</f>
        <v>0/30</v>
      </c>
      <c r="AI25" s="161">
        <f ca="1">AE25/AG25</f>
        <v>0</v>
      </c>
      <c r="AJ25" s="124" t="str">
        <f ca="1">AH25</f>
        <v>0/30</v>
      </c>
      <c r="AK25" s="133" t="str">
        <f ca="1">SUM(AE17:AE25)&amp;"/"&amp;SUM(AG17:AG25)</f>
        <v>22,5/110</v>
      </c>
      <c r="AL25" t="str">
        <f>"NotesEQ["&amp;AD25&amp;"]"</f>
        <v>NotesEQ[Concurrence]</v>
      </c>
    </row>
    <row r="26" spans="3:38" ht="120" customHeight="1" thickBot="1" x14ac:dyDescent="0.3">
      <c r="C26" s="98"/>
      <c r="D26" s="207"/>
      <c r="E26" s="208"/>
      <c r="F26" s="208"/>
      <c r="G26" s="208"/>
      <c r="H26" s="208"/>
      <c r="I26" s="208"/>
      <c r="J26" s="208"/>
      <c r="K26" s="209"/>
      <c r="L26" s="100"/>
      <c r="AC26">
        <f>ROW()</f>
        <v>26</v>
      </c>
      <c r="AD26" s="134" t="s">
        <v>109</v>
      </c>
      <c r="AE26" s="134" cm="1">
        <f t="array" aca="1" ref="AE26" ca="1">_xlfn.XLOOKUP('FEUILLE RECAP'!$B$1,NotesEQ[N°],INDIRECT(AL26))</f>
        <v>0</v>
      </c>
      <c r="AF26" s="134">
        <f ca="1">AG26-AE26</f>
        <v>10</v>
      </c>
      <c r="AG26" s="134">
        <v>10</v>
      </c>
      <c r="AH26" s="134" t="str">
        <f ca="1">_xlfn.CONCAT(AE26,"/",AG26)</f>
        <v>0/10</v>
      </c>
      <c r="AI26" s="162">
        <f ca="1">AE26/AG26</f>
        <v>0</v>
      </c>
      <c r="AJ26" s="134"/>
      <c r="AK26" s="134"/>
      <c r="AL26" t="str">
        <f>"NotesEQ["&amp;AD26&amp;"]"</f>
        <v>NotesEQ[Proposition de valeur]</v>
      </c>
    </row>
    <row r="27" spans="3:38" ht="7.5" customHeight="1" thickTop="1" thickBot="1" x14ac:dyDescent="0.3">
      <c r="C27" s="98"/>
      <c r="L27" s="100"/>
      <c r="AC27">
        <f>ROW()</f>
        <v>27</v>
      </c>
      <c r="AD27" s="134" t="s">
        <v>110</v>
      </c>
      <c r="AE27" s="134" cm="1">
        <f t="array" aca="1" ref="AE27" ca="1">_xlfn.XLOOKUP('FEUILLE RECAP'!$B$1,NotesEQ[N°],INDIRECT(AL27))</f>
        <v>0</v>
      </c>
      <c r="AF27" s="134">
        <f ca="1">AG27-AE27</f>
        <v>10</v>
      </c>
      <c r="AG27" s="134">
        <v>10</v>
      </c>
      <c r="AH27" s="134" t="str">
        <f ca="1">_xlfn.CONCAT(AE27,"/",AG27)</f>
        <v>0/10</v>
      </c>
      <c r="AI27" s="162">
        <f ca="1">AE27/AG27</f>
        <v>0</v>
      </c>
      <c r="AJ27" s="134"/>
      <c r="AK27" s="134"/>
      <c r="AL27" t="str">
        <f>"NotesEQ["&amp;AD27&amp;"]"</f>
        <v>NotesEQ[Architecture de l’offre]</v>
      </c>
    </row>
    <row r="28" spans="3:38" ht="15.75" thickTop="1" x14ac:dyDescent="0.25">
      <c r="C28" s="98"/>
      <c r="D28" s="156" t="str">
        <f>UPPER("clients")</f>
        <v>CLIENTS</v>
      </c>
      <c r="E28" s="223"/>
      <c r="F28" s="146"/>
      <c r="G28" s="146"/>
      <c r="H28" s="147"/>
      <c r="I28" s="147"/>
      <c r="J28" s="147"/>
      <c r="K28" s="148"/>
      <c r="L28" s="100"/>
      <c r="AC28">
        <f>ROW()</f>
        <v>28</v>
      </c>
      <c r="AD28" s="134" t="s">
        <v>111</v>
      </c>
      <c r="AE28" s="134" cm="1">
        <f t="array" aca="1" ref="AE28" ca="1">_xlfn.XLOOKUP('FEUILLE RECAP'!$B$1,NotesEQ[N°],INDIRECT(AL28))</f>
        <v>0</v>
      </c>
      <c r="AF28" s="134">
        <f ca="1">AG28-AE28</f>
        <v>10</v>
      </c>
      <c r="AG28" s="134">
        <v>10</v>
      </c>
      <c r="AH28" s="134" t="str">
        <f ca="1">_xlfn.CONCAT(AE28,"/",AG28)</f>
        <v>0/10</v>
      </c>
      <c r="AI28" s="162">
        <f ca="1">AE28/AG28</f>
        <v>0</v>
      </c>
      <c r="AJ28" s="134"/>
      <c r="AK28" s="134"/>
      <c r="AL28" t="str">
        <f>"NotesEQ["&amp;AD28&amp;"]"</f>
        <v>NotesEQ[Modèle Eco]</v>
      </c>
    </row>
    <row r="29" spans="3:38" ht="90" customHeight="1" thickBot="1" x14ac:dyDescent="0.3">
      <c r="C29" s="98"/>
      <c r="D29" s="149"/>
      <c r="E29" s="150"/>
      <c r="F29" s="150"/>
      <c r="G29" s="150"/>
      <c r="H29" s="150"/>
      <c r="I29" s="150"/>
      <c r="J29" s="150"/>
      <c r="K29" s="151"/>
      <c r="L29" s="100"/>
      <c r="AC29">
        <f>ROW()</f>
        <v>29</v>
      </c>
      <c r="AD29" s="134" t="s">
        <v>112</v>
      </c>
      <c r="AE29" s="134" cm="1">
        <f t="array" aca="1" ref="AE29" ca="1">_xlfn.XLOOKUP('FEUILLE RECAP'!$B$1,NotesEQ[N°],INDIRECT(AL29))</f>
        <v>0</v>
      </c>
      <c r="AF29" s="134">
        <f ca="1">AG29-AE29</f>
        <v>10</v>
      </c>
      <c r="AG29" s="134">
        <v>10</v>
      </c>
      <c r="AH29" s="134" t="str">
        <f ca="1">_xlfn.CONCAT(AE29,"/",AG29)</f>
        <v>0/10</v>
      </c>
      <c r="AI29" s="162">
        <f ca="1">AE29/AG29</f>
        <v>0</v>
      </c>
      <c r="AJ29" s="134" t="str">
        <f ca="1">SUM(AE26:AE29)&amp;"/"&amp;SUM(AG26:AG29)</f>
        <v>0/40</v>
      </c>
      <c r="AK29" s="142" t="str">
        <f ca="1">AJ29</f>
        <v>0/40</v>
      </c>
      <c r="AL29" t="str">
        <f>"NotesEQ["&amp;AD29&amp;"]"</f>
        <v>NotesEQ[Accès marché]</v>
      </c>
    </row>
    <row r="30" spans="3:38" ht="7.5" customHeight="1" thickTop="1" thickBot="1" x14ac:dyDescent="0.3">
      <c r="C30" s="98"/>
      <c r="L30" s="100"/>
      <c r="AC30">
        <f>ROW()</f>
        <v>30</v>
      </c>
      <c r="AD30" s="135" t="s">
        <v>126</v>
      </c>
      <c r="AE30" s="135" cm="1">
        <f t="array" aca="1" ref="AE30" ca="1">_xlfn.XLOOKUP('FEUILLE RECAP'!$B$1,NotesEQ[N°],INDIRECT(AL30))</f>
        <v>0</v>
      </c>
      <c r="AF30" s="135">
        <f ca="1">AG30-AE30</f>
        <v>10</v>
      </c>
      <c r="AG30" s="135">
        <v>10</v>
      </c>
      <c r="AH30" s="135" t="str">
        <f ca="1">_xlfn.CONCAT(AE30,"/",AG30)</f>
        <v>0/10</v>
      </c>
      <c r="AI30" s="163">
        <f ca="1">AE30/AG30</f>
        <v>0</v>
      </c>
      <c r="AJ30" s="135"/>
      <c r="AK30" s="137"/>
      <c r="AL30" t="str">
        <f>"NotesEQ["&amp;AD30&amp;"]"</f>
        <v>NotesEQ[PAC ]</v>
      </c>
    </row>
    <row r="31" spans="3:38" ht="15.75" thickTop="1" x14ac:dyDescent="0.25">
      <c r="C31" s="98"/>
      <c r="D31" s="167" t="str">
        <f>UPPER("concurrents")</f>
        <v>CONCURRENTS</v>
      </c>
      <c r="E31" s="222"/>
      <c r="F31" s="168"/>
      <c r="G31" s="168"/>
      <c r="H31" s="169"/>
      <c r="I31" s="169"/>
      <c r="J31" s="169"/>
      <c r="K31" s="170"/>
      <c r="L31" s="100"/>
      <c r="AC31">
        <f>ROW()</f>
        <v>31</v>
      </c>
      <c r="AD31" s="135" t="s">
        <v>127</v>
      </c>
      <c r="AE31" s="135" cm="1">
        <f t="array" aca="1" ref="AE31" ca="1">_xlfn.XLOOKUP('FEUILLE RECAP'!$B$1,NotesEQ[N°],INDIRECT(AL31))</f>
        <v>0</v>
      </c>
      <c r="AF31" s="135">
        <f ca="1">AG31-AE31</f>
        <v>10</v>
      </c>
      <c r="AG31" s="135">
        <v>10</v>
      </c>
      <c r="AH31" s="135" t="str">
        <f ca="1">_xlfn.CONCAT(AE31,"/",AG31)</f>
        <v>0/10</v>
      </c>
      <c r="AI31" s="163">
        <f ca="1">AE31/AG31</f>
        <v>0</v>
      </c>
      <c r="AJ31" s="135" t="str">
        <f ca="1">SUM(AE30:AE31)&amp;"/"&amp;SUM(AG30:AG31)</f>
        <v>0/20</v>
      </c>
      <c r="AK31" s="137"/>
      <c r="AL31" t="str">
        <f>"NotesEQ["&amp;AD31&amp;"]"</f>
        <v>NotesEQ[PAM]</v>
      </c>
    </row>
    <row r="32" spans="3:38" ht="36.75" customHeight="1" thickBot="1" x14ac:dyDescent="0.3">
      <c r="C32" s="98"/>
      <c r="D32" s="171"/>
      <c r="E32" s="172"/>
      <c r="F32" s="172"/>
      <c r="G32" s="172"/>
      <c r="H32" s="172"/>
      <c r="I32" s="172"/>
      <c r="J32" s="172"/>
      <c r="K32" s="173"/>
      <c r="L32" s="100"/>
      <c r="AC32">
        <f>ROW()</f>
        <v>32</v>
      </c>
      <c r="AD32" s="136" t="s">
        <v>121</v>
      </c>
      <c r="AE32" s="136" cm="1">
        <f t="array" aca="1" ref="AE32" ca="1">_xlfn.XLOOKUP('FEUILLE RECAP'!$B$1,NotesEQ[N°],INDIRECT(AL32))</f>
        <v>0</v>
      </c>
      <c r="AF32" s="136">
        <f ca="1">AG32-AE32</f>
        <v>10</v>
      </c>
      <c r="AG32" s="136">
        <v>10</v>
      </c>
      <c r="AH32" s="136" t="str">
        <f ca="1">_xlfn.CONCAT(AE32,"/",AG32)</f>
        <v>0/10</v>
      </c>
      <c r="AI32" s="164">
        <f ca="1">AE32/AG32</f>
        <v>0</v>
      </c>
      <c r="AJ32" s="136"/>
      <c r="AK32" s="137"/>
      <c r="AL32" t="str">
        <f>"NotesEQ["&amp;AD32&amp;"]"</f>
        <v>NotesEQ[Logo]</v>
      </c>
    </row>
    <row r="33" spans="3:38" ht="7.5" customHeight="1" thickTop="1" thickBot="1" x14ac:dyDescent="0.3">
      <c r="C33" s="98"/>
      <c r="L33" s="100"/>
      <c r="AC33">
        <f>ROW()</f>
        <v>33</v>
      </c>
      <c r="AD33" s="136" t="s">
        <v>122</v>
      </c>
      <c r="AE33" s="136" cm="1">
        <f t="array" aca="1" ref="AE33" ca="1">_xlfn.XLOOKUP('FEUILLE RECAP'!$B$1,NotesEQ[N°],INDIRECT(AL33))</f>
        <v>0</v>
      </c>
      <c r="AF33" s="136">
        <f ca="1">AG33-AE33</f>
        <v>10</v>
      </c>
      <c r="AG33" s="136">
        <v>10</v>
      </c>
      <c r="AH33" s="136" t="str">
        <f ca="1">_xlfn.CONCAT(AE33,"/",AG33)</f>
        <v>0/10</v>
      </c>
      <c r="AI33" s="164">
        <f ca="1">AE33/AG33</f>
        <v>0</v>
      </c>
      <c r="AJ33" s="136"/>
      <c r="AK33" s="137"/>
      <c r="AL33" t="str">
        <f>"NotesEQ["&amp;AD33&amp;"]"</f>
        <v>NotesEQ[Charte]</v>
      </c>
    </row>
    <row r="34" spans="3:38" ht="15.75" thickTop="1" x14ac:dyDescent="0.25">
      <c r="C34" s="98"/>
      <c r="D34" s="174" t="str">
        <f>UPPER('FEUILLE RECAP'!AD26)</f>
        <v>PROPOSITION DE VALEUR</v>
      </c>
      <c r="E34" s="221"/>
      <c r="F34" s="175"/>
      <c r="G34" s="175"/>
      <c r="H34" s="176"/>
      <c r="I34" s="176"/>
      <c r="J34" s="176"/>
      <c r="K34" s="177"/>
      <c r="L34" s="100"/>
      <c r="AC34">
        <f>ROW()</f>
        <v>34</v>
      </c>
      <c r="AD34" s="136" t="s">
        <v>123</v>
      </c>
      <c r="AE34" s="136" cm="1">
        <f t="array" aca="1" ref="AE34" ca="1">_xlfn.XLOOKUP('FEUILLE RECAP'!$B$1,NotesEQ[N°],INDIRECT(AL34))</f>
        <v>0</v>
      </c>
      <c r="AF34" s="136">
        <f ca="1">AG34-AE34</f>
        <v>10</v>
      </c>
      <c r="AG34" s="136">
        <v>10</v>
      </c>
      <c r="AH34" s="136" t="str">
        <f ca="1">_xlfn.CONCAT(AE34,"/",AG34)</f>
        <v>0/10</v>
      </c>
      <c r="AI34" s="164">
        <f ca="1">AE34/AG34</f>
        <v>0</v>
      </c>
      <c r="AJ34" s="136"/>
      <c r="AK34" s="137"/>
      <c r="AL34" t="str">
        <f>"NotesEQ["&amp;AD34&amp;"]"</f>
        <v>NotesEQ[Site]</v>
      </c>
    </row>
    <row r="35" spans="3:38" ht="106.5" customHeight="1" thickBot="1" x14ac:dyDescent="0.3">
      <c r="C35" s="98"/>
      <c r="D35" s="178"/>
      <c r="E35" s="179"/>
      <c r="F35" s="179"/>
      <c r="G35" s="179"/>
      <c r="H35" s="179"/>
      <c r="I35" s="179"/>
      <c r="J35" s="179"/>
      <c r="K35" s="180"/>
      <c r="L35" s="100"/>
      <c r="AC35">
        <f>ROW()</f>
        <v>35</v>
      </c>
      <c r="AD35" s="136" t="s">
        <v>124</v>
      </c>
      <c r="AE35" s="136" cm="1">
        <f t="array" aca="1" ref="AE35" ca="1">_xlfn.XLOOKUP('FEUILLE RECAP'!$B$1,NotesEQ[N°],INDIRECT(AL35))</f>
        <v>0</v>
      </c>
      <c r="AF35" s="136">
        <f ca="1">AG35-AE35</f>
        <v>10</v>
      </c>
      <c r="AG35" s="136">
        <v>10</v>
      </c>
      <c r="AH35" s="136" t="str">
        <f ca="1">_xlfn.CONCAT(AE35,"/",AG35)</f>
        <v>0/10</v>
      </c>
      <c r="AI35" s="164">
        <f ca="1">AE35/AG35</f>
        <v>0</v>
      </c>
      <c r="AJ35" s="136"/>
      <c r="AK35" s="137"/>
      <c r="AL35" t="str">
        <f>"NotesEQ["&amp;AD35&amp;"]"</f>
        <v>NotesEQ[RS]</v>
      </c>
    </row>
    <row r="36" spans="3:38" ht="7.5" customHeight="1" thickTop="1" thickBot="1" x14ac:dyDescent="0.3">
      <c r="C36" s="98"/>
      <c r="L36" s="100"/>
      <c r="AC36">
        <f>ROW()</f>
        <v>36</v>
      </c>
      <c r="AD36" s="136" t="s">
        <v>125</v>
      </c>
      <c r="AE36" s="136" cm="1">
        <f t="array" aca="1" ref="AE36" ca="1">_xlfn.XLOOKUP('FEUILLE RECAP'!$B$1,NotesEQ[N°],INDIRECT(AL36))</f>
        <v>0</v>
      </c>
      <c r="AF36" s="136">
        <f ca="1">AG36-AE36</f>
        <v>10</v>
      </c>
      <c r="AG36" s="136">
        <v>10</v>
      </c>
      <c r="AH36" s="136" t="str">
        <f ca="1">_xlfn.CONCAT(AE36,"/",AG36)</f>
        <v>0/10</v>
      </c>
      <c r="AI36" s="164">
        <f ca="1">AE36/AG36</f>
        <v>0</v>
      </c>
      <c r="AJ36" s="136"/>
      <c r="AK36" s="137"/>
      <c r="AL36" t="str">
        <f>"NotesEQ["&amp;AD36&amp;"]"</f>
        <v>NotesEQ[PLV]</v>
      </c>
    </row>
    <row r="37" spans="3:38" ht="15.75" thickTop="1" x14ac:dyDescent="0.25">
      <c r="C37" s="98"/>
      <c r="D37" s="181" t="str">
        <f>UPPER("Plan d'action Commercial &amp; marketing")</f>
        <v>PLAN D'ACTION COMMERCIAL &amp; MARKETING</v>
      </c>
      <c r="E37" s="220"/>
      <c r="F37" s="182"/>
      <c r="G37" s="182"/>
      <c r="H37" s="183"/>
      <c r="I37" s="183"/>
      <c r="J37" s="183"/>
      <c r="K37" s="184"/>
      <c r="L37" s="100"/>
      <c r="AC37">
        <f>ROW()</f>
        <v>37</v>
      </c>
      <c r="AD37" s="136" t="s">
        <v>145</v>
      </c>
      <c r="AE37" s="136" cm="1">
        <f t="array" aca="1" ref="AE37" ca="1">_xlfn.XLOOKUP('FEUILLE RECAP'!$B$1,NotesEQ[N°],INDIRECT(AL37))</f>
        <v>0</v>
      </c>
      <c r="AF37" s="136">
        <f ca="1">AG37-AE37</f>
        <v>10</v>
      </c>
      <c r="AG37" s="136">
        <v>10</v>
      </c>
      <c r="AH37" s="136" t="str">
        <f ca="1">_xlfn.CONCAT(AE37,"/",AG37)</f>
        <v>0/10</v>
      </c>
      <c r="AI37" s="164">
        <f ca="1">AE37/AG37</f>
        <v>0</v>
      </c>
      <c r="AJ37" s="138" t="str">
        <f ca="1">SUM(AE32:AE37)&amp;"/"&amp;SUM(AG32:AG37)</f>
        <v>0/60</v>
      </c>
      <c r="AK37" s="139" t="str">
        <f ca="1">SUM(AE30:AE37)&amp;"/"&amp;SUM(AG30:AG37)</f>
        <v>0/80</v>
      </c>
      <c r="AL37" t="str">
        <f>"NotesEQ["&amp;AD37&amp;"]"</f>
        <v>NotesEQ[Plan média]</v>
      </c>
    </row>
    <row r="38" spans="3:38" ht="60" customHeight="1" thickBot="1" x14ac:dyDescent="0.3">
      <c r="C38" s="98"/>
      <c r="D38" s="185"/>
      <c r="E38" s="186"/>
      <c r="F38" s="186"/>
      <c r="G38" s="186"/>
      <c r="H38" s="186"/>
      <c r="I38" s="186"/>
      <c r="J38" s="186"/>
      <c r="K38" s="187"/>
      <c r="L38" s="100"/>
      <c r="AC38">
        <f>ROW()</f>
        <v>38</v>
      </c>
      <c r="AD38" s="140" t="s">
        <v>131</v>
      </c>
      <c r="AE38" s="140" cm="1">
        <f t="array" aca="1" ref="AE38" ca="1">_xlfn.XLOOKUP('FEUILLE RECAP'!$B$1,NotesEQ[N°],INDIRECT(AL38))</f>
        <v>0</v>
      </c>
      <c r="AF38" s="140">
        <f ca="1">AG38-AE38</f>
        <v>20</v>
      </c>
      <c r="AG38" s="140">
        <v>20</v>
      </c>
      <c r="AH38" s="140" t="str">
        <f ca="1">_xlfn.CONCAT(AE38,"/",AG38)</f>
        <v>0/20</v>
      </c>
      <c r="AI38" s="165">
        <f ca="1">AE38/AG38</f>
        <v>0</v>
      </c>
      <c r="AJ38" s="140" t="str">
        <f ca="1">AH38</f>
        <v>0/20</v>
      </c>
      <c r="AK38" s="141" t="str">
        <f ca="1">AJ38</f>
        <v>0/20</v>
      </c>
      <c r="AL38" t="str">
        <f>"NotesEQ["&amp;AD38&amp;"]"</f>
        <v>NotesEQ[RCA]</v>
      </c>
    </row>
    <row r="39" spans="3:38" ht="7.5" customHeight="1" thickTop="1" thickBot="1" x14ac:dyDescent="0.3">
      <c r="C39" s="98"/>
      <c r="L39" s="100"/>
      <c r="AC39">
        <f>ROW()</f>
        <v>39</v>
      </c>
      <c r="AD39" s="144" t="s">
        <v>104</v>
      </c>
      <c r="AE39" s="144" cm="1">
        <f t="array" aca="1" ref="AE39" ca="1">_xlfn.XLOOKUP('FEUILLE RECAP'!$B$1,NotesEQ[N°],INDIRECT(AL39))</f>
        <v>0</v>
      </c>
      <c r="AF39" s="144">
        <f ca="1">AG39-AE39</f>
        <v>20</v>
      </c>
      <c r="AG39" s="144">
        <v>20</v>
      </c>
      <c r="AH39" s="144" t="str">
        <f ca="1">_xlfn.CONCAT(AE39,"/",AG39)</f>
        <v>0/20</v>
      </c>
      <c r="AI39" s="166">
        <f ca="1">AE39/AG39</f>
        <v>0</v>
      </c>
      <c r="AJ39" s="144"/>
      <c r="AK39" s="144"/>
      <c r="AL39" t="str">
        <f>"NotesEQ["&amp;AD39&amp;"]"</f>
        <v>NotesEQ[Vidéo]</v>
      </c>
    </row>
    <row r="40" spans="3:38" ht="15.75" thickTop="1" x14ac:dyDescent="0.25">
      <c r="C40" s="98"/>
      <c r="D40" s="212" t="str">
        <f>UPPER("Marketing Opérationnel")</f>
        <v>MARKETING OPÉRATIONNEL</v>
      </c>
      <c r="E40" s="213"/>
      <c r="F40" s="214"/>
      <c r="G40" s="214"/>
      <c r="H40" s="215"/>
      <c r="I40" s="215"/>
      <c r="J40" s="215"/>
      <c r="K40" s="216"/>
      <c r="L40" s="100"/>
      <c r="AC40">
        <f>ROW()</f>
        <v>40</v>
      </c>
      <c r="AD40" s="144" t="s">
        <v>105</v>
      </c>
      <c r="AE40" s="144" cm="1">
        <f t="array" aca="1" ref="AE40" ca="1">_xlfn.XLOOKUP('FEUILLE RECAP'!$B$1,NotesEQ[N°],INDIRECT(AL40))</f>
        <v>0</v>
      </c>
      <c r="AF40" s="144">
        <f ca="1">AG40-AE40</f>
        <v>20</v>
      </c>
      <c r="AG40" s="144">
        <v>20</v>
      </c>
      <c r="AH40" s="144" t="str">
        <f ca="1">_xlfn.CONCAT(AE40,"/",AG40)</f>
        <v>0/20</v>
      </c>
      <c r="AI40" s="166">
        <f ca="1">AE40/AG40</f>
        <v>0</v>
      </c>
      <c r="AJ40" s="144" t="str">
        <f ca="1">SUM(AE39:AE40)&amp;"/"&amp;SUM(AG39:AG40)</f>
        <v>0/40</v>
      </c>
      <c r="AK40" s="145" t="str">
        <f ca="1">AJ40</f>
        <v>0/40</v>
      </c>
      <c r="AL40" t="str">
        <f>"NotesEQ["&amp;AD40&amp;"]"</f>
        <v>NotesEQ[PPTX]</v>
      </c>
    </row>
    <row r="41" spans="3:38" ht="130.5" customHeight="1" thickBot="1" x14ac:dyDescent="0.3">
      <c r="C41" s="98"/>
      <c r="D41" s="217"/>
      <c r="E41" s="218"/>
      <c r="F41" s="218"/>
      <c r="G41" s="218"/>
      <c r="H41" s="218"/>
      <c r="I41" s="218"/>
      <c r="J41" s="218"/>
      <c r="K41" s="219"/>
      <c r="L41" s="100"/>
      <c r="AD41" s="318">
        <f>_xlfn.XLOOKUP('FEUILLE RECAP'!$B$1,Comment!B3:B18,Comment!D3:D18)</f>
        <v>0</v>
      </c>
      <c r="AE41" s="318"/>
      <c r="AF41" s="318"/>
      <c r="AG41" s="318"/>
      <c r="AH41" s="318"/>
      <c r="AI41" s="318"/>
      <c r="AJ41" s="318"/>
      <c r="AK41" s="318"/>
    </row>
    <row r="42" spans="3:38" ht="7.5" customHeight="1" thickTop="1" thickBot="1" x14ac:dyDescent="0.3">
      <c r="C42" s="98"/>
      <c r="L42" s="100"/>
    </row>
    <row r="43" spans="3:38" ht="15.75" thickTop="1" x14ac:dyDescent="0.25">
      <c r="C43" s="98"/>
      <c r="D43" s="188" t="str">
        <f>UPPER("concurrents")</f>
        <v>CONCURRENTS</v>
      </c>
      <c r="E43" s="211"/>
      <c r="F43" s="189"/>
      <c r="G43" s="189"/>
      <c r="H43" s="190"/>
      <c r="I43" s="190"/>
      <c r="J43" s="190"/>
      <c r="K43" s="191"/>
      <c r="L43" s="100"/>
    </row>
    <row r="44" spans="3:38" ht="36.75" customHeight="1" thickBot="1" x14ac:dyDescent="0.3">
      <c r="C44" s="98"/>
      <c r="D44" s="192"/>
      <c r="E44" s="193"/>
      <c r="F44" s="193"/>
      <c r="G44" s="193"/>
      <c r="H44" s="193"/>
      <c r="I44" s="193"/>
      <c r="J44" s="193"/>
      <c r="K44" s="194"/>
      <c r="L44" s="100"/>
    </row>
    <row r="45" spans="3:38" ht="7.5" customHeight="1" thickTop="1" thickBot="1" x14ac:dyDescent="0.3">
      <c r="C45" s="98"/>
      <c r="L45" s="100"/>
    </row>
    <row r="46" spans="3:38" ht="15.75" thickTop="1" x14ac:dyDescent="0.25">
      <c r="C46" s="98"/>
      <c r="D46" s="195" t="str">
        <f>UPPER("Plan d'action Commercial &amp; marketing")</f>
        <v>PLAN D'ACTION COMMERCIAL &amp; MARKETING</v>
      </c>
      <c r="E46" s="210"/>
      <c r="F46" s="196"/>
      <c r="G46" s="196"/>
      <c r="H46" s="197"/>
      <c r="I46" s="197"/>
      <c r="J46" s="197"/>
      <c r="K46" s="198"/>
      <c r="L46" s="100"/>
    </row>
    <row r="47" spans="3:38" ht="60" customHeight="1" thickBot="1" x14ac:dyDescent="0.3">
      <c r="C47" s="98"/>
      <c r="D47" s="199"/>
      <c r="E47" s="200"/>
      <c r="F47" s="200"/>
      <c r="G47" s="200"/>
      <c r="H47" s="200"/>
      <c r="I47" s="200"/>
      <c r="J47" s="200"/>
      <c r="K47" s="201"/>
      <c r="L47" s="100"/>
    </row>
    <row r="48" spans="3:38" ht="7.5" customHeight="1" thickTop="1" thickBot="1" x14ac:dyDescent="0.3">
      <c r="C48" s="98"/>
      <c r="E48" s="231"/>
      <c r="F48" s="231"/>
      <c r="G48" s="231"/>
      <c r="H48" s="231"/>
      <c r="I48" s="231"/>
      <c r="J48" s="231"/>
      <c r="K48" s="231"/>
      <c r="L48" s="100"/>
    </row>
    <row r="49" spans="3:12" ht="5.25" customHeight="1" x14ac:dyDescent="0.25">
      <c r="C49" s="98"/>
      <c r="L49" s="100"/>
    </row>
    <row r="50" spans="3:12" ht="18.75" x14ac:dyDescent="0.25">
      <c r="C50" s="98"/>
      <c r="D50" s="248" t="s">
        <v>157</v>
      </c>
      <c r="E50" s="93"/>
      <c r="F50" s="93"/>
      <c r="G50" s="93"/>
      <c r="H50" s="93"/>
      <c r="I50" s="93"/>
      <c r="J50" s="93"/>
      <c r="K50" s="93"/>
      <c r="L50" s="100"/>
    </row>
    <row r="51" spans="3:12" ht="270" customHeight="1" x14ac:dyDescent="0.25">
      <c r="C51" s="98"/>
      <c r="D51" s="318">
        <f>AD41</f>
        <v>0</v>
      </c>
      <c r="E51" s="318"/>
      <c r="F51" s="318"/>
      <c r="G51" s="318"/>
      <c r="H51" s="318"/>
      <c r="I51" s="318"/>
      <c r="J51" s="318"/>
      <c r="K51" s="318"/>
      <c r="L51" s="100"/>
    </row>
    <row r="52" spans="3:12" ht="6.75" customHeight="1" thickBot="1" x14ac:dyDescent="0.3">
      <c r="C52" s="101"/>
      <c r="D52" s="102"/>
      <c r="E52" s="102"/>
      <c r="F52" s="102"/>
      <c r="G52" s="102"/>
      <c r="H52" s="102"/>
      <c r="I52" s="102"/>
      <c r="J52" s="102"/>
      <c r="K52" s="102"/>
      <c r="L52" s="103"/>
    </row>
    <row r="53" spans="3:12" ht="6.75" customHeight="1" x14ac:dyDescent="0.25"/>
    <row r="54" spans="3:12" ht="6.75" customHeight="1" x14ac:dyDescent="0.25"/>
    <row r="55" spans="3:12" ht="6.75" customHeight="1" x14ac:dyDescent="0.25"/>
    <row r="56" spans="3:12" ht="6.75" customHeight="1" x14ac:dyDescent="0.25"/>
  </sheetData>
  <mergeCells count="2">
    <mergeCell ref="AD41:AK41"/>
    <mergeCell ref="D51:K51"/>
  </mergeCells>
  <pageMargins left="0.70866141732283472" right="0.70866141732283472" top="0.74803149606299213" bottom="0.74803149606299213" header="0.31496062992125984" footer="0.31496062992125984"/>
  <pageSetup paperSize="9" scale="95" orientation="portrait" horizontalDpi="1200" verticalDpi="1200" r:id="rId1"/>
  <rowBreaks count="2" manualBreakCount="2">
    <brk id="33" min="2" max="11" man="1"/>
    <brk id="47" min="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NOTESEQUIP!$B$4:$B$19</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B1:AQ19"/>
  <sheetViews>
    <sheetView workbookViewId="0">
      <pane xSplit="1" ySplit="3" topLeftCell="B4" activePane="bottomRight" state="frozen"/>
      <selection pane="topRight" activeCell="B1" sqref="B1"/>
      <selection pane="bottomLeft" activeCell="A2" sqref="A2"/>
      <selection pane="bottomRight" activeCell="N10" sqref="N10:R10"/>
    </sheetView>
  </sheetViews>
  <sheetFormatPr baseColWidth="10" defaultRowHeight="15" x14ac:dyDescent="0.25"/>
  <cols>
    <col min="1" max="1" width="2.85546875" customWidth="1"/>
    <col min="2" max="2" width="2.7109375" bestFit="1" customWidth="1"/>
    <col min="3" max="3" width="13.28515625" bestFit="1" customWidth="1"/>
    <col min="4" max="5" width="5.5703125" bestFit="1" customWidth="1"/>
    <col min="6" max="6" width="5.85546875" bestFit="1" customWidth="1"/>
    <col min="7" max="7" width="6.5703125" bestFit="1" customWidth="1"/>
    <col min="8" max="10" width="3.140625" bestFit="1" customWidth="1"/>
    <col min="11" max="24" width="3.85546875" customWidth="1"/>
    <col min="25" max="28" width="3.85546875" style="4" customWidth="1"/>
    <col min="29" max="37" width="3.85546875" customWidth="1"/>
    <col min="38" max="42" width="6" customWidth="1"/>
    <col min="43" max="43" width="4.140625" bestFit="1" customWidth="1"/>
    <col min="46" max="46" width="4.140625" bestFit="1" customWidth="1"/>
  </cols>
  <sheetData>
    <row r="1" spans="2:43" ht="70.5" customHeight="1" x14ac:dyDescent="0.25">
      <c r="AL1" s="2">
        <f>SUM(K2:AK2,H2:J2)/20</f>
        <v>16</v>
      </c>
      <c r="AM1" s="2">
        <f>SUM(K2:AH2,H2:J2)/20</f>
        <v>13</v>
      </c>
      <c r="AN1" s="2">
        <f>SUM(K2:V2,H2:J2)/20</f>
        <v>7</v>
      </c>
      <c r="AO1" s="2">
        <f>SUM(W2:AH2,AJ2:AK2,H2:J2)/20</f>
        <v>8.75</v>
      </c>
    </row>
    <row r="2" spans="2:43" ht="11.25" customHeight="1" thickBot="1" x14ac:dyDescent="0.3">
      <c r="H2" s="2">
        <v>5</v>
      </c>
      <c r="I2" s="2">
        <v>5</v>
      </c>
      <c r="J2" s="2">
        <v>5</v>
      </c>
      <c r="K2" s="2">
        <v>5</v>
      </c>
      <c r="L2" s="2">
        <v>5</v>
      </c>
      <c r="M2" s="2">
        <v>5</v>
      </c>
      <c r="N2" s="2">
        <v>10</v>
      </c>
      <c r="O2" s="2">
        <v>10</v>
      </c>
      <c r="P2" s="2">
        <v>10</v>
      </c>
      <c r="Q2" s="2">
        <v>10</v>
      </c>
      <c r="R2" s="2">
        <v>10</v>
      </c>
      <c r="S2" s="2">
        <v>10</v>
      </c>
      <c r="T2" s="2">
        <v>10</v>
      </c>
      <c r="U2" s="2">
        <v>10</v>
      </c>
      <c r="V2" s="2">
        <v>30</v>
      </c>
      <c r="W2" s="2">
        <v>10</v>
      </c>
      <c r="X2" s="2">
        <v>10</v>
      </c>
      <c r="Y2" s="10">
        <v>10</v>
      </c>
      <c r="Z2" s="10">
        <v>10</v>
      </c>
      <c r="AA2" s="10">
        <v>10</v>
      </c>
      <c r="AB2" s="10">
        <v>10</v>
      </c>
      <c r="AC2" s="2">
        <v>10</v>
      </c>
      <c r="AD2" s="2">
        <v>10</v>
      </c>
      <c r="AE2" s="2">
        <v>10</v>
      </c>
      <c r="AF2" s="2">
        <v>10</v>
      </c>
      <c r="AG2" s="2">
        <v>10</v>
      </c>
      <c r="AH2" s="2">
        <v>10</v>
      </c>
      <c r="AI2" s="2">
        <v>20</v>
      </c>
      <c r="AJ2" s="2">
        <v>20</v>
      </c>
      <c r="AK2" s="2">
        <v>20</v>
      </c>
      <c r="AL2" s="2">
        <f>SUM(K2:AK2,H2:J2)/AL1</f>
        <v>20</v>
      </c>
      <c r="AM2" s="2">
        <f>SUM(K2:AH2,H2:J2)/$AM$1</f>
        <v>20</v>
      </c>
      <c r="AN2" s="2">
        <f>SUM(K2:V2,H2:J2)/$AN$1</f>
        <v>20</v>
      </c>
      <c r="AO2" s="2">
        <f>SUM(W2:AH2,AJ2:AK2,H2:J2)/$AO$1</f>
        <v>20</v>
      </c>
      <c r="AP2" s="2">
        <v>20</v>
      </c>
    </row>
    <row r="3" spans="2:43" s="232" customFormat="1" ht="82.5" x14ac:dyDescent="0.25">
      <c r="B3" s="72" t="s">
        <v>132</v>
      </c>
      <c r="C3" s="73" t="s">
        <v>81</v>
      </c>
      <c r="D3" s="74" t="s">
        <v>96</v>
      </c>
      <c r="E3" s="74" t="s">
        <v>133</v>
      </c>
      <c r="F3" s="74" t="s">
        <v>135</v>
      </c>
      <c r="G3" s="74" t="s">
        <v>134</v>
      </c>
      <c r="H3" s="277" t="s">
        <v>149</v>
      </c>
      <c r="I3" s="278" t="s">
        <v>150</v>
      </c>
      <c r="J3" s="279" t="s">
        <v>151</v>
      </c>
      <c r="K3" s="260" t="s">
        <v>106</v>
      </c>
      <c r="L3" s="261" t="s">
        <v>107</v>
      </c>
      <c r="M3" s="262" t="s">
        <v>108</v>
      </c>
      <c r="N3" s="263" t="s">
        <v>113</v>
      </c>
      <c r="O3" s="264" t="s">
        <v>114</v>
      </c>
      <c r="P3" s="264" t="s">
        <v>115</v>
      </c>
      <c r="Q3" s="264" t="s">
        <v>116</v>
      </c>
      <c r="R3" s="264" t="s">
        <v>117</v>
      </c>
      <c r="S3" s="265" t="s">
        <v>118</v>
      </c>
      <c r="T3" s="265" t="s">
        <v>119</v>
      </c>
      <c r="U3" s="265" t="s">
        <v>120</v>
      </c>
      <c r="V3" s="266" t="s">
        <v>130</v>
      </c>
      <c r="W3" s="267" t="s">
        <v>109</v>
      </c>
      <c r="X3" s="268" t="s">
        <v>110</v>
      </c>
      <c r="Y3" s="268" t="s">
        <v>111</v>
      </c>
      <c r="Z3" s="269" t="s">
        <v>112</v>
      </c>
      <c r="AA3" s="270" t="s">
        <v>126</v>
      </c>
      <c r="AB3" s="271" t="s">
        <v>127</v>
      </c>
      <c r="AC3" s="272" t="s">
        <v>121</v>
      </c>
      <c r="AD3" s="272" t="s">
        <v>122</v>
      </c>
      <c r="AE3" s="272" t="s">
        <v>123</v>
      </c>
      <c r="AF3" s="272" t="s">
        <v>124</v>
      </c>
      <c r="AG3" s="272" t="s">
        <v>125</v>
      </c>
      <c r="AH3" s="273" t="s">
        <v>145</v>
      </c>
      <c r="AI3" s="274" t="s">
        <v>131</v>
      </c>
      <c r="AJ3" s="275" t="s">
        <v>104</v>
      </c>
      <c r="AK3" s="286" t="s">
        <v>105</v>
      </c>
      <c r="AL3" s="288" t="s">
        <v>128</v>
      </c>
      <c r="AM3" s="289" t="s">
        <v>101</v>
      </c>
      <c r="AN3" s="289" t="s">
        <v>102</v>
      </c>
      <c r="AO3" s="289" t="s">
        <v>103</v>
      </c>
      <c r="AP3" s="290" t="s">
        <v>147</v>
      </c>
      <c r="AQ3" s="296" t="s">
        <v>153</v>
      </c>
    </row>
    <row r="4" spans="2:43" s="2" customFormat="1" ht="11.25" x14ac:dyDescent="0.2">
      <c r="B4" s="75">
        <v>1</v>
      </c>
      <c r="C4" s="2" t="str">
        <f>UPPER(_xlfn.XLOOKUP(NotesEQ[[#This Row],[N°]],NotesIndiv[EQUIPE],NotesIndiv[NOM2]))</f>
        <v>AIDE PIT’CHOU</v>
      </c>
      <c r="D4" s="2" t="s">
        <v>95</v>
      </c>
      <c r="F4" s="8"/>
      <c r="G4" s="9"/>
      <c r="H4" s="280">
        <v>3</v>
      </c>
      <c r="I4" s="281">
        <v>3</v>
      </c>
      <c r="J4" s="282"/>
      <c r="K4" s="15">
        <v>3.5</v>
      </c>
      <c r="L4" s="11">
        <v>3.5</v>
      </c>
      <c r="M4" s="16">
        <v>3.5</v>
      </c>
      <c r="N4" s="15">
        <v>7</v>
      </c>
      <c r="O4" s="11">
        <v>6.5</v>
      </c>
      <c r="P4" s="11">
        <v>6.5</v>
      </c>
      <c r="Q4" s="11">
        <v>6.5</v>
      </c>
      <c r="R4" s="11">
        <v>7</v>
      </c>
      <c r="S4" s="11"/>
      <c r="T4" s="11"/>
      <c r="U4" s="11"/>
      <c r="V4" s="16"/>
      <c r="W4" s="20"/>
      <c r="X4" s="12"/>
      <c r="Y4" s="12"/>
      <c r="Z4" s="21"/>
      <c r="AA4" s="15"/>
      <c r="AB4" s="11"/>
      <c r="AC4" s="11"/>
      <c r="AD4" s="11"/>
      <c r="AE4" s="11"/>
      <c r="AF4" s="11"/>
      <c r="AG4" s="11"/>
      <c r="AH4" s="16"/>
      <c r="AI4" s="27"/>
      <c r="AJ4" s="15"/>
      <c r="AK4" s="14"/>
      <c r="AL4" s="291">
        <f>SUM(NotesEQ[[#This Row],[Métier]:[PPTX]],NotesEQ[[#This Row],[Présentation]:[Fond]])/$AL$1</f>
        <v>3.125</v>
      </c>
      <c r="AM4" s="281">
        <f>SUM(NotesEQ[[#This Row],[Métier]:[Plan média]],NotesEQ[[#This Row],[Présentation]:[Fond]])/$AM$1</f>
        <v>3.8461538461538463</v>
      </c>
      <c r="AN4" s="281">
        <f>SUM(NotesEQ[[#This Row],[Métier]:[Concurrence]],NotesEQ[[#This Row],[Présentation]:[Fond]])/$AN$1</f>
        <v>7.1428571428571432</v>
      </c>
      <c r="AO4" s="281">
        <f>SUM(W4:AH4,AJ4:AK4,NotesEQ[[#This Row],[Présentation]:[Fond]])/$AO$1</f>
        <v>0.68571428571428572</v>
      </c>
      <c r="AP4" s="292">
        <f>NotesEQ[[#This Row],[RCA]]</f>
        <v>0</v>
      </c>
      <c r="AQ4" s="297">
        <f>RANK(NotesEQ[[#This Row],[NOTE GLOBALE]],NotesEQ[NOTE GLOBALE],0)</f>
        <v>9</v>
      </c>
    </row>
    <row r="5" spans="2:43" s="2" customFormat="1" ht="11.25" x14ac:dyDescent="0.2">
      <c r="B5" s="75">
        <v>2</v>
      </c>
      <c r="C5" s="2" t="str">
        <f>UPPER(_xlfn.XLOOKUP(NotesEQ[[#This Row],[N°]],NotesIndiv[EQUIPE],NotesIndiv[NOM2]))</f>
        <v>SECURE BOARD</v>
      </c>
      <c r="D5" s="2" t="s">
        <v>95</v>
      </c>
      <c r="F5" s="8"/>
      <c r="G5" s="9"/>
      <c r="H5" s="280">
        <v>2</v>
      </c>
      <c r="I5" s="281">
        <v>3</v>
      </c>
      <c r="J5" s="282">
        <v>3</v>
      </c>
      <c r="K5" s="15">
        <v>4</v>
      </c>
      <c r="L5" s="11">
        <v>4</v>
      </c>
      <c r="M5" s="16">
        <v>4</v>
      </c>
      <c r="N5" s="15">
        <v>5</v>
      </c>
      <c r="O5" s="11">
        <v>7</v>
      </c>
      <c r="P5" s="11">
        <v>5</v>
      </c>
      <c r="Q5" s="11">
        <v>6</v>
      </c>
      <c r="R5" s="11">
        <v>7</v>
      </c>
      <c r="S5" s="11"/>
      <c r="T5" s="11"/>
      <c r="U5" s="11"/>
      <c r="V5" s="16"/>
      <c r="W5" s="22"/>
      <c r="X5" s="13"/>
      <c r="Y5" s="13"/>
      <c r="Z5" s="23"/>
      <c r="AA5" s="15"/>
      <c r="AB5" s="11"/>
      <c r="AC5" s="11"/>
      <c r="AD5" s="11"/>
      <c r="AE5" s="11"/>
      <c r="AF5" s="11"/>
      <c r="AG5" s="11"/>
      <c r="AH5" s="16"/>
      <c r="AI5" s="27"/>
      <c r="AJ5" s="15"/>
      <c r="AK5" s="14"/>
      <c r="AL5" s="291">
        <f>SUM(NotesEQ[[#This Row],[Métier]:[PPTX]],NotesEQ[[#This Row],[Présentation]:[Fond]])/$AL$1</f>
        <v>3.125</v>
      </c>
      <c r="AM5" s="281">
        <f>SUM(NotesEQ[[#This Row],[Métier]:[Plan média]],NotesEQ[[#This Row],[Présentation]:[Fond]])/$AM$1</f>
        <v>3.8461538461538463</v>
      </c>
      <c r="AN5" s="281">
        <f>SUM(NotesEQ[[#This Row],[Métier]:[Concurrence]],NotesEQ[[#This Row],[Présentation]:[Fond]])/$AN$1</f>
        <v>7.1428571428571432</v>
      </c>
      <c r="AO5" s="281">
        <f>SUM(W5:AH5,AJ5:AK5,NotesEQ[[#This Row],[Présentation]:[Fond]])/$AO$1</f>
        <v>0.91428571428571426</v>
      </c>
      <c r="AP5" s="292">
        <f>NotesEQ[[#This Row],[RCA]]</f>
        <v>0</v>
      </c>
      <c r="AQ5" s="297">
        <f>RANK(NotesEQ[[#This Row],[NOTE GLOBALE]],NotesEQ[NOTE GLOBALE],0)</f>
        <v>9</v>
      </c>
    </row>
    <row r="6" spans="2:43" s="2" customFormat="1" ht="11.25" x14ac:dyDescent="0.2">
      <c r="B6" s="75">
        <v>3</v>
      </c>
      <c r="C6" s="2" t="str">
        <f>UPPER(_xlfn.XLOOKUP(NotesEQ[[#This Row],[N°]],NotesIndiv[EQUIPE],NotesIndiv[NOM2]))</f>
        <v>PARPECO</v>
      </c>
      <c r="D6" s="2" t="s">
        <v>95</v>
      </c>
      <c r="F6" s="8"/>
      <c r="G6" s="9"/>
      <c r="H6" s="280">
        <v>3</v>
      </c>
      <c r="I6" s="281">
        <v>3.5</v>
      </c>
      <c r="J6" s="282">
        <v>3.5</v>
      </c>
      <c r="K6" s="15">
        <v>4</v>
      </c>
      <c r="L6" s="11">
        <v>3.5</v>
      </c>
      <c r="M6" s="16">
        <v>3</v>
      </c>
      <c r="N6" s="15">
        <v>6.5</v>
      </c>
      <c r="O6" s="11">
        <v>7</v>
      </c>
      <c r="P6" s="11">
        <v>7.5</v>
      </c>
      <c r="Q6" s="11">
        <v>7</v>
      </c>
      <c r="R6" s="11">
        <v>6.5</v>
      </c>
      <c r="S6" s="11"/>
      <c r="T6" s="11"/>
      <c r="U6" s="11"/>
      <c r="V6" s="16"/>
      <c r="W6" s="22"/>
      <c r="X6" s="13"/>
      <c r="Y6" s="13"/>
      <c r="Z6" s="23"/>
      <c r="AA6" s="15"/>
      <c r="AB6" s="11"/>
      <c r="AC6" s="11"/>
      <c r="AD6" s="11"/>
      <c r="AE6" s="11"/>
      <c r="AF6" s="11"/>
      <c r="AG6" s="11"/>
      <c r="AH6" s="16"/>
      <c r="AI6" s="27"/>
      <c r="AJ6" s="15"/>
      <c r="AK6" s="14"/>
      <c r="AL6" s="291">
        <f>SUM(NotesEQ[[#This Row],[Métier]:[PPTX]],NotesEQ[[#This Row],[Présentation]:[Fond]])/$AL$1</f>
        <v>3.4375</v>
      </c>
      <c r="AM6" s="281">
        <f>SUM(NotesEQ[[#This Row],[Métier]:[Plan média]],NotesEQ[[#This Row],[Présentation]:[Fond]])/$AM$1</f>
        <v>4.2307692307692308</v>
      </c>
      <c r="AN6" s="281">
        <f>SUM(NotesEQ[[#This Row],[Métier]:[Concurrence]],NotesEQ[[#This Row],[Présentation]:[Fond]])/$AN$1</f>
        <v>7.8571428571428568</v>
      </c>
      <c r="AO6" s="281">
        <f>SUM(W6:AH6,AJ6:AK6,NotesEQ[[#This Row],[Présentation]:[Fond]])/$AO$1</f>
        <v>1.1428571428571428</v>
      </c>
      <c r="AP6" s="292">
        <f>NotesEQ[[#This Row],[RCA]]</f>
        <v>0</v>
      </c>
      <c r="AQ6" s="297">
        <f>RANK(NotesEQ[[#This Row],[NOTE GLOBALE]],NotesEQ[NOTE GLOBALE],0)</f>
        <v>5</v>
      </c>
    </row>
    <row r="7" spans="2:43" s="2" customFormat="1" ht="11.25" x14ac:dyDescent="0.2">
      <c r="B7" s="75">
        <v>4</v>
      </c>
      <c r="C7" s="2" t="str">
        <f>UPPER(_xlfn.XLOOKUP(NotesEQ[[#This Row],[N°]],NotesIndiv[EQUIPE],NotesIndiv[NOM2]))</f>
        <v>SWITCH-SHIRT</v>
      </c>
      <c r="D7" s="2" t="s">
        <v>95</v>
      </c>
      <c r="F7" s="8"/>
      <c r="G7" s="9"/>
      <c r="H7" s="280">
        <v>3</v>
      </c>
      <c r="I7" s="281">
        <v>3.5</v>
      </c>
      <c r="J7" s="282">
        <v>4</v>
      </c>
      <c r="K7" s="15">
        <v>3.5</v>
      </c>
      <c r="L7" s="11">
        <v>3</v>
      </c>
      <c r="M7" s="16">
        <v>3</v>
      </c>
      <c r="N7" s="15">
        <v>7.5</v>
      </c>
      <c r="O7" s="11">
        <v>6</v>
      </c>
      <c r="P7" s="11">
        <v>6.5</v>
      </c>
      <c r="Q7" s="11">
        <v>6</v>
      </c>
      <c r="R7" s="11">
        <v>6.5</v>
      </c>
      <c r="S7" s="11"/>
      <c r="T7" s="11"/>
      <c r="U7" s="11"/>
      <c r="V7" s="16"/>
      <c r="W7" s="20"/>
      <c r="X7" s="12"/>
      <c r="Y7" s="12"/>
      <c r="Z7" s="21"/>
      <c r="AA7" s="15"/>
      <c r="AB7" s="11"/>
      <c r="AC7" s="11"/>
      <c r="AD7" s="11"/>
      <c r="AE7" s="11"/>
      <c r="AF7" s="11"/>
      <c r="AG7" s="11"/>
      <c r="AH7" s="16"/>
      <c r="AI7" s="27"/>
      <c r="AJ7" s="15"/>
      <c r="AK7" s="14"/>
      <c r="AL7" s="291">
        <f>SUM(NotesEQ[[#This Row],[Métier]:[PPTX]],NotesEQ[[#This Row],[Présentation]:[Fond]])/$AL$1</f>
        <v>3.28125</v>
      </c>
      <c r="AM7" s="281">
        <f>SUM(NotesEQ[[#This Row],[Métier]:[Plan média]],NotesEQ[[#This Row],[Présentation]:[Fond]])/$AM$1</f>
        <v>4.0384615384615383</v>
      </c>
      <c r="AN7" s="281">
        <f>SUM(NotesEQ[[#This Row],[Métier]:[Concurrence]],NotesEQ[[#This Row],[Présentation]:[Fond]])/$AN$1</f>
        <v>7.5</v>
      </c>
      <c r="AO7" s="281">
        <f>SUM(W7:AH7,AJ7:AK7,NotesEQ[[#This Row],[Présentation]:[Fond]])/$AO$1</f>
        <v>1.2</v>
      </c>
      <c r="AP7" s="292">
        <f>NotesEQ[[#This Row],[RCA]]</f>
        <v>0</v>
      </c>
      <c r="AQ7" s="297">
        <f>RANK(NotesEQ[[#This Row],[NOTE GLOBALE]],NotesEQ[NOTE GLOBALE],0)</f>
        <v>7</v>
      </c>
    </row>
    <row r="8" spans="2:43" s="2" customFormat="1" ht="11.25" x14ac:dyDescent="0.2">
      <c r="B8" s="75">
        <v>5</v>
      </c>
      <c r="C8" s="2" t="str">
        <f>UPPER(_xlfn.XLOOKUP(NotesEQ[[#This Row],[N°]],NotesIndiv[EQUIPE],NotesIndiv[NOM2]))</f>
        <v>PET PEETCH</v>
      </c>
      <c r="D8" s="2" t="s">
        <v>95</v>
      </c>
      <c r="F8" s="8"/>
      <c r="G8" s="9"/>
      <c r="H8" s="280">
        <v>4</v>
      </c>
      <c r="I8" s="281">
        <v>4</v>
      </c>
      <c r="J8" s="282">
        <v>3</v>
      </c>
      <c r="K8" s="15">
        <v>4.5</v>
      </c>
      <c r="L8" s="11">
        <v>4</v>
      </c>
      <c r="M8" s="16">
        <v>4</v>
      </c>
      <c r="N8" s="15">
        <v>3</v>
      </c>
      <c r="O8" s="11">
        <v>8</v>
      </c>
      <c r="P8" s="11">
        <v>7</v>
      </c>
      <c r="Q8" s="11">
        <v>3</v>
      </c>
      <c r="R8" s="11">
        <v>6.5</v>
      </c>
      <c r="S8" s="11"/>
      <c r="T8" s="11"/>
      <c r="U8" s="11"/>
      <c r="V8" s="16"/>
      <c r="W8" s="22"/>
      <c r="X8" s="13"/>
      <c r="Y8" s="13"/>
      <c r="Z8" s="23"/>
      <c r="AA8" s="15"/>
      <c r="AB8" s="11"/>
      <c r="AC8" s="11"/>
      <c r="AD8" s="11"/>
      <c r="AE8" s="11"/>
      <c r="AF8" s="11"/>
      <c r="AG8" s="11"/>
      <c r="AH8" s="16"/>
      <c r="AI8" s="27"/>
      <c r="AJ8" s="15"/>
      <c r="AK8" s="14"/>
      <c r="AL8" s="291">
        <f>SUM(NotesEQ[[#This Row],[Métier]:[PPTX]],NotesEQ[[#This Row],[Présentation]:[Fond]])/$AL$1</f>
        <v>3.1875</v>
      </c>
      <c r="AM8" s="281">
        <f>SUM(NotesEQ[[#This Row],[Métier]:[Plan média]],NotesEQ[[#This Row],[Présentation]:[Fond]])/$AM$1</f>
        <v>3.9230769230769229</v>
      </c>
      <c r="AN8" s="281">
        <f>SUM(NotesEQ[[#This Row],[Métier]:[Concurrence]],NotesEQ[[#This Row],[Présentation]:[Fond]])/$AN$1</f>
        <v>7.2857142857142856</v>
      </c>
      <c r="AO8" s="281">
        <f>SUM(W8:AH8,AJ8:AK8,NotesEQ[[#This Row],[Présentation]:[Fond]])/$AO$1</f>
        <v>1.2571428571428571</v>
      </c>
      <c r="AP8" s="292">
        <f>NotesEQ[[#This Row],[RCA]]</f>
        <v>0</v>
      </c>
      <c r="AQ8" s="297">
        <f>RANK(NotesEQ[[#This Row],[NOTE GLOBALE]],NotesEQ[NOTE GLOBALE],0)</f>
        <v>8</v>
      </c>
    </row>
    <row r="9" spans="2:43" s="2" customFormat="1" ht="11.25" x14ac:dyDescent="0.2">
      <c r="B9" s="75">
        <v>6</v>
      </c>
      <c r="C9" s="2" t="str">
        <f>UPPER(_xlfn.XLOOKUP(NotesEQ[[#This Row],[N°]],NotesIndiv[EQUIPE],NotesIndiv[NOM2]))</f>
        <v>DISNOV</v>
      </c>
      <c r="D9" s="2" t="s">
        <v>95</v>
      </c>
      <c r="F9" s="8"/>
      <c r="G9" s="9"/>
      <c r="H9" s="280">
        <v>4</v>
      </c>
      <c r="I9" s="281">
        <v>4</v>
      </c>
      <c r="J9" s="282">
        <v>4</v>
      </c>
      <c r="K9" s="15">
        <v>4.5</v>
      </c>
      <c r="L9" s="11">
        <v>4</v>
      </c>
      <c r="M9" s="16">
        <v>4.5</v>
      </c>
      <c r="N9" s="15">
        <v>8</v>
      </c>
      <c r="O9" s="11">
        <v>6.5</v>
      </c>
      <c r="P9" s="11">
        <v>7</v>
      </c>
      <c r="Q9" s="11">
        <v>7.5</v>
      </c>
      <c r="R9" s="11">
        <v>7.5</v>
      </c>
      <c r="S9" s="11"/>
      <c r="T9" s="11"/>
      <c r="U9" s="11"/>
      <c r="V9" s="16"/>
      <c r="W9" s="22"/>
      <c r="X9" s="13"/>
      <c r="Y9" s="13"/>
      <c r="Z9" s="23"/>
      <c r="AA9" s="15"/>
      <c r="AB9" s="11"/>
      <c r="AC9" s="11"/>
      <c r="AD9" s="11"/>
      <c r="AE9" s="11"/>
      <c r="AF9" s="11"/>
      <c r="AG9" s="11"/>
      <c r="AH9" s="16"/>
      <c r="AI9" s="27"/>
      <c r="AJ9" s="15"/>
      <c r="AK9" s="14"/>
      <c r="AL9" s="291">
        <f>SUM(NotesEQ[[#This Row],[Métier]:[PPTX]],NotesEQ[[#This Row],[Présentation]:[Fond]])/$AL$1</f>
        <v>3.84375</v>
      </c>
      <c r="AM9" s="281">
        <f>SUM(NotesEQ[[#This Row],[Métier]:[Plan média]],NotesEQ[[#This Row],[Présentation]:[Fond]])/$AM$1</f>
        <v>4.7307692307692308</v>
      </c>
      <c r="AN9" s="281">
        <f>SUM(NotesEQ[[#This Row],[Métier]:[Concurrence]],NotesEQ[[#This Row],[Présentation]:[Fond]])/$AN$1</f>
        <v>8.7857142857142865</v>
      </c>
      <c r="AO9" s="281">
        <f>SUM(W9:AH9,AJ9:AK9,NotesEQ[[#This Row],[Présentation]:[Fond]])/$AO$1</f>
        <v>1.3714285714285714</v>
      </c>
      <c r="AP9" s="292">
        <f>NotesEQ[[#This Row],[RCA]]</f>
        <v>0</v>
      </c>
      <c r="AQ9" s="297">
        <f>RANK(NotesEQ[[#This Row],[NOTE GLOBALE]],NotesEQ[NOTE GLOBALE],0)</f>
        <v>2</v>
      </c>
    </row>
    <row r="10" spans="2:43" s="2" customFormat="1" ht="11.25" x14ac:dyDescent="0.2">
      <c r="B10" s="75">
        <v>7</v>
      </c>
      <c r="C10" s="2" t="str">
        <f>UPPER(_xlfn.XLOOKUP(NotesEQ[[#This Row],[N°]],NotesIndiv[EQUIPE],NotesIndiv[NOM2]))</f>
        <v>SYSTÈME SUN</v>
      </c>
      <c r="D10" s="2" t="s">
        <v>97</v>
      </c>
      <c r="F10" s="8"/>
      <c r="G10" s="9"/>
      <c r="H10" s="280"/>
      <c r="I10" s="281"/>
      <c r="J10" s="282"/>
      <c r="K10" s="15">
        <v>4.5</v>
      </c>
      <c r="L10" s="11">
        <v>4.5</v>
      </c>
      <c r="M10" s="16">
        <v>4.5</v>
      </c>
      <c r="N10" s="15">
        <v>4.5</v>
      </c>
      <c r="O10" s="11">
        <v>4.5</v>
      </c>
      <c r="P10" s="11">
        <v>4.5</v>
      </c>
      <c r="Q10" s="11">
        <v>4.5</v>
      </c>
      <c r="R10" s="11">
        <v>4.5</v>
      </c>
      <c r="S10" s="11"/>
      <c r="T10" s="11"/>
      <c r="U10" s="11"/>
      <c r="V10" s="16"/>
      <c r="W10" s="22"/>
      <c r="X10" s="13"/>
      <c r="Y10" s="13"/>
      <c r="Z10" s="23"/>
      <c r="AA10" s="15"/>
      <c r="AB10" s="11"/>
      <c r="AC10" s="11"/>
      <c r="AD10" s="11"/>
      <c r="AE10" s="11"/>
      <c r="AF10" s="11"/>
      <c r="AG10" s="11"/>
      <c r="AH10" s="16"/>
      <c r="AI10" s="27"/>
      <c r="AJ10" s="15"/>
      <c r="AK10" s="14"/>
      <c r="AL10" s="291">
        <f>SUM(NotesEQ[[#This Row],[Métier]:[PPTX]],NotesEQ[[#This Row],[Présentation]:[Fond]])/$AL$1</f>
        <v>2.25</v>
      </c>
      <c r="AM10" s="281">
        <f>SUM(NotesEQ[[#This Row],[Métier]:[Plan média]],NotesEQ[[#This Row],[Présentation]:[Fond]])/$AM$1</f>
        <v>2.7692307692307692</v>
      </c>
      <c r="AN10" s="281">
        <f>SUM(NotesEQ[[#This Row],[Métier]:[Concurrence]],NotesEQ[[#This Row],[Présentation]:[Fond]])/$AN$1</f>
        <v>5.1428571428571432</v>
      </c>
      <c r="AO10" s="281">
        <f>SUM(W10:AH10,AJ10:AK10,NotesEQ[[#This Row],[Présentation]:[Fond]])/$AO$1</f>
        <v>0</v>
      </c>
      <c r="AP10" s="292">
        <f>NotesEQ[[#This Row],[RCA]]</f>
        <v>0</v>
      </c>
      <c r="AQ10" s="297">
        <f>RANK(NotesEQ[[#This Row],[NOTE GLOBALE]],NotesEQ[NOTE GLOBALE],0)</f>
        <v>12</v>
      </c>
    </row>
    <row r="11" spans="2:43" s="2" customFormat="1" ht="11.25" x14ac:dyDescent="0.2">
      <c r="B11" s="75">
        <v>8</v>
      </c>
      <c r="C11" s="2" t="str">
        <f>UPPER(_xlfn.XLOOKUP(NotesEQ[[#This Row],[N°]],NotesIndiv[EQUIPE],NotesIndiv[NOM2]))</f>
        <v>HOMA</v>
      </c>
      <c r="D11" s="2" t="s">
        <v>95</v>
      </c>
      <c r="F11" s="8"/>
      <c r="G11" s="9"/>
      <c r="H11" s="280">
        <v>3.5</v>
      </c>
      <c r="I11" s="281">
        <v>3</v>
      </c>
      <c r="J11" s="282">
        <v>2</v>
      </c>
      <c r="K11" s="15">
        <v>3</v>
      </c>
      <c r="L11" s="11">
        <v>0</v>
      </c>
      <c r="M11" s="16">
        <v>3</v>
      </c>
      <c r="N11" s="15">
        <v>0</v>
      </c>
      <c r="O11" s="11">
        <v>6</v>
      </c>
      <c r="P11" s="11">
        <v>4</v>
      </c>
      <c r="Q11" s="11">
        <v>3</v>
      </c>
      <c r="R11" s="11">
        <v>7</v>
      </c>
      <c r="S11" s="11"/>
      <c r="T11" s="11"/>
      <c r="U11" s="11"/>
      <c r="V11" s="16"/>
      <c r="W11" s="22"/>
      <c r="X11" s="13"/>
      <c r="Y11" s="13"/>
      <c r="Z11" s="23"/>
      <c r="AA11" s="15"/>
      <c r="AB11" s="11"/>
      <c r="AC11" s="11"/>
      <c r="AD11" s="11"/>
      <c r="AE11" s="11"/>
      <c r="AF11" s="11"/>
      <c r="AG11" s="11"/>
      <c r="AH11" s="16"/>
      <c r="AI11" s="27"/>
      <c r="AJ11" s="15"/>
      <c r="AK11" s="14"/>
      <c r="AL11" s="291">
        <f>SUM(NotesEQ[[#This Row],[Métier]:[PPTX]],NotesEQ[[#This Row],[Présentation]:[Fond]])/$AL$1</f>
        <v>2.15625</v>
      </c>
      <c r="AM11" s="281">
        <f>SUM(NotesEQ[[#This Row],[Métier]:[Plan média]],NotesEQ[[#This Row],[Présentation]:[Fond]])/$AM$1</f>
        <v>2.6538461538461537</v>
      </c>
      <c r="AN11" s="281">
        <f>SUM(NotesEQ[[#This Row],[Métier]:[Concurrence]],NotesEQ[[#This Row],[Présentation]:[Fond]])/$AN$1</f>
        <v>4.9285714285714288</v>
      </c>
      <c r="AO11" s="281">
        <f>SUM(W11:AH11,AJ11:AK11,NotesEQ[[#This Row],[Présentation]:[Fond]])/$AO$1</f>
        <v>0.97142857142857142</v>
      </c>
      <c r="AP11" s="292">
        <f>NotesEQ[[#This Row],[RCA]]</f>
        <v>0</v>
      </c>
      <c r="AQ11" s="297">
        <f>RANK(NotesEQ[[#This Row],[NOTE GLOBALE]],NotesEQ[NOTE GLOBALE],0)</f>
        <v>13</v>
      </c>
    </row>
    <row r="12" spans="2:43" s="2" customFormat="1" ht="11.25" x14ac:dyDescent="0.2">
      <c r="B12" s="75">
        <v>9</v>
      </c>
      <c r="C12" s="2" t="str">
        <f>UPPER(_xlfn.XLOOKUP(NotesEQ[[#This Row],[N°]],NotesIndiv[EQUIPE],NotesIndiv[NOM2]))</f>
        <v xml:space="preserve">POLVISION </v>
      </c>
      <c r="D12" s="2" t="s">
        <v>97</v>
      </c>
      <c r="F12" s="8"/>
      <c r="G12" s="9"/>
      <c r="H12" s="280"/>
      <c r="I12" s="281"/>
      <c r="J12" s="282"/>
      <c r="K12" s="15"/>
      <c r="L12" s="11"/>
      <c r="M12" s="16"/>
      <c r="N12" s="15"/>
      <c r="O12" s="11"/>
      <c r="P12" s="11"/>
      <c r="Q12" s="11"/>
      <c r="R12" s="11"/>
      <c r="S12" s="11"/>
      <c r="T12" s="11"/>
      <c r="U12" s="11"/>
      <c r="V12" s="16"/>
      <c r="W12" s="22"/>
      <c r="X12" s="13"/>
      <c r="Y12" s="13"/>
      <c r="Z12" s="23"/>
      <c r="AA12" s="15"/>
      <c r="AB12" s="11"/>
      <c r="AC12" s="11"/>
      <c r="AD12" s="11"/>
      <c r="AE12" s="11"/>
      <c r="AF12" s="11"/>
      <c r="AG12" s="11"/>
      <c r="AH12" s="16"/>
      <c r="AI12" s="27"/>
      <c r="AJ12" s="15"/>
      <c r="AK12" s="14"/>
      <c r="AL12" s="291">
        <f>SUM(NotesEQ[[#This Row],[Métier]:[PPTX]],NotesEQ[[#This Row],[Présentation]:[Fond]])/$AL$1</f>
        <v>0</v>
      </c>
      <c r="AM12" s="281">
        <f>SUM(NotesEQ[[#This Row],[Métier]:[Plan média]],NotesEQ[[#This Row],[Présentation]:[Fond]])/$AM$1</f>
        <v>0</v>
      </c>
      <c r="AN12" s="281">
        <f>SUM(NotesEQ[[#This Row],[Métier]:[Concurrence]],NotesEQ[[#This Row],[Présentation]:[Fond]])/$AN$1</f>
        <v>0</v>
      </c>
      <c r="AO12" s="281">
        <f>SUM(W12:AH12,AJ12:AK12,NotesEQ[[#This Row],[Présentation]:[Fond]])/$AO$1</f>
        <v>0</v>
      </c>
      <c r="AP12" s="292">
        <f>NotesEQ[[#This Row],[RCA]]</f>
        <v>0</v>
      </c>
      <c r="AQ12" s="297">
        <f>RANK(NotesEQ[[#This Row],[NOTE GLOBALE]],NotesEQ[NOTE GLOBALE],0)</f>
        <v>16</v>
      </c>
    </row>
    <row r="13" spans="2:43" s="2" customFormat="1" ht="11.25" x14ac:dyDescent="0.2">
      <c r="B13" s="75">
        <v>10</v>
      </c>
      <c r="C13" s="2" t="str">
        <f>UPPER(_xlfn.XLOOKUP(NotesEQ[[#This Row],[N°]],NotesIndiv[EQUIPE],NotesIndiv[NOM2]))</f>
        <v>BIO CHEWING-GUMS</v>
      </c>
      <c r="D13" s="2" t="s">
        <v>95</v>
      </c>
      <c r="F13" s="8"/>
      <c r="G13" s="9"/>
      <c r="H13" s="280">
        <v>3.5</v>
      </c>
      <c r="I13" s="281">
        <v>4</v>
      </c>
      <c r="J13" s="282">
        <v>4</v>
      </c>
      <c r="K13" s="15">
        <v>2.5</v>
      </c>
      <c r="L13" s="11">
        <v>4</v>
      </c>
      <c r="M13" s="16">
        <v>3</v>
      </c>
      <c r="N13" s="15">
        <v>8</v>
      </c>
      <c r="O13" s="11">
        <v>8</v>
      </c>
      <c r="P13" s="11">
        <v>6</v>
      </c>
      <c r="Q13" s="11">
        <v>6.5</v>
      </c>
      <c r="R13" s="11">
        <v>7</v>
      </c>
      <c r="S13" s="11"/>
      <c r="T13" s="11"/>
      <c r="U13" s="11"/>
      <c r="V13" s="16"/>
      <c r="W13" s="22"/>
      <c r="X13" s="13"/>
      <c r="Y13" s="13"/>
      <c r="Z13" s="23"/>
      <c r="AA13" s="15"/>
      <c r="AB13" s="11"/>
      <c r="AC13" s="11"/>
      <c r="AD13" s="11"/>
      <c r="AE13" s="11"/>
      <c r="AF13" s="11"/>
      <c r="AG13" s="11"/>
      <c r="AH13" s="16"/>
      <c r="AI13" s="27"/>
      <c r="AJ13" s="15"/>
      <c r="AK13" s="14"/>
      <c r="AL13" s="291">
        <f>SUM(NotesEQ[[#This Row],[Métier]:[PPTX]],NotesEQ[[#This Row],[Présentation]:[Fond]])/$AL$1</f>
        <v>3.53125</v>
      </c>
      <c r="AM13" s="281">
        <f>SUM(NotesEQ[[#This Row],[Métier]:[Plan média]],NotesEQ[[#This Row],[Présentation]:[Fond]])/$AM$1</f>
        <v>4.3461538461538458</v>
      </c>
      <c r="AN13" s="281">
        <f>SUM(NotesEQ[[#This Row],[Métier]:[Concurrence]],NotesEQ[[#This Row],[Présentation]:[Fond]])/$AN$1</f>
        <v>8.0714285714285712</v>
      </c>
      <c r="AO13" s="281">
        <f>SUM(W13:AH13,AJ13:AK13,NotesEQ[[#This Row],[Présentation]:[Fond]])/$AO$1</f>
        <v>1.3142857142857143</v>
      </c>
      <c r="AP13" s="292">
        <f>NotesEQ[[#This Row],[RCA]]</f>
        <v>0</v>
      </c>
      <c r="AQ13" s="297">
        <f>RANK(NotesEQ[[#This Row],[NOTE GLOBALE]],NotesEQ[NOTE GLOBALE],0)</f>
        <v>4</v>
      </c>
    </row>
    <row r="14" spans="2:43" s="2" customFormat="1" ht="11.25" x14ac:dyDescent="0.2">
      <c r="B14" s="75">
        <v>11</v>
      </c>
      <c r="C14" s="2" t="str">
        <f>UPPER(_xlfn.XLOOKUP(NotesEQ[[#This Row],[N°]],NotesIndiv[EQUIPE],NotesIndiv[NOM2]))</f>
        <v>EKO</v>
      </c>
      <c r="D14" s="2" t="s">
        <v>95</v>
      </c>
      <c r="F14" s="8"/>
      <c r="G14" s="9"/>
      <c r="H14" s="280">
        <v>4</v>
      </c>
      <c r="I14" s="281">
        <v>4</v>
      </c>
      <c r="J14" s="282">
        <v>4</v>
      </c>
      <c r="K14" s="15">
        <v>4.5</v>
      </c>
      <c r="L14" s="11">
        <v>4</v>
      </c>
      <c r="M14" s="16">
        <v>4</v>
      </c>
      <c r="N14" s="15">
        <v>8</v>
      </c>
      <c r="O14" s="11">
        <v>8</v>
      </c>
      <c r="P14" s="11">
        <v>7.5</v>
      </c>
      <c r="Q14" s="11">
        <v>7.5</v>
      </c>
      <c r="R14" s="11">
        <v>8</v>
      </c>
      <c r="S14" s="11"/>
      <c r="T14" s="11"/>
      <c r="U14" s="11"/>
      <c r="V14" s="16"/>
      <c r="W14" s="22"/>
      <c r="X14" s="13"/>
      <c r="Y14" s="13"/>
      <c r="Z14" s="23"/>
      <c r="AA14" s="15"/>
      <c r="AB14" s="11"/>
      <c r="AC14" s="11"/>
      <c r="AD14" s="11"/>
      <c r="AE14" s="11"/>
      <c r="AF14" s="11"/>
      <c r="AG14" s="11"/>
      <c r="AH14" s="16"/>
      <c r="AI14" s="27"/>
      <c r="AJ14" s="15"/>
      <c r="AK14" s="14"/>
      <c r="AL14" s="291">
        <f>SUM(NotesEQ[[#This Row],[Métier]:[PPTX]],NotesEQ[[#This Row],[Présentation]:[Fond]])/$AL$1</f>
        <v>3.96875</v>
      </c>
      <c r="AM14" s="281">
        <f>SUM(NotesEQ[[#This Row],[Métier]:[Plan média]],NotesEQ[[#This Row],[Présentation]:[Fond]])/$AM$1</f>
        <v>4.884615384615385</v>
      </c>
      <c r="AN14" s="281">
        <f>SUM(NotesEQ[[#This Row],[Métier]:[Concurrence]],NotesEQ[[#This Row],[Présentation]:[Fond]])/$AN$1</f>
        <v>9.0714285714285712</v>
      </c>
      <c r="AO14" s="281">
        <f>SUM(W14:AH14,AJ14:AK14,NotesEQ[[#This Row],[Présentation]:[Fond]])/$AO$1</f>
        <v>1.3714285714285714</v>
      </c>
      <c r="AP14" s="292">
        <f>NotesEQ[[#This Row],[RCA]]</f>
        <v>0</v>
      </c>
      <c r="AQ14" s="297">
        <f>RANK(NotesEQ[[#This Row],[NOTE GLOBALE]],NotesEQ[NOTE GLOBALE],0)</f>
        <v>1</v>
      </c>
    </row>
    <row r="15" spans="2:43" s="2" customFormat="1" ht="11.25" x14ac:dyDescent="0.2">
      <c r="B15" s="75">
        <v>12</v>
      </c>
      <c r="C15" s="2" t="str">
        <f>UPPER(_xlfn.XLOOKUP(NotesEQ[[#This Row],[N°]],NotesIndiv[EQUIPE],NotesIndiv[NOM2]))</f>
        <v>REGL’O</v>
      </c>
      <c r="D15" s="2" t="s">
        <v>95</v>
      </c>
      <c r="F15" s="8"/>
      <c r="G15" s="9"/>
      <c r="H15" s="280">
        <v>4</v>
      </c>
      <c r="I15" s="281">
        <v>3.5</v>
      </c>
      <c r="J15" s="282">
        <v>4</v>
      </c>
      <c r="K15" s="15">
        <v>4.5</v>
      </c>
      <c r="L15" s="11">
        <v>4</v>
      </c>
      <c r="M15" s="16">
        <v>4</v>
      </c>
      <c r="N15" s="15">
        <v>6.5</v>
      </c>
      <c r="O15" s="11">
        <v>5</v>
      </c>
      <c r="P15" s="11">
        <v>7.5</v>
      </c>
      <c r="Q15" s="11">
        <v>6</v>
      </c>
      <c r="R15" s="11">
        <v>6</v>
      </c>
      <c r="S15" s="11"/>
      <c r="T15" s="11"/>
      <c r="U15" s="11"/>
      <c r="V15" s="16"/>
      <c r="W15" s="22"/>
      <c r="X15" s="13"/>
      <c r="Y15" s="13"/>
      <c r="Z15" s="23"/>
      <c r="AA15" s="15"/>
      <c r="AB15" s="11"/>
      <c r="AC15" s="11"/>
      <c r="AD15" s="11"/>
      <c r="AE15" s="11"/>
      <c r="AF15" s="11"/>
      <c r="AG15" s="11"/>
      <c r="AH15" s="16"/>
      <c r="AI15" s="27"/>
      <c r="AJ15" s="15"/>
      <c r="AK15" s="14"/>
      <c r="AL15" s="291">
        <f>SUM(NotesEQ[[#This Row],[Métier]:[PPTX]],NotesEQ[[#This Row],[Présentation]:[Fond]])/$AL$1</f>
        <v>3.4375</v>
      </c>
      <c r="AM15" s="281">
        <f>SUM(NotesEQ[[#This Row],[Métier]:[Plan média]],NotesEQ[[#This Row],[Présentation]:[Fond]])/$AM$1</f>
        <v>4.2307692307692308</v>
      </c>
      <c r="AN15" s="281">
        <f>SUM(NotesEQ[[#This Row],[Métier]:[Concurrence]],NotesEQ[[#This Row],[Présentation]:[Fond]])/$AN$1</f>
        <v>7.8571428571428568</v>
      </c>
      <c r="AO15" s="281">
        <f>SUM(W15:AH15,AJ15:AK15,NotesEQ[[#This Row],[Présentation]:[Fond]])/$AO$1</f>
        <v>1.3142857142857143</v>
      </c>
      <c r="AP15" s="292">
        <f>NotesEQ[[#This Row],[RCA]]</f>
        <v>0</v>
      </c>
      <c r="AQ15" s="297">
        <f>RANK(NotesEQ[[#This Row],[NOTE GLOBALE]],NotesEQ[NOTE GLOBALE],0)</f>
        <v>5</v>
      </c>
    </row>
    <row r="16" spans="2:43" s="2" customFormat="1" ht="11.25" x14ac:dyDescent="0.2">
      <c r="B16" s="75">
        <v>13</v>
      </c>
      <c r="C16" s="2" t="str">
        <f>UPPER(_xlfn.XLOOKUP(NotesEQ[[#This Row],[N°]],NotesIndiv[EQUIPE],NotesIndiv[NOM2]))</f>
        <v>BIOCAF</v>
      </c>
      <c r="D16" s="2" t="s">
        <v>95</v>
      </c>
      <c r="F16" s="8"/>
      <c r="G16" s="9"/>
      <c r="H16" s="280">
        <v>4</v>
      </c>
      <c r="I16" s="281">
        <v>3.5</v>
      </c>
      <c r="J16" s="282">
        <v>3.5</v>
      </c>
      <c r="K16" s="15">
        <v>3.5</v>
      </c>
      <c r="L16" s="11">
        <v>3</v>
      </c>
      <c r="M16" s="16">
        <v>3</v>
      </c>
      <c r="N16" s="15">
        <v>7</v>
      </c>
      <c r="O16" s="11">
        <v>4</v>
      </c>
      <c r="P16" s="11">
        <v>6</v>
      </c>
      <c r="Q16" s="11">
        <v>6</v>
      </c>
      <c r="R16" s="11">
        <v>6.5</v>
      </c>
      <c r="S16" s="11"/>
      <c r="T16" s="11"/>
      <c r="U16" s="11"/>
      <c r="V16" s="16"/>
      <c r="W16" s="22"/>
      <c r="X16" s="13"/>
      <c r="Y16" s="13"/>
      <c r="Z16" s="23"/>
      <c r="AA16" s="15"/>
      <c r="AB16" s="11"/>
      <c r="AC16" s="11"/>
      <c r="AD16" s="11"/>
      <c r="AE16" s="11"/>
      <c r="AF16" s="11"/>
      <c r="AG16" s="11"/>
      <c r="AH16" s="16"/>
      <c r="AI16" s="27"/>
      <c r="AJ16" s="15"/>
      <c r="AK16" s="14"/>
      <c r="AL16" s="291">
        <f>SUM(NotesEQ[[#This Row],[Métier]:[PPTX]],NotesEQ[[#This Row],[Présentation]:[Fond]])/$AL$1</f>
        <v>3.125</v>
      </c>
      <c r="AM16" s="281">
        <f>SUM(NotesEQ[[#This Row],[Métier]:[Plan média]],NotesEQ[[#This Row],[Présentation]:[Fond]])/$AM$1</f>
        <v>3.8461538461538463</v>
      </c>
      <c r="AN16" s="281">
        <f>SUM(NotesEQ[[#This Row],[Métier]:[Concurrence]],NotesEQ[[#This Row],[Présentation]:[Fond]])/$AN$1</f>
        <v>7.1428571428571432</v>
      </c>
      <c r="AO16" s="281">
        <f>SUM(W16:AH16,AJ16:AK16,NotesEQ[[#This Row],[Présentation]:[Fond]])/$AO$1</f>
        <v>1.2571428571428571</v>
      </c>
      <c r="AP16" s="292">
        <f>NotesEQ[[#This Row],[RCA]]</f>
        <v>0</v>
      </c>
      <c r="AQ16" s="297">
        <f>RANK(NotesEQ[[#This Row],[NOTE GLOBALE]],NotesEQ[NOTE GLOBALE],0)</f>
        <v>9</v>
      </c>
    </row>
    <row r="17" spans="2:43" x14ac:dyDescent="0.25">
      <c r="B17" s="75">
        <v>14</v>
      </c>
      <c r="C17" s="2" t="str">
        <f>UPPER(_xlfn.XLOOKUP(NotesEQ[[#This Row],[N°]],NotesIndiv[EQUIPE],NotesIndiv[NOM2]))</f>
        <v>GREEN’TECH</v>
      </c>
      <c r="D17" s="2" t="s">
        <v>95</v>
      </c>
      <c r="E17" s="2"/>
      <c r="F17" s="8"/>
      <c r="G17" s="9"/>
      <c r="H17" s="280">
        <v>4</v>
      </c>
      <c r="I17" s="281">
        <v>4</v>
      </c>
      <c r="J17" s="282">
        <v>4.5</v>
      </c>
      <c r="K17" s="15">
        <v>4.5</v>
      </c>
      <c r="L17" s="11">
        <v>4</v>
      </c>
      <c r="M17" s="16">
        <v>3</v>
      </c>
      <c r="N17" s="15">
        <v>7</v>
      </c>
      <c r="O17" s="11">
        <v>8</v>
      </c>
      <c r="P17" s="11">
        <v>7</v>
      </c>
      <c r="Q17" s="11">
        <v>6</v>
      </c>
      <c r="R17" s="11">
        <v>6</v>
      </c>
      <c r="S17" s="11"/>
      <c r="T17" s="11"/>
      <c r="U17" s="11"/>
      <c r="V17" s="16"/>
      <c r="W17" s="22"/>
      <c r="X17" s="13"/>
      <c r="Y17" s="13"/>
      <c r="Z17" s="23"/>
      <c r="AA17" s="15"/>
      <c r="AB17" s="11"/>
      <c r="AC17" s="11"/>
      <c r="AD17" s="11"/>
      <c r="AE17" s="11"/>
      <c r="AF17" s="11"/>
      <c r="AG17" s="11"/>
      <c r="AH17" s="16"/>
      <c r="AI17" s="27"/>
      <c r="AJ17" s="15"/>
      <c r="AK17" s="14"/>
      <c r="AL17" s="291">
        <f>SUM(NotesEQ[[#This Row],[Métier]:[PPTX]],NotesEQ[[#This Row],[Présentation]:[Fond]])/$AL$1</f>
        <v>3.625</v>
      </c>
      <c r="AM17" s="281">
        <f>SUM(NotesEQ[[#This Row],[Métier]:[Plan média]],NotesEQ[[#This Row],[Présentation]:[Fond]])/$AM$1</f>
        <v>4.4615384615384617</v>
      </c>
      <c r="AN17" s="281">
        <f>SUM(NotesEQ[[#This Row],[Métier]:[Concurrence]],NotesEQ[[#This Row],[Présentation]:[Fond]])/$AN$1</f>
        <v>8.2857142857142865</v>
      </c>
      <c r="AO17" s="281">
        <f>SUM(W17:AH17,AJ17:AK17,NotesEQ[[#This Row],[Présentation]:[Fond]])/$AO$1</f>
        <v>1.4285714285714286</v>
      </c>
      <c r="AP17" s="292">
        <f>NotesEQ[[#This Row],[RCA]]</f>
        <v>0</v>
      </c>
      <c r="AQ17" s="297">
        <f>RANK(NotesEQ[[#This Row],[NOTE GLOBALE]],NotesEQ[NOTE GLOBALE],0)</f>
        <v>3</v>
      </c>
    </row>
    <row r="18" spans="2:43" x14ac:dyDescent="0.25">
      <c r="B18" s="75">
        <v>15</v>
      </c>
      <c r="C18" s="2" t="str">
        <f>UPPER(_xlfn.XLOOKUP(NotesEQ[[#This Row],[N°]],NotesIndiv[EQUIPE],NotesIndiv[NOM2]))</f>
        <v>JEU TSA</v>
      </c>
      <c r="D18" s="2" t="s">
        <v>95</v>
      </c>
      <c r="E18" s="2"/>
      <c r="F18" s="8"/>
      <c r="G18" s="9"/>
      <c r="H18" s="280">
        <v>2.5</v>
      </c>
      <c r="I18" s="281">
        <v>3</v>
      </c>
      <c r="J18" s="282">
        <v>3</v>
      </c>
      <c r="K18" s="15">
        <v>3</v>
      </c>
      <c r="L18" s="11">
        <v>3</v>
      </c>
      <c r="M18" s="16">
        <v>3</v>
      </c>
      <c r="N18" s="15">
        <v>5</v>
      </c>
      <c r="O18" s="11">
        <v>7</v>
      </c>
      <c r="P18" s="11">
        <v>0</v>
      </c>
      <c r="Q18" s="11">
        <v>0</v>
      </c>
      <c r="R18" s="11">
        <v>0</v>
      </c>
      <c r="S18" s="11"/>
      <c r="T18" s="11"/>
      <c r="U18" s="11"/>
      <c r="V18" s="16"/>
      <c r="W18" s="22"/>
      <c r="X18" s="13"/>
      <c r="Y18" s="13"/>
      <c r="Z18" s="23"/>
      <c r="AA18" s="15"/>
      <c r="AB18" s="11"/>
      <c r="AC18" s="11"/>
      <c r="AD18" s="11"/>
      <c r="AE18" s="11"/>
      <c r="AF18" s="11"/>
      <c r="AG18" s="11"/>
      <c r="AH18" s="16"/>
      <c r="AI18" s="27"/>
      <c r="AJ18" s="15"/>
      <c r="AK18" s="14"/>
      <c r="AL18" s="291">
        <f>SUM(NotesEQ[[#This Row],[Métier]:[PPTX]],NotesEQ[[#This Row],[Présentation]:[Fond]])/$AL$1</f>
        <v>1.84375</v>
      </c>
      <c r="AM18" s="281">
        <f>SUM(NotesEQ[[#This Row],[Métier]:[Plan média]],NotesEQ[[#This Row],[Présentation]:[Fond]])/$AM$1</f>
        <v>2.2692307692307692</v>
      </c>
      <c r="AN18" s="281">
        <f>SUM(NotesEQ[[#This Row],[Métier]:[Concurrence]],NotesEQ[[#This Row],[Présentation]:[Fond]])/$AN$1</f>
        <v>4.2142857142857144</v>
      </c>
      <c r="AO18" s="281">
        <f>SUM(W18:AH18,AJ18:AK18,NotesEQ[[#This Row],[Présentation]:[Fond]])/$AO$1</f>
        <v>0.97142857142857142</v>
      </c>
      <c r="AP18" s="292">
        <f>NotesEQ[[#This Row],[RCA]]</f>
        <v>0</v>
      </c>
      <c r="AQ18" s="297">
        <f>RANK(NotesEQ[[#This Row],[NOTE GLOBALE]],NotesEQ[NOTE GLOBALE],0)</f>
        <v>14</v>
      </c>
    </row>
    <row r="19" spans="2:43" ht="15.75" thickBot="1" x14ac:dyDescent="0.3">
      <c r="B19" s="76">
        <v>16</v>
      </c>
      <c r="C19" s="77" t="str">
        <f>UPPER(_xlfn.XLOOKUP(NotesEQ[[#This Row],[N°]],NotesIndiv[EQUIPE],NotesIndiv[NOM2]))</f>
        <v>SKICO</v>
      </c>
      <c r="D19" s="77" t="s">
        <v>95</v>
      </c>
      <c r="E19" s="77"/>
      <c r="F19" s="78"/>
      <c r="G19" s="276"/>
      <c r="H19" s="283">
        <v>3.5</v>
      </c>
      <c r="I19" s="284">
        <v>2.5</v>
      </c>
      <c r="J19" s="285">
        <v>2</v>
      </c>
      <c r="K19" s="17">
        <v>2.5</v>
      </c>
      <c r="L19" s="18">
        <v>3</v>
      </c>
      <c r="M19" s="19">
        <v>3</v>
      </c>
      <c r="N19" s="17">
        <v>0</v>
      </c>
      <c r="O19" s="18">
        <v>1</v>
      </c>
      <c r="P19" s="18">
        <v>3</v>
      </c>
      <c r="Q19" s="18">
        <v>2</v>
      </c>
      <c r="R19" s="18">
        <v>0</v>
      </c>
      <c r="S19" s="18"/>
      <c r="T19" s="18"/>
      <c r="U19" s="18"/>
      <c r="V19" s="19"/>
      <c r="W19" s="24"/>
      <c r="X19" s="25"/>
      <c r="Y19" s="25"/>
      <c r="Z19" s="26"/>
      <c r="AA19" s="17"/>
      <c r="AB19" s="18"/>
      <c r="AC19" s="18"/>
      <c r="AD19" s="18"/>
      <c r="AE19" s="18"/>
      <c r="AF19" s="18"/>
      <c r="AG19" s="18"/>
      <c r="AH19" s="19"/>
      <c r="AI19" s="28"/>
      <c r="AJ19" s="17"/>
      <c r="AK19" s="287"/>
      <c r="AL19" s="293">
        <f>SUM(NotesEQ[[#This Row],[Métier]:[PPTX]],NotesEQ[[#This Row],[Présentation]:[Fond]])/$AL$1</f>
        <v>1.40625</v>
      </c>
      <c r="AM19" s="294">
        <f>SUM(NotesEQ[[#This Row],[Métier]:[Plan média]],NotesEQ[[#This Row],[Présentation]:[Fond]])/$AM$1</f>
        <v>1.7307692307692308</v>
      </c>
      <c r="AN19" s="294">
        <f>SUM(NotesEQ[[#This Row],[Métier]:[Concurrence]],NotesEQ[[#This Row],[Présentation]:[Fond]])/$AN$1</f>
        <v>3.2142857142857144</v>
      </c>
      <c r="AO19" s="294">
        <f>SUM(W19:AH19,AJ19:AK19,NotesEQ[[#This Row],[Présentation]:[Fond]])/$AO$1</f>
        <v>0.91428571428571426</v>
      </c>
      <c r="AP19" s="295">
        <f>NotesEQ[[#This Row],[RCA]]</f>
        <v>0</v>
      </c>
      <c r="AQ19" s="298">
        <f>RANK(NotesEQ[[#This Row],[NOTE GLOBALE]],NotesEQ[NOTE GLOBALE],0)</f>
        <v>15</v>
      </c>
    </row>
  </sheetData>
  <phoneticPr fontId="18" type="noConversion"/>
  <conditionalFormatting sqref="D4:D19">
    <cfRule type="cellIs" dxfId="2" priority="1" operator="equal">
      <formula>"OK"</formula>
    </cfRule>
  </conditionalFormatting>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B1:Y80"/>
  <sheetViews>
    <sheetView workbookViewId="0">
      <selection activeCell="K80" activeCellId="1" sqref="I4:I80 K4:O80"/>
    </sheetView>
  </sheetViews>
  <sheetFormatPr baseColWidth="10" defaultRowHeight="15" x14ac:dyDescent="0.25"/>
  <cols>
    <col min="1" max="1" width="5.85546875" customWidth="1"/>
    <col min="2" max="2" width="6.7109375" customWidth="1"/>
    <col min="3" max="3" width="15" bestFit="1" customWidth="1"/>
    <col min="4" max="4" width="10.140625" bestFit="1" customWidth="1"/>
    <col min="5" max="5" width="6.85546875" customWidth="1"/>
    <col min="6" max="6" width="13.28515625" bestFit="1" customWidth="1"/>
    <col min="7" max="7" width="5.5703125" customWidth="1"/>
    <col min="8" max="8" width="4.42578125" bestFit="1" customWidth="1"/>
    <col min="9" max="9" width="9" bestFit="1" customWidth="1"/>
    <col min="10" max="10" width="5.5703125" bestFit="1" customWidth="1"/>
    <col min="11" max="11" width="3.5703125" bestFit="1" customWidth="1"/>
    <col min="12" max="12" width="7.140625" customWidth="1"/>
    <col min="13" max="13" width="10.42578125" customWidth="1"/>
    <col min="14" max="14" width="7.28515625" style="1" bestFit="1" customWidth="1"/>
    <col min="15" max="15" width="4.5703125" bestFit="1" customWidth="1"/>
    <col min="16" max="16" width="15.140625" customWidth="1"/>
    <col min="17" max="17" width="11.7109375" customWidth="1"/>
    <col min="21" max="21" width="5.5703125" bestFit="1" customWidth="1"/>
    <col min="22" max="22" width="7" bestFit="1" customWidth="1"/>
    <col min="23" max="23" width="7.85546875" bestFit="1" customWidth="1"/>
  </cols>
  <sheetData>
    <row r="1" spans="2:25" ht="72.75" customHeight="1" x14ac:dyDescent="0.25"/>
    <row r="2" spans="2:25" ht="26.25" customHeight="1" thickBot="1" x14ac:dyDescent="0.3">
      <c r="P2">
        <v>5</v>
      </c>
      <c r="Q2">
        <v>5</v>
      </c>
      <c r="R2">
        <v>10</v>
      </c>
    </row>
    <row r="3" spans="2:25" ht="23.25" thickBot="1" x14ac:dyDescent="0.3">
      <c r="B3" s="5" t="s">
        <v>136</v>
      </c>
      <c r="C3" s="5" t="s">
        <v>74</v>
      </c>
      <c r="D3" s="5" t="s">
        <v>75</v>
      </c>
      <c r="E3" s="5" t="s">
        <v>81</v>
      </c>
      <c r="F3" s="5" t="s">
        <v>82</v>
      </c>
      <c r="G3" s="6" t="s">
        <v>96</v>
      </c>
      <c r="H3" s="5" t="s">
        <v>78</v>
      </c>
      <c r="I3" s="5" t="s">
        <v>1</v>
      </c>
      <c r="J3" s="5" t="s">
        <v>137</v>
      </c>
      <c r="K3" s="5" t="s">
        <v>76</v>
      </c>
      <c r="L3" s="5" t="s">
        <v>2</v>
      </c>
      <c r="M3" s="5" t="s">
        <v>77</v>
      </c>
      <c r="N3" s="5" t="s">
        <v>79</v>
      </c>
      <c r="O3" s="5" t="s">
        <v>80</v>
      </c>
      <c r="P3" s="308" t="s">
        <v>98</v>
      </c>
      <c r="Q3" s="309" t="s">
        <v>99</v>
      </c>
      <c r="R3" s="310" t="s">
        <v>100</v>
      </c>
      <c r="S3" s="299" t="s">
        <v>140</v>
      </c>
      <c r="T3" s="118" t="s">
        <v>141</v>
      </c>
      <c r="U3" s="5" t="s">
        <v>148</v>
      </c>
      <c r="V3" s="7" t="s">
        <v>128</v>
      </c>
      <c r="W3" s="7" t="s">
        <v>155</v>
      </c>
    </row>
    <row r="4" spans="2:25" x14ac:dyDescent="0.25">
      <c r="B4" s="86" t="str">
        <f>_xlfn.CONCAT(NotesIndiv[[#This Row],[EQUIPE]]," - ",NotesIndiv[[#This Row],[N° APP]])</f>
        <v>1 - 1</v>
      </c>
      <c r="C4" s="29" t="s">
        <v>176</v>
      </c>
      <c r="D4" s="30" t="s">
        <v>58</v>
      </c>
      <c r="E4" s="30">
        <v>1</v>
      </c>
      <c r="F4" s="30" t="s">
        <v>89</v>
      </c>
      <c r="G4" s="30" t="s">
        <v>95</v>
      </c>
      <c r="H4" s="30">
        <v>7</v>
      </c>
      <c r="I4" s="31"/>
      <c r="J4" s="30">
        <v>1</v>
      </c>
      <c r="K4" s="32"/>
      <c r="L4" s="33"/>
      <c r="M4" s="30"/>
      <c r="N4" s="34"/>
      <c r="O4" s="41"/>
      <c r="P4" s="303">
        <v>2.5</v>
      </c>
      <c r="Q4" s="50">
        <v>3</v>
      </c>
      <c r="R4" s="304">
        <v>8</v>
      </c>
      <c r="S4" s="119">
        <f>SUM(NotesIndiv[[#This Row],[travail en autonomie et assiduité ]:[participation]])/20</f>
        <v>0.67500000000000004</v>
      </c>
      <c r="T4" s="119">
        <f>1-NotesIndiv[[#This Row],[TOTAL]]</f>
        <v>0.32499999999999996</v>
      </c>
      <c r="U4" s="3">
        <f>SUM(NotesIndiv[[#This Row],[travail en autonomie et assiduité ]:[participation]])</f>
        <v>13.5</v>
      </c>
      <c r="V4" s="3">
        <f>_xlfn.XLOOKUP(NotesIndiv[[#This Row],[EQUIPE]],NotesEQ[N°],NotesEQ[NOTE GLOBALE])</f>
        <v>3.125</v>
      </c>
      <c r="W4" s="244">
        <f t="shared" ref="W4:W35" si="0">AVERAGE(U4,V4,V4)</f>
        <v>6.583333333333333</v>
      </c>
      <c r="Y4" t="str">
        <f>LEFT(NotesIndiv[[#This Row],[NOM]],3)&amp;"."</f>
        <v>ABD.</v>
      </c>
    </row>
    <row r="5" spans="2:25" x14ac:dyDescent="0.25">
      <c r="B5" s="87" t="str">
        <f>_xlfn.CONCAT(NotesIndiv[[#This Row],[EQUIPE]]," - ",NotesIndiv[[#This Row],[N° APP]])</f>
        <v>1 - 2</v>
      </c>
      <c r="C5" s="35" t="s">
        <v>177</v>
      </c>
      <c r="D5" s="36" t="s">
        <v>4</v>
      </c>
      <c r="E5" s="36">
        <v>1</v>
      </c>
      <c r="F5" s="36" t="s">
        <v>89</v>
      </c>
      <c r="G5" s="36" t="s">
        <v>95</v>
      </c>
      <c r="H5" s="36">
        <v>7</v>
      </c>
      <c r="I5" s="37"/>
      <c r="J5" s="36">
        <v>2</v>
      </c>
      <c r="K5" s="38"/>
      <c r="L5" s="39"/>
      <c r="M5" s="36"/>
      <c r="N5" s="40"/>
      <c r="O5" s="42"/>
      <c r="P5" s="106">
        <v>2.5</v>
      </c>
      <c r="Q5" s="39">
        <v>3</v>
      </c>
      <c r="R5" s="107">
        <v>8</v>
      </c>
      <c r="S5" s="120">
        <f>SUM(NotesIndiv[[#This Row],[travail en autonomie et assiduité ]:[participation]])/20</f>
        <v>0.67500000000000004</v>
      </c>
      <c r="T5" s="120">
        <f>1-NotesIndiv[[#This Row],[TOTAL]]</f>
        <v>0.32499999999999996</v>
      </c>
      <c r="U5" s="3">
        <f>SUM(NotesIndiv[[#This Row],[travail en autonomie et assiduité ]:[participation]])</f>
        <v>13.5</v>
      </c>
      <c r="V5" s="3">
        <f>_xlfn.XLOOKUP(NotesIndiv[[#This Row],[EQUIPE]],NotesEQ[N°],NotesEQ[NOTE GLOBALE])</f>
        <v>3.125</v>
      </c>
      <c r="W5" s="244">
        <f t="shared" si="0"/>
        <v>6.583333333333333</v>
      </c>
      <c r="Y5" t="str">
        <f>LEFT(NotesIndiv[[#This Row],[NOM]],3)&amp;"."</f>
        <v>ASS.</v>
      </c>
    </row>
    <row r="6" spans="2:25" x14ac:dyDescent="0.25">
      <c r="B6" s="87" t="str">
        <f>_xlfn.CONCAT(NotesIndiv[[#This Row],[EQUIPE]]," - ",NotesIndiv[[#This Row],[N° APP]])</f>
        <v>1 - 3</v>
      </c>
      <c r="C6" s="35" t="s">
        <v>178</v>
      </c>
      <c r="D6" s="36" t="s">
        <v>18</v>
      </c>
      <c r="E6" s="36">
        <v>1</v>
      </c>
      <c r="F6" s="36" t="s">
        <v>89</v>
      </c>
      <c r="G6" s="36" t="s">
        <v>95</v>
      </c>
      <c r="H6" s="36"/>
      <c r="I6" s="37"/>
      <c r="J6" s="36">
        <v>3</v>
      </c>
      <c r="K6" s="38"/>
      <c r="L6" s="39"/>
      <c r="M6" s="36"/>
      <c r="N6" s="40"/>
      <c r="O6" s="42"/>
      <c r="P6" s="106">
        <v>5</v>
      </c>
      <c r="Q6" s="39">
        <v>3</v>
      </c>
      <c r="R6" s="107">
        <v>8</v>
      </c>
      <c r="S6" s="120">
        <f>SUM(NotesIndiv[[#This Row],[travail en autonomie et assiduité ]:[participation]])/20</f>
        <v>0.8</v>
      </c>
      <c r="T6" s="120">
        <f>1-NotesIndiv[[#This Row],[TOTAL]]</f>
        <v>0.19999999999999996</v>
      </c>
      <c r="U6" s="3">
        <f>SUM(NotesIndiv[[#This Row],[travail en autonomie et assiduité ]:[participation]])</f>
        <v>16</v>
      </c>
      <c r="V6" s="3">
        <f>_xlfn.XLOOKUP(NotesIndiv[[#This Row],[EQUIPE]],NotesEQ[N°],NotesEQ[NOTE GLOBALE])</f>
        <v>3.125</v>
      </c>
      <c r="W6" s="244">
        <f t="shared" si="0"/>
        <v>7.416666666666667</v>
      </c>
      <c r="Y6" t="str">
        <f>LEFT(NotesIndiv[[#This Row],[NOM]],3)&amp;"."</f>
        <v>BAR.</v>
      </c>
    </row>
    <row r="7" spans="2:25" x14ac:dyDescent="0.25">
      <c r="B7" s="87" t="str">
        <f>_xlfn.CONCAT(NotesIndiv[[#This Row],[EQUIPE]]," - ",NotesIndiv[[#This Row],[N° APP]])</f>
        <v>1 - 4</v>
      </c>
      <c r="C7" s="35" t="s">
        <v>179</v>
      </c>
      <c r="D7" s="36" t="s">
        <v>20</v>
      </c>
      <c r="E7" s="36">
        <v>1</v>
      </c>
      <c r="F7" s="36" t="s">
        <v>89</v>
      </c>
      <c r="G7" s="36" t="s">
        <v>95</v>
      </c>
      <c r="H7" s="36"/>
      <c r="I7" s="37"/>
      <c r="J7" s="36">
        <v>4</v>
      </c>
      <c r="K7" s="38"/>
      <c r="L7" s="39"/>
      <c r="M7" s="36"/>
      <c r="N7" s="40"/>
      <c r="O7" s="42"/>
      <c r="P7" s="106">
        <v>5</v>
      </c>
      <c r="Q7" s="39">
        <v>3</v>
      </c>
      <c r="R7" s="107">
        <v>8</v>
      </c>
      <c r="S7" s="120">
        <f>SUM(NotesIndiv[[#This Row],[travail en autonomie et assiduité ]:[participation]])/20</f>
        <v>0.8</v>
      </c>
      <c r="T7" s="120">
        <f>1-NotesIndiv[[#This Row],[TOTAL]]</f>
        <v>0.19999999999999996</v>
      </c>
      <c r="U7" s="3">
        <f>SUM(NotesIndiv[[#This Row],[travail en autonomie et assiduité ]:[participation]])</f>
        <v>16</v>
      </c>
      <c r="V7" s="3">
        <f>_xlfn.XLOOKUP(NotesIndiv[[#This Row],[EQUIPE]],NotesEQ[N°],NotesEQ[NOTE GLOBALE])</f>
        <v>3.125</v>
      </c>
      <c r="W7" s="244">
        <f t="shared" si="0"/>
        <v>7.416666666666667</v>
      </c>
      <c r="Y7" t="str">
        <f>LEFT(NotesIndiv[[#This Row],[NOM]],3)&amp;"."</f>
        <v>BES.</v>
      </c>
    </row>
    <row r="8" spans="2:25" ht="15.75" thickBot="1" x14ac:dyDescent="0.3">
      <c r="B8" s="88" t="str">
        <f>_xlfn.CONCAT(NotesIndiv[[#This Row],[EQUIPE]]," - ",NotesIndiv[[#This Row],[N° APP]])</f>
        <v>1 - 5</v>
      </c>
      <c r="C8" s="43" t="s">
        <v>180</v>
      </c>
      <c r="D8" s="44" t="s">
        <v>42</v>
      </c>
      <c r="E8" s="44">
        <v>1</v>
      </c>
      <c r="F8" s="44" t="s">
        <v>89</v>
      </c>
      <c r="G8" s="44" t="s">
        <v>95</v>
      </c>
      <c r="H8" s="44"/>
      <c r="I8" s="45"/>
      <c r="J8" s="44">
        <v>5</v>
      </c>
      <c r="K8" s="46"/>
      <c r="L8" s="47"/>
      <c r="M8" s="44"/>
      <c r="N8" s="48"/>
      <c r="O8" s="49"/>
      <c r="P8" s="108">
        <v>5</v>
      </c>
      <c r="Q8" s="47">
        <v>3</v>
      </c>
      <c r="R8" s="109">
        <v>8</v>
      </c>
      <c r="S8" s="121">
        <f>SUM(NotesIndiv[[#This Row],[travail en autonomie et assiduité ]:[participation]])/20</f>
        <v>0.8</v>
      </c>
      <c r="T8" s="121">
        <f>1-NotesIndiv[[#This Row],[TOTAL]]</f>
        <v>0.19999999999999996</v>
      </c>
      <c r="U8" s="3">
        <f>SUM(NotesIndiv[[#This Row],[travail en autonomie et assiduité ]:[participation]])</f>
        <v>16</v>
      </c>
      <c r="V8" s="3">
        <f>_xlfn.XLOOKUP(NotesIndiv[[#This Row],[EQUIPE]],NotesEQ[N°],NotesEQ[NOTE GLOBALE])</f>
        <v>3.125</v>
      </c>
      <c r="W8" s="244">
        <f t="shared" si="0"/>
        <v>7.416666666666667</v>
      </c>
      <c r="Y8" t="str">
        <f>LEFT(NotesIndiv[[#This Row],[NOM]],3)&amp;"."</f>
        <v>DRI.</v>
      </c>
    </row>
    <row r="9" spans="2:25" x14ac:dyDescent="0.25">
      <c r="B9" s="89" t="str">
        <f>_xlfn.CONCAT(NotesIndiv[[#This Row],[EQUIPE]]," - ",NotesIndiv[[#This Row],[N° APP]])</f>
        <v>2 - 1</v>
      </c>
      <c r="C9" s="51" t="s">
        <v>181</v>
      </c>
      <c r="D9" s="52" t="s">
        <v>6</v>
      </c>
      <c r="E9" s="52">
        <v>2</v>
      </c>
      <c r="F9" s="52" t="s">
        <v>85</v>
      </c>
      <c r="G9" s="52" t="s">
        <v>95</v>
      </c>
      <c r="H9" s="52"/>
      <c r="I9" s="53"/>
      <c r="J9" s="52">
        <v>1</v>
      </c>
      <c r="K9" s="54"/>
      <c r="L9" s="55"/>
      <c r="M9" s="52"/>
      <c r="N9" s="56"/>
      <c r="O9" s="57"/>
      <c r="P9" s="110">
        <v>5</v>
      </c>
      <c r="Q9" s="55">
        <v>3</v>
      </c>
      <c r="R9" s="111">
        <v>8</v>
      </c>
      <c r="S9" s="111">
        <f>SUM(NotesIndiv[[#This Row],[travail en autonomie et assiduité ]:[participation]])/20</f>
        <v>0.8</v>
      </c>
      <c r="T9" s="111">
        <f>1-NotesIndiv[[#This Row],[TOTAL]]</f>
        <v>0.19999999999999996</v>
      </c>
      <c r="U9" s="3">
        <f>SUM(NotesIndiv[[#This Row],[travail en autonomie et assiduité ]:[participation]])</f>
        <v>16</v>
      </c>
      <c r="V9" s="3">
        <f>_xlfn.XLOOKUP(NotesIndiv[[#This Row],[EQUIPE]],NotesEQ[N°],NotesEQ[NOTE GLOBALE])</f>
        <v>3.125</v>
      </c>
      <c r="W9" s="244">
        <f t="shared" si="0"/>
        <v>7.416666666666667</v>
      </c>
      <c r="Y9" t="str">
        <f>LEFT(NotesIndiv[[#This Row],[NOM]],3)&amp;"."</f>
        <v>BOR.</v>
      </c>
    </row>
    <row r="10" spans="2:25" x14ac:dyDescent="0.25">
      <c r="B10" s="90" t="str">
        <f>_xlfn.CONCAT(NotesIndiv[[#This Row],[EQUIPE]]," - ",NotesIndiv[[#This Row],[N° APP]])</f>
        <v>2 - 2</v>
      </c>
      <c r="C10" s="58" t="s">
        <v>182</v>
      </c>
      <c r="D10" s="59" t="s">
        <v>41</v>
      </c>
      <c r="E10" s="59">
        <v>2</v>
      </c>
      <c r="F10" s="59" t="s">
        <v>85</v>
      </c>
      <c r="G10" s="59" t="s">
        <v>95</v>
      </c>
      <c r="H10" s="59"/>
      <c r="I10" s="60"/>
      <c r="J10" s="59">
        <v>2</v>
      </c>
      <c r="K10" s="61"/>
      <c r="L10" s="62"/>
      <c r="M10" s="59"/>
      <c r="N10" s="63"/>
      <c r="O10" s="64"/>
      <c r="P10" s="112">
        <v>5</v>
      </c>
      <c r="Q10" s="62">
        <v>3</v>
      </c>
      <c r="R10" s="113">
        <v>8</v>
      </c>
      <c r="S10" s="113">
        <f>SUM(NotesIndiv[[#This Row],[travail en autonomie et assiduité ]:[participation]])/20</f>
        <v>0.8</v>
      </c>
      <c r="T10" s="113">
        <f>1-NotesIndiv[[#This Row],[TOTAL]]</f>
        <v>0.19999999999999996</v>
      </c>
      <c r="U10" s="3">
        <f>SUM(NotesIndiv[[#This Row],[travail en autonomie et assiduité ]:[participation]])</f>
        <v>16</v>
      </c>
      <c r="V10" s="3">
        <f>_xlfn.XLOOKUP(NotesIndiv[[#This Row],[EQUIPE]],NotesEQ[N°],NotesEQ[NOTE GLOBALE])</f>
        <v>3.125</v>
      </c>
      <c r="W10" s="244">
        <f t="shared" si="0"/>
        <v>7.416666666666667</v>
      </c>
      <c r="Y10" t="str">
        <f>LEFT(NotesIndiv[[#This Row],[NOM]],3)&amp;"."</f>
        <v>DJE.</v>
      </c>
    </row>
    <row r="11" spans="2:25" x14ac:dyDescent="0.25">
      <c r="B11" s="90" t="str">
        <f>_xlfn.CONCAT(NotesIndiv[[#This Row],[EQUIPE]]," - ",NotesIndiv[[#This Row],[N° APP]])</f>
        <v>2 - 3</v>
      </c>
      <c r="C11" s="58" t="s">
        <v>183</v>
      </c>
      <c r="D11" s="59" t="s">
        <v>67</v>
      </c>
      <c r="E11" s="59">
        <v>2</v>
      </c>
      <c r="F11" s="59" t="s">
        <v>85</v>
      </c>
      <c r="G11" s="59" t="s">
        <v>95</v>
      </c>
      <c r="H11" s="59"/>
      <c r="I11" s="60"/>
      <c r="J11" s="59">
        <v>3</v>
      </c>
      <c r="K11" s="61"/>
      <c r="L11" s="62"/>
      <c r="M11" s="59"/>
      <c r="N11" s="63"/>
      <c r="O11" s="64"/>
      <c r="P11" s="112">
        <v>5</v>
      </c>
      <c r="Q11" s="62">
        <v>2</v>
      </c>
      <c r="R11" s="113">
        <v>8</v>
      </c>
      <c r="S11" s="113">
        <f>SUM(NotesIndiv[[#This Row],[travail en autonomie et assiduité ]:[participation]])/20</f>
        <v>0.75</v>
      </c>
      <c r="T11" s="113">
        <f>1-NotesIndiv[[#This Row],[TOTAL]]</f>
        <v>0.25</v>
      </c>
      <c r="U11" s="3">
        <f>SUM(NotesIndiv[[#This Row],[travail en autonomie et assiduité ]:[participation]])</f>
        <v>15</v>
      </c>
      <c r="V11" s="3">
        <f>_xlfn.XLOOKUP(NotesIndiv[[#This Row],[EQUIPE]],NotesEQ[N°],NotesEQ[NOTE GLOBALE])</f>
        <v>3.125</v>
      </c>
      <c r="W11" s="244">
        <f t="shared" si="0"/>
        <v>7.083333333333333</v>
      </c>
      <c r="Y11" t="str">
        <f>LEFT(NotesIndiv[[#This Row],[NOM]],3)&amp;"."</f>
        <v>KHA.</v>
      </c>
    </row>
    <row r="12" spans="2:25" ht="15.75" thickBot="1" x14ac:dyDescent="0.3">
      <c r="B12" s="91" t="str">
        <f>_xlfn.CONCAT(NotesIndiv[[#This Row],[EQUIPE]]," - ",NotesIndiv[[#This Row],[N° APP]])</f>
        <v>2 - 4</v>
      </c>
      <c r="C12" s="65" t="s">
        <v>184</v>
      </c>
      <c r="D12" s="66" t="s">
        <v>18</v>
      </c>
      <c r="E12" s="66">
        <v>2</v>
      </c>
      <c r="F12" s="66" t="s">
        <v>85</v>
      </c>
      <c r="G12" s="66" t="s">
        <v>95</v>
      </c>
      <c r="H12" s="66"/>
      <c r="I12" s="67"/>
      <c r="J12" s="66">
        <v>4</v>
      </c>
      <c r="K12" s="68"/>
      <c r="L12" s="69"/>
      <c r="M12" s="66"/>
      <c r="N12" s="70"/>
      <c r="O12" s="71"/>
      <c r="P12" s="116">
        <v>5</v>
      </c>
      <c r="Q12" s="83">
        <v>3</v>
      </c>
      <c r="R12" s="117">
        <v>8</v>
      </c>
      <c r="S12" s="115">
        <f>SUM(NotesIndiv[[#This Row],[travail en autonomie et assiduité ]:[participation]])/20</f>
        <v>0.8</v>
      </c>
      <c r="T12" s="115">
        <f>1-NotesIndiv[[#This Row],[TOTAL]]</f>
        <v>0.19999999999999996</v>
      </c>
      <c r="U12" s="3">
        <f>SUM(NotesIndiv[[#This Row],[travail en autonomie et assiduité ]:[participation]])</f>
        <v>16</v>
      </c>
      <c r="V12" s="3">
        <f>_xlfn.XLOOKUP(NotesIndiv[[#This Row],[EQUIPE]],NotesEQ[N°],NotesEQ[NOTE GLOBALE])</f>
        <v>3.125</v>
      </c>
      <c r="W12" s="244">
        <f t="shared" si="0"/>
        <v>7.416666666666667</v>
      </c>
      <c r="Y12" t="str">
        <f>LEFT(NotesIndiv[[#This Row],[NOM]],3)&amp;"."</f>
        <v>STR.</v>
      </c>
    </row>
    <row r="13" spans="2:25" x14ac:dyDescent="0.25">
      <c r="B13" s="89" t="str">
        <f>_xlfn.CONCAT(NotesIndiv[[#This Row],[EQUIPE]]," - ",NotesIndiv[[#This Row],[N° APP]])</f>
        <v>3 - 1</v>
      </c>
      <c r="C13" s="51" t="s">
        <v>185</v>
      </c>
      <c r="D13" s="52" t="s">
        <v>59</v>
      </c>
      <c r="E13" s="52">
        <v>3</v>
      </c>
      <c r="F13" s="52" t="s">
        <v>92</v>
      </c>
      <c r="G13" s="52" t="s">
        <v>95</v>
      </c>
      <c r="H13" s="52"/>
      <c r="I13" s="53"/>
      <c r="J13" s="52">
        <v>1</v>
      </c>
      <c r="K13" s="54"/>
      <c r="L13" s="55"/>
      <c r="M13" s="52"/>
      <c r="N13" s="56"/>
      <c r="O13" s="57"/>
      <c r="P13" s="311">
        <v>5</v>
      </c>
      <c r="Q13" s="312">
        <v>3</v>
      </c>
      <c r="R13" s="313">
        <v>8</v>
      </c>
      <c r="S13" s="300">
        <f>SUM(NotesIndiv[[#This Row],[travail en autonomie et assiduité ]:[participation]])/20</f>
        <v>0.8</v>
      </c>
      <c r="T13" s="111">
        <f>1-NotesIndiv[[#This Row],[TOTAL]]</f>
        <v>0.19999999999999996</v>
      </c>
      <c r="U13" s="3">
        <f>SUM(NotesIndiv[[#This Row],[travail en autonomie et assiduité ]:[participation]])</f>
        <v>16</v>
      </c>
      <c r="V13" s="3">
        <f>_xlfn.XLOOKUP(NotesIndiv[[#This Row],[EQUIPE]],NotesEQ[N°],NotesEQ[NOTE GLOBALE])</f>
        <v>3.4375</v>
      </c>
      <c r="W13" s="244">
        <f t="shared" si="0"/>
        <v>7.625</v>
      </c>
      <c r="Y13" t="str">
        <f>LEFT(NotesIndiv[[#This Row],[NOM]],3)&amp;"."</f>
        <v>AVE.</v>
      </c>
    </row>
    <row r="14" spans="2:25" x14ac:dyDescent="0.25">
      <c r="B14" s="90" t="str">
        <f>_xlfn.CONCAT(NotesIndiv[[#This Row],[EQUIPE]]," - ",NotesIndiv[[#This Row],[N° APP]])</f>
        <v>3 - 2</v>
      </c>
      <c r="C14" s="58" t="s">
        <v>186</v>
      </c>
      <c r="D14" s="59" t="s">
        <v>5</v>
      </c>
      <c r="E14" s="59">
        <v>3</v>
      </c>
      <c r="F14" s="59" t="s">
        <v>92</v>
      </c>
      <c r="G14" s="59" t="s">
        <v>95</v>
      </c>
      <c r="H14" s="59"/>
      <c r="I14" s="60"/>
      <c r="J14" s="59">
        <v>2</v>
      </c>
      <c r="K14" s="61"/>
      <c r="L14" s="62"/>
      <c r="M14" s="59"/>
      <c r="N14" s="63"/>
      <c r="O14" s="64"/>
      <c r="P14" s="112">
        <v>5</v>
      </c>
      <c r="Q14" s="62">
        <v>3</v>
      </c>
      <c r="R14" s="314">
        <v>8</v>
      </c>
      <c r="S14" s="301">
        <f>SUM(NotesIndiv[[#This Row],[travail en autonomie et assiduité ]:[participation]])/20</f>
        <v>0.8</v>
      </c>
      <c r="T14" s="113">
        <f>1-NotesIndiv[[#This Row],[TOTAL]]</f>
        <v>0.19999999999999996</v>
      </c>
      <c r="U14" s="3">
        <f>SUM(NotesIndiv[[#This Row],[travail en autonomie et assiduité ]:[participation]])</f>
        <v>16</v>
      </c>
      <c r="V14" s="3">
        <f>_xlfn.XLOOKUP(NotesIndiv[[#This Row],[EQUIPE]],NotesEQ[N°],NotesEQ[NOTE GLOBALE])</f>
        <v>3.4375</v>
      </c>
      <c r="W14" s="244">
        <f t="shared" si="0"/>
        <v>7.625</v>
      </c>
      <c r="Y14" t="str">
        <f>LEFT(NotesIndiv[[#This Row],[NOM]],3)&amp;"."</f>
        <v>BEN.</v>
      </c>
    </row>
    <row r="15" spans="2:25" x14ac:dyDescent="0.25">
      <c r="B15" s="90" t="str">
        <f>_xlfn.CONCAT(NotesIndiv[[#This Row],[EQUIPE]]," - ",NotesIndiv[[#This Row],[N° APP]])</f>
        <v>3 - 3</v>
      </c>
      <c r="C15" s="58" t="s">
        <v>187</v>
      </c>
      <c r="D15" s="59" t="s">
        <v>43</v>
      </c>
      <c r="E15" s="59">
        <v>3</v>
      </c>
      <c r="F15" s="59" t="s">
        <v>92</v>
      </c>
      <c r="G15" s="59" t="s">
        <v>95</v>
      </c>
      <c r="H15" s="59"/>
      <c r="I15" s="60"/>
      <c r="J15" s="59">
        <v>3</v>
      </c>
      <c r="K15" s="61"/>
      <c r="L15" s="62"/>
      <c r="M15" s="59"/>
      <c r="N15" s="63"/>
      <c r="O15" s="64"/>
      <c r="P15" s="112">
        <v>5</v>
      </c>
      <c r="Q15" s="62">
        <v>3</v>
      </c>
      <c r="R15" s="314">
        <v>8</v>
      </c>
      <c r="S15" s="301">
        <f>SUM(NotesIndiv[[#This Row],[travail en autonomie et assiduité ]:[participation]])/20</f>
        <v>0.8</v>
      </c>
      <c r="T15" s="113">
        <f>1-NotesIndiv[[#This Row],[TOTAL]]</f>
        <v>0.19999999999999996</v>
      </c>
      <c r="U15" s="3">
        <f>SUM(NotesIndiv[[#This Row],[travail en autonomie et assiduité ]:[participation]])</f>
        <v>16</v>
      </c>
      <c r="V15" s="3">
        <f>_xlfn.XLOOKUP(NotesIndiv[[#This Row],[EQUIPE]],NotesEQ[N°],NotesEQ[NOTE GLOBALE])</f>
        <v>3.4375</v>
      </c>
      <c r="W15" s="244">
        <f t="shared" si="0"/>
        <v>7.625</v>
      </c>
      <c r="Y15" t="str">
        <f>LEFT(NotesIndiv[[#This Row],[NOM]],3)&amp;"."</f>
        <v>DUF.</v>
      </c>
    </row>
    <row r="16" spans="2:25" x14ac:dyDescent="0.25">
      <c r="B16" s="90" t="str">
        <f>_xlfn.CONCAT(NotesIndiv[[#This Row],[EQUIPE]]," - ",NotesIndiv[[#This Row],[N° APP]])</f>
        <v>3 - 4</v>
      </c>
      <c r="C16" s="58" t="s">
        <v>188</v>
      </c>
      <c r="D16" s="59" t="s">
        <v>25</v>
      </c>
      <c r="E16" s="59">
        <v>3</v>
      </c>
      <c r="F16" s="59" t="s">
        <v>92</v>
      </c>
      <c r="G16" s="59" t="s">
        <v>95</v>
      </c>
      <c r="H16" s="59"/>
      <c r="I16" s="60"/>
      <c r="J16" s="59">
        <v>4</v>
      </c>
      <c r="K16" s="61"/>
      <c r="L16" s="62"/>
      <c r="M16" s="59"/>
      <c r="N16" s="63"/>
      <c r="O16" s="64"/>
      <c r="P16" s="112">
        <v>5</v>
      </c>
      <c r="Q16" s="62">
        <v>3</v>
      </c>
      <c r="R16" s="314">
        <v>8</v>
      </c>
      <c r="S16" s="301">
        <f>SUM(NotesIndiv[[#This Row],[travail en autonomie et assiduité ]:[participation]])/20</f>
        <v>0.8</v>
      </c>
      <c r="T16" s="113">
        <f>1-NotesIndiv[[#This Row],[TOTAL]]</f>
        <v>0.19999999999999996</v>
      </c>
      <c r="U16" s="3">
        <f>SUM(NotesIndiv[[#This Row],[travail en autonomie et assiduité ]:[participation]])</f>
        <v>16</v>
      </c>
      <c r="V16" s="3">
        <f>_xlfn.XLOOKUP(NotesIndiv[[#This Row],[EQUIPE]],NotesEQ[N°],NotesEQ[NOTE GLOBALE])</f>
        <v>3.4375</v>
      </c>
      <c r="W16" s="244">
        <f t="shared" si="0"/>
        <v>7.625</v>
      </c>
      <c r="Y16" t="str">
        <f>LEFT(NotesIndiv[[#This Row],[NOM]],3)&amp;"."</f>
        <v>FER.</v>
      </c>
    </row>
    <row r="17" spans="2:25" ht="15.75" thickBot="1" x14ac:dyDescent="0.3">
      <c r="B17" s="91" t="str">
        <f>_xlfn.CONCAT(NotesIndiv[[#This Row],[EQUIPE]]," - ",NotesIndiv[[#This Row],[N° APP]])</f>
        <v>3 - 5</v>
      </c>
      <c r="C17" s="65" t="s">
        <v>189</v>
      </c>
      <c r="D17" s="66" t="s">
        <v>54</v>
      </c>
      <c r="E17" s="66">
        <v>3</v>
      </c>
      <c r="F17" s="66" t="s">
        <v>92</v>
      </c>
      <c r="G17" s="66" t="s">
        <v>95</v>
      </c>
      <c r="H17" s="66"/>
      <c r="I17" s="67"/>
      <c r="J17" s="66">
        <v>5</v>
      </c>
      <c r="K17" s="68"/>
      <c r="L17" s="69"/>
      <c r="M17" s="66"/>
      <c r="N17" s="70"/>
      <c r="O17" s="71"/>
      <c r="P17" s="315">
        <v>5</v>
      </c>
      <c r="Q17" s="316">
        <v>3</v>
      </c>
      <c r="R17" s="317">
        <v>8</v>
      </c>
      <c r="S17" s="302">
        <f>SUM(NotesIndiv[[#This Row],[travail en autonomie et assiduité ]:[participation]])/20</f>
        <v>0.8</v>
      </c>
      <c r="T17" s="115">
        <f>1-NotesIndiv[[#This Row],[TOTAL]]</f>
        <v>0.19999999999999996</v>
      </c>
      <c r="U17" s="3">
        <f>SUM(NotesIndiv[[#This Row],[travail en autonomie et assiduité ]:[participation]])</f>
        <v>16</v>
      </c>
      <c r="V17" s="3">
        <f>_xlfn.XLOOKUP(NotesIndiv[[#This Row],[EQUIPE]],NotesEQ[N°],NotesEQ[NOTE GLOBALE])</f>
        <v>3.4375</v>
      </c>
      <c r="W17" s="244">
        <f t="shared" si="0"/>
        <v>7.625</v>
      </c>
      <c r="Y17" t="str">
        <f>LEFT(NotesIndiv[[#This Row],[NOM]],3)&amp;"."</f>
        <v>SBA.</v>
      </c>
    </row>
    <row r="18" spans="2:25" x14ac:dyDescent="0.25">
      <c r="B18" s="89" t="str">
        <f>_xlfn.CONCAT(NotesIndiv[[#This Row],[EQUIPE]]," - ",NotesIndiv[[#This Row],[N° APP]])</f>
        <v>4 - 1</v>
      </c>
      <c r="C18" s="51" t="s">
        <v>190</v>
      </c>
      <c r="D18" s="52" t="s">
        <v>39</v>
      </c>
      <c r="E18" s="52">
        <v>4</v>
      </c>
      <c r="F18" s="52" t="s">
        <v>172</v>
      </c>
      <c r="G18" s="52" t="s">
        <v>95</v>
      </c>
      <c r="H18" s="52"/>
      <c r="I18" s="53"/>
      <c r="J18" s="52">
        <v>1</v>
      </c>
      <c r="K18" s="54"/>
      <c r="L18" s="55"/>
      <c r="M18" s="52"/>
      <c r="N18" s="56"/>
      <c r="O18" s="57"/>
      <c r="P18" s="305">
        <v>5</v>
      </c>
      <c r="Q18" s="306">
        <v>3</v>
      </c>
      <c r="R18" s="307">
        <v>8</v>
      </c>
      <c r="S18" s="111">
        <f>SUM(NotesIndiv[[#This Row],[travail en autonomie et assiduité ]:[participation]])/20</f>
        <v>0.8</v>
      </c>
      <c r="T18" s="111">
        <f>1-NotesIndiv[[#This Row],[TOTAL]]</f>
        <v>0.19999999999999996</v>
      </c>
      <c r="U18" s="3">
        <f>SUM(NotesIndiv[[#This Row],[travail en autonomie et assiduité ]:[participation]])</f>
        <v>16</v>
      </c>
      <c r="V18" s="3">
        <f>_xlfn.XLOOKUP(NotesIndiv[[#This Row],[EQUIPE]],NotesEQ[N°],NotesEQ[NOTE GLOBALE])</f>
        <v>3.28125</v>
      </c>
      <c r="W18" s="244">
        <f t="shared" si="0"/>
        <v>7.520833333333333</v>
      </c>
      <c r="Y18" t="str">
        <f>LEFT(NotesIndiv[[#This Row],[NOM]],3)&amp;"."</f>
        <v>BER.</v>
      </c>
    </row>
    <row r="19" spans="2:25" x14ac:dyDescent="0.25">
      <c r="B19" s="90" t="str">
        <f>_xlfn.CONCAT(NotesIndiv[[#This Row],[EQUIPE]]," - ",NotesIndiv[[#This Row],[N° APP]])</f>
        <v>4 - 2</v>
      </c>
      <c r="C19" s="58" t="s">
        <v>191</v>
      </c>
      <c r="D19" s="59" t="s">
        <v>22</v>
      </c>
      <c r="E19" s="59">
        <v>4</v>
      </c>
      <c r="F19" s="59" t="s">
        <v>172</v>
      </c>
      <c r="G19" s="59" t="s">
        <v>95</v>
      </c>
      <c r="H19" s="59"/>
      <c r="I19" s="60"/>
      <c r="J19" s="59">
        <v>2</v>
      </c>
      <c r="K19" s="61"/>
      <c r="L19" s="62"/>
      <c r="M19" s="59"/>
      <c r="N19" s="63"/>
      <c r="O19" s="64"/>
      <c r="P19" s="112">
        <v>5</v>
      </c>
      <c r="Q19" s="62">
        <v>3</v>
      </c>
      <c r="R19" s="113">
        <v>8</v>
      </c>
      <c r="S19" s="113">
        <f>SUM(NotesIndiv[[#This Row],[travail en autonomie et assiduité ]:[participation]])/20</f>
        <v>0.8</v>
      </c>
      <c r="T19" s="113">
        <f>1-NotesIndiv[[#This Row],[TOTAL]]</f>
        <v>0.19999999999999996</v>
      </c>
      <c r="U19" s="3">
        <f>SUM(NotesIndiv[[#This Row],[travail en autonomie et assiduité ]:[participation]])</f>
        <v>16</v>
      </c>
      <c r="V19" s="3">
        <f>_xlfn.XLOOKUP(NotesIndiv[[#This Row],[EQUIPE]],NotesEQ[N°],NotesEQ[NOTE GLOBALE])</f>
        <v>3.28125</v>
      </c>
      <c r="W19" s="244">
        <f t="shared" si="0"/>
        <v>7.520833333333333</v>
      </c>
      <c r="Y19" t="str">
        <f>LEFT(NotesIndiv[[#This Row],[NOM]],3)&amp;"."</f>
        <v>BOU.</v>
      </c>
    </row>
    <row r="20" spans="2:25" x14ac:dyDescent="0.25">
      <c r="B20" s="90" t="str">
        <f>_xlfn.CONCAT(NotesIndiv[[#This Row],[EQUIPE]]," - ",NotesIndiv[[#This Row],[N° APP]])</f>
        <v>4 - 3</v>
      </c>
      <c r="C20" s="58" t="s">
        <v>192</v>
      </c>
      <c r="D20" s="59" t="s">
        <v>7</v>
      </c>
      <c r="E20" s="59">
        <v>4</v>
      </c>
      <c r="F20" s="59" t="s">
        <v>172</v>
      </c>
      <c r="G20" s="59" t="s">
        <v>95</v>
      </c>
      <c r="H20" s="59"/>
      <c r="I20" s="60"/>
      <c r="J20" s="59">
        <v>3</v>
      </c>
      <c r="K20" s="61"/>
      <c r="L20" s="62"/>
      <c r="M20" s="59"/>
      <c r="N20" s="63"/>
      <c r="O20" s="64"/>
      <c r="P20" s="112">
        <v>5</v>
      </c>
      <c r="Q20" s="62">
        <v>3</v>
      </c>
      <c r="R20" s="113">
        <v>8</v>
      </c>
      <c r="S20" s="113">
        <f>SUM(NotesIndiv[[#This Row],[travail en autonomie et assiduité ]:[participation]])/20</f>
        <v>0.8</v>
      </c>
      <c r="T20" s="113">
        <f>1-NotesIndiv[[#This Row],[TOTAL]]</f>
        <v>0.19999999999999996</v>
      </c>
      <c r="U20" s="3">
        <f>SUM(NotesIndiv[[#This Row],[travail en autonomie et assiduité ]:[participation]])</f>
        <v>16</v>
      </c>
      <c r="V20" s="3">
        <f>_xlfn.XLOOKUP(NotesIndiv[[#This Row],[EQUIPE]],NotesEQ[N°],NotesEQ[NOTE GLOBALE])</f>
        <v>3.28125</v>
      </c>
      <c r="W20" s="244">
        <f t="shared" si="0"/>
        <v>7.520833333333333</v>
      </c>
      <c r="Y20" t="str">
        <f>LEFT(NotesIndiv[[#This Row],[NOM]],3)&amp;"."</f>
        <v>CAR.</v>
      </c>
    </row>
    <row r="21" spans="2:25" x14ac:dyDescent="0.25">
      <c r="B21" s="90" t="str">
        <f>_xlfn.CONCAT(NotesIndiv[[#This Row],[EQUIPE]]," - ",NotesIndiv[[#This Row],[N° APP]])</f>
        <v>4 - 4</v>
      </c>
      <c r="C21" s="58" t="s">
        <v>193</v>
      </c>
      <c r="D21" s="59" t="s">
        <v>68</v>
      </c>
      <c r="E21" s="59">
        <v>4</v>
      </c>
      <c r="F21" s="59" t="s">
        <v>172</v>
      </c>
      <c r="G21" s="59" t="s">
        <v>95</v>
      </c>
      <c r="H21" s="59"/>
      <c r="I21" s="60"/>
      <c r="J21" s="59">
        <v>4</v>
      </c>
      <c r="K21" s="61"/>
      <c r="L21" s="62"/>
      <c r="M21" s="59"/>
      <c r="N21" s="63"/>
      <c r="O21" s="64"/>
      <c r="P21" s="112">
        <v>5</v>
      </c>
      <c r="Q21" s="62">
        <v>3</v>
      </c>
      <c r="R21" s="113">
        <v>8</v>
      </c>
      <c r="S21" s="113">
        <f>SUM(NotesIndiv[[#This Row],[travail en autonomie et assiduité ]:[participation]])/20</f>
        <v>0.8</v>
      </c>
      <c r="T21" s="113">
        <f>1-NotesIndiv[[#This Row],[TOTAL]]</f>
        <v>0.19999999999999996</v>
      </c>
      <c r="U21" s="3">
        <f>SUM(NotesIndiv[[#This Row],[travail en autonomie et assiduité ]:[participation]])</f>
        <v>16</v>
      </c>
      <c r="V21" s="3">
        <f>_xlfn.XLOOKUP(NotesIndiv[[#This Row],[EQUIPE]],NotesEQ[N°],NotesEQ[NOTE GLOBALE])</f>
        <v>3.28125</v>
      </c>
      <c r="W21" s="244">
        <f t="shared" si="0"/>
        <v>7.520833333333333</v>
      </c>
      <c r="Y21" t="str">
        <f>LEFT(NotesIndiv[[#This Row],[NOM]],3)&amp;"."</f>
        <v>LAL.</v>
      </c>
    </row>
    <row r="22" spans="2:25" ht="15.75" thickBot="1" x14ac:dyDescent="0.3">
      <c r="B22" s="91" t="str">
        <f>_xlfn.CONCAT(NotesIndiv[[#This Row],[EQUIPE]]," - ",NotesIndiv[[#This Row],[N° APP]])</f>
        <v>4 - 5</v>
      </c>
      <c r="C22" s="65" t="s">
        <v>194</v>
      </c>
      <c r="D22" s="66" t="s">
        <v>35</v>
      </c>
      <c r="E22" s="66">
        <v>4</v>
      </c>
      <c r="F22" s="66" t="s">
        <v>172</v>
      </c>
      <c r="G22" s="66" t="s">
        <v>95</v>
      </c>
      <c r="H22" s="66"/>
      <c r="I22" s="67"/>
      <c r="J22" s="66">
        <v>5</v>
      </c>
      <c r="K22" s="68"/>
      <c r="L22" s="69"/>
      <c r="M22" s="66"/>
      <c r="N22" s="70"/>
      <c r="O22" s="71"/>
      <c r="P22" s="114">
        <v>5</v>
      </c>
      <c r="Q22" s="69">
        <v>3</v>
      </c>
      <c r="R22" s="115">
        <v>8</v>
      </c>
      <c r="S22" s="115">
        <f>SUM(NotesIndiv[[#This Row],[travail en autonomie et assiduité ]:[participation]])/20</f>
        <v>0.8</v>
      </c>
      <c r="T22" s="115">
        <f>1-NotesIndiv[[#This Row],[TOTAL]]</f>
        <v>0.19999999999999996</v>
      </c>
      <c r="U22" s="3">
        <f>SUM(NotesIndiv[[#This Row],[travail en autonomie et assiduité ]:[participation]])</f>
        <v>16</v>
      </c>
      <c r="V22" s="3">
        <f>_xlfn.XLOOKUP(NotesIndiv[[#This Row],[EQUIPE]],NotesEQ[N°],NotesEQ[NOTE GLOBALE])</f>
        <v>3.28125</v>
      </c>
      <c r="W22" s="244">
        <f t="shared" si="0"/>
        <v>7.520833333333333</v>
      </c>
      <c r="Y22" t="str">
        <f>LEFT(NotesIndiv[[#This Row],[NOM]],3)&amp;"."</f>
        <v>PHA.</v>
      </c>
    </row>
    <row r="23" spans="2:25" x14ac:dyDescent="0.25">
      <c r="B23" s="89" t="str">
        <f>_xlfn.CONCAT(NotesIndiv[[#This Row],[EQUIPE]]," - ",NotesIndiv[[#This Row],[N° APP]])</f>
        <v>5 - 1</v>
      </c>
      <c r="C23" s="51" t="s">
        <v>195</v>
      </c>
      <c r="D23" s="52" t="s">
        <v>17</v>
      </c>
      <c r="E23" s="52">
        <v>5</v>
      </c>
      <c r="F23" s="52" t="s">
        <v>94</v>
      </c>
      <c r="G23" s="52" t="s">
        <v>95</v>
      </c>
      <c r="H23" s="52"/>
      <c r="I23" s="53"/>
      <c r="J23" s="52">
        <v>1</v>
      </c>
      <c r="K23" s="54"/>
      <c r="L23" s="55"/>
      <c r="M23" s="52"/>
      <c r="N23" s="56"/>
      <c r="O23" s="57"/>
      <c r="P23" s="110">
        <v>5</v>
      </c>
      <c r="Q23" s="55">
        <v>3</v>
      </c>
      <c r="R23" s="111">
        <v>8</v>
      </c>
      <c r="S23" s="111">
        <f>SUM(NotesIndiv[[#This Row],[travail en autonomie et assiduité ]:[participation]])/20</f>
        <v>0.8</v>
      </c>
      <c r="T23" s="111">
        <f>1-NotesIndiv[[#This Row],[TOTAL]]</f>
        <v>0.19999999999999996</v>
      </c>
      <c r="U23" s="3">
        <f>SUM(NotesIndiv[[#This Row],[travail en autonomie et assiduité ]:[participation]])</f>
        <v>16</v>
      </c>
      <c r="V23" s="3">
        <f>_xlfn.XLOOKUP(NotesIndiv[[#This Row],[EQUIPE]],NotesEQ[N°],NotesEQ[NOTE GLOBALE])</f>
        <v>3.1875</v>
      </c>
      <c r="W23" s="244">
        <f t="shared" si="0"/>
        <v>7.458333333333333</v>
      </c>
      <c r="Y23" t="str">
        <f>LEFT(NotesIndiv[[#This Row],[NOM]],3)&amp;"."</f>
        <v>AIS.</v>
      </c>
    </row>
    <row r="24" spans="2:25" x14ac:dyDescent="0.25">
      <c r="B24" s="90" t="str">
        <f>_xlfn.CONCAT(NotesIndiv[[#This Row],[EQUIPE]]," - ",NotesIndiv[[#This Row],[N° APP]])</f>
        <v>5 - 2</v>
      </c>
      <c r="C24" s="58" t="s">
        <v>196</v>
      </c>
      <c r="D24" s="59" t="s">
        <v>60</v>
      </c>
      <c r="E24" s="59">
        <v>5</v>
      </c>
      <c r="F24" s="59" t="s">
        <v>94</v>
      </c>
      <c r="G24" s="59" t="s">
        <v>95</v>
      </c>
      <c r="H24" s="59"/>
      <c r="I24" s="60"/>
      <c r="J24" s="59">
        <v>2</v>
      </c>
      <c r="K24" s="61"/>
      <c r="L24" s="62"/>
      <c r="M24" s="59"/>
      <c r="N24" s="63"/>
      <c r="O24" s="64"/>
      <c r="P24" s="112">
        <v>5</v>
      </c>
      <c r="Q24" s="62">
        <v>3</v>
      </c>
      <c r="R24" s="113">
        <v>8</v>
      </c>
      <c r="S24" s="113">
        <f>SUM(NotesIndiv[[#This Row],[travail en autonomie et assiduité ]:[participation]])/20</f>
        <v>0.8</v>
      </c>
      <c r="T24" s="113">
        <f>1-NotesIndiv[[#This Row],[TOTAL]]</f>
        <v>0.19999999999999996</v>
      </c>
      <c r="U24" s="3">
        <f>SUM(NotesIndiv[[#This Row],[travail en autonomie et assiduité ]:[participation]])</f>
        <v>16</v>
      </c>
      <c r="V24" s="3">
        <f>_xlfn.XLOOKUP(NotesIndiv[[#This Row],[EQUIPE]],NotesEQ[N°],NotesEQ[NOTE GLOBALE])</f>
        <v>3.1875</v>
      </c>
      <c r="W24" s="244">
        <f t="shared" si="0"/>
        <v>7.458333333333333</v>
      </c>
      <c r="Y24" t="str">
        <f>LEFT(NotesIndiv[[#This Row],[NOM]],3)&amp;"."</f>
        <v>BEI.</v>
      </c>
    </row>
    <row r="25" spans="2:25" x14ac:dyDescent="0.25">
      <c r="B25" s="90" t="str">
        <f>_xlfn.CONCAT(NotesIndiv[[#This Row],[EQUIPE]]," - ",NotesIndiv[[#This Row],[N° APP]])</f>
        <v>5 - 3</v>
      </c>
      <c r="C25" s="58" t="s">
        <v>191</v>
      </c>
      <c r="D25" s="59" t="s">
        <v>21</v>
      </c>
      <c r="E25" s="59">
        <v>5</v>
      </c>
      <c r="F25" s="59" t="s">
        <v>94</v>
      </c>
      <c r="G25" s="59" t="s">
        <v>95</v>
      </c>
      <c r="H25" s="59"/>
      <c r="I25" s="60"/>
      <c r="J25" s="59">
        <v>3</v>
      </c>
      <c r="K25" s="61"/>
      <c r="L25" s="62"/>
      <c r="M25" s="59"/>
      <c r="N25" s="63"/>
      <c r="O25" s="64"/>
      <c r="P25" s="112">
        <v>5</v>
      </c>
      <c r="Q25" s="62">
        <v>3</v>
      </c>
      <c r="R25" s="113">
        <v>8</v>
      </c>
      <c r="S25" s="113">
        <f>SUM(NotesIndiv[[#This Row],[travail en autonomie et assiduité ]:[participation]])/20</f>
        <v>0.8</v>
      </c>
      <c r="T25" s="113">
        <f>1-NotesIndiv[[#This Row],[TOTAL]]</f>
        <v>0.19999999999999996</v>
      </c>
      <c r="U25" s="3">
        <f>SUM(NotesIndiv[[#This Row],[travail en autonomie et assiduité ]:[participation]])</f>
        <v>16</v>
      </c>
      <c r="V25" s="3">
        <f>_xlfn.XLOOKUP(NotesIndiv[[#This Row],[EQUIPE]],NotesEQ[N°],NotesEQ[NOTE GLOBALE])</f>
        <v>3.1875</v>
      </c>
      <c r="W25" s="244">
        <f t="shared" si="0"/>
        <v>7.458333333333333</v>
      </c>
      <c r="Y25" t="str">
        <f>LEFT(NotesIndiv[[#This Row],[NOM]],3)&amp;"."</f>
        <v>BOU.</v>
      </c>
    </row>
    <row r="26" spans="2:25" ht="15.75" thickBot="1" x14ac:dyDescent="0.3">
      <c r="B26" s="91" t="str">
        <f>_xlfn.CONCAT(NotesIndiv[[#This Row],[EQUIPE]]," - ",NotesIndiv[[#This Row],[N° APP]])</f>
        <v>5 - 4</v>
      </c>
      <c r="C26" s="65" t="s">
        <v>197</v>
      </c>
      <c r="D26" s="66" t="s">
        <v>8</v>
      </c>
      <c r="E26" s="66">
        <v>5</v>
      </c>
      <c r="F26" s="66" t="s">
        <v>94</v>
      </c>
      <c r="G26" s="66" t="s">
        <v>95</v>
      </c>
      <c r="H26" s="66"/>
      <c r="I26" s="67"/>
      <c r="J26" s="66">
        <v>4</v>
      </c>
      <c r="K26" s="68"/>
      <c r="L26" s="69"/>
      <c r="M26" s="66"/>
      <c r="N26" s="70"/>
      <c r="O26" s="71"/>
      <c r="P26" s="114">
        <v>5</v>
      </c>
      <c r="Q26" s="69">
        <v>3</v>
      </c>
      <c r="R26" s="115">
        <v>8</v>
      </c>
      <c r="S26" s="115">
        <f>SUM(NotesIndiv[[#This Row],[travail en autonomie et assiduité ]:[participation]])/20</f>
        <v>0.8</v>
      </c>
      <c r="T26" s="115">
        <f>1-NotesIndiv[[#This Row],[TOTAL]]</f>
        <v>0.19999999999999996</v>
      </c>
      <c r="U26" s="3">
        <f>SUM(NotesIndiv[[#This Row],[travail en autonomie et assiduité ]:[participation]])</f>
        <v>16</v>
      </c>
      <c r="V26" s="3">
        <f>_xlfn.XLOOKUP(NotesIndiv[[#This Row],[EQUIPE]],NotesEQ[N°],NotesEQ[NOTE GLOBALE])</f>
        <v>3.1875</v>
      </c>
      <c r="W26" s="244">
        <f t="shared" si="0"/>
        <v>7.458333333333333</v>
      </c>
      <c r="Y26" t="str">
        <f>LEFT(NotesIndiv[[#This Row],[NOM]],3)&amp;"."</f>
        <v>DUB.</v>
      </c>
    </row>
    <row r="27" spans="2:25" x14ac:dyDescent="0.25">
      <c r="B27" s="89" t="str">
        <f>_xlfn.CONCAT(NotesIndiv[[#This Row],[EQUIPE]]," - ",NotesIndiv[[#This Row],[N° APP]])</f>
        <v>6 - 1</v>
      </c>
      <c r="C27" s="51" t="s">
        <v>198</v>
      </c>
      <c r="D27" s="52" t="s">
        <v>9</v>
      </c>
      <c r="E27" s="52">
        <v>6</v>
      </c>
      <c r="F27" s="52" t="s">
        <v>88</v>
      </c>
      <c r="G27" s="52" t="s">
        <v>95</v>
      </c>
      <c r="H27" s="52"/>
      <c r="I27" s="53"/>
      <c r="J27" s="52">
        <v>1</v>
      </c>
      <c r="K27" s="54"/>
      <c r="L27" s="55"/>
      <c r="M27" s="52"/>
      <c r="N27" s="56"/>
      <c r="O27" s="57"/>
      <c r="P27" s="110">
        <v>5</v>
      </c>
      <c r="Q27" s="55">
        <v>3</v>
      </c>
      <c r="R27" s="111">
        <v>8</v>
      </c>
      <c r="S27" s="111">
        <f>SUM(NotesIndiv[[#This Row],[travail en autonomie et assiduité ]:[participation]])/20</f>
        <v>0.8</v>
      </c>
      <c r="T27" s="111">
        <f>1-NotesIndiv[[#This Row],[TOTAL]]</f>
        <v>0.19999999999999996</v>
      </c>
      <c r="U27" s="3">
        <f>SUM(NotesIndiv[[#This Row],[travail en autonomie et assiduité ]:[participation]])</f>
        <v>16</v>
      </c>
      <c r="V27" s="3">
        <f>_xlfn.XLOOKUP(NotesIndiv[[#This Row],[EQUIPE]],NotesEQ[N°],NotesEQ[NOTE GLOBALE])</f>
        <v>3.84375</v>
      </c>
      <c r="W27" s="244">
        <f t="shared" si="0"/>
        <v>7.895833333333333</v>
      </c>
      <c r="Y27" t="str">
        <f>LEFT(NotesIndiv[[#This Row],[NOM]],3)&amp;"."</f>
        <v>FUE.</v>
      </c>
    </row>
    <row r="28" spans="2:25" x14ac:dyDescent="0.25">
      <c r="B28" s="90" t="str">
        <f>_xlfn.CONCAT(NotesIndiv[[#This Row],[EQUIPE]]," - ",NotesIndiv[[#This Row],[N° APP]])</f>
        <v>6 - 2</v>
      </c>
      <c r="C28" s="58" t="s">
        <v>199</v>
      </c>
      <c r="D28" s="59" t="s">
        <v>4</v>
      </c>
      <c r="E28" s="59">
        <v>6</v>
      </c>
      <c r="F28" s="59" t="s">
        <v>88</v>
      </c>
      <c r="G28" s="59" t="s">
        <v>95</v>
      </c>
      <c r="H28" s="59"/>
      <c r="I28" s="60"/>
      <c r="J28" s="59">
        <v>2</v>
      </c>
      <c r="K28" s="61"/>
      <c r="L28" s="62"/>
      <c r="M28" s="59"/>
      <c r="N28" s="63"/>
      <c r="O28" s="64"/>
      <c r="P28" s="112">
        <v>5</v>
      </c>
      <c r="Q28" s="62">
        <v>3</v>
      </c>
      <c r="R28" s="113">
        <v>8</v>
      </c>
      <c r="S28" s="113">
        <f>SUM(NotesIndiv[[#This Row],[travail en autonomie et assiduité ]:[participation]])/20</f>
        <v>0.8</v>
      </c>
      <c r="T28" s="113">
        <f>1-NotesIndiv[[#This Row],[TOTAL]]</f>
        <v>0.19999999999999996</v>
      </c>
      <c r="U28" s="3">
        <f>SUM(NotesIndiv[[#This Row],[travail en autonomie et assiduité ]:[participation]])</f>
        <v>16</v>
      </c>
      <c r="V28" s="3">
        <f>_xlfn.XLOOKUP(NotesIndiv[[#This Row],[EQUIPE]],NotesEQ[N°],NotesEQ[NOTE GLOBALE])</f>
        <v>3.84375</v>
      </c>
      <c r="W28" s="244">
        <f t="shared" si="0"/>
        <v>7.895833333333333</v>
      </c>
      <c r="Y28" t="str">
        <f>LEFT(NotesIndiv[[#This Row],[NOM]],3)&amp;"."</f>
        <v>GOM.</v>
      </c>
    </row>
    <row r="29" spans="2:25" x14ac:dyDescent="0.25">
      <c r="B29" s="90" t="str">
        <f>_xlfn.CONCAT(NotesIndiv[[#This Row],[EQUIPE]]," - ",NotesIndiv[[#This Row],[N° APP]])</f>
        <v>6 - 3</v>
      </c>
      <c r="C29" s="58" t="s">
        <v>200</v>
      </c>
      <c r="D29" s="59" t="s">
        <v>46</v>
      </c>
      <c r="E29" s="59">
        <v>6</v>
      </c>
      <c r="F29" s="59" t="s">
        <v>88</v>
      </c>
      <c r="G29" s="59" t="s">
        <v>95</v>
      </c>
      <c r="H29" s="59"/>
      <c r="I29" s="60"/>
      <c r="J29" s="59">
        <v>3</v>
      </c>
      <c r="K29" s="61"/>
      <c r="L29" s="62"/>
      <c r="M29" s="59"/>
      <c r="N29" s="63"/>
      <c r="O29" s="64"/>
      <c r="P29" s="112">
        <v>5</v>
      </c>
      <c r="Q29" s="62">
        <v>3</v>
      </c>
      <c r="R29" s="113">
        <v>8</v>
      </c>
      <c r="S29" s="113">
        <f>SUM(NotesIndiv[[#This Row],[travail en autonomie et assiduité ]:[participation]])/20</f>
        <v>0.8</v>
      </c>
      <c r="T29" s="113">
        <f>1-NotesIndiv[[#This Row],[TOTAL]]</f>
        <v>0.19999999999999996</v>
      </c>
      <c r="U29" s="3">
        <f>SUM(NotesIndiv[[#This Row],[travail en autonomie et assiduité ]:[participation]])</f>
        <v>16</v>
      </c>
      <c r="V29" s="3">
        <f>_xlfn.XLOOKUP(NotesIndiv[[#This Row],[EQUIPE]],NotesEQ[N°],NotesEQ[NOTE GLOBALE])</f>
        <v>3.84375</v>
      </c>
      <c r="W29" s="244">
        <f t="shared" si="0"/>
        <v>7.895833333333333</v>
      </c>
      <c r="Y29" t="str">
        <f>LEFT(NotesIndiv[[#This Row],[NOM]],3)&amp;"."</f>
        <v>JOA.</v>
      </c>
    </row>
    <row r="30" spans="2:25" x14ac:dyDescent="0.25">
      <c r="B30" s="90" t="str">
        <f>_xlfn.CONCAT(NotesIndiv[[#This Row],[EQUIPE]]," - ",NotesIndiv[[#This Row],[N° APP]])</f>
        <v>6 - 4</v>
      </c>
      <c r="C30" s="58" t="s">
        <v>201</v>
      </c>
      <c r="D30" s="59" t="s">
        <v>49</v>
      </c>
      <c r="E30" s="59">
        <v>6</v>
      </c>
      <c r="F30" s="59" t="s">
        <v>88</v>
      </c>
      <c r="G30" s="59" t="s">
        <v>95</v>
      </c>
      <c r="H30" s="59"/>
      <c r="I30" s="60"/>
      <c r="J30" s="59">
        <v>4</v>
      </c>
      <c r="K30" s="61"/>
      <c r="L30" s="62"/>
      <c r="M30" s="59"/>
      <c r="N30" s="63"/>
      <c r="O30" s="64"/>
      <c r="P30" s="112">
        <v>5</v>
      </c>
      <c r="Q30" s="62">
        <v>3</v>
      </c>
      <c r="R30" s="113">
        <v>8</v>
      </c>
      <c r="S30" s="113">
        <f>SUM(NotesIndiv[[#This Row],[travail en autonomie et assiduité ]:[participation]])/20</f>
        <v>0.8</v>
      </c>
      <c r="T30" s="113">
        <f>1-NotesIndiv[[#This Row],[TOTAL]]</f>
        <v>0.19999999999999996</v>
      </c>
      <c r="U30" s="3">
        <f>SUM(NotesIndiv[[#This Row],[travail en autonomie et assiduité ]:[participation]])</f>
        <v>16</v>
      </c>
      <c r="V30" s="3">
        <f>_xlfn.XLOOKUP(NotesIndiv[[#This Row],[EQUIPE]],NotesEQ[N°],NotesEQ[NOTE GLOBALE])</f>
        <v>3.84375</v>
      </c>
      <c r="W30" s="244">
        <f t="shared" si="0"/>
        <v>7.895833333333333</v>
      </c>
      <c r="Y30" t="str">
        <f>LEFT(NotesIndiv[[#This Row],[NOM]],3)&amp;"."</f>
        <v>MAU.</v>
      </c>
    </row>
    <row r="31" spans="2:25" ht="15.75" thickBot="1" x14ac:dyDescent="0.3">
      <c r="B31" s="91" t="str">
        <f>_xlfn.CONCAT(NotesIndiv[[#This Row],[EQUIPE]]," - ",NotesIndiv[[#This Row],[N° APP]])</f>
        <v>6 - 5</v>
      </c>
      <c r="C31" s="65" t="s">
        <v>202</v>
      </c>
      <c r="D31" s="66" t="s">
        <v>36</v>
      </c>
      <c r="E31" s="66">
        <v>6</v>
      </c>
      <c r="F31" s="66" t="s">
        <v>88</v>
      </c>
      <c r="G31" s="66" t="s">
        <v>95</v>
      </c>
      <c r="H31" s="66">
        <v>3.5</v>
      </c>
      <c r="I31" s="67"/>
      <c r="J31" s="66">
        <v>5</v>
      </c>
      <c r="K31" s="68"/>
      <c r="L31" s="69"/>
      <c r="M31" s="66"/>
      <c r="N31" s="70"/>
      <c r="O31" s="71"/>
      <c r="P31" s="114">
        <v>3.5</v>
      </c>
      <c r="Q31" s="69">
        <v>3</v>
      </c>
      <c r="R31" s="115">
        <v>8</v>
      </c>
      <c r="S31" s="115">
        <f>SUM(NotesIndiv[[#This Row],[travail en autonomie et assiduité ]:[participation]])/20</f>
        <v>0.72499999999999998</v>
      </c>
      <c r="T31" s="115">
        <f>1-NotesIndiv[[#This Row],[TOTAL]]</f>
        <v>0.27500000000000002</v>
      </c>
      <c r="U31" s="3">
        <f>SUM(NotesIndiv[[#This Row],[travail en autonomie et assiduité ]:[participation]])</f>
        <v>14.5</v>
      </c>
      <c r="V31" s="3">
        <f>_xlfn.XLOOKUP(NotesIndiv[[#This Row],[EQUIPE]],NotesEQ[N°],NotesEQ[NOTE GLOBALE])</f>
        <v>3.84375</v>
      </c>
      <c r="W31" s="244">
        <f t="shared" si="0"/>
        <v>7.395833333333333</v>
      </c>
      <c r="Y31" t="str">
        <f>LEFT(NotesIndiv[[#This Row],[NOM]],3)&amp;"."</f>
        <v>POU.</v>
      </c>
    </row>
    <row r="32" spans="2:25" x14ac:dyDescent="0.25">
      <c r="B32" s="89" t="str">
        <f>_xlfn.CONCAT(NotesIndiv[[#This Row],[EQUIPE]]," - ",NotesIndiv[[#This Row],[N° APP]])</f>
        <v>7 - 1</v>
      </c>
      <c r="C32" s="51" t="s">
        <v>203</v>
      </c>
      <c r="D32" s="52" t="s">
        <v>40</v>
      </c>
      <c r="E32" s="52">
        <v>7</v>
      </c>
      <c r="F32" s="52" t="s">
        <v>93</v>
      </c>
      <c r="G32" s="52" t="s">
        <v>97</v>
      </c>
      <c r="H32" s="52">
        <v>3.5</v>
      </c>
      <c r="I32" s="53"/>
      <c r="J32" s="52">
        <v>1</v>
      </c>
      <c r="K32" s="54"/>
      <c r="L32" s="55"/>
      <c r="M32" s="52"/>
      <c r="N32" s="56"/>
      <c r="O32" s="57"/>
      <c r="P32" s="110">
        <v>3.5</v>
      </c>
      <c r="Q32" s="55">
        <v>3</v>
      </c>
      <c r="R32" s="111">
        <v>8</v>
      </c>
      <c r="S32" s="111">
        <f>SUM(NotesIndiv[[#This Row],[travail en autonomie et assiduité ]:[participation]])/20</f>
        <v>0.72499999999999998</v>
      </c>
      <c r="T32" s="111">
        <f>1-NotesIndiv[[#This Row],[TOTAL]]</f>
        <v>0.27500000000000002</v>
      </c>
      <c r="U32" s="3">
        <f>SUM(NotesIndiv[[#This Row],[travail en autonomie et assiduité ]:[participation]])</f>
        <v>14.5</v>
      </c>
      <c r="V32" s="3">
        <f>_xlfn.XLOOKUP(NotesIndiv[[#This Row],[EQUIPE]],NotesEQ[N°],NotesEQ[NOTE GLOBALE])</f>
        <v>2.25</v>
      </c>
      <c r="W32" s="244">
        <f t="shared" si="0"/>
        <v>6.333333333333333</v>
      </c>
      <c r="Y32" t="str">
        <f>LEFT(NotesIndiv[[#This Row],[NOM]],3)&amp;"."</f>
        <v>BEZ.</v>
      </c>
    </row>
    <row r="33" spans="2:25" x14ac:dyDescent="0.25">
      <c r="B33" s="90" t="str">
        <f>_xlfn.CONCAT(NotesIndiv[[#This Row],[EQUIPE]]," - ",NotesIndiv[[#This Row],[N° APP]])</f>
        <v>7 - 2</v>
      </c>
      <c r="C33" s="58" t="s">
        <v>204</v>
      </c>
      <c r="D33" s="59" t="s">
        <v>62</v>
      </c>
      <c r="E33" s="59">
        <v>7</v>
      </c>
      <c r="F33" s="59" t="s">
        <v>93</v>
      </c>
      <c r="G33" s="59" t="s">
        <v>97</v>
      </c>
      <c r="H33" s="59"/>
      <c r="I33" s="60"/>
      <c r="J33" s="59">
        <v>2</v>
      </c>
      <c r="K33" s="61"/>
      <c r="L33" s="62"/>
      <c r="M33" s="59"/>
      <c r="N33" s="63"/>
      <c r="O33" s="64"/>
      <c r="P33" s="112">
        <v>5</v>
      </c>
      <c r="Q33" s="62">
        <v>3</v>
      </c>
      <c r="R33" s="113">
        <v>8</v>
      </c>
      <c r="S33" s="113">
        <f>SUM(NotesIndiv[[#This Row],[travail en autonomie et assiduité ]:[participation]])/20</f>
        <v>0.8</v>
      </c>
      <c r="T33" s="113">
        <f>1-NotesIndiv[[#This Row],[TOTAL]]</f>
        <v>0.19999999999999996</v>
      </c>
      <c r="U33" s="3">
        <f>SUM(NotesIndiv[[#This Row],[travail en autonomie et assiduité ]:[participation]])</f>
        <v>16</v>
      </c>
      <c r="V33" s="3">
        <f>_xlfn.XLOOKUP(NotesIndiv[[#This Row],[EQUIPE]],NotesEQ[N°],NotesEQ[NOTE GLOBALE])</f>
        <v>2.25</v>
      </c>
      <c r="W33" s="244">
        <f t="shared" si="0"/>
        <v>6.833333333333333</v>
      </c>
      <c r="Y33" t="str">
        <f>LEFT(NotesIndiv[[#This Row],[NOM]],3)&amp;"."</f>
        <v>CHA.</v>
      </c>
    </row>
    <row r="34" spans="2:25" x14ac:dyDescent="0.25">
      <c r="B34" s="90" t="str">
        <f>_xlfn.CONCAT(NotesIndiv[[#This Row],[EQUIPE]]," - ",NotesIndiv[[#This Row],[N° APP]])</f>
        <v>7 - 3</v>
      </c>
      <c r="C34" s="58" t="s">
        <v>205</v>
      </c>
      <c r="D34" s="59" t="s">
        <v>158</v>
      </c>
      <c r="E34" s="59">
        <v>7</v>
      </c>
      <c r="F34" s="59" t="s">
        <v>93</v>
      </c>
      <c r="G34" s="59" t="s">
        <v>97</v>
      </c>
      <c r="H34" s="59">
        <v>14</v>
      </c>
      <c r="I34" s="60"/>
      <c r="J34" s="59">
        <v>3</v>
      </c>
      <c r="K34" s="61"/>
      <c r="L34" s="62"/>
      <c r="M34" s="59"/>
      <c r="N34" s="63"/>
      <c r="O34" s="64"/>
      <c r="P34" s="112">
        <v>1</v>
      </c>
      <c r="Q34" s="62">
        <v>3</v>
      </c>
      <c r="R34" s="113">
        <v>8</v>
      </c>
      <c r="S34" s="113">
        <f>SUM(NotesIndiv[[#This Row],[travail en autonomie et assiduité ]:[participation]])/20</f>
        <v>0.6</v>
      </c>
      <c r="T34" s="113">
        <f>1-NotesIndiv[[#This Row],[TOTAL]]</f>
        <v>0.4</v>
      </c>
      <c r="U34" s="3">
        <f>SUM(NotesIndiv[[#This Row],[travail en autonomie et assiduité ]:[participation]])</f>
        <v>12</v>
      </c>
      <c r="V34" s="3">
        <f>_xlfn.XLOOKUP(NotesIndiv[[#This Row],[EQUIPE]],NotesEQ[N°],NotesEQ[NOTE GLOBALE])</f>
        <v>2.25</v>
      </c>
      <c r="W34" s="244">
        <f t="shared" si="0"/>
        <v>5.5</v>
      </c>
      <c r="Y34" t="str">
        <f>LEFT(NotesIndiv[[#This Row],[NOM]],3)&amp;"."</f>
        <v>M’B.</v>
      </c>
    </row>
    <row r="35" spans="2:25" x14ac:dyDescent="0.25">
      <c r="B35" s="90" t="str">
        <f>_xlfn.CONCAT(NotesIndiv[[#This Row],[EQUIPE]]," - ",NotesIndiv[[#This Row],[N° APP]])</f>
        <v>7 - 4</v>
      </c>
      <c r="C35" s="58" t="s">
        <v>206</v>
      </c>
      <c r="D35" s="59" t="s">
        <v>48</v>
      </c>
      <c r="E35" s="59">
        <v>7</v>
      </c>
      <c r="F35" s="59" t="s">
        <v>93</v>
      </c>
      <c r="G35" s="59" t="s">
        <v>97</v>
      </c>
      <c r="H35" s="59">
        <v>3.5</v>
      </c>
      <c r="I35" s="60"/>
      <c r="J35" s="59">
        <v>4</v>
      </c>
      <c r="K35" s="61"/>
      <c r="L35" s="62"/>
      <c r="M35" s="59"/>
      <c r="N35" s="63"/>
      <c r="O35" s="64"/>
      <c r="P35" s="112">
        <v>3.5</v>
      </c>
      <c r="Q35" s="62">
        <v>3</v>
      </c>
      <c r="R35" s="113">
        <v>8</v>
      </c>
      <c r="S35" s="113">
        <f>SUM(NotesIndiv[[#This Row],[travail en autonomie et assiduité ]:[participation]])/20</f>
        <v>0.72499999999999998</v>
      </c>
      <c r="T35" s="113">
        <f>1-NotesIndiv[[#This Row],[TOTAL]]</f>
        <v>0.27500000000000002</v>
      </c>
      <c r="U35" s="3">
        <f>SUM(NotesIndiv[[#This Row],[travail en autonomie et assiduité ]:[participation]])</f>
        <v>14.5</v>
      </c>
      <c r="V35" s="3">
        <f>_xlfn.XLOOKUP(NotesIndiv[[#This Row],[EQUIPE]],NotesEQ[N°],NotesEQ[NOTE GLOBALE])</f>
        <v>2.25</v>
      </c>
      <c r="W35" s="244">
        <f t="shared" si="0"/>
        <v>6.333333333333333</v>
      </c>
      <c r="Y35" t="str">
        <f>LEFT(NotesIndiv[[#This Row],[NOM]],3)&amp;"."</f>
        <v>MAD.</v>
      </c>
    </row>
    <row r="36" spans="2:25" ht="15.75" thickBot="1" x14ac:dyDescent="0.3">
      <c r="B36" s="91" t="str">
        <f>_xlfn.CONCAT(NotesIndiv[[#This Row],[EQUIPE]]," - ",NotesIndiv[[#This Row],[N° APP]])</f>
        <v>7 - 5</v>
      </c>
      <c r="C36" s="65" t="s">
        <v>207</v>
      </c>
      <c r="D36" s="66" t="s">
        <v>33</v>
      </c>
      <c r="E36" s="66">
        <v>7</v>
      </c>
      <c r="F36" s="66" t="s">
        <v>93</v>
      </c>
      <c r="G36" s="66" t="s">
        <v>97</v>
      </c>
      <c r="H36" s="66"/>
      <c r="I36" s="67"/>
      <c r="J36" s="66">
        <v>5</v>
      </c>
      <c r="K36" s="68"/>
      <c r="L36" s="69"/>
      <c r="M36" s="66"/>
      <c r="N36" s="70"/>
      <c r="O36" s="71"/>
      <c r="P36" s="114">
        <v>5</v>
      </c>
      <c r="Q36" s="69">
        <v>3</v>
      </c>
      <c r="R36" s="115">
        <v>8</v>
      </c>
      <c r="S36" s="115">
        <f>SUM(NotesIndiv[[#This Row],[travail en autonomie et assiduité ]:[participation]])/20</f>
        <v>0.8</v>
      </c>
      <c r="T36" s="115">
        <f>1-NotesIndiv[[#This Row],[TOTAL]]</f>
        <v>0.19999999999999996</v>
      </c>
      <c r="U36" s="3">
        <f>SUM(NotesIndiv[[#This Row],[travail en autonomie et assiduité ]:[participation]])</f>
        <v>16</v>
      </c>
      <c r="V36" s="3">
        <f>_xlfn.XLOOKUP(NotesIndiv[[#This Row],[EQUIPE]],NotesEQ[N°],NotesEQ[NOTE GLOBALE])</f>
        <v>2.25</v>
      </c>
      <c r="W36" s="244">
        <f t="shared" ref="W36:W67" si="1">AVERAGE(U36,V36,V36)</f>
        <v>6.833333333333333</v>
      </c>
      <c r="Y36" t="str">
        <f>LEFT(NotesIndiv[[#This Row],[NOM]],3)&amp;"."</f>
        <v>NGU.</v>
      </c>
    </row>
    <row r="37" spans="2:25" x14ac:dyDescent="0.25">
      <c r="B37" s="89" t="str">
        <f>_xlfn.CONCAT(NotesIndiv[[#This Row],[EQUIPE]]," - ",NotesIndiv[[#This Row],[N° APP]])</f>
        <v>8 - 1</v>
      </c>
      <c r="C37" s="51" t="s">
        <v>208</v>
      </c>
      <c r="D37" s="52" t="s">
        <v>10</v>
      </c>
      <c r="E37" s="52">
        <v>8</v>
      </c>
      <c r="F37" s="52" t="s">
        <v>159</v>
      </c>
      <c r="G37" s="52" t="s">
        <v>95</v>
      </c>
      <c r="H37" s="52">
        <v>2</v>
      </c>
      <c r="I37" s="53"/>
      <c r="J37" s="52">
        <v>1</v>
      </c>
      <c r="K37" s="54"/>
      <c r="L37" s="55"/>
      <c r="M37" s="52"/>
      <c r="N37" s="56"/>
      <c r="O37" s="57"/>
      <c r="P37" s="110">
        <v>4</v>
      </c>
      <c r="Q37" s="55">
        <v>3</v>
      </c>
      <c r="R37" s="111">
        <v>8</v>
      </c>
      <c r="S37" s="111">
        <f>SUM(NotesIndiv[[#This Row],[travail en autonomie et assiduité ]:[participation]])/20</f>
        <v>0.75</v>
      </c>
      <c r="T37" s="111">
        <f>1-NotesIndiv[[#This Row],[TOTAL]]</f>
        <v>0.25</v>
      </c>
      <c r="U37" s="3">
        <f>SUM(NotesIndiv[[#This Row],[travail en autonomie et assiduité ]:[participation]])</f>
        <v>15</v>
      </c>
      <c r="V37" s="3">
        <f>_xlfn.XLOOKUP(NotesIndiv[[#This Row],[EQUIPE]],NotesEQ[N°],NotesEQ[NOTE GLOBALE])</f>
        <v>2.15625</v>
      </c>
      <c r="W37" s="244">
        <f t="shared" si="1"/>
        <v>6.4375</v>
      </c>
      <c r="Y37" t="str">
        <f>LEFT(NotesIndiv[[#This Row],[NOM]],3)&amp;"."</f>
        <v>HAN.</v>
      </c>
    </row>
    <row r="38" spans="2:25" x14ac:dyDescent="0.25">
      <c r="B38" s="90" t="str">
        <f>_xlfn.CONCAT(NotesIndiv[[#This Row],[EQUIPE]]," - ",NotesIndiv[[#This Row],[N° APP]])</f>
        <v>8 - 2</v>
      </c>
      <c r="C38" s="58" t="s">
        <v>209</v>
      </c>
      <c r="D38" s="59" t="s">
        <v>45</v>
      </c>
      <c r="E38" s="59">
        <v>8</v>
      </c>
      <c r="F38" s="59" t="s">
        <v>159</v>
      </c>
      <c r="G38" s="59" t="s">
        <v>95</v>
      </c>
      <c r="H38" s="59"/>
      <c r="I38" s="60"/>
      <c r="J38" s="59">
        <v>2</v>
      </c>
      <c r="K38" s="61"/>
      <c r="L38" s="62"/>
      <c r="M38" s="59"/>
      <c r="N38" s="63"/>
      <c r="O38" s="64"/>
      <c r="P38" s="112">
        <v>5</v>
      </c>
      <c r="Q38" s="62">
        <v>3</v>
      </c>
      <c r="R38" s="113">
        <v>8</v>
      </c>
      <c r="S38" s="113">
        <f>SUM(NotesIndiv[[#This Row],[travail en autonomie et assiduité ]:[participation]])/20</f>
        <v>0.8</v>
      </c>
      <c r="T38" s="113">
        <f>1-NotesIndiv[[#This Row],[TOTAL]]</f>
        <v>0.19999999999999996</v>
      </c>
      <c r="U38" s="3">
        <f>SUM(NotesIndiv[[#This Row],[travail en autonomie et assiduité ]:[participation]])</f>
        <v>16</v>
      </c>
      <c r="V38" s="3">
        <f>_xlfn.XLOOKUP(NotesIndiv[[#This Row],[EQUIPE]],NotesEQ[N°],NotesEQ[NOTE GLOBALE])</f>
        <v>2.15625</v>
      </c>
      <c r="W38" s="244">
        <f t="shared" si="1"/>
        <v>6.770833333333333</v>
      </c>
      <c r="Y38" t="str">
        <f>LEFT(NotesIndiv[[#This Row],[NOM]],3)&amp;"."</f>
        <v>HUC.</v>
      </c>
    </row>
    <row r="39" spans="2:25" x14ac:dyDescent="0.25">
      <c r="B39" s="90" t="str">
        <f>_xlfn.CONCAT(NotesIndiv[[#This Row],[EQUIPE]]," - ",NotesIndiv[[#This Row],[N° APP]])</f>
        <v>8 - 3</v>
      </c>
      <c r="C39" s="58" t="s">
        <v>210</v>
      </c>
      <c r="D39" s="59" t="s">
        <v>26</v>
      </c>
      <c r="E39" s="59">
        <v>8</v>
      </c>
      <c r="F39" s="59" t="s">
        <v>159</v>
      </c>
      <c r="G39" s="59" t="s">
        <v>95</v>
      </c>
      <c r="H39" s="59"/>
      <c r="I39" s="60"/>
      <c r="J39" s="59">
        <v>3</v>
      </c>
      <c r="K39" s="61"/>
      <c r="L39" s="62"/>
      <c r="M39" s="59"/>
      <c r="N39" s="63"/>
      <c r="O39" s="64"/>
      <c r="P39" s="112">
        <v>5</v>
      </c>
      <c r="Q39" s="62">
        <v>3</v>
      </c>
      <c r="R39" s="113">
        <v>8</v>
      </c>
      <c r="S39" s="113">
        <f>SUM(NotesIndiv[[#This Row],[travail en autonomie et assiduité ]:[participation]])/20</f>
        <v>0.8</v>
      </c>
      <c r="T39" s="113">
        <f>1-NotesIndiv[[#This Row],[TOTAL]]</f>
        <v>0.19999999999999996</v>
      </c>
      <c r="U39" s="3">
        <f>SUM(NotesIndiv[[#This Row],[travail en autonomie et assiduité ]:[participation]])</f>
        <v>16</v>
      </c>
      <c r="V39" s="3">
        <f>_xlfn.XLOOKUP(NotesIndiv[[#This Row],[EQUIPE]],NotesEQ[N°],NotesEQ[NOTE GLOBALE])</f>
        <v>2.15625</v>
      </c>
      <c r="W39" s="244">
        <f t="shared" si="1"/>
        <v>6.770833333333333</v>
      </c>
      <c r="Y39" t="str">
        <f>LEFT(NotesIndiv[[#This Row],[NOM]],3)&amp;"."</f>
        <v>MAN.</v>
      </c>
    </row>
    <row r="40" spans="2:25" ht="15.75" thickBot="1" x14ac:dyDescent="0.3">
      <c r="B40" s="91" t="str">
        <f>_xlfn.CONCAT(NotesIndiv[[#This Row],[EQUIPE]]," - ",NotesIndiv[[#This Row],[N° APP]])</f>
        <v>8 - 4</v>
      </c>
      <c r="C40" s="65" t="s">
        <v>211</v>
      </c>
      <c r="D40" s="66" t="s">
        <v>52</v>
      </c>
      <c r="E40" s="66">
        <v>8</v>
      </c>
      <c r="F40" s="66" t="s">
        <v>159</v>
      </c>
      <c r="G40" s="66" t="s">
        <v>95</v>
      </c>
      <c r="H40" s="66">
        <v>26.5</v>
      </c>
      <c r="I40" s="67"/>
      <c r="J40" s="66">
        <v>4</v>
      </c>
      <c r="K40" s="68"/>
      <c r="L40" s="69"/>
      <c r="M40" s="66"/>
      <c r="N40" s="70"/>
      <c r="O40" s="71"/>
      <c r="P40" s="114">
        <v>5</v>
      </c>
      <c r="Q40" s="69">
        <v>3</v>
      </c>
      <c r="R40" s="115">
        <v>8</v>
      </c>
      <c r="S40" s="115">
        <f>SUM(NotesIndiv[[#This Row],[travail en autonomie et assiduité ]:[participation]])/20</f>
        <v>0.8</v>
      </c>
      <c r="T40" s="115">
        <f>1-NotesIndiv[[#This Row],[TOTAL]]</f>
        <v>0.19999999999999996</v>
      </c>
      <c r="U40" s="3">
        <f>SUM(NotesIndiv[[#This Row],[travail en autonomie et assiduité ]:[participation]])</f>
        <v>16</v>
      </c>
      <c r="V40" s="3">
        <f>_xlfn.XLOOKUP(NotesIndiv[[#This Row],[EQUIPE]],NotesEQ[N°],NotesEQ[NOTE GLOBALE])</f>
        <v>2.15625</v>
      </c>
      <c r="W40" s="244">
        <f t="shared" si="1"/>
        <v>6.770833333333333</v>
      </c>
      <c r="Y40" t="str">
        <f>LEFT(NotesIndiv[[#This Row],[NOM]],3)&amp;"."</f>
        <v>MIC.</v>
      </c>
    </row>
    <row r="41" spans="2:25" x14ac:dyDescent="0.25">
      <c r="B41" s="89" t="str">
        <f>_xlfn.CONCAT(NotesIndiv[[#This Row],[EQUIPE]]," - ",NotesIndiv[[#This Row],[N° APP]])</f>
        <v>9 - 1</v>
      </c>
      <c r="C41" s="51" t="s">
        <v>212</v>
      </c>
      <c r="D41" s="52" t="s">
        <v>73</v>
      </c>
      <c r="E41" s="52">
        <v>9</v>
      </c>
      <c r="F41" s="52" t="s">
        <v>142</v>
      </c>
      <c r="G41" s="52" t="s">
        <v>97</v>
      </c>
      <c r="H41" s="52">
        <v>10.5</v>
      </c>
      <c r="I41" s="53"/>
      <c r="J41" s="52">
        <v>1</v>
      </c>
      <c r="K41" s="54"/>
      <c r="L41" s="55"/>
      <c r="M41" s="52"/>
      <c r="N41" s="56"/>
      <c r="O41" s="57"/>
      <c r="P41" s="110">
        <v>2.5</v>
      </c>
      <c r="Q41" s="55">
        <v>3</v>
      </c>
      <c r="R41" s="111">
        <v>8</v>
      </c>
      <c r="S41" s="111">
        <f>SUM(NotesIndiv[[#This Row],[travail en autonomie et assiduité ]:[participation]])/20</f>
        <v>0.67500000000000004</v>
      </c>
      <c r="T41" s="111">
        <f>1-NotesIndiv[[#This Row],[TOTAL]]</f>
        <v>0.32499999999999996</v>
      </c>
      <c r="U41" s="3">
        <f>SUM(NotesIndiv[[#This Row],[travail en autonomie et assiduité ]:[participation]])</f>
        <v>13.5</v>
      </c>
      <c r="V41" s="3">
        <f>_xlfn.XLOOKUP(NotesIndiv[[#This Row],[EQUIPE]],NotesEQ[N°],NotesEQ[NOTE GLOBALE])</f>
        <v>0</v>
      </c>
      <c r="W41" s="244">
        <f t="shared" si="1"/>
        <v>4.5</v>
      </c>
      <c r="Y41" t="str">
        <f>LEFT(NotesIndiv[[#This Row],[NOM]],3)&amp;"."</f>
        <v>AYI.</v>
      </c>
    </row>
    <row r="42" spans="2:25" x14ac:dyDescent="0.25">
      <c r="B42" s="90" t="str">
        <f>_xlfn.CONCAT(NotesIndiv[[#This Row],[EQUIPE]]," - ",NotesIndiv[[#This Row],[N° APP]])</f>
        <v>9 - 2</v>
      </c>
      <c r="C42" s="58" t="s">
        <v>213</v>
      </c>
      <c r="D42" s="59" t="s">
        <v>63</v>
      </c>
      <c r="E42" s="59">
        <v>9</v>
      </c>
      <c r="F42" s="59" t="s">
        <v>142</v>
      </c>
      <c r="G42" s="59" t="s">
        <v>97</v>
      </c>
      <c r="H42" s="59"/>
      <c r="I42" s="60"/>
      <c r="J42" s="59">
        <v>2</v>
      </c>
      <c r="K42" s="61"/>
      <c r="L42" s="62"/>
      <c r="M42" s="59"/>
      <c r="N42" s="63"/>
      <c r="O42" s="64"/>
      <c r="P42" s="112">
        <v>5</v>
      </c>
      <c r="Q42" s="62">
        <v>3</v>
      </c>
      <c r="R42" s="113">
        <v>8</v>
      </c>
      <c r="S42" s="113">
        <f>SUM(NotesIndiv[[#This Row],[travail en autonomie et assiduité ]:[participation]])/20</f>
        <v>0.8</v>
      </c>
      <c r="T42" s="113">
        <f>1-NotesIndiv[[#This Row],[TOTAL]]</f>
        <v>0.19999999999999996</v>
      </c>
      <c r="U42" s="3">
        <f>SUM(NotesIndiv[[#This Row],[travail en autonomie et assiduité ]:[participation]])</f>
        <v>16</v>
      </c>
      <c r="V42" s="3">
        <f>_xlfn.XLOOKUP(NotesIndiv[[#This Row],[EQUIPE]],NotesEQ[N°],NotesEQ[NOTE GLOBALE])</f>
        <v>0</v>
      </c>
      <c r="W42" s="244">
        <f t="shared" si="1"/>
        <v>5.333333333333333</v>
      </c>
      <c r="Y42" t="str">
        <f>LEFT(NotesIndiv[[#This Row],[NOM]],3)&amp;"."</f>
        <v>CHE.</v>
      </c>
    </row>
    <row r="43" spans="2:25" x14ac:dyDescent="0.25">
      <c r="B43" s="90" t="str">
        <f>_xlfn.CONCAT(NotesIndiv[[#This Row],[EQUIPE]]," - ",NotesIndiv[[#This Row],[N° APP]])</f>
        <v>9 - 3</v>
      </c>
      <c r="C43" s="58" t="s">
        <v>214</v>
      </c>
      <c r="D43" s="59" t="s">
        <v>28</v>
      </c>
      <c r="E43" s="59">
        <v>9</v>
      </c>
      <c r="F43" s="59" t="s">
        <v>142</v>
      </c>
      <c r="G43" s="59" t="s">
        <v>97</v>
      </c>
      <c r="H43" s="59"/>
      <c r="I43" s="60"/>
      <c r="J43" s="59">
        <v>3</v>
      </c>
      <c r="K43" s="61"/>
      <c r="L43" s="62"/>
      <c r="M43" s="59"/>
      <c r="N43" s="63"/>
      <c r="O43" s="64"/>
      <c r="P43" s="112">
        <v>5</v>
      </c>
      <c r="Q43" s="62">
        <v>3</v>
      </c>
      <c r="R43" s="113">
        <v>8</v>
      </c>
      <c r="S43" s="113">
        <f>SUM(NotesIndiv[[#This Row],[travail en autonomie et assiduité ]:[participation]])/20</f>
        <v>0.8</v>
      </c>
      <c r="T43" s="113">
        <f>1-NotesIndiv[[#This Row],[TOTAL]]</f>
        <v>0.19999999999999996</v>
      </c>
      <c r="U43" s="3">
        <f>SUM(NotesIndiv[[#This Row],[travail en autonomie et assiduité ]:[participation]])</f>
        <v>16</v>
      </c>
      <c r="V43" s="3">
        <f>_xlfn.XLOOKUP(NotesIndiv[[#This Row],[EQUIPE]],NotesEQ[N°],NotesEQ[NOTE GLOBALE])</f>
        <v>0</v>
      </c>
      <c r="W43" s="244">
        <f t="shared" si="1"/>
        <v>5.333333333333333</v>
      </c>
      <c r="Y43" t="str">
        <f>LEFT(NotesIndiv[[#This Row],[NOM]],3)&amp;"."</f>
        <v>KIF.</v>
      </c>
    </row>
    <row r="44" spans="2:25" x14ac:dyDescent="0.25">
      <c r="B44" s="90" t="str">
        <f>_xlfn.CONCAT(NotesIndiv[[#This Row],[EQUIPE]]," - ",NotesIndiv[[#This Row],[N° APP]])</f>
        <v>9 - 4</v>
      </c>
      <c r="C44" s="58" t="s">
        <v>215</v>
      </c>
      <c r="D44" s="59" t="s">
        <v>11</v>
      </c>
      <c r="E44" s="59">
        <v>9</v>
      </c>
      <c r="F44" s="59" t="s">
        <v>142</v>
      </c>
      <c r="G44" s="59" t="s">
        <v>97</v>
      </c>
      <c r="H44" s="59"/>
      <c r="I44" s="60"/>
      <c r="J44" s="59">
        <v>4</v>
      </c>
      <c r="K44" s="61"/>
      <c r="L44" s="62"/>
      <c r="M44" s="59"/>
      <c r="N44" s="63"/>
      <c r="O44" s="64"/>
      <c r="P44" s="112">
        <v>5</v>
      </c>
      <c r="Q44" s="62">
        <v>3</v>
      </c>
      <c r="R44" s="113">
        <v>8</v>
      </c>
      <c r="S44" s="113">
        <f>SUM(NotesIndiv[[#This Row],[travail en autonomie et assiduité ]:[participation]])/20</f>
        <v>0.8</v>
      </c>
      <c r="T44" s="113">
        <f>1-NotesIndiv[[#This Row],[TOTAL]]</f>
        <v>0.19999999999999996</v>
      </c>
      <c r="U44" s="3">
        <f>SUM(NotesIndiv[[#This Row],[travail en autonomie et assiduité ]:[participation]])</f>
        <v>16</v>
      </c>
      <c r="V44" s="3">
        <f>_xlfn.XLOOKUP(NotesIndiv[[#This Row],[EQUIPE]],NotesEQ[N°],NotesEQ[NOTE GLOBALE])</f>
        <v>0</v>
      </c>
      <c r="W44" s="244">
        <f t="shared" si="1"/>
        <v>5.333333333333333</v>
      </c>
      <c r="Y44" t="str">
        <f>LEFT(NotesIndiv[[#This Row],[NOM]],3)&amp;"."</f>
        <v>KLE.</v>
      </c>
    </row>
    <row r="45" spans="2:25" ht="15.75" thickBot="1" x14ac:dyDescent="0.3">
      <c r="B45" s="91" t="str">
        <f>_xlfn.CONCAT(NotesIndiv[[#This Row],[EQUIPE]]," - ",NotesIndiv[[#This Row],[N° APP]])</f>
        <v>9 - 5</v>
      </c>
      <c r="C45" s="65" t="s">
        <v>216</v>
      </c>
      <c r="D45" s="66" t="s">
        <v>55</v>
      </c>
      <c r="E45" s="66">
        <v>9</v>
      </c>
      <c r="F45" s="66" t="s">
        <v>142</v>
      </c>
      <c r="G45" s="66" t="s">
        <v>97</v>
      </c>
      <c r="H45" s="66"/>
      <c r="I45" s="67"/>
      <c r="J45" s="66">
        <v>5</v>
      </c>
      <c r="K45" s="68"/>
      <c r="L45" s="69"/>
      <c r="M45" s="66"/>
      <c r="N45" s="70"/>
      <c r="O45" s="71"/>
      <c r="P45" s="114">
        <v>5</v>
      </c>
      <c r="Q45" s="69">
        <v>3</v>
      </c>
      <c r="R45" s="115">
        <v>8</v>
      </c>
      <c r="S45" s="115">
        <f>SUM(NotesIndiv[[#This Row],[travail en autonomie et assiduité ]:[participation]])/20</f>
        <v>0.8</v>
      </c>
      <c r="T45" s="115">
        <f>1-NotesIndiv[[#This Row],[TOTAL]]</f>
        <v>0.19999999999999996</v>
      </c>
      <c r="U45" s="3">
        <f>SUM(NotesIndiv[[#This Row],[travail en autonomie et assiduité ]:[participation]])</f>
        <v>16</v>
      </c>
      <c r="V45" s="3">
        <f>_xlfn.XLOOKUP(NotesIndiv[[#This Row],[EQUIPE]],NotesEQ[N°],NotesEQ[NOTE GLOBALE])</f>
        <v>0</v>
      </c>
      <c r="W45" s="244">
        <f t="shared" si="1"/>
        <v>5.333333333333333</v>
      </c>
      <c r="Y45" t="str">
        <f>LEFT(NotesIndiv[[#This Row],[NOM]],3)&amp;"."</f>
        <v>TES.</v>
      </c>
    </row>
    <row r="46" spans="2:25" x14ac:dyDescent="0.25">
      <c r="B46" s="89" t="str">
        <f>_xlfn.CONCAT(NotesIndiv[[#This Row],[EQUIPE]]," - ",NotesIndiv[[#This Row],[N° APP]])</f>
        <v>10 - 1</v>
      </c>
      <c r="C46" s="51" t="s">
        <v>217</v>
      </c>
      <c r="D46" s="52" t="s">
        <v>23</v>
      </c>
      <c r="E46" s="52">
        <v>10</v>
      </c>
      <c r="F46" s="52" t="s">
        <v>91</v>
      </c>
      <c r="G46" s="52" t="s">
        <v>95</v>
      </c>
      <c r="H46" s="52"/>
      <c r="I46" s="53"/>
      <c r="J46" s="52">
        <v>1</v>
      </c>
      <c r="K46" s="54"/>
      <c r="L46" s="55"/>
      <c r="M46" s="52"/>
      <c r="N46" s="56"/>
      <c r="O46" s="57"/>
      <c r="P46" s="110">
        <v>5</v>
      </c>
      <c r="Q46" s="55">
        <v>3</v>
      </c>
      <c r="R46" s="111">
        <v>8</v>
      </c>
      <c r="S46" s="111">
        <f>SUM(NotesIndiv[[#This Row],[travail en autonomie et assiduité ]:[participation]])/20</f>
        <v>0.8</v>
      </c>
      <c r="T46" s="111">
        <f>1-NotesIndiv[[#This Row],[TOTAL]]</f>
        <v>0.19999999999999996</v>
      </c>
      <c r="U46" s="3">
        <f>SUM(NotesIndiv[[#This Row],[travail en autonomie et assiduité ]:[participation]])</f>
        <v>16</v>
      </c>
      <c r="V46" s="3">
        <f>_xlfn.XLOOKUP(NotesIndiv[[#This Row],[EQUIPE]],NotesEQ[N°],NotesEQ[NOTE GLOBALE])</f>
        <v>3.53125</v>
      </c>
      <c r="W46" s="244">
        <f t="shared" si="1"/>
        <v>7.6875</v>
      </c>
      <c r="Y46" t="str">
        <f>LEFT(NotesIndiv[[#This Row],[NOM]],3)&amp;"."</f>
        <v>CAC.</v>
      </c>
    </row>
    <row r="47" spans="2:25" x14ac:dyDescent="0.25">
      <c r="B47" s="90" t="str">
        <f>_xlfn.CONCAT(NotesIndiv[[#This Row],[EQUIPE]]," - ",NotesIndiv[[#This Row],[N° APP]])</f>
        <v>10 - 2</v>
      </c>
      <c r="C47" s="58" t="s">
        <v>218</v>
      </c>
      <c r="D47" s="59" t="s">
        <v>12</v>
      </c>
      <c r="E47" s="59">
        <v>10</v>
      </c>
      <c r="F47" s="59" t="s">
        <v>91</v>
      </c>
      <c r="G47" s="59" t="s">
        <v>95</v>
      </c>
      <c r="H47" s="59"/>
      <c r="I47" s="60"/>
      <c r="J47" s="59">
        <v>2</v>
      </c>
      <c r="K47" s="61"/>
      <c r="L47" s="62"/>
      <c r="M47" s="59"/>
      <c r="N47" s="63"/>
      <c r="O47" s="64"/>
      <c r="P47" s="112">
        <v>5</v>
      </c>
      <c r="Q47" s="62">
        <v>3</v>
      </c>
      <c r="R47" s="113">
        <v>8</v>
      </c>
      <c r="S47" s="113">
        <f>SUM(NotesIndiv[[#This Row],[travail en autonomie et assiduité ]:[participation]])/20</f>
        <v>0.8</v>
      </c>
      <c r="T47" s="113">
        <f>1-NotesIndiv[[#This Row],[TOTAL]]</f>
        <v>0.19999999999999996</v>
      </c>
      <c r="U47" s="3">
        <f>SUM(NotesIndiv[[#This Row],[travail en autonomie et assiduité ]:[participation]])</f>
        <v>16</v>
      </c>
      <c r="V47" s="3">
        <f>_xlfn.XLOOKUP(NotesIndiv[[#This Row],[EQUIPE]],NotesEQ[N°],NotesEQ[NOTE GLOBALE])</f>
        <v>3.53125</v>
      </c>
      <c r="W47" s="244">
        <f t="shared" si="1"/>
        <v>7.6875</v>
      </c>
      <c r="Y47" t="str">
        <f>LEFT(NotesIndiv[[#This Row],[NOM]],3)&amp;"."</f>
        <v>LAI.</v>
      </c>
    </row>
    <row r="48" spans="2:25" x14ac:dyDescent="0.25">
      <c r="B48" s="90" t="str">
        <f>_xlfn.CONCAT(NotesIndiv[[#This Row],[EQUIPE]]," - ",NotesIndiv[[#This Row],[N° APP]])</f>
        <v>10 - 3</v>
      </c>
      <c r="C48" s="58" t="s">
        <v>219</v>
      </c>
      <c r="D48" s="59" t="s">
        <v>30</v>
      </c>
      <c r="E48" s="59">
        <v>10</v>
      </c>
      <c r="F48" s="59" t="s">
        <v>91</v>
      </c>
      <c r="G48" s="59" t="s">
        <v>95</v>
      </c>
      <c r="H48" s="59">
        <v>3.5</v>
      </c>
      <c r="I48" s="60"/>
      <c r="J48" s="59">
        <v>3</v>
      </c>
      <c r="K48" s="61"/>
      <c r="L48" s="62"/>
      <c r="M48" s="59"/>
      <c r="N48" s="63"/>
      <c r="O48" s="64"/>
      <c r="P48" s="112">
        <v>3.5</v>
      </c>
      <c r="Q48" s="62">
        <v>3</v>
      </c>
      <c r="R48" s="113">
        <v>8</v>
      </c>
      <c r="S48" s="113">
        <f>SUM(NotesIndiv[[#This Row],[travail en autonomie et assiduité ]:[participation]])/20</f>
        <v>0.72499999999999998</v>
      </c>
      <c r="T48" s="113">
        <f>1-NotesIndiv[[#This Row],[TOTAL]]</f>
        <v>0.27500000000000002</v>
      </c>
      <c r="U48" s="3">
        <f>SUM(NotesIndiv[[#This Row],[travail en autonomie et assiduité ]:[participation]])</f>
        <v>14.5</v>
      </c>
      <c r="V48" s="3">
        <f>_xlfn.XLOOKUP(NotesIndiv[[#This Row],[EQUIPE]],NotesEQ[N°],NotesEQ[NOTE GLOBALE])</f>
        <v>3.53125</v>
      </c>
      <c r="W48" s="244">
        <f t="shared" si="1"/>
        <v>7.1875</v>
      </c>
      <c r="Y48" t="str">
        <f>LEFT(NotesIndiv[[#This Row],[NOM]],3)&amp;"."</f>
        <v>LE .</v>
      </c>
    </row>
    <row r="49" spans="2:25" x14ac:dyDescent="0.25">
      <c r="B49" s="90" t="str">
        <f>_xlfn.CONCAT(NotesIndiv[[#This Row],[EQUIPE]]," - ",NotesIndiv[[#This Row],[N° APP]])</f>
        <v>10 - 4</v>
      </c>
      <c r="C49" s="58" t="s">
        <v>220</v>
      </c>
      <c r="D49" s="59" t="s">
        <v>69</v>
      </c>
      <c r="E49" s="59">
        <v>10</v>
      </c>
      <c r="F49" s="59" t="s">
        <v>91</v>
      </c>
      <c r="G49" s="59" t="s">
        <v>95</v>
      </c>
      <c r="H49" s="59"/>
      <c r="I49" s="60"/>
      <c r="J49" s="59">
        <v>4</v>
      </c>
      <c r="K49" s="61"/>
      <c r="L49" s="62"/>
      <c r="M49" s="59"/>
      <c r="N49" s="63"/>
      <c r="O49" s="64"/>
      <c r="P49" s="112">
        <v>5</v>
      </c>
      <c r="Q49" s="62">
        <v>3</v>
      </c>
      <c r="R49" s="113">
        <v>8</v>
      </c>
      <c r="S49" s="113">
        <f>SUM(NotesIndiv[[#This Row],[travail en autonomie et assiduité ]:[participation]])/20</f>
        <v>0.8</v>
      </c>
      <c r="T49" s="113">
        <f>1-NotesIndiv[[#This Row],[TOTAL]]</f>
        <v>0.19999999999999996</v>
      </c>
      <c r="U49" s="3">
        <f>SUM(NotesIndiv[[#This Row],[travail en autonomie et assiduité ]:[participation]])</f>
        <v>16</v>
      </c>
      <c r="V49" s="3">
        <f>_xlfn.XLOOKUP(NotesIndiv[[#This Row],[EQUIPE]],NotesEQ[N°],NotesEQ[NOTE GLOBALE])</f>
        <v>3.53125</v>
      </c>
      <c r="W49" s="244">
        <f t="shared" si="1"/>
        <v>7.6875</v>
      </c>
      <c r="Y49" t="str">
        <f>LEFT(NotesIndiv[[#This Row],[NOM]],3)&amp;"."</f>
        <v>PEC.</v>
      </c>
    </row>
    <row r="50" spans="2:25" ht="15.75" thickBot="1" x14ac:dyDescent="0.3">
      <c r="B50" s="91" t="str">
        <f>_xlfn.CONCAT(NotesIndiv[[#This Row],[EQUIPE]]," - ",NotesIndiv[[#This Row],[N° APP]])</f>
        <v>10 - 5</v>
      </c>
      <c r="C50" s="65" t="s">
        <v>221</v>
      </c>
      <c r="D50" s="66" t="s">
        <v>37</v>
      </c>
      <c r="E50" s="66">
        <v>10</v>
      </c>
      <c r="F50" s="66" t="s">
        <v>91</v>
      </c>
      <c r="G50" s="66" t="s">
        <v>95</v>
      </c>
      <c r="H50" s="66"/>
      <c r="I50" s="67"/>
      <c r="J50" s="66">
        <v>5</v>
      </c>
      <c r="K50" s="68"/>
      <c r="L50" s="69"/>
      <c r="M50" s="66"/>
      <c r="N50" s="70"/>
      <c r="O50" s="71"/>
      <c r="P50" s="114">
        <v>5</v>
      </c>
      <c r="Q50" s="69">
        <v>3</v>
      </c>
      <c r="R50" s="115">
        <v>8</v>
      </c>
      <c r="S50" s="115">
        <f>SUM(NotesIndiv[[#This Row],[travail en autonomie et assiduité ]:[participation]])/20</f>
        <v>0.8</v>
      </c>
      <c r="T50" s="115">
        <f>1-NotesIndiv[[#This Row],[TOTAL]]</f>
        <v>0.19999999999999996</v>
      </c>
      <c r="U50" s="3">
        <f>SUM(NotesIndiv[[#This Row],[travail en autonomie et assiduité ]:[participation]])</f>
        <v>16</v>
      </c>
      <c r="V50" s="3">
        <f>_xlfn.XLOOKUP(NotesIndiv[[#This Row],[EQUIPE]],NotesEQ[N°],NotesEQ[NOTE GLOBALE])</f>
        <v>3.53125</v>
      </c>
      <c r="W50" s="244">
        <f t="shared" si="1"/>
        <v>7.6875</v>
      </c>
      <c r="Y50" t="str">
        <f>LEFT(NotesIndiv[[#This Row],[NOM]],3)&amp;"."</f>
        <v>RAM.</v>
      </c>
    </row>
    <row r="51" spans="2:25" x14ac:dyDescent="0.25">
      <c r="B51" s="89" t="str">
        <f>_xlfn.CONCAT(NotesIndiv[[#This Row],[EQUIPE]]," - ",NotesIndiv[[#This Row],[N° APP]])</f>
        <v>11 - 1</v>
      </c>
      <c r="C51" s="51" t="s">
        <v>222</v>
      </c>
      <c r="D51" s="52" t="s">
        <v>16</v>
      </c>
      <c r="E51" s="52">
        <v>11</v>
      </c>
      <c r="F51" s="52" t="s">
        <v>90</v>
      </c>
      <c r="G51" s="52" t="s">
        <v>95</v>
      </c>
      <c r="H51" s="52"/>
      <c r="I51" s="53"/>
      <c r="J51" s="52">
        <v>1</v>
      </c>
      <c r="K51" s="54"/>
      <c r="L51" s="55"/>
      <c r="M51" s="52"/>
      <c r="N51" s="56"/>
      <c r="O51" s="57"/>
      <c r="P51" s="110">
        <v>5</v>
      </c>
      <c r="Q51" s="55">
        <v>3</v>
      </c>
      <c r="R51" s="111">
        <v>8</v>
      </c>
      <c r="S51" s="111">
        <f>SUM(NotesIndiv[[#This Row],[travail en autonomie et assiduité ]:[participation]])/20</f>
        <v>0.8</v>
      </c>
      <c r="T51" s="111">
        <f>1-NotesIndiv[[#This Row],[TOTAL]]</f>
        <v>0.19999999999999996</v>
      </c>
      <c r="U51" s="3">
        <f>SUM(NotesIndiv[[#This Row],[travail en autonomie et assiduité ]:[participation]])</f>
        <v>16</v>
      </c>
      <c r="V51" s="3">
        <f>_xlfn.XLOOKUP(NotesIndiv[[#This Row],[EQUIPE]],NotesEQ[N°],NotesEQ[NOTE GLOBALE])</f>
        <v>3.96875</v>
      </c>
      <c r="W51" s="244">
        <f t="shared" si="1"/>
        <v>7.979166666666667</v>
      </c>
      <c r="Y51" t="str">
        <f>LEFT(NotesIndiv[[#This Row],[NOM]],3)&amp;"."</f>
        <v>ABO.</v>
      </c>
    </row>
    <row r="52" spans="2:25" x14ac:dyDescent="0.25">
      <c r="B52" s="90" t="str">
        <f>_xlfn.CONCAT(NotesIndiv[[#This Row],[EQUIPE]]," - ",NotesIndiv[[#This Row],[N° APP]])</f>
        <v>11 - 2</v>
      </c>
      <c r="C52" s="58" t="s">
        <v>223</v>
      </c>
      <c r="D52" s="59" t="s">
        <v>38</v>
      </c>
      <c r="E52" s="59">
        <v>11</v>
      </c>
      <c r="F52" s="59" t="s">
        <v>90</v>
      </c>
      <c r="G52" s="59" t="s">
        <v>95</v>
      </c>
      <c r="H52" s="59"/>
      <c r="I52" s="60"/>
      <c r="J52" s="59">
        <v>2</v>
      </c>
      <c r="K52" s="61"/>
      <c r="L52" s="62"/>
      <c r="M52" s="59"/>
      <c r="N52" s="63"/>
      <c r="O52" s="64"/>
      <c r="P52" s="112">
        <v>5</v>
      </c>
      <c r="Q52" s="62">
        <v>3</v>
      </c>
      <c r="R52" s="113">
        <v>8</v>
      </c>
      <c r="S52" s="113">
        <f>SUM(NotesIndiv[[#This Row],[travail en autonomie et assiduité ]:[participation]])/20</f>
        <v>0.8</v>
      </c>
      <c r="T52" s="113">
        <f>1-NotesIndiv[[#This Row],[TOTAL]]</f>
        <v>0.19999999999999996</v>
      </c>
      <c r="U52" s="3">
        <f>SUM(NotesIndiv[[#This Row],[travail en autonomie et assiduité ]:[participation]])</f>
        <v>16</v>
      </c>
      <c r="V52" s="3">
        <f>_xlfn.XLOOKUP(NotesIndiv[[#This Row],[EQUIPE]],NotesEQ[N°],NotesEQ[NOTE GLOBALE])</f>
        <v>3.96875</v>
      </c>
      <c r="W52" s="244">
        <f t="shared" si="1"/>
        <v>7.979166666666667</v>
      </c>
      <c r="Y52" t="str">
        <f>LEFT(NotesIndiv[[#This Row],[NOM]],3)&amp;"."</f>
        <v>AND.</v>
      </c>
    </row>
    <row r="53" spans="2:25" x14ac:dyDescent="0.25">
      <c r="B53" s="90" t="str">
        <f>_xlfn.CONCAT(NotesIndiv[[#This Row],[EQUIPE]]," - ",NotesIndiv[[#This Row],[N° APP]])</f>
        <v>11 - 3</v>
      </c>
      <c r="C53" s="58" t="s">
        <v>224</v>
      </c>
      <c r="D53" s="59" t="s">
        <v>32</v>
      </c>
      <c r="E53" s="59">
        <v>11</v>
      </c>
      <c r="F53" s="59" t="s">
        <v>90</v>
      </c>
      <c r="G53" s="59" t="s">
        <v>95</v>
      </c>
      <c r="H53" s="59">
        <v>3.5</v>
      </c>
      <c r="I53" s="60"/>
      <c r="J53" s="59">
        <v>3</v>
      </c>
      <c r="K53" s="61"/>
      <c r="L53" s="62"/>
      <c r="M53" s="59"/>
      <c r="N53" s="63"/>
      <c r="O53" s="64"/>
      <c r="P53" s="112">
        <v>3.5</v>
      </c>
      <c r="Q53" s="62">
        <v>3</v>
      </c>
      <c r="R53" s="113">
        <v>8</v>
      </c>
      <c r="S53" s="113">
        <f>SUM(NotesIndiv[[#This Row],[travail en autonomie et assiduité ]:[participation]])/20</f>
        <v>0.72499999999999998</v>
      </c>
      <c r="T53" s="113">
        <f>1-NotesIndiv[[#This Row],[TOTAL]]</f>
        <v>0.27500000000000002</v>
      </c>
      <c r="U53" s="3">
        <f>SUM(NotesIndiv[[#This Row],[travail en autonomie et assiduité ]:[participation]])</f>
        <v>14.5</v>
      </c>
      <c r="V53" s="3">
        <f>_xlfn.XLOOKUP(NotesIndiv[[#This Row],[EQUIPE]],NotesEQ[N°],NotesEQ[NOTE GLOBALE])</f>
        <v>3.96875</v>
      </c>
      <c r="W53" s="244">
        <f t="shared" si="1"/>
        <v>7.479166666666667</v>
      </c>
      <c r="Y53" t="str">
        <f>LEFT(NotesIndiv[[#This Row],[NOM]],3)&amp;"."</f>
        <v>MOR.</v>
      </c>
    </row>
    <row r="54" spans="2:25" x14ac:dyDescent="0.25">
      <c r="B54" s="90" t="str">
        <f>_xlfn.CONCAT(NotesIndiv[[#This Row],[EQUIPE]]," - ",NotesIndiv[[#This Row],[N° APP]])</f>
        <v>11 - 4</v>
      </c>
      <c r="C54" s="58" t="s">
        <v>225</v>
      </c>
      <c r="D54" s="59" t="s">
        <v>72</v>
      </c>
      <c r="E54" s="59">
        <v>11</v>
      </c>
      <c r="F54" s="59" t="s">
        <v>90</v>
      </c>
      <c r="G54" s="59" t="s">
        <v>95</v>
      </c>
      <c r="H54" s="59"/>
      <c r="I54" s="60"/>
      <c r="J54" s="59">
        <v>4</v>
      </c>
      <c r="K54" s="61"/>
      <c r="L54" s="62"/>
      <c r="M54" s="59"/>
      <c r="N54" s="63"/>
      <c r="O54" s="64"/>
      <c r="P54" s="112">
        <v>5</v>
      </c>
      <c r="Q54" s="62">
        <v>3</v>
      </c>
      <c r="R54" s="113">
        <v>8</v>
      </c>
      <c r="S54" s="113">
        <f>SUM(NotesIndiv[[#This Row],[travail en autonomie et assiduité ]:[participation]])/20</f>
        <v>0.8</v>
      </c>
      <c r="T54" s="113">
        <f>1-NotesIndiv[[#This Row],[TOTAL]]</f>
        <v>0.19999999999999996</v>
      </c>
      <c r="U54" s="3">
        <f>SUM(NotesIndiv[[#This Row],[travail en autonomie et assiduité ]:[participation]])</f>
        <v>16</v>
      </c>
      <c r="V54" s="3">
        <f>_xlfn.XLOOKUP(NotesIndiv[[#This Row],[EQUIPE]],NotesEQ[N°],NotesEQ[NOTE GLOBALE])</f>
        <v>3.96875</v>
      </c>
      <c r="W54" s="244">
        <f t="shared" si="1"/>
        <v>7.979166666666667</v>
      </c>
      <c r="Y54" t="str">
        <f>LEFT(NotesIndiv[[#This Row],[NOM]],3)&amp;"."</f>
        <v>NOU.</v>
      </c>
    </row>
    <row r="55" spans="2:25" ht="15.75" thickBot="1" x14ac:dyDescent="0.3">
      <c r="B55" s="91" t="str">
        <f>_xlfn.CONCAT(NotesIndiv[[#This Row],[EQUIPE]]," - ",NotesIndiv[[#This Row],[N° APP]])</f>
        <v>11 - 5</v>
      </c>
      <c r="C55" s="65" t="s">
        <v>226</v>
      </c>
      <c r="D55" s="66" t="s">
        <v>70</v>
      </c>
      <c r="E55" s="66">
        <v>11</v>
      </c>
      <c r="F55" s="66" t="s">
        <v>90</v>
      </c>
      <c r="G55" s="66" t="s">
        <v>95</v>
      </c>
      <c r="H55" s="66"/>
      <c r="I55" s="67"/>
      <c r="J55" s="66">
        <v>5</v>
      </c>
      <c r="K55" s="68"/>
      <c r="L55" s="69"/>
      <c r="M55" s="66"/>
      <c r="N55" s="70"/>
      <c r="O55" s="71"/>
      <c r="P55" s="114">
        <v>5</v>
      </c>
      <c r="Q55" s="69">
        <v>3</v>
      </c>
      <c r="R55" s="115">
        <v>8</v>
      </c>
      <c r="S55" s="115">
        <f>SUM(NotesIndiv[[#This Row],[travail en autonomie et assiduité ]:[participation]])/20</f>
        <v>0.8</v>
      </c>
      <c r="T55" s="115">
        <f>1-NotesIndiv[[#This Row],[TOTAL]]</f>
        <v>0.19999999999999996</v>
      </c>
      <c r="U55" s="3">
        <f>SUM(NotesIndiv[[#This Row],[travail en autonomie et assiduité ]:[participation]])</f>
        <v>16</v>
      </c>
      <c r="V55" s="3">
        <f>_xlfn.XLOOKUP(NotesIndiv[[#This Row],[EQUIPE]],NotesEQ[N°],NotesEQ[NOTE GLOBALE])</f>
        <v>3.96875</v>
      </c>
      <c r="W55" s="244">
        <f t="shared" si="1"/>
        <v>7.979166666666667</v>
      </c>
      <c r="Y55" t="str">
        <f>LEFT(NotesIndiv[[#This Row],[NOM]],3)&amp;"."</f>
        <v>SAB.</v>
      </c>
    </row>
    <row r="56" spans="2:25" x14ac:dyDescent="0.25">
      <c r="B56" s="89" t="str">
        <f>_xlfn.CONCAT(NotesIndiv[[#This Row],[EQUIPE]]," - ",NotesIndiv[[#This Row],[N° APP]])</f>
        <v>12 - 1</v>
      </c>
      <c r="C56" s="51" t="s">
        <v>227</v>
      </c>
      <c r="D56" s="52" t="s">
        <v>24</v>
      </c>
      <c r="E56" s="52">
        <v>12</v>
      </c>
      <c r="F56" s="52" t="s">
        <v>161</v>
      </c>
      <c r="G56" s="52" t="s">
        <v>97</v>
      </c>
      <c r="H56" s="52"/>
      <c r="I56" s="53"/>
      <c r="J56" s="52">
        <v>1</v>
      </c>
      <c r="K56" s="54"/>
      <c r="L56" s="55"/>
      <c r="M56" s="52"/>
      <c r="N56" s="56"/>
      <c r="O56" s="57"/>
      <c r="P56" s="110">
        <v>5</v>
      </c>
      <c r="Q56" s="55">
        <v>3</v>
      </c>
      <c r="R56" s="111">
        <v>8</v>
      </c>
      <c r="S56" s="111">
        <f>SUM(NotesIndiv[[#This Row],[travail en autonomie et assiduité ]:[participation]])/20</f>
        <v>0.8</v>
      </c>
      <c r="T56" s="111">
        <f>1-NotesIndiv[[#This Row],[TOTAL]]</f>
        <v>0.19999999999999996</v>
      </c>
      <c r="U56" s="3">
        <f>SUM(NotesIndiv[[#This Row],[travail en autonomie et assiduité ]:[participation]])</f>
        <v>16</v>
      </c>
      <c r="V56" s="3">
        <f>_xlfn.XLOOKUP(NotesIndiv[[#This Row],[EQUIPE]],NotesEQ[N°],NotesEQ[NOTE GLOBALE])</f>
        <v>3.4375</v>
      </c>
      <c r="W56" s="244">
        <f t="shared" si="1"/>
        <v>7.625</v>
      </c>
      <c r="Y56" t="str">
        <f>LEFT(NotesIndiv[[#This Row],[NOM]],3)&amp;"."</f>
        <v>CAL.</v>
      </c>
    </row>
    <row r="57" spans="2:25" x14ac:dyDescent="0.25">
      <c r="B57" s="90" t="str">
        <f>_xlfn.CONCAT(NotesIndiv[[#This Row],[EQUIPE]]," - ",NotesIndiv[[#This Row],[N° APP]])</f>
        <v>12 - 2</v>
      </c>
      <c r="C57" s="58" t="s">
        <v>228</v>
      </c>
      <c r="D57" s="59" t="s">
        <v>66</v>
      </c>
      <c r="E57" s="59">
        <v>12</v>
      </c>
      <c r="F57" s="59" t="s">
        <v>161</v>
      </c>
      <c r="G57" s="59" t="s">
        <v>97</v>
      </c>
      <c r="H57" s="59"/>
      <c r="I57" s="60"/>
      <c r="J57" s="59">
        <v>2</v>
      </c>
      <c r="K57" s="61"/>
      <c r="L57" s="62"/>
      <c r="M57" s="59"/>
      <c r="N57" s="63"/>
      <c r="O57" s="64"/>
      <c r="P57" s="112">
        <v>5</v>
      </c>
      <c r="Q57" s="62">
        <v>3</v>
      </c>
      <c r="R57" s="113">
        <v>8</v>
      </c>
      <c r="S57" s="113">
        <f>SUM(NotesIndiv[[#This Row],[travail en autonomie et assiduité ]:[participation]])/20</f>
        <v>0.8</v>
      </c>
      <c r="T57" s="113">
        <f>1-NotesIndiv[[#This Row],[TOTAL]]</f>
        <v>0.19999999999999996</v>
      </c>
      <c r="U57" s="3">
        <f>SUM(NotesIndiv[[#This Row],[travail en autonomie et assiduité ]:[participation]])</f>
        <v>16</v>
      </c>
      <c r="V57" s="3">
        <f>_xlfn.XLOOKUP(NotesIndiv[[#This Row],[EQUIPE]],NotesEQ[N°],NotesEQ[NOTE GLOBALE])</f>
        <v>3.4375</v>
      </c>
      <c r="W57" s="244">
        <f t="shared" si="1"/>
        <v>7.625</v>
      </c>
      <c r="Y57" t="str">
        <f>LEFT(NotesIndiv[[#This Row],[NOM]],3)&amp;"."</f>
        <v>HAM.</v>
      </c>
    </row>
    <row r="58" spans="2:25" x14ac:dyDescent="0.25">
      <c r="B58" s="90" t="str">
        <f>_xlfn.CONCAT(NotesIndiv[[#This Row],[EQUIPE]]," - ",NotesIndiv[[#This Row],[N° APP]])</f>
        <v>12 - 3</v>
      </c>
      <c r="C58" s="58" t="s">
        <v>229</v>
      </c>
      <c r="D58" s="59" t="s">
        <v>51</v>
      </c>
      <c r="E58" s="59">
        <v>12</v>
      </c>
      <c r="F58" s="59" t="s">
        <v>161</v>
      </c>
      <c r="G58" s="59" t="s">
        <v>97</v>
      </c>
      <c r="H58" s="59">
        <v>7</v>
      </c>
      <c r="I58" s="60"/>
      <c r="J58" s="59">
        <v>3</v>
      </c>
      <c r="K58" s="61"/>
      <c r="L58" s="62"/>
      <c r="M58" s="59"/>
      <c r="N58" s="63"/>
      <c r="O58" s="64"/>
      <c r="P58" s="112">
        <v>2.5</v>
      </c>
      <c r="Q58" s="62">
        <v>2</v>
      </c>
      <c r="R58" s="113">
        <v>2</v>
      </c>
      <c r="S58" s="113">
        <f>SUM(NotesIndiv[[#This Row],[travail en autonomie et assiduité ]:[participation]])/20</f>
        <v>0.32500000000000001</v>
      </c>
      <c r="T58" s="113">
        <f>1-NotesIndiv[[#This Row],[TOTAL]]</f>
        <v>0.67500000000000004</v>
      </c>
      <c r="U58" s="3">
        <f>SUM(NotesIndiv[[#This Row],[travail en autonomie et assiduité ]:[participation]])</f>
        <v>6.5</v>
      </c>
      <c r="V58" s="3">
        <f>_xlfn.XLOOKUP(NotesIndiv[[#This Row],[EQUIPE]],NotesEQ[N°],NotesEQ[NOTE GLOBALE])</f>
        <v>3.4375</v>
      </c>
      <c r="W58" s="244">
        <f t="shared" si="1"/>
        <v>4.458333333333333</v>
      </c>
      <c r="Y58" t="str">
        <f>LEFT(NotesIndiv[[#This Row],[NOM]],3)&amp;"."</f>
        <v>MEY.</v>
      </c>
    </row>
    <row r="59" spans="2:25" x14ac:dyDescent="0.25">
      <c r="B59" s="90" t="str">
        <f>_xlfn.CONCAT(NotesIndiv[[#This Row],[EQUIPE]]," - ",NotesIndiv[[#This Row],[N° APP]])</f>
        <v>12 - 4</v>
      </c>
      <c r="C59" s="58" t="s">
        <v>230</v>
      </c>
      <c r="D59" s="59" t="s">
        <v>13</v>
      </c>
      <c r="E59" s="59">
        <v>12</v>
      </c>
      <c r="F59" s="59" t="s">
        <v>161</v>
      </c>
      <c r="G59" s="59" t="s">
        <v>97</v>
      </c>
      <c r="H59" s="59"/>
      <c r="I59" s="60"/>
      <c r="J59" s="59">
        <v>4</v>
      </c>
      <c r="K59" s="61"/>
      <c r="L59" s="62"/>
      <c r="M59" s="59"/>
      <c r="N59" s="63"/>
      <c r="O59" s="64"/>
      <c r="P59" s="112">
        <v>5</v>
      </c>
      <c r="Q59" s="62">
        <v>3</v>
      </c>
      <c r="R59" s="113">
        <v>8</v>
      </c>
      <c r="S59" s="113">
        <f>SUM(NotesIndiv[[#This Row],[travail en autonomie et assiduité ]:[participation]])/20</f>
        <v>0.8</v>
      </c>
      <c r="T59" s="113">
        <f>1-NotesIndiv[[#This Row],[TOTAL]]</f>
        <v>0.19999999999999996</v>
      </c>
      <c r="U59" s="3">
        <f>SUM(NotesIndiv[[#This Row],[travail en autonomie et assiduité ]:[participation]])</f>
        <v>16</v>
      </c>
      <c r="V59" s="3">
        <f>_xlfn.XLOOKUP(NotesIndiv[[#This Row],[EQUIPE]],NotesEQ[N°],NotesEQ[NOTE GLOBALE])</f>
        <v>3.4375</v>
      </c>
      <c r="W59" s="244">
        <f t="shared" si="1"/>
        <v>7.625</v>
      </c>
      <c r="Y59" t="str">
        <f>LEFT(NotesIndiv[[#This Row],[NOM]],3)&amp;"."</f>
        <v>MOU.</v>
      </c>
    </row>
    <row r="60" spans="2:25" ht="15.75" thickBot="1" x14ac:dyDescent="0.3">
      <c r="B60" s="91" t="str">
        <f>_xlfn.CONCAT(NotesIndiv[[#This Row],[EQUIPE]]," - ",NotesIndiv[[#This Row],[N° APP]])</f>
        <v>12 - 5</v>
      </c>
      <c r="C60" s="65" t="s">
        <v>231</v>
      </c>
      <c r="D60" s="66" t="s">
        <v>4</v>
      </c>
      <c r="E60" s="66">
        <v>12</v>
      </c>
      <c r="F60" s="66" t="s">
        <v>161</v>
      </c>
      <c r="G60" s="66" t="s">
        <v>97</v>
      </c>
      <c r="H60" s="66"/>
      <c r="I60" s="67"/>
      <c r="J60" s="66">
        <v>5</v>
      </c>
      <c r="K60" s="68"/>
      <c r="L60" s="69"/>
      <c r="M60" s="66"/>
      <c r="N60" s="70"/>
      <c r="O60" s="71"/>
      <c r="P60" s="114">
        <v>5</v>
      </c>
      <c r="Q60" s="69">
        <v>3</v>
      </c>
      <c r="R60" s="115">
        <v>8</v>
      </c>
      <c r="S60" s="115">
        <f>SUM(NotesIndiv[[#This Row],[travail en autonomie et assiduité ]:[participation]])/20</f>
        <v>0.8</v>
      </c>
      <c r="T60" s="115">
        <f>1-NotesIndiv[[#This Row],[TOTAL]]</f>
        <v>0.19999999999999996</v>
      </c>
      <c r="U60" s="3">
        <f>SUM(NotesIndiv[[#This Row],[travail en autonomie et assiduité ]:[participation]])</f>
        <v>16</v>
      </c>
      <c r="V60" s="3">
        <f>_xlfn.XLOOKUP(NotesIndiv[[#This Row],[EQUIPE]],NotesEQ[N°],NotesEQ[NOTE GLOBALE])</f>
        <v>3.4375</v>
      </c>
      <c r="W60" s="244">
        <f t="shared" si="1"/>
        <v>7.625</v>
      </c>
      <c r="Y60" t="str">
        <f>LEFT(NotesIndiv[[#This Row],[NOM]],3)&amp;"."</f>
        <v>REC.</v>
      </c>
    </row>
    <row r="61" spans="2:25" x14ac:dyDescent="0.25">
      <c r="B61" s="89" t="str">
        <f>_xlfn.CONCAT(NotesIndiv[[#This Row],[EQUIPE]]," - ",NotesIndiv[[#This Row],[N° APP]])</f>
        <v>13 - 1</v>
      </c>
      <c r="C61" s="51" t="s">
        <v>232</v>
      </c>
      <c r="D61" s="52" t="s">
        <v>27</v>
      </c>
      <c r="E61" s="52">
        <v>13</v>
      </c>
      <c r="F61" s="52" t="s">
        <v>87</v>
      </c>
      <c r="G61" s="52" t="s">
        <v>95</v>
      </c>
      <c r="H61" s="52"/>
      <c r="I61" s="53"/>
      <c r="J61" s="52">
        <v>1</v>
      </c>
      <c r="K61" s="54"/>
      <c r="L61" s="55"/>
      <c r="M61" s="52"/>
      <c r="N61" s="56"/>
      <c r="O61" s="57"/>
      <c r="P61" s="110">
        <v>5</v>
      </c>
      <c r="Q61" s="55">
        <v>3</v>
      </c>
      <c r="R61" s="111">
        <v>8</v>
      </c>
      <c r="S61" s="111">
        <f>SUM(NotesIndiv[[#This Row],[travail en autonomie et assiduité ]:[participation]])/20</f>
        <v>0.8</v>
      </c>
      <c r="T61" s="111">
        <f>1-NotesIndiv[[#This Row],[TOTAL]]</f>
        <v>0.19999999999999996</v>
      </c>
      <c r="U61" s="3">
        <f>SUM(NotesIndiv[[#This Row],[travail en autonomie et assiduité ]:[participation]])</f>
        <v>16</v>
      </c>
      <c r="V61" s="3">
        <f>_xlfn.XLOOKUP(NotesIndiv[[#This Row],[EQUIPE]],NotesEQ[N°],NotesEQ[NOTE GLOBALE])</f>
        <v>3.125</v>
      </c>
      <c r="W61" s="244">
        <f t="shared" si="1"/>
        <v>7.416666666666667</v>
      </c>
      <c r="Y61" t="str">
        <f>LEFT(NotesIndiv[[#This Row],[NOM]],3)&amp;"."</f>
        <v>HUM.</v>
      </c>
    </row>
    <row r="62" spans="2:25" x14ac:dyDescent="0.25">
      <c r="B62" s="90" t="str">
        <f>_xlfn.CONCAT(NotesIndiv[[#This Row],[EQUIPE]]," - ",NotesIndiv[[#This Row],[N° APP]])</f>
        <v>13 - 2</v>
      </c>
      <c r="C62" s="58" t="s">
        <v>233</v>
      </c>
      <c r="D62" s="59" t="s">
        <v>47</v>
      </c>
      <c r="E62" s="59">
        <v>13</v>
      </c>
      <c r="F62" s="59" t="s">
        <v>87</v>
      </c>
      <c r="G62" s="59" t="s">
        <v>95</v>
      </c>
      <c r="H62" s="59">
        <v>3.5</v>
      </c>
      <c r="I62" s="60"/>
      <c r="J62" s="59">
        <v>2</v>
      </c>
      <c r="K62" s="61"/>
      <c r="L62" s="62"/>
      <c r="M62" s="59"/>
      <c r="N62" s="63"/>
      <c r="O62" s="64"/>
      <c r="P62" s="112">
        <v>3.5</v>
      </c>
      <c r="Q62" s="62">
        <v>3</v>
      </c>
      <c r="R62" s="113">
        <v>8</v>
      </c>
      <c r="S62" s="113">
        <f>SUM(NotesIndiv[[#This Row],[travail en autonomie et assiduité ]:[participation]])/20</f>
        <v>0.72499999999999998</v>
      </c>
      <c r="T62" s="113">
        <f>1-NotesIndiv[[#This Row],[TOTAL]]</f>
        <v>0.27500000000000002</v>
      </c>
      <c r="U62" s="3">
        <f>SUM(NotesIndiv[[#This Row],[travail en autonomie et assiduité ]:[participation]])</f>
        <v>14.5</v>
      </c>
      <c r="V62" s="3">
        <f>_xlfn.XLOOKUP(NotesIndiv[[#This Row],[EQUIPE]],NotesEQ[N°],NotesEQ[NOTE GLOBALE])</f>
        <v>3.125</v>
      </c>
      <c r="W62" s="244">
        <f t="shared" si="1"/>
        <v>6.916666666666667</v>
      </c>
      <c r="Y62" t="str">
        <f>LEFT(NotesIndiv[[#This Row],[NOM]],3)&amp;"."</f>
        <v>LAM.</v>
      </c>
    </row>
    <row r="63" spans="2:25" x14ac:dyDescent="0.25">
      <c r="B63" s="90" t="str">
        <f>_xlfn.CONCAT(NotesIndiv[[#This Row],[EQUIPE]]," - ",NotesIndiv[[#This Row],[N° APP]])</f>
        <v>13 - 3</v>
      </c>
      <c r="C63" s="58" t="s">
        <v>234</v>
      </c>
      <c r="D63" s="59" t="s">
        <v>71</v>
      </c>
      <c r="E63" s="59">
        <v>13</v>
      </c>
      <c r="F63" s="59" t="s">
        <v>87</v>
      </c>
      <c r="G63" s="59" t="s">
        <v>95</v>
      </c>
      <c r="H63" s="59">
        <v>7</v>
      </c>
      <c r="I63" s="60"/>
      <c r="J63" s="59">
        <v>3</v>
      </c>
      <c r="K63" s="61"/>
      <c r="L63" s="62"/>
      <c r="M63" s="59"/>
      <c r="N63" s="63"/>
      <c r="O63" s="64"/>
      <c r="P63" s="112"/>
      <c r="Q63" s="62"/>
      <c r="R63" s="113"/>
      <c r="S63" s="113">
        <f>SUM(NotesIndiv[[#This Row],[travail en autonomie et assiduité ]:[participation]])/20</f>
        <v>0</v>
      </c>
      <c r="T63" s="113">
        <f>1-NotesIndiv[[#This Row],[TOTAL]]</f>
        <v>1</v>
      </c>
      <c r="U63" s="3">
        <f>SUM(NotesIndiv[[#This Row],[travail en autonomie et assiduité ]:[participation]])</f>
        <v>0</v>
      </c>
      <c r="V63" s="3">
        <f>_xlfn.XLOOKUP(NotesIndiv[[#This Row],[EQUIPE]],NotesEQ[N°],NotesEQ[NOTE GLOBALE])</f>
        <v>3.125</v>
      </c>
      <c r="W63" s="244">
        <f t="shared" si="1"/>
        <v>2.0833333333333335</v>
      </c>
      <c r="Y63" t="str">
        <f>LEFT(NotesIndiv[[#This Row],[NOM]],3)&amp;"."</f>
        <v>SAM.</v>
      </c>
    </row>
    <row r="64" spans="2:25" x14ac:dyDescent="0.25">
      <c r="B64" s="90" t="str">
        <f>_xlfn.CONCAT(NotesIndiv[[#This Row],[EQUIPE]]," - ",NotesIndiv[[#This Row],[N° APP]])</f>
        <v>13 - 4</v>
      </c>
      <c r="C64" s="58" t="s">
        <v>235</v>
      </c>
      <c r="D64" s="59" t="s">
        <v>43</v>
      </c>
      <c r="E64" s="59">
        <v>13</v>
      </c>
      <c r="F64" s="59" t="s">
        <v>87</v>
      </c>
      <c r="G64" s="59" t="s">
        <v>95</v>
      </c>
      <c r="H64" s="59"/>
      <c r="I64" s="60"/>
      <c r="J64" s="59">
        <v>4</v>
      </c>
      <c r="K64" s="61"/>
      <c r="L64" s="62"/>
      <c r="M64" s="59"/>
      <c r="N64" s="63"/>
      <c r="O64" s="64"/>
      <c r="P64" s="112">
        <v>5</v>
      </c>
      <c r="Q64" s="62">
        <v>3</v>
      </c>
      <c r="R64" s="113">
        <v>8</v>
      </c>
      <c r="S64" s="113">
        <f>SUM(NotesIndiv[[#This Row],[travail en autonomie et assiduité ]:[participation]])/20</f>
        <v>0.8</v>
      </c>
      <c r="T64" s="113">
        <f>1-NotesIndiv[[#This Row],[TOTAL]]</f>
        <v>0.19999999999999996</v>
      </c>
      <c r="U64" s="3">
        <f>SUM(NotesIndiv[[#This Row],[travail en autonomie et assiduité ]:[participation]])</f>
        <v>16</v>
      </c>
      <c r="V64" s="3">
        <f>_xlfn.XLOOKUP(NotesIndiv[[#This Row],[EQUIPE]],NotesEQ[N°],NotesEQ[NOTE GLOBALE])</f>
        <v>3.125</v>
      </c>
      <c r="W64" s="244">
        <f t="shared" si="1"/>
        <v>7.416666666666667</v>
      </c>
      <c r="Y64" t="str">
        <f>LEFT(NotesIndiv[[#This Row],[NOM]],3)&amp;"."</f>
        <v>TER.</v>
      </c>
    </row>
    <row r="65" spans="2:25" ht="15.75" thickBot="1" x14ac:dyDescent="0.3">
      <c r="B65" s="91" t="str">
        <f>_xlfn.CONCAT(NotesIndiv[[#This Row],[EQUIPE]]," - ",NotesIndiv[[#This Row],[N° APP]])</f>
        <v>13 - 5</v>
      </c>
      <c r="C65" s="65" t="s">
        <v>236</v>
      </c>
      <c r="D65" s="66" t="s">
        <v>56</v>
      </c>
      <c r="E65" s="66">
        <v>13</v>
      </c>
      <c r="F65" s="66" t="s">
        <v>87</v>
      </c>
      <c r="G65" s="66" t="s">
        <v>95</v>
      </c>
      <c r="H65" s="66">
        <v>10.5</v>
      </c>
      <c r="I65" s="67"/>
      <c r="J65" s="66">
        <v>5</v>
      </c>
      <c r="K65" s="68"/>
      <c r="L65" s="69"/>
      <c r="M65" s="66"/>
      <c r="N65" s="70"/>
      <c r="O65" s="71"/>
      <c r="P65" s="114">
        <v>2.5</v>
      </c>
      <c r="Q65" s="69">
        <v>3</v>
      </c>
      <c r="R65" s="115">
        <v>8</v>
      </c>
      <c r="S65" s="115">
        <f>SUM(NotesIndiv[[#This Row],[travail en autonomie et assiduité ]:[participation]])/20</f>
        <v>0.67500000000000004</v>
      </c>
      <c r="T65" s="115">
        <f>1-NotesIndiv[[#This Row],[TOTAL]]</f>
        <v>0.32499999999999996</v>
      </c>
      <c r="U65" s="3">
        <f>SUM(NotesIndiv[[#This Row],[travail en autonomie et assiduité ]:[participation]])</f>
        <v>13.5</v>
      </c>
      <c r="V65" s="3">
        <f>_xlfn.XLOOKUP(NotesIndiv[[#This Row],[EQUIPE]],NotesEQ[N°],NotesEQ[NOTE GLOBALE])</f>
        <v>3.125</v>
      </c>
      <c r="W65" s="244">
        <f t="shared" si="1"/>
        <v>6.583333333333333</v>
      </c>
      <c r="Y65" t="str">
        <f>LEFT(NotesIndiv[[#This Row],[NOM]],3)&amp;"."</f>
        <v>VEG.</v>
      </c>
    </row>
    <row r="66" spans="2:25" x14ac:dyDescent="0.25">
      <c r="B66" s="89" t="str">
        <f>_xlfn.CONCAT(NotesIndiv[[#This Row],[EQUIPE]]," - ",NotesIndiv[[#This Row],[N° APP]])</f>
        <v>14 - 1</v>
      </c>
      <c r="C66" s="51" t="s">
        <v>188</v>
      </c>
      <c r="D66" s="52" t="s">
        <v>65</v>
      </c>
      <c r="E66" s="52">
        <v>14</v>
      </c>
      <c r="F66" s="52" t="s">
        <v>86</v>
      </c>
      <c r="G66" s="52" t="s">
        <v>95</v>
      </c>
      <c r="H66" s="52"/>
      <c r="I66" s="53"/>
      <c r="J66" s="52">
        <v>1</v>
      </c>
      <c r="K66" s="54"/>
      <c r="L66" s="55"/>
      <c r="M66" s="52"/>
      <c r="N66" s="56"/>
      <c r="O66" s="57"/>
      <c r="P66" s="110">
        <v>5</v>
      </c>
      <c r="Q66" s="55">
        <v>3</v>
      </c>
      <c r="R66" s="111">
        <v>8</v>
      </c>
      <c r="S66" s="111">
        <f>SUM(NotesIndiv[[#This Row],[travail en autonomie et assiduité ]:[participation]])/20</f>
        <v>0.8</v>
      </c>
      <c r="T66" s="111">
        <f>1-NotesIndiv[[#This Row],[TOTAL]]</f>
        <v>0.19999999999999996</v>
      </c>
      <c r="U66" s="3">
        <f>SUM(NotesIndiv[[#This Row],[travail en autonomie et assiduité ]:[participation]])</f>
        <v>16</v>
      </c>
      <c r="V66" s="3">
        <f>_xlfn.XLOOKUP(NotesIndiv[[#This Row],[EQUIPE]],NotesEQ[N°],NotesEQ[NOTE GLOBALE])</f>
        <v>3.625</v>
      </c>
      <c r="W66" s="244">
        <f t="shared" si="1"/>
        <v>7.75</v>
      </c>
      <c r="Y66" t="str">
        <f>LEFT(NotesIndiv[[#This Row],[NOM]],3)&amp;"."</f>
        <v>FER.</v>
      </c>
    </row>
    <row r="67" spans="2:25" x14ac:dyDescent="0.25">
      <c r="B67" s="90" t="str">
        <f>_xlfn.CONCAT(NotesIndiv[[#This Row],[EQUIPE]]," - ",NotesIndiv[[#This Row],[N° APP]])</f>
        <v>14 - 2</v>
      </c>
      <c r="C67" s="58" t="s">
        <v>237</v>
      </c>
      <c r="D67" s="59" t="s">
        <v>29</v>
      </c>
      <c r="E67" s="59">
        <v>14</v>
      </c>
      <c r="F67" s="59" t="s">
        <v>86</v>
      </c>
      <c r="G67" s="59" t="s">
        <v>95</v>
      </c>
      <c r="H67" s="59"/>
      <c r="I67" s="60"/>
      <c r="J67" s="59">
        <v>2</v>
      </c>
      <c r="K67" s="61"/>
      <c r="L67" s="62"/>
      <c r="M67" s="59"/>
      <c r="N67" s="63"/>
      <c r="O67" s="64"/>
      <c r="P67" s="112">
        <v>5</v>
      </c>
      <c r="Q67" s="62">
        <v>3</v>
      </c>
      <c r="R67" s="113">
        <v>8</v>
      </c>
      <c r="S67" s="113">
        <f>SUM(NotesIndiv[[#This Row],[travail en autonomie et assiduité ]:[participation]])/20</f>
        <v>0.8</v>
      </c>
      <c r="T67" s="113">
        <f>1-NotesIndiv[[#This Row],[TOTAL]]</f>
        <v>0.19999999999999996</v>
      </c>
      <c r="U67" s="3">
        <f>SUM(NotesIndiv[[#This Row],[travail en autonomie et assiduité ]:[participation]])</f>
        <v>16</v>
      </c>
      <c r="V67" s="3">
        <f>_xlfn.XLOOKUP(NotesIndiv[[#This Row],[EQUIPE]],NotesEQ[N°],NotesEQ[NOTE GLOBALE])</f>
        <v>3.625</v>
      </c>
      <c r="W67" s="244">
        <f t="shared" si="1"/>
        <v>7.75</v>
      </c>
      <c r="Y67" t="str">
        <f>LEFT(NotesIndiv[[#This Row],[NOM]],3)&amp;"."</f>
        <v>KRE.</v>
      </c>
    </row>
    <row r="68" spans="2:25" x14ac:dyDescent="0.25">
      <c r="B68" s="90" t="str">
        <f>_xlfn.CONCAT(NotesIndiv[[#This Row],[EQUIPE]]," - ",NotesIndiv[[#This Row],[N° APP]])</f>
        <v>14 - 3</v>
      </c>
      <c r="C68" s="58" t="s">
        <v>238</v>
      </c>
      <c r="D68" s="59" t="s">
        <v>53</v>
      </c>
      <c r="E68" s="59">
        <v>14</v>
      </c>
      <c r="F68" s="59" t="s">
        <v>86</v>
      </c>
      <c r="G68" s="59" t="s">
        <v>95</v>
      </c>
      <c r="H68" s="59"/>
      <c r="I68" s="60"/>
      <c r="J68" s="59">
        <v>3</v>
      </c>
      <c r="K68" s="61"/>
      <c r="L68" s="62"/>
      <c r="M68" s="59"/>
      <c r="N68" s="63"/>
      <c r="O68" s="64"/>
      <c r="P68" s="112">
        <v>5</v>
      </c>
      <c r="Q68" s="62">
        <v>3</v>
      </c>
      <c r="R68" s="113">
        <v>8</v>
      </c>
      <c r="S68" s="113">
        <f>SUM(NotesIndiv[[#This Row],[travail en autonomie et assiduité ]:[participation]])/20</f>
        <v>0.8</v>
      </c>
      <c r="T68" s="113">
        <f>1-NotesIndiv[[#This Row],[TOTAL]]</f>
        <v>0.19999999999999996</v>
      </c>
      <c r="U68" s="3">
        <f>SUM(NotesIndiv[[#This Row],[travail en autonomie et assiduité ]:[participation]])</f>
        <v>16</v>
      </c>
      <c r="V68" s="3">
        <f>_xlfn.XLOOKUP(NotesIndiv[[#This Row],[EQUIPE]],NotesEQ[N°],NotesEQ[NOTE GLOBALE])</f>
        <v>3.625</v>
      </c>
      <c r="W68" s="244">
        <f t="shared" ref="W68:W80" si="2">AVERAGE(U68,V68,V68)</f>
        <v>7.75</v>
      </c>
      <c r="Y68" t="str">
        <f>LEFT(NotesIndiv[[#This Row],[NOM]],3)&amp;"."</f>
        <v>SAL.</v>
      </c>
    </row>
    <row r="69" spans="2:25" x14ac:dyDescent="0.25">
      <c r="B69" s="90" t="str">
        <f>_xlfn.CONCAT(NotesIndiv[[#This Row],[EQUIPE]]," - ",NotesIndiv[[#This Row],[N° APP]])</f>
        <v>14 - 4</v>
      </c>
      <c r="C69" s="58" t="s">
        <v>239</v>
      </c>
      <c r="D69" s="59" t="s">
        <v>57</v>
      </c>
      <c r="E69" s="59">
        <v>14</v>
      </c>
      <c r="F69" s="59" t="s">
        <v>86</v>
      </c>
      <c r="G69" s="59" t="s">
        <v>95</v>
      </c>
      <c r="H69" s="59">
        <v>2</v>
      </c>
      <c r="I69" s="60"/>
      <c r="J69" s="59">
        <v>4</v>
      </c>
      <c r="K69" s="61"/>
      <c r="L69" s="62"/>
      <c r="M69" s="59"/>
      <c r="N69" s="63"/>
      <c r="O69" s="64"/>
      <c r="P69" s="112">
        <v>4</v>
      </c>
      <c r="Q69" s="62">
        <v>3</v>
      </c>
      <c r="R69" s="113">
        <v>8</v>
      </c>
      <c r="S69" s="113">
        <f>SUM(NotesIndiv[[#This Row],[travail en autonomie et assiduité ]:[participation]])/20</f>
        <v>0.75</v>
      </c>
      <c r="T69" s="113">
        <f>1-NotesIndiv[[#This Row],[TOTAL]]</f>
        <v>0.25</v>
      </c>
      <c r="U69" s="3">
        <f>SUM(NotesIndiv[[#This Row],[travail en autonomie et assiduité ]:[participation]])</f>
        <v>15</v>
      </c>
      <c r="V69" s="3">
        <f>_xlfn.XLOOKUP(NotesIndiv[[#This Row],[EQUIPE]],NotesEQ[N°],NotesEQ[NOTE GLOBALE])</f>
        <v>3.625</v>
      </c>
      <c r="W69" s="244">
        <f t="shared" si="2"/>
        <v>7.416666666666667</v>
      </c>
      <c r="Y69" t="str">
        <f>LEFT(NotesIndiv[[#This Row],[NOM]],3)&amp;"."</f>
        <v>VIG.</v>
      </c>
    </row>
    <row r="70" spans="2:25" ht="15.75" thickBot="1" x14ac:dyDescent="0.3">
      <c r="B70" s="91" t="str">
        <f>_xlfn.CONCAT(NotesIndiv[[#This Row],[EQUIPE]]," - ",NotesIndiv[[#This Row],[N° APP]])</f>
        <v>14 - 5</v>
      </c>
      <c r="C70" s="65" t="s">
        <v>240</v>
      </c>
      <c r="D70" s="66" t="s">
        <v>15</v>
      </c>
      <c r="E70" s="66">
        <v>14</v>
      </c>
      <c r="F70" s="66" t="s">
        <v>86</v>
      </c>
      <c r="G70" s="66" t="s">
        <v>95</v>
      </c>
      <c r="H70" s="66"/>
      <c r="I70" s="67"/>
      <c r="J70" s="66">
        <v>5</v>
      </c>
      <c r="K70" s="68"/>
      <c r="L70" s="69"/>
      <c r="M70" s="66"/>
      <c r="N70" s="70"/>
      <c r="O70" s="71"/>
      <c r="P70" s="114">
        <v>5</v>
      </c>
      <c r="Q70" s="69">
        <v>3</v>
      </c>
      <c r="R70" s="115">
        <v>8</v>
      </c>
      <c r="S70" s="115">
        <f>SUM(NotesIndiv[[#This Row],[travail en autonomie et assiduité ]:[participation]])/20</f>
        <v>0.8</v>
      </c>
      <c r="T70" s="115">
        <f>1-NotesIndiv[[#This Row],[TOTAL]]</f>
        <v>0.19999999999999996</v>
      </c>
      <c r="U70" s="3">
        <f>SUM(NotesIndiv[[#This Row],[travail en autonomie et assiduité ]:[participation]])</f>
        <v>16</v>
      </c>
      <c r="V70" s="3">
        <f>_xlfn.XLOOKUP(NotesIndiv[[#This Row],[EQUIPE]],NotesEQ[N°],NotesEQ[NOTE GLOBALE])</f>
        <v>3.625</v>
      </c>
      <c r="W70" s="244">
        <f t="shared" si="2"/>
        <v>7.75</v>
      </c>
      <c r="Y70" t="str">
        <f>LEFT(NotesIndiv[[#This Row],[NOM]],3)&amp;"."</f>
        <v>WAL.</v>
      </c>
    </row>
    <row r="71" spans="2:25" x14ac:dyDescent="0.25">
      <c r="B71" s="89" t="str">
        <f>_xlfn.CONCAT(NotesIndiv[[#This Row],[EQUIPE]]," - ",NotesIndiv[[#This Row],[N° APP]])</f>
        <v>15 - 1</v>
      </c>
      <c r="C71" s="51" t="s">
        <v>191</v>
      </c>
      <c r="D71" s="52" t="s">
        <v>61</v>
      </c>
      <c r="E71" s="52">
        <v>15</v>
      </c>
      <c r="F71" s="52" t="s">
        <v>84</v>
      </c>
      <c r="G71" s="52" t="s">
        <v>95</v>
      </c>
      <c r="H71" s="52">
        <v>10.5</v>
      </c>
      <c r="I71" s="53"/>
      <c r="J71" s="52">
        <v>1</v>
      </c>
      <c r="K71" s="54"/>
      <c r="L71" s="55"/>
      <c r="M71" s="52"/>
      <c r="N71" s="56"/>
      <c r="O71" s="57"/>
      <c r="P71" s="110">
        <v>2</v>
      </c>
      <c r="Q71" s="55">
        <v>3</v>
      </c>
      <c r="R71" s="111">
        <v>8</v>
      </c>
      <c r="S71" s="111">
        <f>SUM(NotesIndiv[[#This Row],[travail en autonomie et assiduité ]:[participation]])/20</f>
        <v>0.65</v>
      </c>
      <c r="T71" s="111">
        <f>1-NotesIndiv[[#This Row],[TOTAL]]</f>
        <v>0.35</v>
      </c>
      <c r="U71" s="3">
        <f>SUM(NotesIndiv[[#This Row],[travail en autonomie et assiduité ]:[participation]])</f>
        <v>13</v>
      </c>
      <c r="V71" s="3">
        <f>_xlfn.XLOOKUP(NotesIndiv[[#This Row],[EQUIPE]],NotesEQ[N°],NotesEQ[NOTE GLOBALE])</f>
        <v>1.84375</v>
      </c>
      <c r="W71" s="244">
        <f t="shared" si="2"/>
        <v>5.5625</v>
      </c>
      <c r="Y71" t="str">
        <f>LEFT(NotesIndiv[[#This Row],[NOM]],3)&amp;"."</f>
        <v>BOU.</v>
      </c>
    </row>
    <row r="72" spans="2:25" x14ac:dyDescent="0.25">
      <c r="B72" s="90" t="str">
        <f>_xlfn.CONCAT(NotesIndiv[[#This Row],[EQUIPE]]," - ",NotesIndiv[[#This Row],[N° APP]])</f>
        <v>15 - 2</v>
      </c>
      <c r="C72" s="58" t="s">
        <v>241</v>
      </c>
      <c r="D72" s="59" t="s">
        <v>19</v>
      </c>
      <c r="E72" s="59">
        <v>15</v>
      </c>
      <c r="F72" s="59" t="s">
        <v>84</v>
      </c>
      <c r="G72" s="59" t="s">
        <v>95</v>
      </c>
      <c r="H72" s="59"/>
      <c r="I72" s="60"/>
      <c r="J72" s="59">
        <v>2</v>
      </c>
      <c r="K72" s="61"/>
      <c r="L72" s="62"/>
      <c r="M72" s="59"/>
      <c r="N72" s="63"/>
      <c r="O72" s="64"/>
      <c r="P72" s="112">
        <v>5</v>
      </c>
      <c r="Q72" s="62">
        <v>3</v>
      </c>
      <c r="R72" s="113">
        <v>8</v>
      </c>
      <c r="S72" s="113">
        <f>SUM(NotesIndiv[[#This Row],[travail en autonomie et assiduité ]:[participation]])/20</f>
        <v>0.8</v>
      </c>
      <c r="T72" s="113">
        <f>1-NotesIndiv[[#This Row],[TOTAL]]</f>
        <v>0.19999999999999996</v>
      </c>
      <c r="U72" s="3">
        <f>SUM(NotesIndiv[[#This Row],[travail en autonomie et assiduité ]:[participation]])</f>
        <v>16</v>
      </c>
      <c r="V72" s="3">
        <f>_xlfn.XLOOKUP(NotesIndiv[[#This Row],[EQUIPE]],NotesEQ[N°],NotesEQ[NOTE GLOBALE])</f>
        <v>1.84375</v>
      </c>
      <c r="W72" s="244">
        <f t="shared" si="2"/>
        <v>6.5625</v>
      </c>
      <c r="Y72" t="str">
        <f>LEFT(NotesIndiv[[#This Row],[NOM]],3)&amp;"."</f>
        <v>COM.</v>
      </c>
    </row>
    <row r="73" spans="2:25" x14ac:dyDescent="0.25">
      <c r="B73" s="90" t="str">
        <f>_xlfn.CONCAT(NotesIndiv[[#This Row],[EQUIPE]]," - ",NotesIndiv[[#This Row],[N° APP]])</f>
        <v>15 - 3</v>
      </c>
      <c r="C73" s="58" t="s">
        <v>242</v>
      </c>
      <c r="D73" s="59" t="s">
        <v>26</v>
      </c>
      <c r="E73" s="59">
        <v>15</v>
      </c>
      <c r="F73" s="59" t="s">
        <v>84</v>
      </c>
      <c r="G73" s="59" t="s">
        <v>95</v>
      </c>
      <c r="H73" s="59"/>
      <c r="I73" s="60"/>
      <c r="J73" s="59">
        <v>3</v>
      </c>
      <c r="K73" s="61"/>
      <c r="L73" s="62"/>
      <c r="M73" s="59"/>
      <c r="N73" s="63"/>
      <c r="O73" s="64"/>
      <c r="P73" s="112">
        <v>5</v>
      </c>
      <c r="Q73" s="62">
        <v>3</v>
      </c>
      <c r="R73" s="113">
        <v>8</v>
      </c>
      <c r="S73" s="113">
        <f>SUM(NotesIndiv[[#This Row],[travail en autonomie et assiduité ]:[participation]])/20</f>
        <v>0.8</v>
      </c>
      <c r="T73" s="113">
        <f>1-NotesIndiv[[#This Row],[TOTAL]]</f>
        <v>0.19999999999999996</v>
      </c>
      <c r="U73" s="3">
        <f>SUM(NotesIndiv[[#This Row],[travail en autonomie et assiduité ]:[participation]])</f>
        <v>16</v>
      </c>
      <c r="V73" s="3">
        <f>_xlfn.XLOOKUP(NotesIndiv[[#This Row],[EQUIPE]],NotesEQ[N°],NotesEQ[NOTE GLOBALE])</f>
        <v>1.84375</v>
      </c>
      <c r="W73" s="244">
        <f t="shared" si="2"/>
        <v>6.5625</v>
      </c>
      <c r="Y73" t="str">
        <f>LEFT(NotesIndiv[[#This Row],[NOM]],3)&amp;"."</f>
        <v>GAL.</v>
      </c>
    </row>
    <row r="74" spans="2:25" x14ac:dyDescent="0.25">
      <c r="B74" s="90" t="str">
        <f>_xlfn.CONCAT(NotesIndiv[[#This Row],[EQUIPE]]," - ",NotesIndiv[[#This Row],[N° APP]])</f>
        <v>15 - 4</v>
      </c>
      <c r="C74" s="58" t="s">
        <v>243</v>
      </c>
      <c r="D74" s="59" t="s">
        <v>31</v>
      </c>
      <c r="E74" s="59">
        <v>15</v>
      </c>
      <c r="F74" s="59" t="s">
        <v>84</v>
      </c>
      <c r="G74" s="59" t="s">
        <v>95</v>
      </c>
      <c r="H74" s="59"/>
      <c r="I74" s="60"/>
      <c r="J74" s="59">
        <v>4</v>
      </c>
      <c r="K74" s="61"/>
      <c r="L74" s="62"/>
      <c r="M74" s="59"/>
      <c r="N74" s="63"/>
      <c r="O74" s="64"/>
      <c r="P74" s="112">
        <v>5</v>
      </c>
      <c r="Q74" s="62">
        <v>3</v>
      </c>
      <c r="R74" s="113">
        <v>8</v>
      </c>
      <c r="S74" s="113">
        <f>SUM(NotesIndiv[[#This Row],[travail en autonomie et assiduité ]:[participation]])/20</f>
        <v>0.8</v>
      </c>
      <c r="T74" s="113">
        <f>1-NotesIndiv[[#This Row],[TOTAL]]</f>
        <v>0.19999999999999996</v>
      </c>
      <c r="U74" s="3">
        <f>SUM(NotesIndiv[[#This Row],[travail en autonomie et assiduité ]:[participation]])</f>
        <v>16</v>
      </c>
      <c r="V74" s="3">
        <f>_xlfn.XLOOKUP(NotesIndiv[[#This Row],[EQUIPE]],NotesEQ[N°],NotesEQ[NOTE GLOBALE])</f>
        <v>1.84375</v>
      </c>
      <c r="W74" s="244">
        <f t="shared" si="2"/>
        <v>6.5625</v>
      </c>
      <c r="Y74" t="str">
        <f>LEFT(NotesIndiv[[#This Row],[NOM]],3)&amp;"."</f>
        <v>MAR.</v>
      </c>
    </row>
    <row r="75" spans="2:25" ht="15.75" thickBot="1" x14ac:dyDescent="0.3">
      <c r="B75" s="91" t="str">
        <f>_xlfn.CONCAT(NotesIndiv[[#This Row],[EQUIPE]]," - ",NotesIndiv[[#This Row],[N° APP]])</f>
        <v>15 - 5</v>
      </c>
      <c r="C75" s="65" t="s">
        <v>244</v>
      </c>
      <c r="D75" s="66" t="s">
        <v>14</v>
      </c>
      <c r="E75" s="66">
        <v>15</v>
      </c>
      <c r="F75" s="66" t="s">
        <v>84</v>
      </c>
      <c r="G75" s="66" t="s">
        <v>95</v>
      </c>
      <c r="H75" s="66"/>
      <c r="I75" s="67"/>
      <c r="J75" s="66">
        <v>5</v>
      </c>
      <c r="K75" s="68"/>
      <c r="L75" s="69"/>
      <c r="M75" s="66"/>
      <c r="N75" s="70"/>
      <c r="O75" s="71"/>
      <c r="P75" s="114">
        <v>5</v>
      </c>
      <c r="Q75" s="69">
        <v>3</v>
      </c>
      <c r="R75" s="115">
        <v>8</v>
      </c>
      <c r="S75" s="115">
        <f>SUM(NotesIndiv[[#This Row],[travail en autonomie et assiduité ]:[participation]])/20</f>
        <v>0.8</v>
      </c>
      <c r="T75" s="115">
        <f>1-NotesIndiv[[#This Row],[TOTAL]]</f>
        <v>0.19999999999999996</v>
      </c>
      <c r="U75" s="3">
        <f>SUM(NotesIndiv[[#This Row],[travail en autonomie et assiduité ]:[participation]])</f>
        <v>16</v>
      </c>
      <c r="V75" s="3">
        <f>_xlfn.XLOOKUP(NotesIndiv[[#This Row],[EQUIPE]],NotesEQ[N°],NotesEQ[NOTE GLOBALE])</f>
        <v>1.84375</v>
      </c>
      <c r="W75" s="244">
        <f t="shared" si="2"/>
        <v>6.5625</v>
      </c>
      <c r="Y75" t="str">
        <f>LEFT(NotesIndiv[[#This Row],[NOM]],3)&amp;"."</f>
        <v>SAF.</v>
      </c>
    </row>
    <row r="76" spans="2:25" x14ac:dyDescent="0.25">
      <c r="B76" s="89" t="str">
        <f>_xlfn.CONCAT(NotesIndiv[[#This Row],[EQUIPE]]," - ",NotesIndiv[[#This Row],[N° APP]])</f>
        <v>16 - 1</v>
      </c>
      <c r="C76" s="51" t="s">
        <v>178</v>
      </c>
      <c r="D76" s="52" t="s">
        <v>19</v>
      </c>
      <c r="E76" s="52">
        <v>16</v>
      </c>
      <c r="F76" s="52" t="s">
        <v>83</v>
      </c>
      <c r="G76" s="52" t="s">
        <v>95</v>
      </c>
      <c r="H76" s="52"/>
      <c r="I76" s="53"/>
      <c r="J76" s="52">
        <v>1</v>
      </c>
      <c r="K76" s="54"/>
      <c r="L76" s="55"/>
      <c r="M76" s="52"/>
      <c r="N76" s="56"/>
      <c r="O76" s="57"/>
      <c r="P76" s="110">
        <v>5</v>
      </c>
      <c r="Q76" s="55">
        <v>2</v>
      </c>
      <c r="R76" s="111">
        <v>6</v>
      </c>
      <c r="S76" s="111">
        <f>SUM(NotesIndiv[[#This Row],[travail en autonomie et assiduité ]:[participation]])/20</f>
        <v>0.65</v>
      </c>
      <c r="T76" s="111">
        <f>1-NotesIndiv[[#This Row],[TOTAL]]</f>
        <v>0.35</v>
      </c>
      <c r="U76" s="3">
        <f>SUM(NotesIndiv[[#This Row],[travail en autonomie et assiduité ]:[participation]])</f>
        <v>13</v>
      </c>
      <c r="V76" s="3">
        <f>_xlfn.XLOOKUP(NotesIndiv[[#This Row],[EQUIPE]],NotesEQ[N°],NotesEQ[NOTE GLOBALE])</f>
        <v>1.40625</v>
      </c>
      <c r="W76" s="244">
        <f t="shared" si="2"/>
        <v>5.270833333333333</v>
      </c>
      <c r="Y76" t="str">
        <f>LEFT(NotesIndiv[[#This Row],[NOM]],3)&amp;"."</f>
        <v>BAR.</v>
      </c>
    </row>
    <row r="77" spans="2:25" x14ac:dyDescent="0.25">
      <c r="B77" s="90" t="str">
        <f>_xlfn.CONCAT(NotesIndiv[[#This Row],[EQUIPE]]," - ",NotesIndiv[[#This Row],[N° APP]])</f>
        <v>16 - 2</v>
      </c>
      <c r="C77" s="58" t="s">
        <v>245</v>
      </c>
      <c r="D77" s="59" t="s">
        <v>64</v>
      </c>
      <c r="E77" s="59">
        <v>16</v>
      </c>
      <c r="F77" s="59" t="s">
        <v>83</v>
      </c>
      <c r="G77" s="59" t="s">
        <v>95</v>
      </c>
      <c r="H77" s="59">
        <v>7</v>
      </c>
      <c r="I77" s="60"/>
      <c r="J77" s="59">
        <v>2</v>
      </c>
      <c r="K77" s="61"/>
      <c r="L77" s="62"/>
      <c r="M77" s="59"/>
      <c r="N77" s="63"/>
      <c r="O77" s="64"/>
      <c r="P77" s="112">
        <v>2.5</v>
      </c>
      <c r="Q77" s="62">
        <v>2</v>
      </c>
      <c r="R77" s="113">
        <v>6</v>
      </c>
      <c r="S77" s="113">
        <f>SUM(NotesIndiv[[#This Row],[travail en autonomie et assiduité ]:[participation]])/20</f>
        <v>0.52500000000000002</v>
      </c>
      <c r="T77" s="113">
        <f>1-NotesIndiv[[#This Row],[TOTAL]]</f>
        <v>0.47499999999999998</v>
      </c>
      <c r="U77" s="3">
        <f>SUM(NotesIndiv[[#This Row],[travail en autonomie et assiduité ]:[participation]])</f>
        <v>10.5</v>
      </c>
      <c r="V77" s="3">
        <f>_xlfn.XLOOKUP(NotesIndiv[[#This Row],[EQUIPE]],NotesEQ[N°],NotesEQ[NOTE GLOBALE])</f>
        <v>1.40625</v>
      </c>
      <c r="W77" s="244">
        <f t="shared" si="2"/>
        <v>4.4375</v>
      </c>
      <c r="Y77" t="str">
        <f>LEFT(NotesIndiv[[#This Row],[NOM]],3)&amp;"."</f>
        <v>DAM.</v>
      </c>
    </row>
    <row r="78" spans="2:25" x14ac:dyDescent="0.25">
      <c r="B78" s="90" t="str">
        <f>_xlfn.CONCAT(NotesIndiv[[#This Row],[EQUIPE]]," - ",NotesIndiv[[#This Row],[N° APP]])</f>
        <v>16 - 3</v>
      </c>
      <c r="C78" s="58" t="s">
        <v>246</v>
      </c>
      <c r="D78" s="59" t="s">
        <v>44</v>
      </c>
      <c r="E78" s="59">
        <v>16</v>
      </c>
      <c r="F78" s="59" t="s">
        <v>83</v>
      </c>
      <c r="G78" s="59" t="s">
        <v>95</v>
      </c>
      <c r="H78" s="59"/>
      <c r="I78" s="60"/>
      <c r="J78" s="59">
        <v>3</v>
      </c>
      <c r="K78" s="61"/>
      <c r="L78" s="62"/>
      <c r="M78" s="59"/>
      <c r="N78" s="63"/>
      <c r="O78" s="64"/>
      <c r="P78" s="112">
        <v>5</v>
      </c>
      <c r="Q78" s="62">
        <v>2</v>
      </c>
      <c r="R78" s="113">
        <v>6</v>
      </c>
      <c r="S78" s="113">
        <f>SUM(NotesIndiv[[#This Row],[travail en autonomie et assiduité ]:[participation]])/20</f>
        <v>0.65</v>
      </c>
      <c r="T78" s="113">
        <f>1-NotesIndiv[[#This Row],[TOTAL]]</f>
        <v>0.35</v>
      </c>
      <c r="U78" s="3">
        <f>SUM(NotesIndiv[[#This Row],[travail en autonomie et assiduité ]:[participation]])</f>
        <v>13</v>
      </c>
      <c r="V78" s="3">
        <f>_xlfn.XLOOKUP(NotesIndiv[[#This Row],[EQUIPE]],NotesEQ[N°],NotesEQ[NOTE GLOBALE])</f>
        <v>1.40625</v>
      </c>
      <c r="W78" s="244">
        <f t="shared" si="2"/>
        <v>5.270833333333333</v>
      </c>
      <c r="Y78" t="str">
        <f>LEFT(NotesIndiv[[#This Row],[NOM]],3)&amp;"."</f>
        <v>ETH.</v>
      </c>
    </row>
    <row r="79" spans="2:25" x14ac:dyDescent="0.25">
      <c r="B79" s="90" t="str">
        <f>_xlfn.CONCAT(NotesIndiv[[#This Row],[EQUIPE]]," - ",NotesIndiv[[#This Row],[N° APP]])</f>
        <v>16 - 4</v>
      </c>
      <c r="C79" s="58" t="s">
        <v>247</v>
      </c>
      <c r="D79" s="59" t="s">
        <v>50</v>
      </c>
      <c r="E79" s="59">
        <v>16</v>
      </c>
      <c r="F79" s="59" t="s">
        <v>83</v>
      </c>
      <c r="G79" s="59" t="s">
        <v>95</v>
      </c>
      <c r="H79" s="59"/>
      <c r="I79" s="60"/>
      <c r="J79" s="59">
        <v>4</v>
      </c>
      <c r="K79" s="61"/>
      <c r="L79" s="62"/>
      <c r="M79" s="59"/>
      <c r="N79" s="63"/>
      <c r="O79" s="64"/>
      <c r="P79" s="112">
        <v>5</v>
      </c>
      <c r="Q79" s="62">
        <v>2</v>
      </c>
      <c r="R79" s="113">
        <v>6</v>
      </c>
      <c r="S79" s="113">
        <f>SUM(NotesIndiv[[#This Row],[travail en autonomie et assiduité ]:[participation]])/20</f>
        <v>0.65</v>
      </c>
      <c r="T79" s="113">
        <f>1-NotesIndiv[[#This Row],[TOTAL]]</f>
        <v>0.35</v>
      </c>
      <c r="U79" s="3">
        <f>SUM(NotesIndiv[[#This Row],[travail en autonomie et assiduité ]:[participation]])</f>
        <v>13</v>
      </c>
      <c r="V79" s="3">
        <f>_xlfn.XLOOKUP(NotesIndiv[[#This Row],[EQUIPE]],NotesEQ[N°],NotesEQ[NOTE GLOBALE])</f>
        <v>1.40625</v>
      </c>
      <c r="W79" s="244">
        <f t="shared" si="2"/>
        <v>5.270833333333333</v>
      </c>
      <c r="Y79" t="str">
        <f>LEFT(NotesIndiv[[#This Row],[NOM]],3)&amp;"."</f>
        <v>MEN.</v>
      </c>
    </row>
    <row r="80" spans="2:25" x14ac:dyDescent="0.25">
      <c r="B80" s="92" t="str">
        <f>_xlfn.CONCAT(NotesIndiv[[#This Row],[EQUIPE]]," - ",NotesIndiv[[#This Row],[N° APP]])</f>
        <v>16 - 5</v>
      </c>
      <c r="C80" s="79" t="s">
        <v>225</v>
      </c>
      <c r="D80" s="80" t="s">
        <v>34</v>
      </c>
      <c r="E80" s="80">
        <v>16</v>
      </c>
      <c r="F80" s="80" t="s">
        <v>83</v>
      </c>
      <c r="G80" s="80" t="s">
        <v>95</v>
      </c>
      <c r="H80" s="80">
        <v>3.5</v>
      </c>
      <c r="I80" s="81"/>
      <c r="J80" s="80">
        <v>5</v>
      </c>
      <c r="K80" s="82"/>
      <c r="L80" s="83"/>
      <c r="M80" s="80"/>
      <c r="N80" s="84"/>
      <c r="O80" s="85"/>
      <c r="P80" s="116">
        <v>3.5</v>
      </c>
      <c r="Q80" s="83">
        <v>2</v>
      </c>
      <c r="R80" s="117">
        <v>6</v>
      </c>
      <c r="S80" s="117">
        <f>SUM(NotesIndiv[[#This Row],[travail en autonomie et assiduité ]:[participation]])/20</f>
        <v>0.57499999999999996</v>
      </c>
      <c r="T80" s="117">
        <f>1-NotesIndiv[[#This Row],[TOTAL]]</f>
        <v>0.42500000000000004</v>
      </c>
      <c r="U80" s="3">
        <f>SUM(NotesIndiv[[#This Row],[travail en autonomie et assiduité ]:[participation]])</f>
        <v>11.5</v>
      </c>
      <c r="V80" s="3">
        <f>_xlfn.XLOOKUP(NotesIndiv[[#This Row],[EQUIPE]],NotesEQ[N°],NotesEQ[NOTE GLOBALE])</f>
        <v>1.40625</v>
      </c>
      <c r="W80" s="244">
        <f t="shared" si="2"/>
        <v>4.770833333333333</v>
      </c>
      <c r="Y80" t="str">
        <f>LEFT(NotesIndiv[[#This Row],[NOM]],3)&amp;"."</f>
        <v>NOU.</v>
      </c>
    </row>
  </sheetData>
  <conditionalFormatting sqref="G4:G80">
    <cfRule type="cellIs" dxfId="1" priority="2" operator="equal">
      <formula>"OK"</formula>
    </cfRule>
  </conditionalFormatting>
  <conditionalFormatting sqref="H4:H80">
    <cfRule type="cellIs" dxfId="0" priority="1" operator="greaterThan">
      <formula>0</formula>
    </cfRule>
  </conditionalFormatting>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B1:D18"/>
  <sheetViews>
    <sheetView showGridLines="0" topLeftCell="D4" workbookViewId="0">
      <selection activeCell="D8" sqref="D8"/>
    </sheetView>
  </sheetViews>
  <sheetFormatPr baseColWidth="10" defaultRowHeight="15" x14ac:dyDescent="0.25"/>
  <cols>
    <col min="3" max="3" width="14.42578125" bestFit="1" customWidth="1"/>
    <col min="4" max="4" width="109.7109375" customWidth="1"/>
  </cols>
  <sheetData>
    <row r="1" spans="2:4" ht="70.5" customHeight="1" thickBot="1" x14ac:dyDescent="0.3"/>
    <row r="2" spans="2:4" x14ac:dyDescent="0.25">
      <c r="B2" s="256" t="s">
        <v>132</v>
      </c>
      <c r="C2" s="256" t="s">
        <v>81</v>
      </c>
      <c r="D2" t="s">
        <v>157</v>
      </c>
    </row>
    <row r="3" spans="2:4" ht="150" x14ac:dyDescent="0.25">
      <c r="B3" s="257">
        <v>1</v>
      </c>
      <c r="C3" s="258" t="str">
        <f>UPPER(_xlfn.XLOOKUP(COMM[[#This Row],[N°]],NotesIndiv[EQUIPE],NotesIndiv[NOM2]))</f>
        <v>AIDE PIT’CHOU</v>
      </c>
      <c r="D3" s="4" t="s">
        <v>171</v>
      </c>
    </row>
    <row r="4" spans="2:4" ht="135" x14ac:dyDescent="0.25">
      <c r="B4" s="258">
        <v>2</v>
      </c>
      <c r="C4" s="258" t="str">
        <f>UPPER(_xlfn.XLOOKUP(COMM[[#This Row],[N°]],NotesIndiv[EQUIPE],NotesIndiv[NOM2]))</f>
        <v>SECURE BOARD</v>
      </c>
      <c r="D4" s="4" t="s">
        <v>166</v>
      </c>
    </row>
    <row r="5" spans="2:4" ht="105" x14ac:dyDescent="0.25">
      <c r="B5" s="257">
        <v>3</v>
      </c>
      <c r="C5" s="258" t="str">
        <f>UPPER(_xlfn.XLOOKUP(COMM[[#This Row],[N°]],NotesIndiv[EQUIPE],NotesIndiv[NOM2]))</f>
        <v>PARPECO</v>
      </c>
      <c r="D5" s="4" t="s">
        <v>168</v>
      </c>
    </row>
    <row r="6" spans="2:4" ht="225" x14ac:dyDescent="0.25">
      <c r="B6" s="258">
        <v>4</v>
      </c>
      <c r="C6" s="258" t="str">
        <f>UPPER(_xlfn.XLOOKUP(COMM[[#This Row],[N°]],NotesIndiv[EQUIPE],NotesIndiv[NOM2]))</f>
        <v>SWITCH-SHIRT</v>
      </c>
      <c r="D6" s="4" t="s">
        <v>173</v>
      </c>
    </row>
    <row r="7" spans="2:4" ht="75" x14ac:dyDescent="0.25">
      <c r="B7" s="257">
        <v>5</v>
      </c>
      <c r="C7" s="258" t="str">
        <f>UPPER(_xlfn.XLOOKUP(COMM[[#This Row],[N°]],NotesIndiv[EQUIPE],NotesIndiv[NOM2]))</f>
        <v>PET PEETCH</v>
      </c>
      <c r="D7" s="4" t="s">
        <v>163</v>
      </c>
    </row>
    <row r="8" spans="2:4" ht="90" x14ac:dyDescent="0.25">
      <c r="B8" s="258">
        <v>6</v>
      </c>
      <c r="C8" s="258" t="str">
        <f>UPPER(_xlfn.XLOOKUP(COMM[[#This Row],[N°]],NotesIndiv[EQUIPE],NotesIndiv[NOM2]))</f>
        <v>DISNOV</v>
      </c>
      <c r="D8" s="4" t="s">
        <v>175</v>
      </c>
    </row>
    <row r="9" spans="2:4" x14ac:dyDescent="0.25">
      <c r="B9" s="257">
        <v>7</v>
      </c>
      <c r="C9" s="258" t="str">
        <f>UPPER(_xlfn.XLOOKUP(COMM[[#This Row],[N°]],NotesIndiv[EQUIPE],NotesIndiv[NOM2]))</f>
        <v>SYSTÈME SUN</v>
      </c>
    </row>
    <row r="10" spans="2:4" ht="135" x14ac:dyDescent="0.25">
      <c r="B10" s="258">
        <v>8</v>
      </c>
      <c r="C10" s="258" t="str">
        <f>UPPER(_xlfn.XLOOKUP(COMM[[#This Row],[N°]],NotesIndiv[EQUIPE],NotesIndiv[NOM2]))</f>
        <v>HOMA</v>
      </c>
      <c r="D10" s="4" t="s">
        <v>160</v>
      </c>
    </row>
    <row r="11" spans="2:4" x14ac:dyDescent="0.25">
      <c r="B11" s="257">
        <v>9</v>
      </c>
      <c r="C11" s="258" t="str">
        <f>UPPER(_xlfn.XLOOKUP(COMM[[#This Row],[N°]],NotesIndiv[EQUIPE],NotesIndiv[NOM2]))</f>
        <v xml:space="preserve">POLVISION </v>
      </c>
    </row>
    <row r="12" spans="2:4" ht="210" x14ac:dyDescent="0.25">
      <c r="B12" s="258">
        <v>10</v>
      </c>
      <c r="C12" s="258" t="str">
        <f>UPPER(_xlfn.XLOOKUP(COMM[[#This Row],[N°]],NotesIndiv[EQUIPE],NotesIndiv[NOM2]))</f>
        <v>BIO CHEWING-GUMS</v>
      </c>
      <c r="D12" s="4" t="s">
        <v>169</v>
      </c>
    </row>
    <row r="13" spans="2:4" ht="90" x14ac:dyDescent="0.25">
      <c r="B13" s="257">
        <v>11</v>
      </c>
      <c r="C13" s="258" t="str">
        <f>UPPER(_xlfn.XLOOKUP(COMM[[#This Row],[N°]],NotesIndiv[EQUIPE],NotesIndiv[NOM2]))</f>
        <v>EKO</v>
      </c>
      <c r="D13" s="4" t="s">
        <v>170</v>
      </c>
    </row>
    <row r="14" spans="2:4" ht="150" x14ac:dyDescent="0.25">
      <c r="B14" s="258">
        <v>12</v>
      </c>
      <c r="C14" s="258" t="str">
        <f>UPPER(_xlfn.XLOOKUP(COMM[[#This Row],[N°]],NotesIndiv[EQUIPE],NotesIndiv[NOM2]))</f>
        <v>REGL’O</v>
      </c>
      <c r="D14" s="4" t="s">
        <v>162</v>
      </c>
    </row>
    <row r="15" spans="2:4" ht="195" x14ac:dyDescent="0.25">
      <c r="B15" s="257">
        <v>13</v>
      </c>
      <c r="C15" s="258" t="str">
        <f>UPPER(_xlfn.XLOOKUP(COMM[[#This Row],[N°]],NotesIndiv[EQUIPE],NotesIndiv[NOM2]))</f>
        <v>BIOCAF</v>
      </c>
      <c r="D15" s="4" t="s">
        <v>174</v>
      </c>
    </row>
    <row r="16" spans="2:4" ht="150" x14ac:dyDescent="0.25">
      <c r="B16" s="258">
        <v>14</v>
      </c>
      <c r="C16" s="258" t="str">
        <f>UPPER(_xlfn.XLOOKUP(COMM[[#This Row],[N°]],NotesIndiv[EQUIPE],NotesIndiv[NOM2]))</f>
        <v>GREEN’TECH</v>
      </c>
      <c r="D16" s="4" t="s">
        <v>167</v>
      </c>
    </row>
    <row r="17" spans="2:4" ht="90" x14ac:dyDescent="0.25">
      <c r="B17" s="257">
        <v>15</v>
      </c>
      <c r="C17" s="258" t="str">
        <f>UPPER(_xlfn.XLOOKUP(COMM[[#This Row],[N°]],NotesIndiv[EQUIPE],NotesIndiv[NOM2]))</f>
        <v>JEU TSA</v>
      </c>
      <c r="D17" s="4" t="s">
        <v>164</v>
      </c>
    </row>
    <row r="18" spans="2:4" ht="150.75" thickBot="1" x14ac:dyDescent="0.3">
      <c r="B18" s="259">
        <v>16</v>
      </c>
      <c r="C18" s="258" t="str">
        <f>UPPER(_xlfn.XLOOKUP(COMM[[#This Row],[N°]],NotesIndiv[EQUIPE],NotesIndiv[NOM2]))</f>
        <v>SKICO</v>
      </c>
      <c r="D18" s="4" t="s">
        <v>165</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07EE-C48B-4AAF-8D42-0400F6A71BEE}">
  <sheetPr>
    <tabColor rgb="FFFF0000"/>
  </sheetPr>
  <dimension ref="C2:V26"/>
  <sheetViews>
    <sheetView showGridLines="0" tabSelected="1" workbookViewId="0">
      <selection activeCell="A34" sqref="A34"/>
    </sheetView>
  </sheetViews>
  <sheetFormatPr baseColWidth="10" defaultRowHeight="15" x14ac:dyDescent="0.25"/>
  <cols>
    <col min="1" max="1" width="3.85546875" customWidth="1"/>
    <col min="2" max="2" width="3.140625" customWidth="1"/>
    <col min="10" max="12" width="5.5703125" customWidth="1"/>
    <col min="19" max="19" width="6.7109375" customWidth="1"/>
  </cols>
  <sheetData>
    <row r="2" spans="3:9" ht="15.75" thickBot="1" x14ac:dyDescent="0.3"/>
    <row r="3" spans="3:9" ht="15.75" thickTop="1" x14ac:dyDescent="0.25">
      <c r="C3" s="152" t="s">
        <v>144</v>
      </c>
      <c r="D3" s="202"/>
      <c r="E3" s="153"/>
      <c r="F3" s="153"/>
      <c r="G3" s="154"/>
      <c r="H3" s="154"/>
      <c r="I3" s="154"/>
    </row>
    <row r="4" spans="3:9" ht="72.75" customHeight="1" thickBot="1" x14ac:dyDescent="0.3">
      <c r="C4" s="127"/>
      <c r="D4" s="128"/>
      <c r="E4" s="128"/>
      <c r="F4" s="128"/>
      <c r="G4" s="128"/>
      <c r="H4" s="128"/>
      <c r="I4" s="128"/>
    </row>
    <row r="5" spans="3:9" ht="15.75" thickTop="1" x14ac:dyDescent="0.25"/>
    <row r="17" spans="13:22" x14ac:dyDescent="0.25">
      <c r="O17" s="325" t="s">
        <v>254</v>
      </c>
    </row>
    <row r="18" spans="13:22" ht="23.25" x14ac:dyDescent="0.25">
      <c r="O18" s="319" t="s">
        <v>248</v>
      </c>
      <c r="P18" s="319" t="s">
        <v>141</v>
      </c>
      <c r="Q18" s="319" t="s">
        <v>249</v>
      </c>
      <c r="R18" s="319" t="s">
        <v>250</v>
      </c>
      <c r="S18" s="319" t="s">
        <v>251</v>
      </c>
      <c r="T18" s="324" t="s">
        <v>252</v>
      </c>
      <c r="U18" s="319"/>
      <c r="V18" s="324" t="s">
        <v>253</v>
      </c>
    </row>
    <row r="19" spans="13:22" x14ac:dyDescent="0.25">
      <c r="M19" s="328">
        <f>ROW()</f>
        <v>19</v>
      </c>
      <c r="N19" s="130" t="s">
        <v>106</v>
      </c>
      <c r="O19" s="130" cm="1">
        <f t="array" aca="1" ref="O19" ca="1">_xlfn.XLOOKUP('FEUILLE RECAP'!$B$1,NotesEQ[N°],INDIRECT(V19))</f>
        <v>4.5</v>
      </c>
      <c r="P19" s="130">
        <f ca="1">Q19-O19</f>
        <v>0.5</v>
      </c>
      <c r="Q19" s="130" cm="1">
        <f t="array" ref="Q19:Q26">TRANSPOSE(NOTESEQUIP!K2:R2)</f>
        <v>5</v>
      </c>
      <c r="R19" s="322" t="str">
        <f ca="1">_xlfn.CONCAT(O19,"/",Q19)</f>
        <v>4,5/5</v>
      </c>
      <c r="S19" s="157">
        <f ca="1">O19/Q19</f>
        <v>0.9</v>
      </c>
      <c r="T19" s="320"/>
      <c r="U19" s="320"/>
      <c r="V19" t="str">
        <f>"NotesEQ["&amp;N19&amp;"]"</f>
        <v>NotesEQ[Métier]</v>
      </c>
    </row>
    <row r="20" spans="13:22" x14ac:dyDescent="0.25">
      <c r="M20" s="328">
        <f>ROW()</f>
        <v>20</v>
      </c>
      <c r="N20" s="130" t="s">
        <v>107</v>
      </c>
      <c r="O20" s="130" cm="1">
        <f t="array" aca="1" ref="O20" ca="1">_xlfn.XLOOKUP('FEUILLE RECAP'!$B$1,NotesEQ[N°],INDIRECT(V20))</f>
        <v>4.5</v>
      </c>
      <c r="P20" s="130">
        <f ca="1">Q20-O20</f>
        <v>0.5</v>
      </c>
      <c r="Q20" s="130">
        <v>5</v>
      </c>
      <c r="R20" s="322" t="str">
        <f ca="1">_xlfn.CONCAT(O20,"/",Q20)</f>
        <v>4,5/5</v>
      </c>
      <c r="S20" s="157">
        <f ca="1">O20/Q20</f>
        <v>0.9</v>
      </c>
      <c r="T20" s="320"/>
      <c r="U20" s="320"/>
      <c r="V20" t="str">
        <f>"NotesEQ["&amp;N20&amp;"]"</f>
        <v>NotesEQ[Motivations]</v>
      </c>
    </row>
    <row r="21" spans="13:22" x14ac:dyDescent="0.25">
      <c r="M21" s="328">
        <f>ROW()</f>
        <v>21</v>
      </c>
      <c r="N21" s="130" t="s">
        <v>108</v>
      </c>
      <c r="O21" s="130" cm="1">
        <f t="array" aca="1" ref="O21" ca="1">_xlfn.XLOOKUP('FEUILLE RECAP'!$B$1,NotesEQ[N°],INDIRECT(V21))</f>
        <v>4.5</v>
      </c>
      <c r="P21" s="130">
        <f ca="1">Q21-O21</f>
        <v>0.5</v>
      </c>
      <c r="Q21" s="130">
        <v>5</v>
      </c>
      <c r="R21" s="322" t="str">
        <f ca="1">_xlfn.CONCAT(O21,"/",Q21)</f>
        <v>4,5/5</v>
      </c>
      <c r="S21" s="157">
        <f ca="1">O21/Q21</f>
        <v>0.9</v>
      </c>
      <c r="T21" s="320" t="str">
        <f ca="1">SUM(O19:O21)&amp;"/"&amp;SUM(Q19:Q21)</f>
        <v>13,5/15</v>
      </c>
      <c r="U21" s="326" t="str">
        <f ca="1">T21</f>
        <v>13,5/15</v>
      </c>
      <c r="V21" t="str">
        <f>"NotesEQ["&amp;N21&amp;"]"</f>
        <v>NotesEQ[Moyens]</v>
      </c>
    </row>
    <row r="22" spans="13:22" x14ac:dyDescent="0.25">
      <c r="M22" s="328">
        <f>ROW()</f>
        <v>22</v>
      </c>
      <c r="N22" s="131" t="s">
        <v>113</v>
      </c>
      <c r="O22" s="131" cm="1">
        <f t="array" aca="1" ref="O22" ca="1">_xlfn.XLOOKUP('FEUILLE RECAP'!$B$1,NotesEQ[N°],INDIRECT(V22))</f>
        <v>4.5</v>
      </c>
      <c r="P22" s="131">
        <f ca="1">Q22-O22</f>
        <v>5.5</v>
      </c>
      <c r="Q22" s="131">
        <v>10</v>
      </c>
      <c r="R22" s="323" t="str">
        <f ca="1">_xlfn.CONCAT(O22,"/",Q22)</f>
        <v>4,5/10</v>
      </c>
      <c r="S22" s="159">
        <f ca="1">O22/Q22</f>
        <v>0.45</v>
      </c>
      <c r="T22" s="321"/>
      <c r="U22" s="327"/>
      <c r="V22" t="str">
        <f>"NotesEQ["&amp;N22&amp;"]"</f>
        <v>NotesEQ[Marché]</v>
      </c>
    </row>
    <row r="23" spans="13:22" x14ac:dyDescent="0.25">
      <c r="M23" s="328">
        <f>ROW()</f>
        <v>23</v>
      </c>
      <c r="N23" s="131" t="s">
        <v>114</v>
      </c>
      <c r="O23" s="131" cm="1">
        <f t="array" aca="1" ref="O23" ca="1">_xlfn.XLOOKUP('FEUILLE RECAP'!$B$1,NotesEQ[N°],INDIRECT(V23))</f>
        <v>4.5</v>
      </c>
      <c r="P23" s="131">
        <f ca="1">Q23-O23</f>
        <v>5.5</v>
      </c>
      <c r="Q23" s="131">
        <v>10</v>
      </c>
      <c r="R23" s="323" t="str">
        <f ca="1">_xlfn.CONCAT(O23,"/",Q23)</f>
        <v>4,5/10</v>
      </c>
      <c r="S23" s="159">
        <f ca="1">O23/Q23</f>
        <v>0.45</v>
      </c>
      <c r="T23" s="321"/>
      <c r="U23" s="327"/>
      <c r="V23" t="str">
        <f>"NotesEQ["&amp;N23&amp;"]"</f>
        <v>NotesEQ[Zoom]</v>
      </c>
    </row>
    <row r="24" spans="13:22" x14ac:dyDescent="0.25">
      <c r="M24" s="328">
        <f>ROW()</f>
        <v>24</v>
      </c>
      <c r="N24" s="131" t="s">
        <v>115</v>
      </c>
      <c r="O24" s="131" cm="1">
        <f t="array" aca="1" ref="O24" ca="1">_xlfn.XLOOKUP('FEUILLE RECAP'!$B$1,NotesEQ[N°],INDIRECT(V24))</f>
        <v>4.5</v>
      </c>
      <c r="P24" s="131">
        <f ca="1">Q24-O24</f>
        <v>5.5</v>
      </c>
      <c r="Q24" s="131">
        <v>10</v>
      </c>
      <c r="R24" s="323" t="str">
        <f ca="1">_xlfn.CONCAT(O24,"/",Q24)</f>
        <v>4,5/10</v>
      </c>
      <c r="S24" s="159">
        <f ca="1">O24/Q24</f>
        <v>0.45</v>
      </c>
      <c r="T24" s="321"/>
      <c r="U24" s="327"/>
      <c r="V24" t="str">
        <f>"NotesEQ["&amp;N24&amp;"]"</f>
        <v>NotesEQ[Pestel]</v>
      </c>
    </row>
    <row r="25" spans="13:22" x14ac:dyDescent="0.25">
      <c r="M25" s="328">
        <f>ROW()</f>
        <v>25</v>
      </c>
      <c r="N25" s="131" t="s">
        <v>116</v>
      </c>
      <c r="O25" s="131" cm="1">
        <f t="array" aca="1" ref="O25" ca="1">_xlfn.XLOOKUP('FEUILLE RECAP'!$B$1,NotesEQ[N°],INDIRECT(V25))</f>
        <v>4.5</v>
      </c>
      <c r="P25" s="131">
        <f ca="1">Q25-O25</f>
        <v>5.5</v>
      </c>
      <c r="Q25" s="131">
        <v>10</v>
      </c>
      <c r="R25" s="323" t="str">
        <f ca="1">_xlfn.CONCAT(O25,"/",Q25)</f>
        <v>4,5/10</v>
      </c>
      <c r="S25" s="159">
        <f ca="1">O25/Q25</f>
        <v>0.45</v>
      </c>
      <c r="T25" s="321"/>
      <c r="U25" s="327"/>
      <c r="V25" t="str">
        <f>"NotesEQ["&amp;N25&amp;"]"</f>
        <v>NotesEQ[Porter]</v>
      </c>
    </row>
    <row r="26" spans="13:22" x14ac:dyDescent="0.25">
      <c r="M26" s="328">
        <f>ROW()</f>
        <v>26</v>
      </c>
      <c r="N26" s="131" t="s">
        <v>117</v>
      </c>
      <c r="O26" s="131" cm="1">
        <f t="array" aca="1" ref="O26" ca="1">_xlfn.XLOOKUP('FEUILLE RECAP'!$B$1,NotesEQ[N°],INDIRECT(V26))</f>
        <v>4.5</v>
      </c>
      <c r="P26" s="131">
        <f ca="1">Q26-O26</f>
        <v>5.5</v>
      </c>
      <c r="Q26" s="131">
        <v>10</v>
      </c>
      <c r="R26" s="323" t="str">
        <f ca="1">_xlfn.CONCAT(O26,"/",Q26)</f>
        <v>4,5/10</v>
      </c>
      <c r="S26" s="159">
        <f ca="1">O26/Q26</f>
        <v>0.45</v>
      </c>
      <c r="T26" s="321" t="str">
        <f ca="1">SUM(O22:O26)&amp;"/"&amp;SUM(Q22:Q26)</f>
        <v>22,5/50</v>
      </c>
      <c r="U26" s="327"/>
      <c r="V26" t="str">
        <f>"NotesEQ["&amp;N26&amp;"]"</f>
        <v>NotesEQ[SWOT]</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8a47faa-dc84-43d5-b041-f3e6634da0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E3EAD5A09E8A446950C7794BE9A6658" ma:contentTypeVersion="13" ma:contentTypeDescription="Crée un document." ma:contentTypeScope="" ma:versionID="635c0ef214b54724cee5a0c27fdff98f">
  <xsd:schema xmlns:xsd="http://www.w3.org/2001/XMLSchema" xmlns:xs="http://www.w3.org/2001/XMLSchema" xmlns:p="http://schemas.microsoft.com/office/2006/metadata/properties" xmlns:ns3="c5c012e3-1e5f-4d3d-b3ca-15d856cf3c9f" xmlns:ns4="b8a47faa-dc84-43d5-b041-f3e6634da051" targetNamespace="http://schemas.microsoft.com/office/2006/metadata/properties" ma:root="true" ma:fieldsID="e623d22e65915cc7b618c00231d959db" ns3:_="" ns4:_="">
    <xsd:import namespace="c5c012e3-1e5f-4d3d-b3ca-15d856cf3c9f"/>
    <xsd:import namespace="b8a47faa-dc84-43d5-b041-f3e6634da0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c012e3-1e5f-4d3d-b3ca-15d856cf3c9f"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SharingHintHash" ma:index="10" nillable="true" ma:displayName="Partage du hachage d’indicateu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a47faa-dc84-43d5-b041-f3e6634da05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76ECBA-7651-487F-9AA4-2867E0508110}">
  <ds:schemaRefs>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dcmitype/"/>
    <ds:schemaRef ds:uri="http://schemas.microsoft.com/office/2006/documentManagement/types"/>
    <ds:schemaRef ds:uri="b8a47faa-dc84-43d5-b041-f3e6634da051"/>
    <ds:schemaRef ds:uri="http://purl.org/dc/elements/1.1/"/>
    <ds:schemaRef ds:uri="c5c012e3-1e5f-4d3d-b3ca-15d856cf3c9f"/>
    <ds:schemaRef ds:uri="http://purl.org/dc/terms/"/>
  </ds:schemaRefs>
</ds:datastoreItem>
</file>

<file path=customXml/itemProps2.xml><?xml version="1.0" encoding="utf-8"?>
<ds:datastoreItem xmlns:ds="http://schemas.openxmlformats.org/officeDocument/2006/customXml" ds:itemID="{9A53DCB1-B61C-4BF4-9AB8-8527E2750930}">
  <ds:schemaRefs>
    <ds:schemaRef ds:uri="http://schemas.microsoft.com/sharepoint/v3/contenttype/forms"/>
  </ds:schemaRefs>
</ds:datastoreItem>
</file>

<file path=customXml/itemProps3.xml><?xml version="1.0" encoding="utf-8"?>
<ds:datastoreItem xmlns:ds="http://schemas.openxmlformats.org/officeDocument/2006/customXml" ds:itemID="{3E5BC757-E187-49EA-8B73-9D77ECFE65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c012e3-1e5f-4d3d-b3ca-15d856cf3c9f"/>
    <ds:schemaRef ds:uri="b8a47faa-dc84-43d5-b041-f3e6634da0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FEUILLE RECAP</vt:lpstr>
      <vt:lpstr>NOTESEQUIP</vt:lpstr>
      <vt:lpstr>NOTESINDIV</vt:lpstr>
      <vt:lpstr>Comment</vt:lpstr>
      <vt:lpstr>Explications Probleme</vt:lpstr>
      <vt:lpstr>'FEUILLE RECAP'!Impression_des_titres</vt:lpstr>
      <vt:lpstr>'FEUILLE RECAP'!Zone_d_impression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 __</dc:creator>
  <cp:lastModifiedBy>BRUNEAU Christophe</cp:lastModifiedBy>
  <cp:lastPrinted>2023-11-13T20:58:15Z</cp:lastPrinted>
  <dcterms:created xsi:type="dcterms:W3CDTF">2023-11-11T18:22:37Z</dcterms:created>
  <dcterms:modified xsi:type="dcterms:W3CDTF">2023-11-13T23:12:52Z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0x010100EE3EAD5A09E8A446950C7794BE9A6658</vt:lpwstr>
  </property>
</Properties>
</file>