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tables/table1.xml" ContentType="application/vnd.openxmlformats-officedocument.spreadsheetml.table+xml"/>
  <Override PartName="/xl/drawings/drawing4.xml" ContentType="application/vnd.openxmlformats-officedocument.drawing+xml"/>
  <Override PartName="/xl/ctrlProps/ctrlProp1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ctrlProps/ctrlProp15.xml" ContentType="application/vnd.ms-excel.controlproperties+xml"/>
  <Override PartName="/xl/drawings/drawing6.xml" ContentType="application/vnd.openxmlformats-officedocument.drawing+xml"/>
  <Override PartName="/xl/ctrlProps/ctrlProp1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mc:AlternateContent xmlns:mc="http://schemas.openxmlformats.org/markup-compatibility/2006">
    <mc:Choice Requires="x15">
      <x15ac:absPath xmlns:x15ac="http://schemas.microsoft.com/office/spreadsheetml/2010/11/ac" url="C:\Users\MarylineRaczka\OneDrive - SAFRAM SA\MARYLINE\Projets en cours\"/>
    </mc:Choice>
  </mc:AlternateContent>
  <xr:revisionPtr revIDLastSave="0" documentId="13_ncr:11_{494BCC6C-EADC-412B-B1BD-9CF033D5FD1E}" xr6:coauthVersionLast="47" xr6:coauthVersionMax="47" xr10:uidLastSave="{00000000-0000-0000-0000-000000000000}"/>
  <bookViews>
    <workbookView xWindow="-110" yWindow="-110" windowWidth="19420" windowHeight="11620" tabRatio="655" xr2:uid="{00000000-000D-0000-FFFF-FFFF00000000}"/>
  </bookViews>
  <sheets>
    <sheet name="Cotation" sheetId="1" r:id="rId1"/>
    <sheet name="Cubage" sheetId="10" r:id="rId2"/>
    <sheet name="Frais annexes" sheetId="9" r:id="rId3"/>
    <sheet name="Frais annexes simplifiés" sheetId="15" r:id="rId4"/>
    <sheet name="Textes" sheetId="12" r:id="rId5"/>
    <sheet name="Données" sheetId="14" r:id="rId6"/>
    <sheet name="Calculs" sheetId="2" state="hidden" r:id="rId7"/>
  </sheets>
  <externalReferences>
    <externalReference r:id="rId8"/>
  </externalReferences>
  <definedNames>
    <definedName name="__xlnm.Print_Area_3">NA()</definedName>
    <definedName name="__xlnm.Print_Titles">NA()</definedName>
    <definedName name="_xlnm._FilterDatabase" localSheetId="2" hidden="1">'Frais annexes'!$A$4:$R$4</definedName>
    <definedName name="_xlnm._FilterDatabase" localSheetId="3" hidden="1">'Frais annexes simplifiés'!$A$4:$R$4</definedName>
    <definedName name="Excel_BuiltIn__FilterDatabase_6" localSheetId="1">#REF!</definedName>
    <definedName name="Excel_BuiltIn__FilterDatabase_6" localSheetId="2">#REF!</definedName>
    <definedName name="Excel_BuiltIn__FilterDatabase_6" localSheetId="3">#REF!</definedName>
    <definedName name="Excel_BuiltIn__FilterDatabase_6">#REF!</definedName>
    <definedName name="Excel_BuiltIn_Print_Area_1_1" localSheetId="1">#REF!</definedName>
    <definedName name="Excel_BuiltIn_Print_Area_1_1" localSheetId="2">#REF!</definedName>
    <definedName name="Excel_BuiltIn_Print_Area_1_1" localSheetId="3">#REF!</definedName>
    <definedName name="Excel_BuiltIn_Print_Area_1_1">#REF!</definedName>
    <definedName name="Excel_BuiltIn_Print_Area_2_1" localSheetId="1">#REF!</definedName>
    <definedName name="Excel_BuiltIn_Print_Area_2_1" localSheetId="2">#REF!</definedName>
    <definedName name="Excel_BuiltIn_Print_Area_2_1" localSheetId="3">#REF!</definedName>
    <definedName name="Excel_BuiltIn_Print_Area_2_1">#REF!</definedName>
    <definedName name="Excel_BuiltIn_Print_Area_3_1" localSheetId="1">#REF!</definedName>
    <definedName name="Excel_BuiltIn_Print_Area_3_1" localSheetId="2">#REF!</definedName>
    <definedName name="Excel_BuiltIn_Print_Area_3_1" localSheetId="3">#REF!</definedName>
    <definedName name="Excel_BuiltIn_Print_Area_3_1">#REF!</definedName>
    <definedName name="Excel_BuiltIn_Print_Area_4_1" localSheetId="1">#REF!</definedName>
    <definedName name="Excel_BuiltIn_Print_Area_4_1" localSheetId="2">#REF!</definedName>
    <definedName name="Excel_BuiltIn_Print_Area_4_1" localSheetId="3">#REF!</definedName>
    <definedName name="Excel_BuiltIn_Print_Area_4_1">#REF!</definedName>
    <definedName name="Excel_BuiltIn_Print_Area_5_1" localSheetId="1">#REF!</definedName>
    <definedName name="Excel_BuiltIn_Print_Area_5_1" localSheetId="2">#REF!</definedName>
    <definedName name="Excel_BuiltIn_Print_Area_5_1" localSheetId="3">#REF!</definedName>
    <definedName name="Excel_BuiltIn_Print_Area_5_1">#REF!</definedName>
    <definedName name="Excel_BuiltIn_Print_Area_6_1" localSheetId="1">#REF!</definedName>
    <definedName name="Excel_BuiltIn_Print_Area_6_1" localSheetId="2">#REF!</definedName>
    <definedName name="Excel_BuiltIn_Print_Area_6_1" localSheetId="3">#REF!</definedName>
    <definedName name="Excel_BuiltIn_Print_Area_6_1">#REF!</definedName>
    <definedName name="OLE_LINK1_1" localSheetId="1">#REF!</definedName>
    <definedName name="OLE_LINK1_1" localSheetId="2">#REF!</definedName>
    <definedName name="OLE_LINK1_1" localSheetId="3">#REF!</definedName>
    <definedName name="OLE_LINK1_1">#REF!</definedName>
    <definedName name="OLE_LINK2_1" localSheetId="1">#REF!</definedName>
    <definedName name="OLE_LINK2_1" localSheetId="2">#REF!</definedName>
    <definedName name="OLE_LINK2_1" localSheetId="3">#REF!</definedName>
    <definedName name="OLE_LINK2_1">#REF!</definedName>
    <definedName name="_xlnm.Print_Area" localSheetId="0">Cotation!$A$1:$BE$66</definedName>
    <definedName name="_xlnm.Print_Area" localSheetId="1">Cubage!$A$1:$O$14</definedName>
    <definedName name="_xlnm.Print_Area" localSheetId="5">Données!$A$1:$A$65</definedName>
    <definedName name="_xlnm.Print_Area" localSheetId="4">Textes!$C$2:$E$73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J5" i="1" l="1"/>
  <c r="AU50" i="1"/>
  <c r="L5" i="10"/>
  <c r="AU47" i="1" l="1"/>
  <c r="A12" i="14"/>
  <c r="BH33" i="1"/>
  <c r="BF35" i="1"/>
  <c r="AU29" i="1"/>
  <c r="BF21" i="1"/>
  <c r="AU26" i="1"/>
  <c r="AG27" i="1" l="1"/>
  <c r="BJ49" i="1"/>
  <c r="BJ48" i="1"/>
  <c r="BJ47" i="1"/>
  <c r="AU46" i="1"/>
  <c r="AU43" i="1"/>
  <c r="AU42" i="1"/>
  <c r="AU35" i="1"/>
  <c r="AU36" i="1"/>
  <c r="AV37" i="1"/>
  <c r="BF33" i="1"/>
  <c r="AI32" i="1" s="1"/>
  <c r="AU28" i="1"/>
  <c r="E32" i="9"/>
  <c r="K28" i="9"/>
  <c r="R28" i="9"/>
  <c r="E33" i="9"/>
  <c r="E35" i="9" s="1"/>
  <c r="BK47" i="1" s="1"/>
  <c r="D30" i="9"/>
  <c r="E30" i="9"/>
  <c r="F30" i="9"/>
  <c r="G30" i="9"/>
  <c r="H30" i="9"/>
  <c r="I30" i="9"/>
  <c r="J30" i="9"/>
  <c r="K30" i="9"/>
  <c r="L30" i="9"/>
  <c r="M30" i="9"/>
  <c r="N30" i="9"/>
  <c r="O30" i="9"/>
  <c r="P30" i="9"/>
  <c r="Q30" i="9"/>
  <c r="R30" i="9"/>
  <c r="C30" i="9"/>
  <c r="D29" i="9"/>
  <c r="E29" i="9"/>
  <c r="F29" i="9"/>
  <c r="G29" i="9"/>
  <c r="H29" i="9"/>
  <c r="I29" i="9"/>
  <c r="J29" i="9"/>
  <c r="K29" i="9"/>
  <c r="L29" i="9"/>
  <c r="M29" i="9"/>
  <c r="N29" i="9"/>
  <c r="O29" i="9"/>
  <c r="P29" i="9"/>
  <c r="Q29" i="9"/>
  <c r="R29" i="9"/>
  <c r="C29" i="9"/>
  <c r="D27" i="9"/>
  <c r="E27" i="9"/>
  <c r="F27" i="9"/>
  <c r="G27" i="9"/>
  <c r="H27" i="9"/>
  <c r="I27" i="9"/>
  <c r="J27" i="9"/>
  <c r="L27" i="9"/>
  <c r="M27" i="9"/>
  <c r="N27" i="9"/>
  <c r="O27" i="9"/>
  <c r="P27" i="9"/>
  <c r="Q27" i="9"/>
  <c r="R27" i="9"/>
  <c r="C27" i="9"/>
  <c r="D28" i="9"/>
  <c r="E28" i="9"/>
  <c r="F28" i="9"/>
  <c r="H28" i="9"/>
  <c r="I28" i="9"/>
  <c r="J28" i="9"/>
  <c r="L28" i="9"/>
  <c r="M28" i="9"/>
  <c r="N28" i="9"/>
  <c r="O28" i="9"/>
  <c r="P28" i="9"/>
  <c r="Q28" i="9"/>
  <c r="C28" i="9"/>
  <c r="B8" i="9"/>
  <c r="D24" i="9"/>
  <c r="E24" i="9"/>
  <c r="F24" i="9"/>
  <c r="G24" i="9"/>
  <c r="H24" i="9"/>
  <c r="I24" i="9"/>
  <c r="J24" i="9"/>
  <c r="K24" i="9"/>
  <c r="L24" i="9"/>
  <c r="M24" i="9"/>
  <c r="N24" i="9"/>
  <c r="O24" i="9"/>
  <c r="P24" i="9"/>
  <c r="Q24" i="9"/>
  <c r="R24" i="9"/>
  <c r="D25" i="9"/>
  <c r="E25" i="9"/>
  <c r="F25" i="9"/>
  <c r="G25" i="9"/>
  <c r="H25" i="9"/>
  <c r="I25" i="9"/>
  <c r="J25" i="9"/>
  <c r="K25" i="9"/>
  <c r="L25" i="9"/>
  <c r="M25" i="9"/>
  <c r="N25" i="9"/>
  <c r="O25" i="9"/>
  <c r="P25" i="9"/>
  <c r="Q25" i="9"/>
  <c r="R25" i="9"/>
  <c r="C25" i="9"/>
  <c r="C24" i="9"/>
  <c r="C8" i="9" l="1"/>
  <c r="D8" i="9" s="1"/>
  <c r="E8" i="9" s="1"/>
  <c r="G17" i="9"/>
  <c r="E37" i="9"/>
  <c r="K15" i="9"/>
  <c r="K27" i="9" s="1"/>
  <c r="G16" i="9"/>
  <c r="G28" i="9" s="1"/>
  <c r="E38" i="9"/>
  <c r="E39" i="9"/>
  <c r="E40" i="9"/>
  <c r="BK49" i="1" s="1"/>
  <c r="E34" i="9"/>
  <c r="A14" i="12"/>
  <c r="Y16" i="1" s="1"/>
  <c r="D26" i="9" l="1"/>
  <c r="F8" i="9"/>
  <c r="E26" i="9"/>
  <c r="C26" i="9"/>
  <c r="A12" i="12"/>
  <c r="A14" i="1" s="1"/>
  <c r="A13" i="12"/>
  <c r="Y14" i="1" s="1"/>
  <c r="G8" i="9" l="1"/>
  <c r="F26" i="9"/>
  <c r="AI31" i="1"/>
  <c r="A3" i="12"/>
  <c r="U1" i="1" s="1"/>
  <c r="V20" i="1"/>
  <c r="A21" i="12"/>
  <c r="B26" i="12"/>
  <c r="A26" i="12"/>
  <c r="A65" i="12"/>
  <c r="A66" i="1" s="1"/>
  <c r="A59" i="12"/>
  <c r="A50" i="1" s="1"/>
  <c r="H8" i="9" l="1"/>
  <c r="G26" i="9"/>
  <c r="AI46" i="1"/>
  <c r="AI39" i="1"/>
  <c r="Y20" i="1"/>
  <c r="K20" i="1"/>
  <c r="AT19" i="1"/>
  <c r="A64" i="12"/>
  <c r="A64" i="1" s="1"/>
  <c r="A63" i="12"/>
  <c r="A58" i="1" s="1"/>
  <c r="A62" i="12"/>
  <c r="A57" i="1" s="1"/>
  <c r="A61" i="12"/>
  <c r="A55" i="1" s="1"/>
  <c r="A60" i="12"/>
  <c r="A58" i="12"/>
  <c r="L50" i="1" s="1"/>
  <c r="A57" i="12"/>
  <c r="L47" i="1" s="1"/>
  <c r="A56" i="12"/>
  <c r="L46" i="1" s="1"/>
  <c r="A55" i="12"/>
  <c r="L44" i="1" s="1"/>
  <c r="A54" i="12"/>
  <c r="L45" i="1" s="1"/>
  <c r="A53" i="12"/>
  <c r="L43" i="1" s="1"/>
  <c r="A52" i="12"/>
  <c r="L42" i="1" s="1"/>
  <c r="A51" i="12"/>
  <c r="A42" i="1" s="1"/>
  <c r="A50" i="12"/>
  <c r="AG40" i="1" s="1"/>
  <c r="A49" i="12"/>
  <c r="L40" i="1" s="1"/>
  <c r="A48" i="12"/>
  <c r="L39" i="1" s="1"/>
  <c r="A47" i="12"/>
  <c r="A39" i="1" s="1"/>
  <c r="A46" i="12"/>
  <c r="AM37" i="1" s="1"/>
  <c r="A45" i="12"/>
  <c r="AB36" i="1" s="1"/>
  <c r="A44" i="12"/>
  <c r="L37" i="1" s="1"/>
  <c r="A43" i="12"/>
  <c r="L36" i="1" s="1"/>
  <c r="A42" i="12"/>
  <c r="L35" i="1" s="1"/>
  <c r="A41" i="12"/>
  <c r="A35" i="1" s="1"/>
  <c r="A40" i="12"/>
  <c r="AB31" i="1" s="1"/>
  <c r="A39" i="12"/>
  <c r="L33" i="1" s="1"/>
  <c r="A38" i="12"/>
  <c r="L32" i="1" s="1"/>
  <c r="A37" i="12"/>
  <c r="L31" i="1" s="1"/>
  <c r="A36" i="12"/>
  <c r="A31" i="1" s="1"/>
  <c r="A35" i="12"/>
  <c r="L29" i="1" s="1"/>
  <c r="A34" i="12"/>
  <c r="L28" i="1" s="1"/>
  <c r="A33" i="12"/>
  <c r="L27" i="1" s="1"/>
  <c r="A32" i="12"/>
  <c r="L26" i="1" s="1"/>
  <c r="A31" i="12"/>
  <c r="A26" i="1" s="1"/>
  <c r="A30" i="12"/>
  <c r="AH24" i="1" s="1"/>
  <c r="A29" i="12"/>
  <c r="Q24" i="1" s="1"/>
  <c r="A28" i="12"/>
  <c r="A24" i="1" s="1"/>
  <c r="A27" i="12"/>
  <c r="A20" i="1" s="1"/>
  <c r="A25" i="12"/>
  <c r="A24" i="12"/>
  <c r="A23" i="12"/>
  <c r="A22" i="12"/>
  <c r="A21" i="1" s="1"/>
  <c r="A20" i="12"/>
  <c r="A19" i="12"/>
  <c r="A19" i="1" s="1"/>
  <c r="A18" i="12"/>
  <c r="A18" i="1" s="1"/>
  <c r="A17" i="12"/>
  <c r="A17" i="1" s="1"/>
  <c r="A16" i="12"/>
  <c r="A15" i="12"/>
  <c r="A11" i="12"/>
  <c r="A10" i="1" s="1"/>
  <c r="A10" i="12"/>
  <c r="A9" i="1" s="1"/>
  <c r="A9" i="12"/>
  <c r="A8" i="1" s="1"/>
  <c r="A8" i="12"/>
  <c r="AF9" i="1" s="1"/>
  <c r="A7" i="12"/>
  <c r="AF8" i="1" s="1"/>
  <c r="A6" i="12"/>
  <c r="AJ5" i="1" s="1"/>
  <c r="A5" i="12"/>
  <c r="AB5" i="1" s="1"/>
  <c r="A4" i="12"/>
  <c r="A5" i="1" s="1"/>
  <c r="I8" i="9" l="1"/>
  <c r="H26" i="9"/>
  <c r="Y19" i="1"/>
  <c r="Y18" i="1"/>
  <c r="Y15" i="1"/>
  <c r="A16" i="1"/>
  <c r="A15" i="1"/>
  <c r="L48" i="1"/>
  <c r="U37" i="1"/>
  <c r="AM36" i="1"/>
  <c r="J8" i="9" l="1"/>
  <c r="I26" i="9"/>
  <c r="AU27" i="1"/>
  <c r="K8" i="9" l="1"/>
  <c r="J26" i="9"/>
  <c r="K11" i="10"/>
  <c r="J11" i="10"/>
  <c r="I11" i="10"/>
  <c r="H11" i="10"/>
  <c r="G11" i="10"/>
  <c r="F11" i="10"/>
  <c r="E11" i="10"/>
  <c r="D11" i="10"/>
  <c r="C11" i="10"/>
  <c r="K10" i="10"/>
  <c r="J10" i="10"/>
  <c r="I10" i="10"/>
  <c r="H10" i="10"/>
  <c r="G10" i="10"/>
  <c r="F10" i="10"/>
  <c r="E10" i="10"/>
  <c r="D10" i="10"/>
  <c r="C10" i="10"/>
  <c r="B10" i="10"/>
  <c r="K8" i="10"/>
  <c r="J8" i="10"/>
  <c r="I8" i="10"/>
  <c r="H8" i="10"/>
  <c r="G8" i="10"/>
  <c r="F8" i="10"/>
  <c r="E8" i="10"/>
  <c r="D8" i="10"/>
  <c r="C8" i="10"/>
  <c r="B8" i="10"/>
  <c r="K6" i="10"/>
  <c r="J6" i="10"/>
  <c r="I6" i="10"/>
  <c r="H6" i="10"/>
  <c r="G6" i="10"/>
  <c r="F6" i="10"/>
  <c r="E6" i="10"/>
  <c r="D6" i="10"/>
  <c r="C6" i="10"/>
  <c r="B6" i="10"/>
  <c r="L8" i="9" l="1"/>
  <c r="K26" i="9"/>
  <c r="L6" i="10"/>
  <c r="L8" i="10"/>
  <c r="B12" i="10"/>
  <c r="M8" i="9" l="1"/>
  <c r="L26" i="9"/>
  <c r="I17" i="1"/>
  <c r="I18" i="1"/>
  <c r="K19" i="1" s="1"/>
  <c r="AU48" i="1" s="1"/>
  <c r="AD5" i="1"/>
  <c r="BJ3" i="1" s="1"/>
  <c r="I23" i="2"/>
  <c r="H18" i="2"/>
  <c r="O1" i="2"/>
  <c r="O8" i="2" s="1"/>
  <c r="W8" i="2" s="1"/>
  <c r="O2" i="2"/>
  <c r="J3" i="2"/>
  <c r="J4" i="2"/>
  <c r="J5" i="2"/>
  <c r="H8" i="2"/>
  <c r="I9" i="2"/>
  <c r="H21" i="2"/>
  <c r="H15" i="2"/>
  <c r="I15" i="2" s="1"/>
  <c r="I16" i="2" s="1"/>
  <c r="H2" i="2"/>
  <c r="AS9" i="1" l="1"/>
  <c r="AI33" i="1"/>
  <c r="N8" i="9"/>
  <c r="M26" i="9"/>
  <c r="AU44" i="1"/>
  <c r="AU45" i="1"/>
  <c r="A11" i="14"/>
  <c r="AR9" i="1"/>
  <c r="W27" i="1"/>
  <c r="O9" i="2"/>
  <c r="W9" i="2" s="1"/>
  <c r="I8" i="2"/>
  <c r="O5" i="2"/>
  <c r="W5" i="2" s="1"/>
  <c r="O10" i="2"/>
  <c r="W10" i="2" s="1"/>
  <c r="O13" i="2"/>
  <c r="W13" i="2" s="1"/>
  <c r="O7" i="2"/>
  <c r="W7" i="2" s="1"/>
  <c r="O6" i="2"/>
  <c r="W6" i="2" s="1"/>
  <c r="O4" i="2"/>
  <c r="W4" i="2" s="1"/>
  <c r="O12" i="2"/>
  <c r="W12" i="2" s="1"/>
  <c r="O11" i="2"/>
  <c r="W11" i="2" s="1"/>
  <c r="O8" i="9" l="1"/>
  <c r="N26" i="9"/>
  <c r="E36" i="9" s="1"/>
  <c r="BK48" i="1" s="1"/>
  <c r="BF32" i="1"/>
  <c r="AU31" i="1" s="1"/>
  <c r="BH32" i="1"/>
  <c r="BG32" i="1"/>
  <c r="K3" i="2"/>
  <c r="L3" i="2" s="1"/>
  <c r="K5" i="2"/>
  <c r="L5" i="2" s="1"/>
  <c r="K4" i="2"/>
  <c r="L4" i="2" s="1"/>
  <c r="K9" i="2"/>
  <c r="K8" i="2"/>
  <c r="W14" i="2"/>
  <c r="BF40" i="1" l="1"/>
  <c r="AP40" i="1" s="1"/>
  <c r="P8" i="9"/>
  <c r="O26" i="9"/>
  <c r="K7" i="2"/>
  <c r="AU40" i="1"/>
  <c r="AR53" i="1" s="1"/>
  <c r="Q8" i="9" l="1"/>
  <c r="P26" i="9"/>
  <c r="R8" i="9" l="1"/>
  <c r="R26" i="9" s="1"/>
  <c r="Q26" i="9"/>
</calcChain>
</file>

<file path=xl/sharedStrings.xml><?xml version="1.0" encoding="utf-8"?>
<sst xmlns="http://schemas.openxmlformats.org/spreadsheetml/2006/main" count="515" uniqueCount="353">
  <si>
    <t>du</t>
  </si>
  <si>
    <t>Société :</t>
  </si>
  <si>
    <t>A l'attention de :</t>
  </si>
  <si>
    <t>Votre référence :</t>
  </si>
  <si>
    <t>Nombre de colis :</t>
  </si>
  <si>
    <t>Poids brut total :</t>
  </si>
  <si>
    <t>Dimensions :</t>
  </si>
  <si>
    <t>Volume total :</t>
  </si>
  <si>
    <t>Poids taxable :</t>
  </si>
  <si>
    <t>Produits réglementés/dangereux :</t>
  </si>
  <si>
    <t>Kg</t>
  </si>
  <si>
    <t>M3</t>
  </si>
  <si>
    <t>Destination :</t>
  </si>
  <si>
    <t>Incoterm :</t>
  </si>
  <si>
    <t>Nature de la marchandise :</t>
  </si>
  <si>
    <t>Payant pour :</t>
  </si>
  <si>
    <t>Détail de la cotation :</t>
  </si>
  <si>
    <t>FRAIS AU DEPART</t>
  </si>
  <si>
    <t>FRET AERIEN</t>
  </si>
  <si>
    <t>Sur base poids taxable de :</t>
  </si>
  <si>
    <t>Prix au Kg</t>
  </si>
  <si>
    <t>(1Kg = 6 dm3)</t>
  </si>
  <si>
    <t>AUTRES FRAIS</t>
  </si>
  <si>
    <t>Taxe LTA :</t>
  </si>
  <si>
    <t>Taxe de sûreté :</t>
  </si>
  <si>
    <t>Taux :</t>
  </si>
  <si>
    <t>A</t>
  </si>
  <si>
    <t>B</t>
  </si>
  <si>
    <t>C</t>
  </si>
  <si>
    <t>INFORMATIONS COMPLEMENTAIRES :</t>
  </si>
  <si>
    <t>*</t>
  </si>
  <si>
    <t>IMPORT ROISSY</t>
  </si>
  <si>
    <t>EXPORT ROISSY</t>
  </si>
  <si>
    <t>PERAC ROISSY</t>
  </si>
  <si>
    <t>DOUANE ROISSY</t>
  </si>
  <si>
    <t>IMPORT ORLY</t>
  </si>
  <si>
    <t>EXPORT ORLY</t>
  </si>
  <si>
    <t>PERAC ORLY</t>
  </si>
  <si>
    <t>DOUANE ORLY</t>
  </si>
  <si>
    <t>FOB</t>
  </si>
  <si>
    <t>EX WORKS</t>
  </si>
  <si>
    <t>CFR</t>
  </si>
  <si>
    <t>DDP</t>
  </si>
  <si>
    <t>CIF</t>
  </si>
  <si>
    <t>FCA</t>
  </si>
  <si>
    <t>Client connu</t>
  </si>
  <si>
    <t>Client non connu</t>
  </si>
  <si>
    <t>US$</t>
  </si>
  <si>
    <t>£</t>
  </si>
  <si>
    <t>NTD</t>
  </si>
  <si>
    <t>Yen</t>
  </si>
  <si>
    <t>MINI</t>
  </si>
  <si>
    <t>FRET</t>
  </si>
  <si>
    <t>REEL</t>
  </si>
  <si>
    <t>Insurance &amp; Risk Charges (IRC):</t>
  </si>
  <si>
    <t>Assurance</t>
  </si>
  <si>
    <t>Sûreté</t>
  </si>
  <si>
    <t>IRC</t>
  </si>
  <si>
    <t>Zone</t>
  </si>
  <si>
    <t>Poids Brut</t>
  </si>
  <si>
    <t>Tranche -</t>
  </si>
  <si>
    <t>Tranche +</t>
  </si>
  <si>
    <t>Zone 1</t>
  </si>
  <si>
    <t>Zone 2</t>
  </si>
  <si>
    <t>Zone 3</t>
  </si>
  <si>
    <t>Zone 4</t>
  </si>
  <si>
    <t>Zone 5</t>
  </si>
  <si>
    <t>Taxe LTA</t>
  </si>
  <si>
    <t>Base fixe</t>
  </si>
  <si>
    <t>TID</t>
  </si>
  <si>
    <t>Manut FOB</t>
  </si>
  <si>
    <t>Dangereux</t>
  </si>
  <si>
    <t>Payant pour</t>
  </si>
  <si>
    <t>EUR</t>
  </si>
  <si>
    <t>Manutention :</t>
  </si>
  <si>
    <t>Mise à  FOB :</t>
  </si>
  <si>
    <t>Surcharge Fuel :</t>
  </si>
  <si>
    <t>Compagnie :</t>
  </si>
  <si>
    <t>Minimum de taxation :</t>
  </si>
  <si>
    <t>Assurance, frais de gestion* :</t>
  </si>
  <si>
    <t>DAP</t>
  </si>
  <si>
    <t>Secu</t>
  </si>
  <si>
    <t>Cyno</t>
  </si>
  <si>
    <t>Frais de sécurisation  
(RAS Cargo ou Brigade Cynotechnique)</t>
  </si>
  <si>
    <t>Frais d'apurement ECS</t>
  </si>
  <si>
    <t xml:space="preserve">   </t>
  </si>
  <si>
    <t>%</t>
  </si>
  <si>
    <t>&gt;&gt;</t>
  </si>
  <si>
    <t>Une fois la cotation remplie :</t>
  </si>
  <si>
    <t xml:space="preserve">Taxe gasoil en sus : </t>
  </si>
  <si>
    <t xml:space="preserve">Etablissement déclaration DG : </t>
  </si>
  <si>
    <t>Par vos soins</t>
  </si>
  <si>
    <t>Par Safram</t>
  </si>
  <si>
    <t>DANGEREUX</t>
  </si>
  <si>
    <t>ASSURANCE</t>
  </si>
  <si>
    <t>Etiquettage DG :</t>
  </si>
  <si>
    <t>Cargolux</t>
  </si>
  <si>
    <t>Emirates</t>
  </si>
  <si>
    <t>Lufthansa</t>
  </si>
  <si>
    <t>Swiss</t>
  </si>
  <si>
    <t>Air China</t>
  </si>
  <si>
    <t>TAP</t>
  </si>
  <si>
    <t>pour chaque expédition</t>
  </si>
  <si>
    <t>FRAIS COMPAGNIES</t>
  </si>
  <si>
    <t>fret Dangereux</t>
  </si>
  <si>
    <t>à vérifier</t>
  </si>
  <si>
    <t>057</t>
  </si>
  <si>
    <t>172</t>
  </si>
  <si>
    <t>176</t>
  </si>
  <si>
    <t>607</t>
  </si>
  <si>
    <t>074</t>
  </si>
  <si>
    <t>020</t>
  </si>
  <si>
    <t>724</t>
  </si>
  <si>
    <t>157</t>
  </si>
  <si>
    <t>999</t>
  </si>
  <si>
    <t>235</t>
  </si>
  <si>
    <t>047</t>
  </si>
  <si>
    <t>139</t>
  </si>
  <si>
    <t>615</t>
  </si>
  <si>
    <t>selon autres critères</t>
  </si>
  <si>
    <t>Code</t>
  </si>
  <si>
    <t>Détail</t>
  </si>
  <si>
    <t>AF</t>
  </si>
  <si>
    <t>CV</t>
  </si>
  <si>
    <t>EK</t>
  </si>
  <si>
    <t>EY</t>
  </si>
  <si>
    <t>KL</t>
  </si>
  <si>
    <t>LH</t>
  </si>
  <si>
    <t>LX</t>
  </si>
  <si>
    <t>QR</t>
  </si>
  <si>
    <t>CA</t>
  </si>
  <si>
    <t>TK</t>
  </si>
  <si>
    <t>TP</t>
  </si>
  <si>
    <t>AM</t>
  </si>
  <si>
    <t>QY</t>
  </si>
  <si>
    <t>HAWB LH</t>
  </si>
  <si>
    <t>FHL-FWB</t>
  </si>
  <si>
    <t>0,480 /kg Min 80 max 795</t>
  </si>
  <si>
    <t>RAA</t>
  </si>
  <si>
    <t>DG Safram</t>
  </si>
  <si>
    <t>RAC</t>
  </si>
  <si>
    <t>DG Compagnie</t>
  </si>
  <si>
    <t>0,38 /kg min 37,35 max 797</t>
  </si>
  <si>
    <t>X-ray</t>
  </si>
  <si>
    <t>0,144 /kg mini 24,5 maxi 365</t>
  </si>
  <si>
    <t>Colis 1</t>
  </si>
  <si>
    <t>Colis 2</t>
  </si>
  <si>
    <t>Colis 3</t>
  </si>
  <si>
    <t>Colis 4</t>
  </si>
  <si>
    <t>Colis 5</t>
  </si>
  <si>
    <t>Colis 6</t>
  </si>
  <si>
    <t>Colis 7</t>
  </si>
  <si>
    <t>Colis 8</t>
  </si>
  <si>
    <t>Colis 9</t>
  </si>
  <si>
    <t>Colis 10</t>
  </si>
  <si>
    <t>Longueur</t>
  </si>
  <si>
    <t>Largeur</t>
  </si>
  <si>
    <t>Hauteur</t>
  </si>
  <si>
    <t>Quantité</t>
  </si>
  <si>
    <t>Volume en m3</t>
  </si>
  <si>
    <t>Equivalent MP</t>
  </si>
  <si>
    <t>MP</t>
  </si>
  <si>
    <t>CIP</t>
  </si>
  <si>
    <t>CPT</t>
  </si>
  <si>
    <t>DAT</t>
  </si>
  <si>
    <t>ET</t>
  </si>
  <si>
    <t>EXW</t>
  </si>
  <si>
    <t>CX</t>
  </si>
  <si>
    <t>0,165 /kg mini 28 maxi 418</t>
  </si>
  <si>
    <t>0,223 /kg mini 80 maxi 745</t>
  </si>
  <si>
    <t>Quote # (to indicate)</t>
  </si>
  <si>
    <t>Your reference :</t>
  </si>
  <si>
    <t>Following your request, please find below our best quote on shipping given below :</t>
  </si>
  <si>
    <t>Number of pcs :</t>
  </si>
  <si>
    <t>Total Gross Weight :</t>
  </si>
  <si>
    <t>Total volume :</t>
  </si>
  <si>
    <t>Nature of goods :</t>
  </si>
  <si>
    <t>Payable for :</t>
  </si>
  <si>
    <t>Dangerous goods / IMO :</t>
  </si>
  <si>
    <t>Other informations :</t>
  </si>
  <si>
    <t>LOCAL CHARGES</t>
  </si>
  <si>
    <t xml:space="preserve">Fuel taxes : </t>
  </si>
  <si>
    <t>Handling :</t>
  </si>
  <si>
    <t>AIR FREIGHT</t>
  </si>
  <si>
    <t>Company :</t>
  </si>
  <si>
    <t>Price/Kg</t>
  </si>
  <si>
    <t>Minimum :</t>
  </si>
  <si>
    <t>Taxation on chargeable weight :</t>
  </si>
  <si>
    <t>HAZARDOUS</t>
  </si>
  <si>
    <t>IMO Surcharge :</t>
  </si>
  <si>
    <t xml:space="preserve">DG Docs preparation: </t>
  </si>
  <si>
    <t>By your side</t>
  </si>
  <si>
    <t>By Safram</t>
  </si>
  <si>
    <t>DG Labelling :</t>
  </si>
  <si>
    <t>INSURANCE</t>
  </si>
  <si>
    <t>OTHER CHARGES</t>
  </si>
  <si>
    <t>AWB Tax :</t>
  </si>
  <si>
    <t>Safety Taxes :</t>
  </si>
  <si>
    <t>Fuel Surcharge :</t>
  </si>
  <si>
    <t>Security charges if opaque cargo  
(RAS Cargo or Dog Unit Patrol)</t>
  </si>
  <si>
    <t>ADDITIONAL INFORMATIONS :</t>
  </si>
  <si>
    <t>"Due to the current situation in Ukraine affecting the global economy, all airlines reserve the right to change their prices without notice or cancel their flights at any time.  Safram will not be liable for any costs incurred as a result of these changes/cancellations."</t>
  </si>
  <si>
    <t>Chargeable Weight :</t>
  </si>
  <si>
    <t>Tarif standard non prioritaire - sous réserve de capacité compagnie</t>
  </si>
  <si>
    <t>"En raison de la situation géopolitique actuelle, toutes les compagnies se réservent le droit de modifier leurs prix sans préavis ou d'annuler leur vols à tout moment. Safram ne pourra être tenu pour responsable des frais engendrés par ces modifications/annulations."</t>
  </si>
  <si>
    <t>Validité de la cotation :</t>
  </si>
  <si>
    <t xml:space="preserve">Aéroport de départ : </t>
  </si>
  <si>
    <t>Aéroport d'arrivée :</t>
  </si>
  <si>
    <t>Livraison :</t>
  </si>
  <si>
    <t>Quote details :</t>
  </si>
  <si>
    <t>Airport of departure :</t>
  </si>
  <si>
    <t>Airport of Arrival :</t>
  </si>
  <si>
    <r>
      <t xml:space="preserve">Cotation n° </t>
    </r>
    <r>
      <rPr>
        <i/>
        <sz val="9"/>
        <rFont val="Arial"/>
        <family val="2"/>
      </rPr>
      <t>(à rappeler)</t>
    </r>
  </si>
  <si>
    <t>Nous faisons suite à votre demande et vous prions de trouver ci-après notre meilleure estimation concernant l'expédition reprise ci-dessous :</t>
  </si>
  <si>
    <t>Par</t>
  </si>
  <si>
    <t xml:space="preserve"> ECO Rates non-priority - subject to company capacity</t>
  </si>
  <si>
    <t>LANGUE</t>
  </si>
  <si>
    <t>FR</t>
  </si>
  <si>
    <t>Incoterms</t>
  </si>
  <si>
    <t>N° cotation</t>
  </si>
  <si>
    <t>SELECTIONNE</t>
  </si>
  <si>
    <t>GB</t>
  </si>
  <si>
    <t>Of</t>
  </si>
  <si>
    <t>Quote validity :</t>
  </si>
  <si>
    <t>TOTAL</t>
  </si>
  <si>
    <t>Insurance fees* :</t>
  </si>
  <si>
    <t>(**) Soumis à variation du taux de change EUR/USD. Montant actualisable au moment du départ.</t>
  </si>
  <si>
    <t>(**) Subject to variations in the EUR/USD exchange rate. Amount to be updated upon departure.</t>
  </si>
  <si>
    <t>(*) Ordre d'assurance à nous confirmer par écrit. Cette cotation est soumise aux conditions générales de vente disponibles sur simple demande.</t>
  </si>
  <si>
    <t>(*) Insurance order to be confirmed to us by e-mail. This quotation is subject to the general sales conditions available upon request.</t>
  </si>
  <si>
    <t>Air additionnal charges :</t>
  </si>
  <si>
    <t>Frais aériens annexes :</t>
  </si>
  <si>
    <t>DESTINATION</t>
  </si>
  <si>
    <t>OUI</t>
  </si>
  <si>
    <t>NON</t>
  </si>
  <si>
    <t>YES</t>
  </si>
  <si>
    <t>NO</t>
  </si>
  <si>
    <t>Détails DGX :</t>
  </si>
  <si>
    <t>HAZ details :</t>
  </si>
  <si>
    <t>COTATION EXPORT AERIENNE</t>
  </si>
  <si>
    <t>AIR EXPORT QUOTATION</t>
  </si>
  <si>
    <t>de 0 à 44 kg</t>
  </si>
  <si>
    <t>de 44 à 99 kg</t>
  </si>
  <si>
    <t>de 100 à 299 kg</t>
  </si>
  <si>
    <t>+ de 300 kg</t>
  </si>
  <si>
    <t>0,30 €/kg</t>
  </si>
  <si>
    <t>0,15 €/kg</t>
  </si>
  <si>
    <t>0,08 €/kg</t>
  </si>
  <si>
    <t>0,05 €/kg</t>
  </si>
  <si>
    <t>Marges minimum / kg :</t>
  </si>
  <si>
    <t>ECS clearance :</t>
  </si>
  <si>
    <t>LTA Papier</t>
  </si>
  <si>
    <t>0,48 /kg Min 80 max 795</t>
  </si>
  <si>
    <t>contrôle LQ / lithium</t>
  </si>
  <si>
    <t>KLM (AF)</t>
  </si>
  <si>
    <t>Air France (AF)</t>
  </si>
  <si>
    <t>Cathay Pacific</t>
  </si>
  <si>
    <t>Ethiad (Airnautic)</t>
  </si>
  <si>
    <t>Ethiopian (ATC)</t>
  </si>
  <si>
    <t>Turkish (Global)</t>
  </si>
  <si>
    <t>Aeromexico (aerocargo)</t>
  </si>
  <si>
    <t>Qatar (aerocargo)</t>
  </si>
  <si>
    <t>European Air DHL (aerocargo)</t>
  </si>
  <si>
    <t>compagnie vérifiée</t>
  </si>
  <si>
    <t>non appliqué</t>
  </si>
  <si>
    <t>sécurisation si non effectuée par FH</t>
  </si>
  <si>
    <t>?</t>
  </si>
  <si>
    <t>SCC / XBC / XXC</t>
  </si>
  <si>
    <t>SFC / MOC</t>
  </si>
  <si>
    <t>BIC / MVC</t>
  </si>
  <si>
    <t>compagnie à vérifier</t>
  </si>
  <si>
    <t>CBC / DFC / CSC</t>
  </si>
  <si>
    <t>Scan MRN (ECS)</t>
  </si>
  <si>
    <t>AWB / CHC</t>
  </si>
  <si>
    <t>CCC / CGC</t>
  </si>
  <si>
    <t>BFC / BGC / BGC</t>
  </si>
  <si>
    <t>nav &gt; CDG 0,25 /kg mini 30</t>
  </si>
  <si>
    <t>FOB charges :</t>
  </si>
  <si>
    <t>Taxe sur produits dangereux :</t>
  </si>
  <si>
    <t>To the attention of :</t>
  </si>
  <si>
    <t>Au départ de :</t>
  </si>
  <si>
    <t>From departure :</t>
  </si>
  <si>
    <t>A destination de :</t>
  </si>
  <si>
    <t>To destination :</t>
  </si>
  <si>
    <t>Frais arrivée et livraison DAP (**) :</t>
  </si>
  <si>
    <t>DAP Arrival and delivery costs (**) :</t>
  </si>
  <si>
    <t>Autres éléments particuliers :</t>
  </si>
  <si>
    <t>Taux de change du jour : 1 EUR =</t>
  </si>
  <si>
    <t>Daily exchange rate : 1 EUR =</t>
  </si>
  <si>
    <t>forfait Sécuridis</t>
  </si>
  <si>
    <t>Air Algérie</t>
  </si>
  <si>
    <t>AH</t>
  </si>
  <si>
    <t>Cyno/RAS Cargo</t>
  </si>
  <si>
    <t>TAXE LTA</t>
  </si>
  <si>
    <t>ECS</t>
  </si>
  <si>
    <t>FRAIS ANNEXES</t>
  </si>
  <si>
    <t>FSC / MRC</t>
  </si>
  <si>
    <t>/ MSC</t>
  </si>
  <si>
    <t>/ IRC</t>
  </si>
  <si>
    <t>Fret Secu KG</t>
  </si>
  <si>
    <t>Fret Secu Maxi</t>
  </si>
  <si>
    <t>Fret Secu Mini</t>
  </si>
  <si>
    <t>mini ECS 40,50 / mois ?</t>
  </si>
  <si>
    <t>remontée DG / supplément</t>
  </si>
  <si>
    <t>TAXE DGR</t>
  </si>
  <si>
    <t>DGR special</t>
  </si>
  <si>
    <t>DGR SUPP</t>
  </si>
  <si>
    <t>pour cotation</t>
  </si>
  <si>
    <t>0,30 /kg min 50 /lith 39,85 EQ</t>
  </si>
  <si>
    <t>AUTRE INFOS</t>
  </si>
  <si>
    <t>au kg/ mini/ maxi</t>
  </si>
  <si>
    <t>au kg</t>
  </si>
  <si>
    <t>AUTRES INFOS</t>
  </si>
  <si>
    <t>DGR SPECIAL</t>
  </si>
  <si>
    <t>COMPAGNIE :</t>
  </si>
  <si>
    <t>DGR SPECIAL (EQ, Lithium)</t>
  </si>
  <si>
    <t>RAC + CAO</t>
  </si>
  <si>
    <t>RAC + PAX DGA</t>
  </si>
  <si>
    <t>31,00 / EQ - 75 / UN3480 SI</t>
  </si>
  <si>
    <t>POIDS :</t>
  </si>
  <si>
    <t>au kg/ mini</t>
  </si>
  <si>
    <t>achat / kg - marge / kg</t>
  </si>
  <si>
    <t>total achat / marge</t>
  </si>
  <si>
    <t>forfait</t>
  </si>
  <si>
    <t>forfait mini/ marge</t>
  </si>
  <si>
    <t>By</t>
  </si>
  <si>
    <t>0,225 /kg Min 80.80 max 751</t>
  </si>
  <si>
    <t>&lt;&lt; VOL PAX OU CAO ?</t>
  </si>
  <si>
    <t>Tarif / nombre EAD</t>
  </si>
  <si>
    <t>-500 KG</t>
  </si>
  <si>
    <t>'+500 KG</t>
  </si>
  <si>
    <t>Préacheminement :</t>
  </si>
  <si>
    <t>Valeur marchandise :</t>
  </si>
  <si>
    <t>Commercial value :</t>
  </si>
  <si>
    <t>Airport trucking :</t>
  </si>
  <si>
    <t>AGENT :</t>
  </si>
  <si>
    <r>
      <t xml:space="preserve">forfait selon colisage - </t>
    </r>
    <r>
      <rPr>
        <b/>
        <i/>
        <sz val="9"/>
        <rFont val="Arial"/>
        <family val="2"/>
      </rPr>
      <t>mini VIP 50 EUR</t>
    </r>
  </si>
  <si>
    <t>(ville obligatoire)</t>
  </si>
  <si>
    <t>CH-C</t>
  </si>
  <si>
    <t>RA-C</t>
  </si>
  <si>
    <t>AW-C</t>
  </si>
  <si>
    <t>SC-C</t>
  </si>
  <si>
    <t>MY-C</t>
  </si>
  <si>
    <t>IR-C</t>
  </si>
  <si>
    <t>XR-C</t>
  </si>
  <si>
    <t>CG-C</t>
  </si>
  <si>
    <t>DF-C</t>
  </si>
  <si>
    <t>SD-A</t>
  </si>
  <si>
    <t>-500 / +500</t>
  </si>
  <si>
    <t>20230924-N</t>
  </si>
  <si>
    <t>Nadia</t>
  </si>
  <si>
    <t>Maryline</t>
  </si>
  <si>
    <t>Rodolph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</si>
</sst>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_(&quot;€&quot;* \(#,##0.00\);_(&quot;€&quot;* &quot;-&quot;??_);_(@_)"/>
    <numFmt numFmtId="165" formatCode="#,##0.000"/>
    <numFmt numFmtId="166" formatCode="mmmm\ yyyy"/>
    <numFmt numFmtId="167" formatCode="0.000"/>
    <numFmt numFmtId="168" formatCode="_-[$$-409]* #,##0.000_ ;_-[$$-409]* \-#,##0.000\ ;_-[$$-409]* &quot;-&quot;??_ ;_-@_ "/>
    <numFmt numFmtId="169" formatCode="#,##0.00\ &quot;€&quot;"/>
  </numFmts>
  <fonts count="65" x14ac:knownFonts="1">
    <font>
      <sz val="10"/>
      <name val="Arial"/>
    </font>
    <font>
      <sz val="11"/>
      <color theme="1"/>
      <name val="Calibri"/>
      <family val="2"/>
      <scheme val="minor"/>
    </font>
    <font>
      <sz val="11"/>
      <color theme="1"/>
      <name val="Calibri"/>
      <family val="2"/>
      <scheme val="minor"/>
    </font>
    <font>
      <b/>
      <sz val="20"/>
      <name val="Arial"/>
      <family val="2"/>
    </font>
    <font>
      <b/>
      <i/>
      <sz val="10"/>
      <name val="Arial"/>
      <family val="2"/>
    </font>
    <font>
      <b/>
      <sz val="11"/>
      <name val="Arial"/>
      <family val="2"/>
    </font>
    <font>
      <i/>
      <sz val="9"/>
      <name val="Arial"/>
      <family val="2"/>
    </font>
    <font>
      <b/>
      <sz val="10"/>
      <name val="Arial"/>
      <family val="2"/>
    </font>
    <font>
      <b/>
      <i/>
      <sz val="11"/>
      <name val="Arial"/>
      <family val="2"/>
    </font>
    <font>
      <u/>
      <sz val="10"/>
      <name val="Arial"/>
      <family val="2"/>
    </font>
    <font>
      <b/>
      <sz val="8"/>
      <name val="Arial"/>
      <family val="2"/>
    </font>
    <font>
      <sz val="8"/>
      <name val="Arial"/>
      <family val="2"/>
    </font>
    <font>
      <sz val="11"/>
      <name val="Arial"/>
      <family val="2"/>
    </font>
    <font>
      <b/>
      <sz val="14"/>
      <name val="Arial"/>
      <family val="2"/>
    </font>
    <font>
      <b/>
      <u/>
      <sz val="10"/>
      <name val="Arial"/>
      <family val="2"/>
    </font>
    <font>
      <sz val="10"/>
      <name val="Arial"/>
      <family val="2"/>
    </font>
    <font>
      <b/>
      <sz val="9"/>
      <name val="Arial"/>
      <family val="2"/>
    </font>
    <font>
      <b/>
      <sz val="7"/>
      <name val="Arial"/>
      <family val="2"/>
    </font>
    <font>
      <b/>
      <sz val="18"/>
      <name val="Arial"/>
      <family val="2"/>
    </font>
    <font>
      <sz val="10"/>
      <color rgb="FFFF0000"/>
      <name val="Arial"/>
      <family val="2"/>
    </font>
    <font>
      <b/>
      <sz val="10"/>
      <color rgb="FFFF0000"/>
      <name val="Arial"/>
      <family val="2"/>
    </font>
    <font>
      <b/>
      <sz val="10"/>
      <color rgb="FF000000"/>
      <name val="Arial"/>
      <family val="2"/>
    </font>
    <font>
      <sz val="8"/>
      <color rgb="FF000000"/>
      <name val="Tahoma"/>
      <family val="2"/>
    </font>
    <font>
      <sz val="9"/>
      <name val="Arial"/>
      <family val="2"/>
    </font>
    <font>
      <sz val="10"/>
      <name val="Arial"/>
      <family val="2"/>
    </font>
    <font>
      <sz val="10"/>
      <color theme="0"/>
      <name val="Arial"/>
      <family val="2"/>
    </font>
    <font>
      <sz val="8"/>
      <color rgb="FF000000"/>
      <name val="Segoe UI"/>
      <family val="2"/>
    </font>
    <font>
      <b/>
      <sz val="12"/>
      <name val="Arial"/>
      <family val="2"/>
    </font>
    <font>
      <b/>
      <sz val="11"/>
      <color theme="1"/>
      <name val="Arial"/>
      <family val="2"/>
    </font>
    <font>
      <b/>
      <sz val="12"/>
      <color theme="1"/>
      <name val="Arial"/>
      <family val="2"/>
    </font>
    <font>
      <b/>
      <i/>
      <sz val="11"/>
      <color theme="0" tint="-0.34998626667073579"/>
      <name val="Arial"/>
      <family val="2"/>
    </font>
    <font>
      <sz val="8"/>
      <color rgb="FF006600"/>
      <name val="Arial"/>
      <family val="2"/>
    </font>
    <font>
      <b/>
      <sz val="8"/>
      <color rgb="FF7030A0"/>
      <name val="Arial"/>
      <family val="2"/>
    </font>
    <font>
      <sz val="9"/>
      <color rgb="FF006600"/>
      <name val="Arial"/>
      <family val="2"/>
    </font>
    <font>
      <b/>
      <sz val="9"/>
      <color rgb="FF7030A0"/>
      <name val="Arial"/>
      <family val="2"/>
    </font>
    <font>
      <sz val="11"/>
      <color rgb="FF006600"/>
      <name val="Arial"/>
      <family val="2"/>
    </font>
    <font>
      <b/>
      <i/>
      <sz val="11"/>
      <color rgb="FF7030A0"/>
      <name val="Arial"/>
      <family val="2"/>
    </font>
    <font>
      <sz val="10"/>
      <color theme="0" tint="-4.9989318521683403E-2"/>
      <name val="Arial"/>
      <family val="2"/>
    </font>
    <font>
      <b/>
      <sz val="8"/>
      <color rgb="FF000000"/>
      <name val="Arial"/>
      <family val="2"/>
    </font>
    <font>
      <sz val="10"/>
      <color theme="0" tint="-0.499984740745262"/>
      <name val="Arial"/>
      <family val="2"/>
    </font>
    <font>
      <sz val="9"/>
      <color theme="0" tint="-0.499984740745262"/>
      <name val="Arial"/>
      <family val="2"/>
    </font>
    <font>
      <b/>
      <sz val="10"/>
      <color rgb="FF0000FF"/>
      <name val="Arial"/>
      <family val="2"/>
    </font>
    <font>
      <b/>
      <sz val="11"/>
      <color rgb="FFFF0000"/>
      <name val="Arial"/>
      <family val="2"/>
    </font>
    <font>
      <i/>
      <sz val="9"/>
      <color indexed="10"/>
      <name val="Arial"/>
      <family val="2"/>
    </font>
    <font>
      <sz val="9"/>
      <color indexed="10"/>
      <name val="Arial"/>
      <family val="2"/>
    </font>
    <font>
      <b/>
      <sz val="9"/>
      <color rgb="FFFF0000"/>
      <name val="Arial"/>
      <family val="2"/>
    </font>
    <font>
      <sz val="9"/>
      <color rgb="FFFF0000"/>
      <name val="Arial"/>
      <family val="2"/>
    </font>
    <font>
      <sz val="9"/>
      <color rgb="FF0000FF"/>
      <name val="Arial"/>
      <family val="2"/>
    </font>
    <font>
      <b/>
      <sz val="16"/>
      <color theme="0"/>
      <name val="Arial"/>
      <family val="2"/>
    </font>
    <font>
      <i/>
      <sz val="9"/>
      <color rgb="FFFF0000"/>
      <name val="Arial"/>
      <family val="2"/>
    </font>
    <font>
      <b/>
      <sz val="14"/>
      <color rgb="FFFF0000"/>
      <name val="Arial"/>
      <family val="2"/>
    </font>
    <font>
      <sz val="7"/>
      <name val="Arial"/>
      <family val="2"/>
    </font>
    <font>
      <b/>
      <sz val="10"/>
      <color theme="1"/>
      <name val="Arial"/>
      <family val="2"/>
    </font>
    <font>
      <sz val="10"/>
      <color theme="0" tint="-0.14999847407452621"/>
      <name val="Arial"/>
      <family val="2"/>
    </font>
    <font>
      <b/>
      <sz val="14"/>
      <color theme="0"/>
      <name val="Arial"/>
      <family val="2"/>
    </font>
    <font>
      <b/>
      <i/>
      <sz val="12"/>
      <name val="Arial"/>
      <family val="2"/>
    </font>
    <font>
      <sz val="8"/>
      <color theme="0" tint="-0.499984740745262"/>
      <name val="Arial"/>
      <family val="2"/>
    </font>
    <font>
      <b/>
      <i/>
      <sz val="10"/>
      <color rgb="FFFF0000"/>
      <name val="Arial"/>
      <family val="2"/>
    </font>
    <font>
      <i/>
      <sz val="10"/>
      <name val="Arial"/>
      <family val="2"/>
    </font>
    <font>
      <b/>
      <sz val="11"/>
      <color theme="7"/>
      <name val="Arial"/>
      <family val="2"/>
    </font>
    <font>
      <sz val="10"/>
      <color theme="7"/>
      <name val="Arial"/>
      <family val="2"/>
    </font>
    <font>
      <b/>
      <i/>
      <sz val="9"/>
      <name val="Arial"/>
      <family val="2"/>
    </font>
    <font>
      <i/>
      <sz val="7"/>
      <name val="Arial"/>
      <family val="2"/>
    </font>
    <font>
      <b/>
      <i/>
      <sz val="9"/>
      <color theme="4" tint="0.39997558519241921"/>
      <name val="Arial"/>
      <family val="2"/>
    </font>
    <font>
      <b/>
      <sz val="11"/>
      <color rgb="FF0000FF"/>
      <name val="Arial"/>
      <family val="2"/>
    </font>
  </fonts>
  <fills count="35">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rgb="FFFFFF85"/>
        <bgColor indexed="64"/>
      </patternFill>
    </fill>
    <fill>
      <patternFill patternType="solid">
        <fgColor rgb="FFFFC000"/>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8" tint="0.79998168889431442"/>
        <bgColor theme="8"/>
      </patternFill>
    </fill>
    <fill>
      <patternFill patternType="solid">
        <fgColor rgb="FF00B0F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CCCCFF"/>
        <bgColor indexed="64"/>
      </patternFill>
    </fill>
    <fill>
      <patternFill patternType="solid">
        <fgColor indexed="65"/>
        <bgColor indexed="64"/>
      </patternFill>
    </fill>
    <fill>
      <patternFill patternType="solid">
        <fgColor rgb="FF7030A0"/>
        <bgColor indexed="64"/>
      </patternFill>
    </fill>
    <fill>
      <patternFill patternType="solid">
        <fgColor theme="2" tint="-9.9978637043366805E-2"/>
        <bgColor indexed="64"/>
      </patternFill>
    </fill>
    <fill>
      <patternFill patternType="solid">
        <fgColor rgb="FFFFFF99"/>
        <bgColor indexed="64"/>
      </patternFill>
    </fill>
    <fill>
      <patternFill patternType="solid">
        <fgColor theme="0" tint="-0.249977111117893"/>
        <bgColor indexed="64"/>
      </patternFill>
    </fill>
    <fill>
      <patternFill patternType="solid">
        <fgColor rgb="FFFFCCFF"/>
        <bgColor indexed="64"/>
      </patternFill>
    </fill>
    <fill>
      <patternFill patternType="solid">
        <fgColor rgb="FFFFFF00"/>
        <bgColor indexed="64"/>
      </patternFill>
    </fill>
    <fill>
      <patternFill patternType="solid">
        <fgColor theme="8" tint="0.79998168889431442"/>
        <bgColor theme="8" tint="0.79998168889431442"/>
      </patternFill>
    </fill>
    <fill>
      <patternFill patternType="solid">
        <fgColor rgb="FFFFFF99"/>
        <bgColor theme="8" tint="0.59999389629810485"/>
      </patternFill>
    </fill>
    <fill>
      <patternFill patternType="solid">
        <fgColor theme="5" tint="0.39997558519241921"/>
        <bgColor theme="8" tint="0.79998168889431442"/>
      </patternFill>
    </fill>
    <fill>
      <patternFill patternType="solid">
        <fgColor rgb="FFFF5050"/>
        <bgColor indexed="64"/>
      </patternFill>
    </fill>
    <fill>
      <patternFill patternType="solid">
        <fgColor theme="8" tint="0.79998168889431442"/>
        <bgColor indexed="64"/>
      </patternFill>
    </fill>
    <fill>
      <patternFill patternType="solid">
        <fgColor rgb="FF7030A0"/>
        <bgColor theme="8" tint="0.79998168889431442"/>
      </patternFill>
    </fill>
    <fill>
      <patternFill patternType="solid">
        <fgColor theme="8" tint="0.59999389629810485"/>
        <bgColor indexed="64"/>
      </patternFill>
    </fill>
    <fill>
      <patternFill patternType="solid">
        <fgColor rgb="FFFFC000"/>
        <bgColor theme="8" tint="0.59999389629810485"/>
      </patternFill>
    </fill>
    <fill>
      <patternFill patternType="solid">
        <fgColor theme="9" tint="-0.249977111117893"/>
        <bgColor theme="8" tint="0.59999389629810485"/>
      </patternFill>
    </fill>
    <fill>
      <patternFill patternType="solid">
        <fgColor theme="9" tint="-0.249977111117893"/>
        <bgColor indexed="64"/>
      </patternFill>
    </fill>
  </fills>
  <borders count="6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medium">
        <color auto="1"/>
      </left>
      <right/>
      <top/>
      <bottom/>
      <diagonal/>
    </border>
    <border>
      <left/>
      <right style="medium">
        <color auto="1"/>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theme="4" tint="-0.24994659260841701"/>
      </right>
      <top style="thin">
        <color indexed="64"/>
      </top>
      <bottom style="thin">
        <color theme="4" tint="-0.24994659260841701"/>
      </bottom>
      <diagonal/>
    </border>
    <border>
      <left style="thin">
        <color theme="4" tint="-0.24994659260841701"/>
      </left>
      <right style="thin">
        <color theme="4" tint="-0.24994659260841701"/>
      </right>
      <top style="thin">
        <color indexed="64"/>
      </top>
      <bottom style="thin">
        <color theme="4" tint="-0.24994659260841701"/>
      </bottom>
      <diagonal/>
    </border>
    <border>
      <left style="thin">
        <color indexed="64"/>
      </left>
      <right style="thin">
        <color theme="4" tint="-0.24994659260841701"/>
      </right>
      <top style="thin">
        <color theme="4" tint="-0.24994659260841701"/>
      </top>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theme="4" tint="-0.24994659260841701"/>
      </right>
      <top/>
      <bottom/>
      <diagonal/>
    </border>
    <border>
      <left style="thin">
        <color theme="4" tint="-0.24994659260841701"/>
      </left>
      <right style="thin">
        <color theme="4" tint="-0.24994659260841701"/>
      </right>
      <top/>
      <bottom/>
      <diagonal/>
    </border>
    <border>
      <left style="thin">
        <color indexed="64"/>
      </left>
      <right style="thin">
        <color theme="4" tint="-0.24994659260841701"/>
      </right>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thin">
        <color indexed="64"/>
      </left>
      <right/>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indexed="64"/>
      </right>
      <top style="thin">
        <color theme="0"/>
      </top>
      <bottom/>
      <diagonal/>
    </border>
    <border>
      <left style="thin">
        <color indexed="64"/>
      </left>
      <right style="thin">
        <color indexed="64"/>
      </right>
      <top style="thin">
        <color indexed="64"/>
      </top>
      <bottom style="thin">
        <color theme="0"/>
      </bottom>
      <diagonal/>
    </border>
    <border>
      <left style="thin">
        <color indexed="64"/>
      </left>
      <right/>
      <top style="thin">
        <color theme="0"/>
      </top>
      <bottom style="thin">
        <color theme="0"/>
      </bottom>
      <diagonal/>
    </border>
    <border>
      <left style="thick">
        <color theme="7" tint="-0.24994659260841701"/>
      </left>
      <right style="thin">
        <color indexed="64"/>
      </right>
      <top style="thick">
        <color theme="7" tint="-0.24994659260841701"/>
      </top>
      <bottom style="thick">
        <color theme="7" tint="-0.24994659260841701"/>
      </bottom>
      <diagonal/>
    </border>
    <border>
      <left style="thin">
        <color indexed="64"/>
      </left>
      <right style="thin">
        <color indexed="64"/>
      </right>
      <top style="thick">
        <color theme="7" tint="-0.24994659260841701"/>
      </top>
      <bottom style="thick">
        <color theme="7" tint="-0.24994659260841701"/>
      </bottom>
      <diagonal/>
    </border>
    <border>
      <left style="thin">
        <color indexed="64"/>
      </left>
      <right style="thick">
        <color theme="7" tint="-0.24994659260841701"/>
      </right>
      <top style="thick">
        <color theme="7" tint="-0.24994659260841701"/>
      </top>
      <bottom style="thick">
        <color theme="7" tint="-0.24994659260841701"/>
      </bottom>
      <diagonal/>
    </border>
    <border>
      <left style="thin">
        <color indexed="64"/>
      </left>
      <right style="thin">
        <color indexed="64"/>
      </right>
      <top/>
      <bottom style="thin">
        <color theme="0"/>
      </bottom>
      <diagonal/>
    </border>
    <border>
      <left style="thin">
        <color indexed="64"/>
      </left>
      <right/>
      <top style="thin">
        <color indexed="64"/>
      </top>
      <bottom style="thin">
        <color theme="0"/>
      </bottom>
      <diagonal/>
    </border>
    <border>
      <left/>
      <right style="thin">
        <color indexed="64"/>
      </right>
      <top style="thin">
        <color indexed="64"/>
      </top>
      <bottom style="thin">
        <color theme="0"/>
      </bottom>
      <diagonal/>
    </border>
    <border>
      <left/>
      <right style="thin">
        <color indexed="64"/>
      </right>
      <top style="thin">
        <color theme="0"/>
      </top>
      <bottom style="thin">
        <color indexed="64"/>
      </bottom>
      <diagonal/>
    </border>
    <border>
      <left/>
      <right style="thin">
        <color indexed="64"/>
      </right>
      <top style="thin">
        <color theme="0"/>
      </top>
      <bottom style="thin">
        <color theme="0"/>
      </bottom>
      <diagonal/>
    </border>
    <border>
      <left style="thin">
        <color indexed="64"/>
      </left>
      <right/>
      <top style="thin">
        <color theme="0"/>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theme="3" tint="-0.24994659260841701"/>
      </left>
      <right style="medium">
        <color theme="3" tint="-0.24994659260841701"/>
      </right>
      <top style="medium">
        <color theme="3" tint="-0.24994659260841701"/>
      </top>
      <bottom style="medium">
        <color theme="3" tint="-0.24994659260841701"/>
      </bottom>
      <diagonal/>
    </border>
  </borders>
  <cellStyleXfs count="8">
    <xf numFmtId="0" fontId="0" fillId="0" borderId="0"/>
    <xf numFmtId="0" fontId="15" fillId="0" borderId="0"/>
    <xf numFmtId="0" fontId="15" fillId="0" borderId="0"/>
    <xf numFmtId="0" fontId="2" fillId="0" borderId="0"/>
    <xf numFmtId="164" fontId="15" fillId="0" borderId="0" applyFont="0" applyFill="0" applyBorder="0" applyAlignment="0" applyProtection="0"/>
    <xf numFmtId="0" fontId="1" fillId="0" borderId="0"/>
    <xf numFmtId="164" fontId="24" fillId="0" borderId="0" applyFont="0" applyFill="0" applyBorder="0" applyAlignment="0" applyProtection="0"/>
    <xf numFmtId="164" fontId="15" fillId="0" borderId="0" applyFont="0" applyFill="0" applyBorder="0" applyAlignment="0" applyProtection="0"/>
  </cellStyleXfs>
  <cellXfs count="485">
    <xf numFmtId="0" fontId="0" fillId="0" borderId="0" xfId="0"/>
    <xf numFmtId="0" fontId="12" fillId="0" borderId="1" xfId="0" applyFont="1" applyBorder="1" applyProtection="1">
      <protection locked="0" hidden="1"/>
    </xf>
    <xf numFmtId="0" fontId="12" fillId="0" borderId="2" xfId="0" applyFont="1" applyBorder="1" applyProtection="1">
      <protection locked="0" hidden="1"/>
    </xf>
    <xf numFmtId="2" fontId="0" fillId="0" borderId="0" xfId="0" applyNumberFormat="1"/>
    <xf numFmtId="0" fontId="12" fillId="0" borderId="3" xfId="0" applyFont="1" applyBorder="1" applyProtection="1">
      <protection locked="0" hidden="1"/>
    </xf>
    <xf numFmtId="0" fontId="0" fillId="0" borderId="4" xfId="0" applyBorder="1" applyProtection="1">
      <protection locked="0" hidden="1"/>
    </xf>
    <xf numFmtId="0" fontId="0" fillId="0" borderId="5" xfId="0" applyBorder="1" applyProtection="1">
      <protection locked="0" hidden="1"/>
    </xf>
    <xf numFmtId="2" fontId="0" fillId="0" borderId="5" xfId="0" applyNumberFormat="1" applyBorder="1" applyProtection="1">
      <protection locked="0" hidden="1"/>
    </xf>
    <xf numFmtId="2" fontId="0" fillId="0" borderId="0" xfId="0" applyNumberFormat="1" applyProtection="1">
      <protection locked="0" hidden="1"/>
    </xf>
    <xf numFmtId="0" fontId="0" fillId="0" borderId="5" xfId="0" applyBorder="1" applyAlignment="1" applyProtection="1">
      <alignment horizontal="center"/>
      <protection locked="0" hidden="1"/>
    </xf>
    <xf numFmtId="0" fontId="0" fillId="0" borderId="0" xfId="0" applyProtection="1">
      <protection locked="0" hidden="1"/>
    </xf>
    <xf numFmtId="2" fontId="0" fillId="0" borderId="6" xfId="0" applyNumberFormat="1" applyBorder="1" applyProtection="1">
      <protection locked="0" hidden="1"/>
    </xf>
    <xf numFmtId="0" fontId="0" fillId="0" borderId="3" xfId="0" applyBorder="1" applyAlignment="1" applyProtection="1">
      <alignment horizontal="center"/>
      <protection locked="0" hidden="1"/>
    </xf>
    <xf numFmtId="0" fontId="0" fillId="0" borderId="3" xfId="0" applyBorder="1" applyProtection="1">
      <protection locked="0" hidden="1"/>
    </xf>
    <xf numFmtId="0" fontId="0" fillId="0" borderId="2" xfId="0" applyBorder="1"/>
    <xf numFmtId="0" fontId="0" fillId="0" borderId="0" xfId="0" applyAlignment="1" applyProtection="1">
      <alignment horizontal="center"/>
      <protection locked="0" hidden="1"/>
    </xf>
    <xf numFmtId="4" fontId="3" fillId="0" borderId="0" xfId="0" applyNumberFormat="1" applyFont="1" applyAlignment="1">
      <alignment vertical="center"/>
    </xf>
    <xf numFmtId="4" fontId="0" fillId="0" borderId="0" xfId="0" applyNumberFormat="1" applyAlignment="1">
      <alignment vertical="center"/>
    </xf>
    <xf numFmtId="4" fontId="8" fillId="0" borderId="0" xfId="0" applyNumberFormat="1" applyFont="1" applyAlignment="1">
      <alignment vertical="center"/>
    </xf>
    <xf numFmtId="4" fontId="11" fillId="0" borderId="0" xfId="0" applyNumberFormat="1" applyFont="1" applyAlignment="1">
      <alignment vertical="center"/>
    </xf>
    <xf numFmtId="4" fontId="0" fillId="0" borderId="0" xfId="0" applyNumberFormat="1"/>
    <xf numFmtId="4" fontId="3" fillId="0" borderId="0" xfId="0" applyNumberFormat="1" applyFont="1" applyAlignment="1">
      <alignment horizontal="right" vertical="center"/>
    </xf>
    <xf numFmtId="0" fontId="0" fillId="0" borderId="7" xfId="0" applyBorder="1" applyProtection="1">
      <protection locked="0" hidden="1"/>
    </xf>
    <xf numFmtId="0" fontId="0" fillId="0" borderId="1" xfId="0" applyBorder="1"/>
    <xf numFmtId="0" fontId="0" fillId="0" borderId="3" xfId="0" applyBorder="1"/>
    <xf numFmtId="0" fontId="0" fillId="0" borderId="5" xfId="0" applyBorder="1"/>
    <xf numFmtId="0" fontId="0" fillId="0" borderId="6" xfId="0" applyBorder="1"/>
    <xf numFmtId="4" fontId="0" fillId="0" borderId="1" xfId="0" applyNumberFormat="1" applyBorder="1"/>
    <xf numFmtId="0" fontId="0" fillId="0" borderId="5" xfId="0" applyBorder="1" applyAlignment="1">
      <alignment horizontal="center"/>
    </xf>
    <xf numFmtId="0" fontId="7" fillId="0" borderId="5" xfId="0" applyFont="1" applyBorder="1"/>
    <xf numFmtId="0" fontId="0" fillId="0" borderId="4" xfId="0" applyBorder="1"/>
    <xf numFmtId="0" fontId="0" fillId="0" borderId="0" xfId="0" applyAlignment="1" applyProtection="1">
      <alignment horizontal="right"/>
      <protection locked="0" hidden="1"/>
    </xf>
    <xf numFmtId="0" fontId="0" fillId="0" borderId="0" xfId="0" applyAlignment="1">
      <alignment horizontal="right"/>
    </xf>
    <xf numFmtId="0" fontId="0" fillId="0" borderId="2" xfId="0" applyBorder="1" applyProtection="1">
      <protection locked="0" hidden="1"/>
    </xf>
    <xf numFmtId="4" fontId="8" fillId="1" borderId="8" xfId="0" applyNumberFormat="1" applyFont="1" applyFill="1" applyBorder="1" applyAlignment="1">
      <alignment vertical="center"/>
    </xf>
    <xf numFmtId="4" fontId="18" fillId="0" borderId="0" xfId="0" applyNumberFormat="1" applyFont="1" applyAlignment="1">
      <alignment horizontal="center" vertical="center"/>
    </xf>
    <xf numFmtId="0" fontId="15" fillId="0" borderId="0" xfId="0" applyFont="1" applyAlignment="1" applyProtection="1">
      <alignment horizontal="right"/>
      <protection locked="0" hidden="1"/>
    </xf>
    <xf numFmtId="0" fontId="7" fillId="9" borderId="0" xfId="1" applyFont="1" applyFill="1" applyAlignment="1">
      <alignment horizontal="left" vertical="center"/>
    </xf>
    <xf numFmtId="0" fontId="7" fillId="10" borderId="0" xfId="1" applyFont="1" applyFill="1" applyAlignment="1">
      <alignment horizontal="left" vertical="center"/>
    </xf>
    <xf numFmtId="0" fontId="7" fillId="0" borderId="0" xfId="1" applyFont="1" applyAlignment="1">
      <alignment wrapText="1"/>
    </xf>
    <xf numFmtId="0" fontId="7" fillId="11" borderId="0" xfId="1" applyFont="1" applyFill="1" applyAlignment="1">
      <alignment horizontal="left" vertical="center"/>
    </xf>
    <xf numFmtId="0" fontId="7" fillId="12" borderId="0" xfId="1" applyFont="1" applyFill="1" applyAlignment="1">
      <alignment horizontal="left" vertical="center" wrapText="1"/>
    </xf>
    <xf numFmtId="0" fontId="28" fillId="13" borderId="25" xfId="1" quotePrefix="1" applyFont="1" applyFill="1" applyBorder="1" applyAlignment="1">
      <alignment horizontal="center" vertical="center"/>
    </xf>
    <xf numFmtId="0" fontId="28" fillId="13" borderId="2" xfId="1" applyFont="1" applyFill="1" applyBorder="1" applyAlignment="1">
      <alignment horizontal="center" vertical="center"/>
    </xf>
    <xf numFmtId="0" fontId="28" fillId="13" borderId="2" xfId="1" quotePrefix="1" applyFont="1" applyFill="1" applyBorder="1" applyAlignment="1">
      <alignment horizontal="center" vertical="center"/>
    </xf>
    <xf numFmtId="0" fontId="28" fillId="13" borderId="26" xfId="1" applyFont="1" applyFill="1" applyBorder="1" applyAlignment="1">
      <alignment horizontal="center" vertical="center"/>
    </xf>
    <xf numFmtId="0" fontId="7" fillId="3" borderId="0" xfId="1" applyFont="1" applyFill="1" applyAlignment="1">
      <alignment horizontal="left" vertical="center"/>
    </xf>
    <xf numFmtId="0" fontId="15" fillId="0" borderId="0" xfId="1"/>
    <xf numFmtId="0" fontId="29" fillId="7" borderId="18" xfId="1" applyFont="1" applyFill="1" applyBorder="1" applyAlignment="1">
      <alignment horizontal="center" vertical="center"/>
    </xf>
    <xf numFmtId="0" fontId="7" fillId="14" borderId="0" xfId="1" applyFont="1" applyFill="1" applyAlignment="1">
      <alignment horizontal="left" vertical="center"/>
    </xf>
    <xf numFmtId="2" fontId="16" fillId="0" borderId="2" xfId="1" applyNumberFormat="1" applyFont="1" applyBorder="1" applyAlignment="1">
      <alignment horizontal="center" vertical="center" wrapText="1"/>
    </xf>
    <xf numFmtId="2" fontId="16" fillId="10" borderId="2" xfId="1" applyNumberFormat="1" applyFont="1" applyFill="1" applyBorder="1" applyAlignment="1">
      <alignment horizontal="center" vertical="center" wrapText="1"/>
    </xf>
    <xf numFmtId="2" fontId="16" fillId="10" borderId="25" xfId="1" applyNumberFormat="1" applyFont="1" applyFill="1" applyBorder="1" applyAlignment="1">
      <alignment horizontal="center" vertical="center" wrapText="1"/>
    </xf>
    <xf numFmtId="0" fontId="12" fillId="15" borderId="30" xfId="1" applyFont="1" applyFill="1" applyBorder="1" applyAlignment="1">
      <alignment vertical="center"/>
    </xf>
    <xf numFmtId="0" fontId="5" fillId="16" borderId="31" xfId="1" applyFont="1" applyFill="1" applyBorder="1" applyAlignment="1">
      <alignment vertical="center"/>
    </xf>
    <xf numFmtId="0" fontId="12" fillId="5" borderId="7" xfId="1" applyFont="1" applyFill="1" applyBorder="1" applyAlignment="1">
      <alignment vertical="center"/>
    </xf>
    <xf numFmtId="0" fontId="12" fillId="5" borderId="11" xfId="1" applyFont="1" applyFill="1" applyBorder="1" applyAlignment="1">
      <alignment vertical="center"/>
    </xf>
    <xf numFmtId="0" fontId="12" fillId="0" borderId="0" xfId="1" applyFont="1" applyAlignment="1">
      <alignment vertical="center"/>
    </xf>
    <xf numFmtId="0" fontId="5" fillId="15" borderId="32" xfId="1" applyFont="1" applyFill="1" applyBorder="1" applyAlignment="1">
      <alignment vertical="center"/>
    </xf>
    <xf numFmtId="0" fontId="12" fillId="0" borderId="33" xfId="1" applyFont="1" applyBorder="1" applyAlignment="1" applyProtection="1">
      <alignment horizontal="right" vertical="center" indent="1"/>
      <protection locked="0"/>
    </xf>
    <xf numFmtId="0" fontId="12" fillId="5" borderId="0" xfId="1" applyFont="1" applyFill="1" applyAlignment="1">
      <alignment vertical="center"/>
    </xf>
    <xf numFmtId="0" fontId="12" fillId="5" borderId="8" xfId="1" applyFont="1" applyFill="1" applyBorder="1" applyAlignment="1">
      <alignment vertical="center"/>
    </xf>
    <xf numFmtId="0" fontId="5" fillId="15" borderId="34" xfId="1" applyFont="1" applyFill="1" applyBorder="1" applyAlignment="1">
      <alignment vertical="center"/>
    </xf>
    <xf numFmtId="0" fontId="12" fillId="0" borderId="35" xfId="1" applyFont="1" applyBorder="1" applyAlignment="1" applyProtection="1">
      <alignment horizontal="right" vertical="center" indent="1"/>
      <protection locked="0"/>
    </xf>
    <xf numFmtId="167" fontId="13" fillId="5" borderId="0" xfId="1" applyNumberFormat="1" applyFont="1" applyFill="1" applyAlignment="1">
      <alignment horizontal="center" vertical="center"/>
    </xf>
    <xf numFmtId="167" fontId="13" fillId="5" borderId="8" xfId="1" applyNumberFormat="1" applyFont="1" applyFill="1" applyBorder="1" applyAlignment="1">
      <alignment horizontal="center" vertical="center"/>
    </xf>
    <xf numFmtId="0" fontId="5" fillId="15" borderId="36" xfId="1" applyFont="1" applyFill="1" applyBorder="1" applyAlignment="1">
      <alignment vertical="center"/>
    </xf>
    <xf numFmtId="0" fontId="5" fillId="0" borderId="37" xfId="1" applyFont="1" applyBorder="1" applyAlignment="1" applyProtection="1">
      <alignment horizontal="right" vertical="center" indent="1"/>
      <protection locked="0"/>
    </xf>
    <xf numFmtId="0" fontId="5" fillId="16" borderId="38" xfId="1" applyFont="1" applyFill="1" applyBorder="1" applyAlignment="1">
      <alignment vertical="center"/>
    </xf>
    <xf numFmtId="167" fontId="27" fillId="16" borderId="39" xfId="1" applyNumberFormat="1" applyFont="1" applyFill="1" applyBorder="1" applyAlignment="1">
      <alignment vertical="center"/>
    </xf>
    <xf numFmtId="167" fontId="27" fillId="16" borderId="40" xfId="1" applyNumberFormat="1" applyFont="1" applyFill="1" applyBorder="1" applyAlignment="1">
      <alignment vertical="center"/>
    </xf>
    <xf numFmtId="167" fontId="13" fillId="15" borderId="41" xfId="1" applyNumberFormat="1" applyFont="1" applyFill="1" applyBorder="1" applyAlignment="1">
      <alignment vertical="center"/>
    </xf>
    <xf numFmtId="0" fontId="27" fillId="5" borderId="0" xfId="1" applyFont="1" applyFill="1" applyAlignment="1">
      <alignment vertical="center"/>
    </xf>
    <xf numFmtId="0" fontId="5" fillId="5" borderId="9" xfId="1" applyFont="1" applyFill="1" applyBorder="1" applyAlignment="1">
      <alignment vertical="center"/>
    </xf>
    <xf numFmtId="167" fontId="27" fillId="5" borderId="0" xfId="1" applyNumberFormat="1" applyFont="1" applyFill="1" applyAlignment="1">
      <alignment vertical="center"/>
    </xf>
    <xf numFmtId="167" fontId="13" fillId="5" borderId="0" xfId="1" applyNumberFormat="1" applyFont="1" applyFill="1" applyAlignment="1">
      <alignment vertical="center"/>
    </xf>
    <xf numFmtId="0" fontId="5" fillId="17" borderId="38" xfId="1" applyFont="1" applyFill="1" applyBorder="1" applyAlignment="1">
      <alignment vertical="center"/>
    </xf>
    <xf numFmtId="2" fontId="27" fillId="17" borderId="39" xfId="1" applyNumberFormat="1" applyFont="1" applyFill="1" applyBorder="1" applyAlignment="1">
      <alignment vertical="center"/>
    </xf>
    <xf numFmtId="2" fontId="13" fillId="17" borderId="41" xfId="1" applyNumberFormat="1" applyFont="1" applyFill="1" applyBorder="1" applyAlignment="1">
      <alignment vertical="center"/>
    </xf>
    <xf numFmtId="0" fontId="30" fillId="5" borderId="13" xfId="1" applyFont="1" applyFill="1" applyBorder="1" applyAlignment="1">
      <alignment vertical="center"/>
    </xf>
    <xf numFmtId="0" fontId="12" fillId="5" borderId="14" xfId="1" applyFont="1" applyFill="1" applyBorder="1" applyAlignment="1">
      <alignment horizontal="center" vertical="center"/>
    </xf>
    <xf numFmtId="0" fontId="5" fillId="5" borderId="14" xfId="1" applyFont="1" applyFill="1" applyBorder="1" applyAlignment="1">
      <alignment vertical="center"/>
    </xf>
    <xf numFmtId="0" fontId="12" fillId="5" borderId="14" xfId="1" applyFont="1" applyFill="1" applyBorder="1" applyAlignment="1">
      <alignment vertical="center"/>
    </xf>
    <xf numFmtId="0" fontId="12" fillId="5" borderId="12" xfId="1" applyFont="1" applyFill="1" applyBorder="1" applyAlignment="1">
      <alignment vertical="center"/>
    </xf>
    <xf numFmtId="0" fontId="31" fillId="0" borderId="0" xfId="1" applyFont="1" applyAlignment="1">
      <alignment vertical="center"/>
    </xf>
    <xf numFmtId="0" fontId="32" fillId="0" borderId="0" xfId="1" applyFont="1" applyAlignment="1">
      <alignment vertical="center"/>
    </xf>
    <xf numFmtId="0" fontId="11" fillId="0" borderId="0" xfId="1" applyFont="1" applyAlignment="1">
      <alignment vertical="center"/>
    </xf>
    <xf numFmtId="0" fontId="33" fillId="0" borderId="0" xfId="1" applyFont="1" applyAlignment="1">
      <alignment vertical="center"/>
    </xf>
    <xf numFmtId="0" fontId="34" fillId="0" borderId="0" xfId="1" quotePrefix="1" applyFont="1" applyAlignment="1">
      <alignment vertical="center"/>
    </xf>
    <xf numFmtId="0" fontId="23" fillId="0" borderId="0" xfId="1" applyFont="1" applyAlignment="1">
      <alignment vertical="center"/>
    </xf>
    <xf numFmtId="0" fontId="35" fillId="0" borderId="0" xfId="1" applyFont="1" applyAlignment="1">
      <alignment vertical="center"/>
    </xf>
    <xf numFmtId="4" fontId="0" fillId="0" borderId="10" xfId="0" applyNumberFormat="1" applyBorder="1" applyAlignment="1">
      <alignment horizontal="left" vertical="center"/>
    </xf>
    <xf numFmtId="4" fontId="0" fillId="0" borderId="7" xfId="0" applyNumberFormat="1" applyBorder="1" applyAlignment="1">
      <alignment horizontal="left" vertical="center"/>
    </xf>
    <xf numFmtId="4" fontId="5" fillId="2" borderId="7" xfId="0" applyNumberFormat="1" applyFont="1" applyFill="1" applyBorder="1" applyAlignment="1">
      <alignment horizontal="left"/>
    </xf>
    <xf numFmtId="4" fontId="0" fillId="0" borderId="11" xfId="0" applyNumberFormat="1" applyBorder="1" applyAlignment="1">
      <alignment horizontal="left" vertical="center"/>
    </xf>
    <xf numFmtId="0" fontId="28" fillId="13" borderId="9" xfId="1" applyFont="1" applyFill="1" applyBorder="1" applyAlignment="1">
      <alignment horizontal="center" vertical="center"/>
    </xf>
    <xf numFmtId="4" fontId="0" fillId="5" borderId="0" xfId="0" applyNumberFormat="1" applyFill="1" applyAlignment="1">
      <alignment vertical="center"/>
    </xf>
    <xf numFmtId="4" fontId="15" fillId="5" borderId="0" xfId="0" applyNumberFormat="1" applyFont="1" applyFill="1" applyAlignment="1">
      <alignment vertical="center"/>
    </xf>
    <xf numFmtId="4" fontId="7" fillId="5" borderId="0" xfId="0" applyNumberFormat="1" applyFont="1" applyFill="1" applyAlignment="1">
      <alignment vertical="center"/>
    </xf>
    <xf numFmtId="4" fontId="19" fillId="5" borderId="0" xfId="0" applyNumberFormat="1" applyFont="1" applyFill="1" applyAlignment="1">
      <alignment vertical="center"/>
    </xf>
    <xf numFmtId="4" fontId="39" fillId="5" borderId="0" xfId="0" applyNumberFormat="1" applyFont="1" applyFill="1" applyAlignment="1">
      <alignment vertical="center"/>
    </xf>
    <xf numFmtId="4" fontId="40" fillId="5" borderId="0" xfId="0" applyNumberFormat="1" applyFont="1" applyFill="1" applyAlignment="1">
      <alignment vertical="center"/>
    </xf>
    <xf numFmtId="4" fontId="7" fillId="5" borderId="0" xfId="0" applyNumberFormat="1" applyFont="1" applyFill="1"/>
    <xf numFmtId="4" fontId="8" fillId="5" borderId="0" xfId="0" applyNumberFormat="1" applyFont="1" applyFill="1" applyAlignment="1">
      <alignment vertical="center"/>
    </xf>
    <xf numFmtId="4" fontId="11" fillId="5" borderId="0" xfId="0" applyNumberFormat="1" applyFont="1" applyFill="1" applyAlignment="1">
      <alignment vertical="center"/>
    </xf>
    <xf numFmtId="4" fontId="0" fillId="5" borderId="0" xfId="0" applyNumberFormat="1" applyFill="1"/>
    <xf numFmtId="0" fontId="41" fillId="0" borderId="5" xfId="0" applyFont="1" applyBorder="1" applyAlignment="1">
      <alignment vertical="center"/>
    </xf>
    <xf numFmtId="4" fontId="15" fillId="5" borderId="0" xfId="0" applyNumberFormat="1" applyFont="1" applyFill="1" applyAlignment="1">
      <alignment horizontal="center" vertical="center"/>
    </xf>
    <xf numFmtId="4" fontId="23" fillId="0" borderId="0" xfId="0" applyNumberFormat="1" applyFont="1" applyAlignment="1">
      <alignment horizontal="left" vertical="center"/>
    </xf>
    <xf numFmtId="4" fontId="23" fillId="0" borderId="0" xfId="1" applyNumberFormat="1" applyFont="1" applyAlignment="1">
      <alignment horizontal="left" vertical="center"/>
    </xf>
    <xf numFmtId="4" fontId="40" fillId="5" borderId="0" xfId="1" applyNumberFormat="1" applyFont="1" applyFill="1" applyAlignment="1">
      <alignment horizontal="left" vertical="center"/>
    </xf>
    <xf numFmtId="4" fontId="23" fillId="5" borderId="0" xfId="1" applyNumberFormat="1" applyFont="1" applyFill="1" applyAlignment="1">
      <alignment horizontal="left" vertical="center"/>
    </xf>
    <xf numFmtId="4" fontId="23" fillId="5" borderId="0" xfId="0" applyNumberFormat="1" applyFont="1" applyFill="1" applyAlignment="1">
      <alignment vertical="center"/>
    </xf>
    <xf numFmtId="4" fontId="23" fillId="5" borderId="0" xfId="1" applyNumberFormat="1" applyFont="1" applyFill="1" applyAlignment="1" applyProtection="1">
      <alignment horizontal="left" vertical="center"/>
      <protection locked="0"/>
    </xf>
    <xf numFmtId="4" fontId="46" fillId="5" borderId="0" xfId="1" applyNumberFormat="1" applyFont="1" applyFill="1" applyAlignment="1">
      <alignment horizontal="left" vertical="center"/>
    </xf>
    <xf numFmtId="4" fontId="23" fillId="5" borderId="0" xfId="0" applyNumberFormat="1" applyFont="1" applyFill="1" applyAlignment="1">
      <alignment horizontal="left" vertical="center"/>
    </xf>
    <xf numFmtId="0" fontId="47" fillId="5" borderId="0" xfId="1" applyFont="1" applyFill="1" applyAlignment="1">
      <alignment horizontal="left" vertical="center"/>
    </xf>
    <xf numFmtId="4" fontId="44" fillId="5" borderId="0" xfId="1" applyNumberFormat="1" applyFont="1" applyFill="1" applyAlignment="1" applyProtection="1">
      <alignment horizontal="left" vertical="center"/>
      <protection locked="0"/>
    </xf>
    <xf numFmtId="4" fontId="43" fillId="5" borderId="0" xfId="1" applyNumberFormat="1" applyFont="1" applyFill="1" applyAlignment="1" applyProtection="1">
      <alignment horizontal="left" vertical="center"/>
      <protection locked="0"/>
    </xf>
    <xf numFmtId="0" fontId="6" fillId="5" borderId="0" xfId="1" applyFont="1" applyFill="1" applyAlignment="1">
      <alignment horizontal="left" vertical="center"/>
    </xf>
    <xf numFmtId="4" fontId="6" fillId="5" borderId="0" xfId="0" applyNumberFormat="1" applyFont="1" applyFill="1" applyAlignment="1" applyProtection="1">
      <alignment horizontal="left" vertical="center"/>
      <protection locked="0"/>
    </xf>
    <xf numFmtId="0" fontId="6" fillId="5" borderId="0" xfId="0" applyFont="1" applyFill="1" applyAlignment="1">
      <alignment horizontal="left" vertical="center"/>
    </xf>
    <xf numFmtId="4" fontId="6" fillId="5" borderId="0" xfId="1" applyNumberFormat="1" applyFont="1" applyFill="1" applyAlignment="1">
      <alignment horizontal="left" vertical="center"/>
    </xf>
    <xf numFmtId="4" fontId="23" fillId="0" borderId="1" xfId="0" applyNumberFormat="1" applyFont="1" applyBorder="1" applyAlignment="1">
      <alignment horizontal="left" vertical="center"/>
    </xf>
    <xf numFmtId="4" fontId="23" fillId="0" borderId="1" xfId="1" applyNumberFormat="1" applyFont="1" applyBorder="1" applyAlignment="1">
      <alignment horizontal="left" vertical="center"/>
    </xf>
    <xf numFmtId="4" fontId="23" fillId="0" borderId="2" xfId="0" applyNumberFormat="1" applyFont="1" applyBorder="1" applyAlignment="1">
      <alignment horizontal="left" vertical="center"/>
    </xf>
    <xf numFmtId="4" fontId="23" fillId="0" borderId="2" xfId="1" applyNumberFormat="1" applyFont="1" applyBorder="1" applyAlignment="1">
      <alignment horizontal="left" vertical="center"/>
    </xf>
    <xf numFmtId="4" fontId="6" fillId="0" borderId="2" xfId="0" applyNumberFormat="1" applyFont="1" applyBorder="1" applyAlignment="1">
      <alignment horizontal="left" vertical="center"/>
    </xf>
    <xf numFmtId="4" fontId="6" fillId="0" borderId="2" xfId="1" applyNumberFormat="1" applyFont="1" applyBorder="1" applyAlignment="1">
      <alignment horizontal="left" vertical="center"/>
    </xf>
    <xf numFmtId="4" fontId="23" fillId="0" borderId="3" xfId="0" applyNumberFormat="1" applyFont="1" applyBorder="1" applyAlignment="1">
      <alignment horizontal="left" vertical="center"/>
    </xf>
    <xf numFmtId="4" fontId="23" fillId="0" borderId="3" xfId="1" applyNumberFormat="1" applyFont="1" applyBorder="1" applyAlignment="1">
      <alignment horizontal="left" vertical="center"/>
    </xf>
    <xf numFmtId="14" fontId="23" fillId="0" borderId="2" xfId="1" applyNumberFormat="1" applyFont="1" applyBorder="1" applyAlignment="1">
      <alignment horizontal="left" vertical="center"/>
    </xf>
    <xf numFmtId="4" fontId="23" fillId="0" borderId="2" xfId="0" applyNumberFormat="1" applyFont="1" applyBorder="1" applyAlignment="1" applyProtection="1">
      <alignment horizontal="left" vertical="center"/>
      <protection locked="0"/>
    </xf>
    <xf numFmtId="4" fontId="23" fillId="0" borderId="2" xfId="1" applyNumberFormat="1" applyFont="1" applyBorder="1" applyAlignment="1" applyProtection="1">
      <alignment horizontal="left" vertical="center"/>
      <protection locked="0"/>
    </xf>
    <xf numFmtId="4" fontId="45" fillId="0" borderId="1" xfId="0" applyNumberFormat="1" applyFont="1" applyBorder="1" applyAlignment="1">
      <alignment horizontal="left" vertical="center"/>
    </xf>
    <xf numFmtId="4" fontId="23" fillId="6" borderId="2" xfId="0" applyNumberFormat="1" applyFont="1" applyFill="1" applyBorder="1" applyAlignment="1">
      <alignment vertical="center"/>
    </xf>
    <xf numFmtId="4" fontId="23" fillId="6" borderId="3" xfId="0" applyNumberFormat="1" applyFont="1" applyFill="1" applyBorder="1" applyAlignment="1">
      <alignment vertical="center"/>
    </xf>
    <xf numFmtId="4" fontId="23" fillId="6" borderId="2" xfId="0" applyNumberFormat="1" applyFont="1" applyFill="1" applyBorder="1" applyAlignment="1">
      <alignment horizontal="left" vertical="center"/>
    </xf>
    <xf numFmtId="4" fontId="46" fillId="0" borderId="0" xfId="0" applyNumberFormat="1" applyFont="1" applyAlignment="1">
      <alignment horizontal="left" vertical="center"/>
    </xf>
    <xf numFmtId="4" fontId="46" fillId="0" borderId="1" xfId="0" applyNumberFormat="1" applyFont="1" applyBorder="1" applyAlignment="1">
      <alignment horizontal="left" vertical="center"/>
    </xf>
    <xf numFmtId="4" fontId="46" fillId="0" borderId="2" xfId="0" applyNumberFormat="1" applyFont="1" applyBorder="1" applyAlignment="1">
      <alignment horizontal="left" vertical="center"/>
    </xf>
    <xf numFmtId="4" fontId="49" fillId="0" borderId="2" xfId="0" applyNumberFormat="1" applyFont="1" applyBorder="1" applyAlignment="1">
      <alignment horizontal="left" vertical="center"/>
    </xf>
    <xf numFmtId="4" fontId="46" fillId="0" borderId="3" xfId="0" applyNumberFormat="1" applyFont="1" applyBorder="1" applyAlignment="1">
      <alignment horizontal="left" vertical="center"/>
    </xf>
    <xf numFmtId="14" fontId="46" fillId="0" borderId="2" xfId="1" applyNumberFormat="1" applyFont="1" applyBorder="1" applyAlignment="1">
      <alignment horizontal="left" vertical="center"/>
    </xf>
    <xf numFmtId="4" fontId="46" fillId="0" borderId="2" xfId="0" applyNumberFormat="1" applyFont="1" applyBorder="1" applyAlignment="1" applyProtection="1">
      <alignment horizontal="left" vertical="center"/>
      <protection locked="0"/>
    </xf>
    <xf numFmtId="4" fontId="49" fillId="0" borderId="3" xfId="0" applyNumberFormat="1" applyFont="1" applyBorder="1" applyAlignment="1" applyProtection="1">
      <alignment horizontal="left" vertical="center" wrapText="1"/>
      <protection locked="0"/>
    </xf>
    <xf numFmtId="4" fontId="46" fillId="5" borderId="0" xfId="0" applyNumberFormat="1" applyFont="1" applyFill="1" applyAlignment="1">
      <alignment horizontal="left" vertical="center"/>
    </xf>
    <xf numFmtId="4" fontId="49" fillId="5" borderId="0" xfId="0" applyNumberFormat="1" applyFont="1" applyFill="1" applyAlignment="1" applyProtection="1">
      <alignment horizontal="left" vertical="center"/>
      <protection locked="0"/>
    </xf>
    <xf numFmtId="0" fontId="49" fillId="5" borderId="0" xfId="0" applyFont="1" applyFill="1" applyAlignment="1">
      <alignment horizontal="left" vertical="center"/>
    </xf>
    <xf numFmtId="4" fontId="13" fillId="0" borderId="0" xfId="1" applyNumberFormat="1" applyFont="1" applyAlignment="1">
      <alignment horizontal="left" vertical="center"/>
    </xf>
    <xf numFmtId="4" fontId="50" fillId="0" borderId="5" xfId="0" applyNumberFormat="1" applyFont="1" applyBorder="1" applyAlignment="1">
      <alignment horizontal="left" vertical="center"/>
    </xf>
    <xf numFmtId="4" fontId="13" fillId="0" borderId="5" xfId="0" applyNumberFormat="1" applyFont="1" applyBorder="1" applyAlignment="1">
      <alignment horizontal="left" vertical="center"/>
    </xf>
    <xf numFmtId="4" fontId="13" fillId="0" borderId="5" xfId="1" applyNumberFormat="1" applyFont="1" applyBorder="1" applyAlignment="1">
      <alignment horizontal="left" vertical="center"/>
    </xf>
    <xf numFmtId="4" fontId="23" fillId="0" borderId="2" xfId="0" applyNumberFormat="1" applyFont="1" applyBorder="1" applyAlignment="1" applyProtection="1">
      <alignment horizontal="left" vertical="center" wrapText="1"/>
      <protection locked="0"/>
    </xf>
    <xf numFmtId="4" fontId="23" fillId="0" borderId="2" xfId="1" applyNumberFormat="1" applyFont="1" applyBorder="1" applyAlignment="1" applyProtection="1">
      <alignment horizontal="left" vertical="center" wrapText="1"/>
      <protection locked="0"/>
    </xf>
    <xf numFmtId="4" fontId="23" fillId="0" borderId="3" xfId="0" applyNumberFormat="1" applyFont="1" applyBorder="1" applyAlignment="1" applyProtection="1">
      <alignment horizontal="left" vertical="center" wrapText="1"/>
      <protection locked="0"/>
    </xf>
    <xf numFmtId="4" fontId="23" fillId="0" borderId="3" xfId="1" applyNumberFormat="1" applyFont="1" applyBorder="1" applyAlignment="1" applyProtection="1">
      <alignment horizontal="left" vertical="center" wrapText="1"/>
      <protection locked="0"/>
    </xf>
    <xf numFmtId="4" fontId="49" fillId="0" borderId="2" xfId="0" applyNumberFormat="1" applyFont="1" applyBorder="1" applyAlignment="1" applyProtection="1">
      <alignment horizontal="left" vertical="center" wrapText="1"/>
      <protection locked="0"/>
    </xf>
    <xf numFmtId="2" fontId="41" fillId="0" borderId="5" xfId="0" applyNumberFormat="1" applyFont="1" applyBorder="1" applyAlignment="1">
      <alignment vertical="center"/>
    </xf>
    <xf numFmtId="2" fontId="41" fillId="0" borderId="1" xfId="0" applyNumberFormat="1" applyFont="1" applyBorder="1" applyAlignment="1">
      <alignment vertical="center"/>
    </xf>
    <xf numFmtId="4" fontId="48" fillId="19" borderId="43" xfId="0" applyNumberFormat="1" applyFont="1" applyFill="1" applyBorder="1" applyAlignment="1">
      <alignment horizontal="center" vertical="center"/>
    </xf>
    <xf numFmtId="4" fontId="5" fillId="5" borderId="0" xfId="0" applyNumberFormat="1" applyFont="1" applyFill="1" applyAlignment="1">
      <alignment horizontal="center" vertical="center"/>
    </xf>
    <xf numFmtId="4" fontId="23" fillId="6" borderId="2" xfId="0" applyNumberFormat="1" applyFont="1" applyFill="1" applyBorder="1" applyAlignment="1">
      <alignment horizontal="center" vertical="center"/>
    </xf>
    <xf numFmtId="4" fontId="23" fillId="20" borderId="2" xfId="0" applyNumberFormat="1" applyFont="1" applyFill="1" applyBorder="1" applyAlignment="1">
      <alignment horizontal="center" vertical="center"/>
    </xf>
    <xf numFmtId="4" fontId="23" fillId="20" borderId="3" xfId="0" quotePrefix="1" applyNumberFormat="1" applyFont="1" applyFill="1" applyBorder="1" applyAlignment="1">
      <alignment horizontal="center" vertical="center"/>
    </xf>
    <xf numFmtId="4" fontId="23" fillId="20" borderId="3" xfId="0" applyNumberFormat="1" applyFont="1" applyFill="1" applyBorder="1" applyAlignment="1">
      <alignment horizontal="center" vertical="center"/>
    </xf>
    <xf numFmtId="0" fontId="29" fillId="14" borderId="28" xfId="1" applyFont="1" applyFill="1" applyBorder="1" applyAlignment="1">
      <alignment horizontal="center" vertical="center"/>
    </xf>
    <xf numFmtId="0" fontId="7" fillId="22" borderId="0" xfId="1" applyFont="1" applyFill="1" applyAlignment="1">
      <alignment horizontal="left" vertical="center"/>
    </xf>
    <xf numFmtId="0" fontId="29" fillId="7" borderId="19" xfId="1" applyFont="1" applyFill="1" applyBorder="1" applyAlignment="1">
      <alignment horizontal="center" vertical="center" wrapText="1"/>
    </xf>
    <xf numFmtId="0" fontId="15" fillId="0" borderId="26" xfId="1" applyBorder="1" applyAlignment="1">
      <alignment horizontal="left" vertical="center" wrapText="1"/>
    </xf>
    <xf numFmtId="0" fontId="15" fillId="0" borderId="0" xfId="1" applyAlignment="1">
      <alignment wrapText="1"/>
    </xf>
    <xf numFmtId="0" fontId="29" fillId="14" borderId="27" xfId="1" applyFont="1" applyFill="1" applyBorder="1" applyAlignment="1">
      <alignment horizontal="center" vertical="center"/>
    </xf>
    <xf numFmtId="0" fontId="7" fillId="23" borderId="0" xfId="1" applyFont="1" applyFill="1" applyAlignment="1">
      <alignment horizontal="left" vertical="center"/>
    </xf>
    <xf numFmtId="0" fontId="29" fillId="23" borderId="42" xfId="1" applyFont="1" applyFill="1" applyBorder="1" applyAlignment="1">
      <alignment horizontal="center" vertical="center"/>
    </xf>
    <xf numFmtId="0" fontId="29" fillId="23" borderId="28" xfId="1" applyFont="1" applyFill="1" applyBorder="1" applyAlignment="1">
      <alignment horizontal="center" vertical="center"/>
    </xf>
    <xf numFmtId="0" fontId="29" fillId="23" borderId="29" xfId="1" applyFont="1" applyFill="1" applyBorder="1" applyAlignment="1">
      <alignment horizontal="center" vertical="center"/>
    </xf>
    <xf numFmtId="4" fontId="7" fillId="0" borderId="0" xfId="0" applyNumberFormat="1" applyFont="1" applyAlignment="1">
      <alignment horizontal="left" vertical="center"/>
    </xf>
    <xf numFmtId="4" fontId="0" fillId="0" borderId="13" xfId="0" applyNumberFormat="1" applyBorder="1" applyAlignment="1">
      <alignment vertical="center"/>
    </xf>
    <xf numFmtId="4" fontId="0" fillId="0" borderId="14" xfId="0" applyNumberFormat="1" applyBorder="1" applyAlignment="1">
      <alignment vertical="center"/>
    </xf>
    <xf numFmtId="4" fontId="0" fillId="0" borderId="12" xfId="0" applyNumberFormat="1" applyBorder="1" applyAlignment="1">
      <alignment vertical="center"/>
    </xf>
    <xf numFmtId="4" fontId="15" fillId="0" borderId="0" xfId="0" applyNumberFormat="1" applyFont="1" applyAlignment="1">
      <alignment horizontal="left" vertical="center"/>
    </xf>
    <xf numFmtId="4" fontId="7" fillId="4" borderId="0" xfId="0" applyNumberFormat="1" applyFont="1" applyFill="1" applyAlignment="1">
      <alignment vertical="center"/>
    </xf>
    <xf numFmtId="4" fontId="25" fillId="6" borderId="0" xfId="0" applyNumberFormat="1" applyFont="1" applyFill="1" applyAlignment="1">
      <alignment vertical="center"/>
    </xf>
    <xf numFmtId="4" fontId="8" fillId="1" borderId="0" xfId="0" applyNumberFormat="1" applyFont="1" applyFill="1" applyAlignment="1">
      <alignment vertical="center"/>
    </xf>
    <xf numFmtId="2" fontId="7" fillId="0" borderId="25" xfId="1" applyNumberFormat="1" applyFont="1" applyBorder="1" applyAlignment="1">
      <alignment horizontal="center" vertical="center" wrapText="1"/>
    </xf>
    <xf numFmtId="2" fontId="7" fillId="0" borderId="2" xfId="1" applyNumberFormat="1" applyFont="1" applyBorder="1" applyAlignment="1">
      <alignment horizontal="center" vertical="center" wrapText="1"/>
    </xf>
    <xf numFmtId="2" fontId="7" fillId="0" borderId="9" xfId="1" applyNumberFormat="1" applyFont="1" applyBorder="1" applyAlignment="1">
      <alignment horizontal="center" vertical="center" wrapText="1"/>
    </xf>
    <xf numFmtId="2" fontId="7" fillId="21" borderId="2" xfId="1" applyNumberFormat="1" applyFont="1" applyFill="1" applyBorder="1" applyAlignment="1">
      <alignment horizontal="center" vertical="center" wrapText="1"/>
    </xf>
    <xf numFmtId="2" fontId="7" fillId="0" borderId="26" xfId="1" applyNumberFormat="1" applyFont="1" applyBorder="1" applyAlignment="1">
      <alignment horizontal="center" vertical="center" wrapText="1"/>
    </xf>
    <xf numFmtId="2" fontId="7" fillId="21" borderId="25" xfId="1" applyNumberFormat="1" applyFont="1" applyFill="1" applyBorder="1" applyAlignment="1">
      <alignment horizontal="center" vertical="center" wrapText="1"/>
    </xf>
    <xf numFmtId="0" fontId="7" fillId="0" borderId="2" xfId="1" applyFont="1" applyBorder="1" applyAlignment="1">
      <alignment vertical="center" wrapText="1"/>
    </xf>
    <xf numFmtId="2" fontId="7" fillId="11" borderId="9" xfId="1" applyNumberFormat="1" applyFont="1" applyFill="1" applyBorder="1" applyAlignment="1">
      <alignment horizontal="center" vertical="center" wrapText="1"/>
    </xf>
    <xf numFmtId="2" fontId="7" fillId="11" borderId="2" xfId="1" applyNumberFormat="1" applyFont="1" applyFill="1" applyBorder="1" applyAlignment="1">
      <alignment horizontal="center" vertical="center" wrapText="1"/>
    </xf>
    <xf numFmtId="2" fontId="7" fillId="11" borderId="25" xfId="1" applyNumberFormat="1" applyFont="1" applyFill="1" applyBorder="1" applyAlignment="1">
      <alignment horizontal="center" vertical="center" wrapText="1"/>
    </xf>
    <xf numFmtId="2" fontId="7" fillId="11" borderId="26" xfId="1" applyNumberFormat="1" applyFont="1" applyFill="1" applyBorder="1" applyAlignment="1">
      <alignment horizontal="center" vertical="center" wrapText="1"/>
    </xf>
    <xf numFmtId="2" fontId="7" fillId="0" borderId="8" xfId="1" applyNumberFormat="1" applyFont="1" applyBorder="1" applyAlignment="1">
      <alignment horizontal="center" vertical="center" wrapText="1"/>
    </xf>
    <xf numFmtId="2" fontId="7" fillId="21" borderId="8" xfId="1" applyNumberFormat="1" applyFont="1" applyFill="1" applyBorder="1" applyAlignment="1">
      <alignment horizontal="center" vertical="center" wrapText="1"/>
    </xf>
    <xf numFmtId="0" fontId="53" fillId="0" borderId="0" xfId="1" applyFont="1"/>
    <xf numFmtId="0" fontId="53" fillId="0" borderId="0" xfId="1" applyFont="1" applyAlignment="1">
      <alignment wrapText="1"/>
    </xf>
    <xf numFmtId="2" fontId="53" fillId="0" borderId="0" xfId="1" applyNumberFormat="1" applyFont="1" applyAlignment="1">
      <alignment horizontal="center" vertical="center"/>
    </xf>
    <xf numFmtId="4" fontId="53" fillId="0" borderId="0" xfId="1" applyNumberFormat="1" applyFont="1"/>
    <xf numFmtId="167" fontId="23" fillId="21" borderId="25" xfId="1" applyNumberFormat="1" applyFont="1" applyFill="1" applyBorder="1" applyAlignment="1">
      <alignment horizontal="center" vertical="center" wrapText="1"/>
    </xf>
    <xf numFmtId="167" fontId="23" fillId="21" borderId="2" xfId="1" applyNumberFormat="1" applyFont="1" applyFill="1" applyBorder="1" applyAlignment="1">
      <alignment horizontal="center" vertical="center" wrapText="1"/>
    </xf>
    <xf numFmtId="2" fontId="23" fillId="21" borderId="25" xfId="1" applyNumberFormat="1" applyFont="1" applyFill="1" applyBorder="1" applyAlignment="1">
      <alignment horizontal="center" vertical="center" wrapText="1"/>
    </xf>
    <xf numFmtId="2" fontId="23" fillId="21" borderId="2" xfId="1" applyNumberFormat="1" applyFont="1" applyFill="1" applyBorder="1" applyAlignment="1">
      <alignment horizontal="center" vertical="center" wrapText="1"/>
    </xf>
    <xf numFmtId="4" fontId="7" fillId="0" borderId="26" xfId="1" applyNumberFormat="1" applyFont="1" applyBorder="1" applyAlignment="1">
      <alignment horizontal="left" vertical="center" wrapText="1"/>
    </xf>
    <xf numFmtId="0" fontId="5" fillId="0" borderId="2" xfId="1" applyFont="1" applyBorder="1" applyAlignment="1">
      <alignment horizontal="left" vertical="center"/>
    </xf>
    <xf numFmtId="0" fontId="5" fillId="0" borderId="2" xfId="1" applyFont="1" applyBorder="1" applyAlignment="1">
      <alignment horizontal="left" vertical="center" wrapText="1"/>
    </xf>
    <xf numFmtId="0" fontId="5" fillId="0" borderId="2" xfId="1" quotePrefix="1" applyFont="1" applyBorder="1" applyAlignment="1">
      <alignment horizontal="left" vertical="center" wrapText="1"/>
    </xf>
    <xf numFmtId="0" fontId="5" fillId="0" borderId="2" xfId="1" quotePrefix="1" applyFont="1" applyBorder="1" applyAlignment="1">
      <alignment horizontal="left" vertical="center"/>
    </xf>
    <xf numFmtId="0" fontId="28" fillId="26" borderId="47" xfId="1" applyFont="1" applyFill="1" applyBorder="1" applyAlignment="1">
      <alignment horizontal="left" vertical="center"/>
    </xf>
    <xf numFmtId="0" fontId="28" fillId="26" borderId="44" xfId="1" applyFont="1" applyFill="1" applyBorder="1" applyAlignment="1">
      <alignment horizontal="left" vertical="center"/>
    </xf>
    <xf numFmtId="2" fontId="16" fillId="0" borderId="25" xfId="1" applyNumberFormat="1" applyFont="1" applyBorder="1" applyAlignment="1">
      <alignment horizontal="center" vertical="center" wrapText="1"/>
    </xf>
    <xf numFmtId="2" fontId="16" fillId="0" borderId="8" xfId="1" applyNumberFormat="1" applyFont="1" applyBorder="1" applyAlignment="1">
      <alignment horizontal="center" vertical="center" wrapText="1"/>
    </xf>
    <xf numFmtId="2" fontId="7" fillId="28" borderId="9" xfId="1" applyNumberFormat="1" applyFont="1" applyFill="1" applyBorder="1" applyAlignment="1">
      <alignment horizontal="center" vertical="center" wrapText="1"/>
    </xf>
    <xf numFmtId="2" fontId="7" fillId="28" borderId="26" xfId="1" applyNumberFormat="1" applyFont="1" applyFill="1" applyBorder="1" applyAlignment="1">
      <alignment horizontal="center" vertical="center" wrapText="1"/>
    </xf>
    <xf numFmtId="4" fontId="15" fillId="5" borderId="0" xfId="0" applyNumberFormat="1" applyFont="1" applyFill="1" applyAlignment="1">
      <alignment horizontal="center"/>
    </xf>
    <xf numFmtId="0" fontId="28" fillId="25" borderId="45" xfId="1" applyFont="1" applyFill="1" applyBorder="1" applyAlignment="1">
      <alignment horizontal="left" vertical="center"/>
    </xf>
    <xf numFmtId="2" fontId="52" fillId="11" borderId="52" xfId="1" applyNumberFormat="1" applyFont="1" applyFill="1" applyBorder="1" applyAlignment="1">
      <alignment horizontal="center" vertical="center" wrapText="1"/>
    </xf>
    <xf numFmtId="2" fontId="52" fillId="28" borderId="52" xfId="1" applyNumberFormat="1" applyFont="1" applyFill="1" applyBorder="1" applyAlignment="1">
      <alignment horizontal="center" vertical="center" wrapText="1"/>
    </xf>
    <xf numFmtId="2" fontId="52" fillId="11" borderId="44" xfId="1" applyNumberFormat="1" applyFont="1" applyFill="1" applyBorder="1" applyAlignment="1">
      <alignment horizontal="center" vertical="center" wrapText="1"/>
    </xf>
    <xf numFmtId="2" fontId="52" fillId="28" borderId="44" xfId="1" applyNumberFormat="1" applyFont="1" applyFill="1" applyBorder="1" applyAlignment="1">
      <alignment horizontal="center" vertical="center" wrapText="1"/>
    </xf>
    <xf numFmtId="0" fontId="15" fillId="21" borderId="47" xfId="1" applyFill="1" applyBorder="1" applyAlignment="1">
      <alignment vertical="center" wrapText="1"/>
    </xf>
    <xf numFmtId="0" fontId="15" fillId="21" borderId="44" xfId="1" applyFill="1" applyBorder="1" applyAlignment="1">
      <alignment vertical="center" wrapText="1"/>
    </xf>
    <xf numFmtId="0" fontId="15" fillId="21" borderId="48" xfId="1" applyFill="1" applyBorder="1" applyAlignment="1">
      <alignment vertical="center" wrapText="1"/>
    </xf>
    <xf numFmtId="0" fontId="15" fillId="11" borderId="48" xfId="1" applyFill="1" applyBorder="1" applyAlignment="1">
      <alignment vertical="center" wrapText="1"/>
    </xf>
    <xf numFmtId="0" fontId="16" fillId="25" borderId="3" xfId="1" applyFont="1" applyFill="1" applyBorder="1" applyAlignment="1">
      <alignment horizontal="center" vertical="center" wrapText="1"/>
    </xf>
    <xf numFmtId="0" fontId="15" fillId="29" borderId="45" xfId="1" applyFill="1" applyBorder="1" applyAlignment="1">
      <alignment vertical="center" wrapText="1"/>
    </xf>
    <xf numFmtId="0" fontId="28" fillId="26" borderId="53" xfId="1" applyFont="1" applyFill="1" applyBorder="1" applyAlignment="1">
      <alignment horizontal="left" vertical="center"/>
    </xf>
    <xf numFmtId="0" fontId="28" fillId="26" borderId="54" xfId="1" applyFont="1" applyFill="1" applyBorder="1" applyAlignment="1">
      <alignment horizontal="left" vertical="center"/>
    </xf>
    <xf numFmtId="0" fontId="28" fillId="26" borderId="48" xfId="1" applyFont="1" applyFill="1" applyBorder="1" applyAlignment="1">
      <alignment horizontal="left" vertical="center"/>
    </xf>
    <xf numFmtId="0" fontId="28" fillId="26" borderId="56" xfId="1" applyFont="1" applyFill="1" applyBorder="1" applyAlignment="1">
      <alignment horizontal="left" vertical="center"/>
    </xf>
    <xf numFmtId="0" fontId="28" fillId="27" borderId="48" xfId="1" applyFont="1" applyFill="1" applyBorder="1" applyAlignment="1">
      <alignment horizontal="left" vertical="center"/>
    </xf>
    <xf numFmtId="0" fontId="28" fillId="27" borderId="56" xfId="1" applyFont="1" applyFill="1" applyBorder="1" applyAlignment="1">
      <alignment horizontal="left" vertical="center"/>
    </xf>
    <xf numFmtId="0" fontId="28" fillId="25" borderId="57" xfId="1" applyFont="1" applyFill="1" applyBorder="1" applyAlignment="1">
      <alignment horizontal="left" vertical="center"/>
    </xf>
    <xf numFmtId="0" fontId="28" fillId="29" borderId="55" xfId="1" applyFont="1" applyFill="1" applyBorder="1" applyAlignment="1">
      <alignment horizontal="left" vertical="center"/>
    </xf>
    <xf numFmtId="2" fontId="52" fillId="21" borderId="54" xfId="1" applyNumberFormat="1" applyFont="1" applyFill="1" applyBorder="1" applyAlignment="1">
      <alignment horizontal="left" vertical="center"/>
    </xf>
    <xf numFmtId="2" fontId="52" fillId="29" borderId="55" xfId="1" applyNumberFormat="1" applyFont="1" applyFill="1" applyBorder="1" applyAlignment="1">
      <alignment horizontal="left" vertical="center"/>
    </xf>
    <xf numFmtId="2" fontId="52" fillId="21" borderId="56" xfId="1" applyNumberFormat="1" applyFont="1" applyFill="1" applyBorder="1" applyAlignment="1">
      <alignment horizontal="left" vertical="center"/>
    </xf>
    <xf numFmtId="2" fontId="52" fillId="11" borderId="56" xfId="1" applyNumberFormat="1" applyFont="1" applyFill="1" applyBorder="1" applyAlignment="1">
      <alignment horizontal="left" vertical="center"/>
    </xf>
    <xf numFmtId="0" fontId="28" fillId="25" borderId="5" xfId="1" applyFont="1" applyFill="1" applyBorder="1" applyAlignment="1">
      <alignment horizontal="center" vertical="center"/>
    </xf>
    <xf numFmtId="0" fontId="29" fillId="31" borderId="5" xfId="1" applyFont="1" applyFill="1" applyBorder="1" applyAlignment="1">
      <alignment horizontal="center" vertical="center"/>
    </xf>
    <xf numFmtId="4" fontId="54" fillId="30" borderId="4" xfId="1" applyNumberFormat="1" applyFont="1" applyFill="1" applyBorder="1" applyAlignment="1">
      <alignment horizontal="center" vertical="center"/>
    </xf>
    <xf numFmtId="4" fontId="54" fillId="30" borderId="6" xfId="1" applyNumberFormat="1" applyFont="1" applyFill="1" applyBorder="1" applyAlignment="1">
      <alignment horizontal="center" vertical="center"/>
    </xf>
    <xf numFmtId="2" fontId="28" fillId="21" borderId="52" xfId="1" applyNumberFormat="1" applyFont="1" applyFill="1" applyBorder="1" applyAlignment="1">
      <alignment horizontal="center" vertical="center" wrapText="1"/>
    </xf>
    <xf numFmtId="2" fontId="28" fillId="21" borderId="46" xfId="1" applyNumberFormat="1" applyFont="1" applyFill="1" applyBorder="1" applyAlignment="1">
      <alignment horizontal="center" vertical="center" wrapText="1"/>
    </xf>
    <xf numFmtId="2" fontId="28" fillId="24" borderId="49" xfId="1" applyNumberFormat="1" applyFont="1" applyFill="1" applyBorder="1" applyAlignment="1">
      <alignment horizontal="center" vertical="center" wrapText="1"/>
    </xf>
    <xf numFmtId="2" fontId="28" fillId="24" borderId="50" xfId="1" applyNumberFormat="1" applyFont="1" applyFill="1" applyBorder="1" applyAlignment="1">
      <alignment horizontal="center" vertical="center" wrapText="1"/>
    </xf>
    <xf numFmtId="2" fontId="28" fillId="24" borderId="51" xfId="1" applyNumberFormat="1" applyFont="1" applyFill="1" applyBorder="1" applyAlignment="1">
      <alignment horizontal="center" vertical="center" wrapText="1"/>
    </xf>
    <xf numFmtId="2" fontId="29" fillId="21" borderId="53" xfId="1" applyNumberFormat="1" applyFont="1" applyFill="1" applyBorder="1" applyAlignment="1">
      <alignment horizontal="left" vertical="center" indent="1"/>
    </xf>
    <xf numFmtId="2" fontId="29" fillId="21" borderId="48" xfId="1" applyNumberFormat="1" applyFont="1" applyFill="1" applyBorder="1" applyAlignment="1">
      <alignment horizontal="left" vertical="center" indent="1"/>
    </xf>
    <xf numFmtId="2" fontId="29" fillId="11" borderId="48" xfId="1" applyNumberFormat="1" applyFont="1" applyFill="1" applyBorder="1" applyAlignment="1">
      <alignment horizontal="left" vertical="center" indent="1"/>
    </xf>
    <xf numFmtId="2" fontId="29" fillId="29" borderId="57" xfId="1" applyNumberFormat="1" applyFont="1" applyFill="1" applyBorder="1" applyAlignment="1">
      <alignment horizontal="left" vertical="center" indent="1"/>
    </xf>
    <xf numFmtId="0" fontId="29" fillId="25" borderId="5" xfId="1" applyFont="1" applyFill="1" applyBorder="1" applyAlignment="1">
      <alignment horizontal="left" vertical="center"/>
    </xf>
    <xf numFmtId="4" fontId="16" fillId="5" borderId="0" xfId="0" applyNumberFormat="1" applyFont="1" applyFill="1" applyAlignment="1">
      <alignment vertical="center"/>
    </xf>
    <xf numFmtId="0" fontId="29" fillId="25" borderId="6" xfId="1" applyFont="1" applyFill="1" applyBorder="1" applyAlignment="1">
      <alignment horizontal="left" vertical="center"/>
    </xf>
    <xf numFmtId="0" fontId="28" fillId="25" borderId="4" xfId="1" applyFont="1" applyFill="1" applyBorder="1" applyAlignment="1">
      <alignment horizontal="center" vertical="center"/>
    </xf>
    <xf numFmtId="4" fontId="54" fillId="30" borderId="6" xfId="1" applyNumberFormat="1" applyFont="1" applyFill="1" applyBorder="1" applyAlignment="1">
      <alignment horizontal="left" vertical="center" indent="1"/>
    </xf>
    <xf numFmtId="0" fontId="28" fillId="27" borderId="44" xfId="1" applyFont="1" applyFill="1" applyBorder="1" applyAlignment="1">
      <alignment horizontal="left" vertical="center"/>
    </xf>
    <xf numFmtId="4" fontId="20" fillId="5" borderId="0" xfId="0" applyNumberFormat="1" applyFont="1" applyFill="1" applyAlignment="1">
      <alignment vertical="center"/>
    </xf>
    <xf numFmtId="4" fontId="19" fillId="20" borderId="10" xfId="0" applyNumberFormat="1" applyFont="1" applyFill="1" applyBorder="1" applyAlignment="1">
      <alignment vertical="center"/>
    </xf>
    <xf numFmtId="4" fontId="19" fillId="20" borderId="11" xfId="0" applyNumberFormat="1" applyFont="1" applyFill="1" applyBorder="1" applyAlignment="1">
      <alignment vertical="center"/>
    </xf>
    <xf numFmtId="4" fontId="19" fillId="20" borderId="13" xfId="0" applyNumberFormat="1" applyFont="1" applyFill="1" applyBorder="1" applyAlignment="1">
      <alignment vertical="center"/>
    </xf>
    <xf numFmtId="4" fontId="19" fillId="20" borderId="12" xfId="0" applyNumberFormat="1" applyFont="1" applyFill="1" applyBorder="1" applyAlignment="1">
      <alignment vertical="center"/>
    </xf>
    <xf numFmtId="4" fontId="16" fillId="5" borderId="2" xfId="0" applyNumberFormat="1" applyFont="1" applyFill="1" applyBorder="1" applyAlignment="1">
      <alignment vertical="center"/>
    </xf>
    <xf numFmtId="4" fontId="6" fillId="5" borderId="0" xfId="0" applyNumberFormat="1" applyFont="1" applyFill="1" applyAlignment="1">
      <alignment vertical="center"/>
    </xf>
    <xf numFmtId="4" fontId="6" fillId="5" borderId="0" xfId="0" applyNumberFormat="1" applyFont="1" applyFill="1" applyAlignment="1">
      <alignment horizontal="left" vertical="center"/>
    </xf>
    <xf numFmtId="4" fontId="23" fillId="5" borderId="0" xfId="0" applyNumberFormat="1" applyFont="1" applyFill="1" applyAlignment="1">
      <alignment horizontal="right" vertical="center"/>
    </xf>
    <xf numFmtId="4" fontId="7" fillId="5" borderId="0" xfId="0" applyNumberFormat="1" applyFont="1" applyFill="1" applyAlignment="1">
      <alignment horizontal="center" vertical="center"/>
    </xf>
    <xf numFmtId="4" fontId="16" fillId="5" borderId="5" xfId="0" applyNumberFormat="1" applyFont="1" applyFill="1" applyBorder="1" applyAlignment="1">
      <alignment horizontal="right" vertical="center" indent="1"/>
    </xf>
    <xf numFmtId="4" fontId="16" fillId="5" borderId="0" xfId="0" applyNumberFormat="1" applyFont="1" applyFill="1" applyAlignment="1">
      <alignment horizontal="right" vertical="center" indent="1"/>
    </xf>
    <xf numFmtId="4" fontId="56" fillId="5" borderId="0" xfId="0" applyNumberFormat="1" applyFont="1" applyFill="1" applyAlignment="1">
      <alignment vertical="center"/>
    </xf>
    <xf numFmtId="2" fontId="57" fillId="24" borderId="5" xfId="0" applyNumberFormat="1" applyFont="1" applyFill="1" applyBorder="1" applyAlignment="1">
      <alignment vertical="center"/>
    </xf>
    <xf numFmtId="4" fontId="58" fillId="5" borderId="10" xfId="0" applyNumberFormat="1" applyFont="1" applyFill="1" applyBorder="1" applyAlignment="1">
      <alignment vertical="center"/>
    </xf>
    <xf numFmtId="4" fontId="57" fillId="24" borderId="0" xfId="0" applyNumberFormat="1" applyFont="1" applyFill="1" applyAlignment="1">
      <alignment vertical="center"/>
    </xf>
    <xf numFmtId="4" fontId="37" fillId="4" borderId="0" xfId="0" applyNumberFormat="1" applyFont="1" applyFill="1" applyAlignment="1">
      <alignment vertical="center"/>
    </xf>
    <xf numFmtId="0" fontId="29" fillId="31" borderId="1" xfId="1" applyFont="1" applyFill="1" applyBorder="1" applyAlignment="1">
      <alignment horizontal="center" vertical="center"/>
    </xf>
    <xf numFmtId="0" fontId="28" fillId="32" borderId="44" xfId="1" applyFont="1" applyFill="1" applyBorder="1" applyAlignment="1">
      <alignment horizontal="left" vertical="center"/>
    </xf>
    <xf numFmtId="0" fontId="28" fillId="33" borderId="44" xfId="1" applyFont="1" applyFill="1" applyBorder="1" applyAlignment="1">
      <alignment horizontal="left" vertical="center"/>
    </xf>
    <xf numFmtId="0" fontId="59" fillId="26" borderId="44" xfId="1" applyFont="1" applyFill="1" applyBorder="1" applyAlignment="1">
      <alignment horizontal="left" vertical="center"/>
    </xf>
    <xf numFmtId="0" fontId="60" fillId="21" borderId="48" xfId="1" applyFont="1" applyFill="1" applyBorder="1" applyAlignment="1">
      <alignment vertical="center" wrapText="1"/>
    </xf>
    <xf numFmtId="0" fontId="60" fillId="0" borderId="0" xfId="1" applyFont="1"/>
    <xf numFmtId="0" fontId="5" fillId="10" borderId="48" xfId="1" quotePrefix="1" applyFont="1" applyFill="1" applyBorder="1" applyAlignment="1">
      <alignment vertical="center" wrapText="1"/>
    </xf>
    <xf numFmtId="0" fontId="5" fillId="34" borderId="48" xfId="1" quotePrefix="1" applyFont="1" applyFill="1" applyBorder="1" applyAlignment="1">
      <alignment vertical="center" wrapText="1"/>
    </xf>
    <xf numFmtId="169" fontId="59" fillId="21" borderId="16" xfId="6" applyNumberFormat="1" applyFont="1" applyFill="1" applyBorder="1" applyAlignment="1">
      <alignment horizontal="center" vertical="center" wrapText="1"/>
    </xf>
    <xf numFmtId="169" fontId="59" fillId="21" borderId="17" xfId="6" applyNumberFormat="1" applyFont="1" applyFill="1" applyBorder="1" applyAlignment="1">
      <alignment horizontal="center" vertical="center" wrapText="1"/>
    </xf>
    <xf numFmtId="169" fontId="28" fillId="10" borderId="58" xfId="6" applyNumberFormat="1" applyFont="1" applyFill="1" applyBorder="1" applyAlignment="1">
      <alignment horizontal="center" vertical="center" wrapText="1"/>
    </xf>
    <xf numFmtId="169" fontId="28" fillId="10" borderId="5" xfId="6" applyNumberFormat="1" applyFont="1" applyFill="1" applyBorder="1" applyAlignment="1">
      <alignment horizontal="center" vertical="center" wrapText="1"/>
    </xf>
    <xf numFmtId="169" fontId="28" fillId="34" borderId="59" xfId="6" applyNumberFormat="1" applyFont="1" applyFill="1" applyBorder="1" applyAlignment="1">
      <alignment horizontal="center" vertical="center" wrapText="1"/>
    </xf>
    <xf numFmtId="4" fontId="7" fillId="4" borderId="0" xfId="0" applyNumberFormat="1" applyFont="1" applyFill="1" applyAlignment="1" applyProtection="1">
      <alignment vertical="center"/>
      <protection locked="0"/>
    </xf>
    <xf numFmtId="1" fontId="27" fillId="15" borderId="60" xfId="0" applyNumberFormat="1" applyFont="1" applyFill="1" applyBorder="1" applyAlignment="1">
      <alignment horizontal="center" vertical="center"/>
    </xf>
    <xf numFmtId="165" fontId="23" fillId="5" borderId="0" xfId="0" applyNumberFormat="1" applyFont="1" applyFill="1" applyAlignment="1">
      <alignment vertical="center"/>
    </xf>
    <xf numFmtId="4" fontId="23" fillId="6" borderId="0" xfId="1" applyNumberFormat="1" applyFont="1" applyFill="1" applyAlignment="1">
      <alignment horizontal="left" vertical="center"/>
    </xf>
    <xf numFmtId="4" fontId="23" fillId="24" borderId="15" xfId="1" applyNumberFormat="1" applyFont="1" applyFill="1" applyBorder="1" applyAlignment="1">
      <alignment horizontal="left" vertical="center"/>
    </xf>
    <xf numFmtId="4" fontId="23" fillId="24" borderId="4" xfId="1" applyNumberFormat="1" applyFont="1" applyFill="1" applyBorder="1" applyAlignment="1">
      <alignment horizontal="left" vertical="center"/>
    </xf>
    <xf numFmtId="0" fontId="0" fillId="0" borderId="0" xfId="0" applyAlignment="1">
      <alignment vertical="center"/>
    </xf>
    <xf numFmtId="0" fontId="0" fillId="0" borderId="8" xfId="0" applyBorder="1" applyAlignment="1">
      <alignment vertical="center"/>
    </xf>
    <xf numFmtId="4" fontId="25" fillId="6" borderId="8" xfId="0" applyNumberFormat="1" applyFont="1" applyFill="1" applyBorder="1" applyAlignment="1">
      <alignment vertical="center"/>
    </xf>
    <xf numFmtId="0" fontId="0" fillId="4" borderId="0" xfId="0" applyFill="1" applyAlignment="1">
      <alignment vertical="center"/>
    </xf>
    <xf numFmtId="2" fontId="20" fillId="0" borderId="4" xfId="0" applyNumberFormat="1" applyFont="1" applyBorder="1" applyAlignment="1">
      <alignment vertical="center"/>
    </xf>
    <xf numFmtId="4" fontId="0" fillId="0" borderId="8" xfId="0" applyNumberFormat="1" applyBorder="1" applyAlignment="1">
      <alignment vertical="center"/>
    </xf>
    <xf numFmtId="4" fontId="8" fillId="15" borderId="15" xfId="0" applyNumberFormat="1" applyFont="1" applyFill="1" applyBorder="1" applyAlignment="1">
      <alignment vertical="center"/>
    </xf>
    <xf numFmtId="4" fontId="8" fillId="15" borderId="4" xfId="0" applyNumberFormat="1" applyFont="1" applyFill="1" applyBorder="1" applyAlignment="1">
      <alignment vertical="center"/>
    </xf>
    <xf numFmtId="4" fontId="8" fillId="15" borderId="15" xfId="0" applyNumberFormat="1" applyFont="1" applyFill="1" applyBorder="1" applyAlignment="1">
      <alignment horizontal="left" vertical="center"/>
    </xf>
    <xf numFmtId="0" fontId="63" fillId="4" borderId="8" xfId="0" applyFont="1" applyFill="1" applyBorder="1" applyAlignment="1">
      <alignment vertical="center"/>
    </xf>
    <xf numFmtId="0" fontId="63" fillId="6" borderId="8" xfId="0" applyFont="1" applyFill="1" applyBorder="1" applyAlignment="1">
      <alignment vertical="center"/>
    </xf>
    <xf numFmtId="4" fontId="6" fillId="5" borderId="0" xfId="0" quotePrefix="1" applyNumberFormat="1" applyFont="1" applyFill="1" applyAlignment="1">
      <alignment vertical="center"/>
    </xf>
    <xf numFmtId="1" fontId="64" fillId="0" borderId="5" xfId="0" applyNumberFormat="1" applyFont="1" applyBorder="1" applyAlignment="1">
      <alignment horizontal="center" vertical="center"/>
    </xf>
    <xf numFmtId="4" fontId="7" fillId="0" borderId="5" xfId="0" applyNumberFormat="1" applyFont="1" applyBorder="1" applyAlignment="1">
      <alignment horizontal="center" vertical="center"/>
    </xf>
    <xf numFmtId="14" fontId="23" fillId="24" borderId="6" xfId="0" applyNumberFormat="1" applyFont="1" applyFill="1" applyBorder="1" applyAlignment="1">
      <alignment horizontal="left" vertical="center"/>
    </xf>
    <xf numFmtId="14" fontId="7" fillId="0" borderId="5" xfId="0" applyNumberFormat="1" applyFont="1" applyBorder="1" applyAlignment="1">
      <alignment horizontal="center" vertical="center"/>
    </xf>
    <xf numFmtId="4" fontId="0" fillId="0" borderId="0" xfId="0" applyNumberFormat="1" applyAlignment="1">
      <alignment horizontal="left" vertical="center"/>
    </xf>
    <xf numFmtId="4" fontId="15" fillId="4" borderId="0" xfId="0" applyNumberFormat="1" applyFont="1" applyFill="1" applyAlignment="1">
      <alignment horizontal="left" vertical="center" wrapText="1"/>
    </xf>
    <xf numFmtId="4" fontId="23" fillId="5" borderId="0" xfId="0" applyNumberFormat="1" applyFont="1" applyFill="1" applyAlignment="1">
      <alignment horizontal="left" vertical="center"/>
    </xf>
    <xf numFmtId="4" fontId="6" fillId="5" borderId="0" xfId="0" applyNumberFormat="1" applyFont="1" applyFill="1" applyAlignment="1">
      <alignment horizontal="left" vertical="center" wrapText="1"/>
    </xf>
    <xf numFmtId="4" fontId="7" fillId="2" borderId="0" xfId="0" applyNumberFormat="1" applyFont="1" applyFill="1" applyAlignment="1" applyProtection="1">
      <alignment horizontal="right" vertical="center"/>
      <protection locked="0"/>
    </xf>
    <xf numFmtId="0" fontId="0" fillId="0" borderId="0" xfId="0" applyAlignment="1">
      <alignment horizontal="right" vertical="center"/>
    </xf>
    <xf numFmtId="4" fontId="16" fillId="2" borderId="0" xfId="0" applyNumberFormat="1" applyFont="1" applyFill="1" applyAlignment="1" applyProtection="1">
      <alignment horizontal="left" vertical="center"/>
      <protection locked="0"/>
    </xf>
    <xf numFmtId="4" fontId="7" fillId="4" borderId="9" xfId="0" applyNumberFormat="1" applyFont="1" applyFill="1" applyBorder="1" applyAlignment="1">
      <alignment vertical="center"/>
    </xf>
    <xf numFmtId="4" fontId="7" fillId="4" borderId="0" xfId="0" applyNumberFormat="1" applyFont="1" applyFill="1" applyAlignment="1">
      <alignment vertical="center"/>
    </xf>
    <xf numFmtId="4" fontId="0" fillId="0" borderId="9" xfId="0" applyNumberFormat="1" applyBorder="1" applyAlignment="1">
      <alignment vertical="center"/>
    </xf>
    <xf numFmtId="4" fontId="0" fillId="0" borderId="0" xfId="0" applyNumberFormat="1" applyAlignment="1">
      <alignment vertical="center"/>
    </xf>
    <xf numFmtId="4" fontId="41" fillId="0" borderId="6" xfId="0" applyNumberFormat="1" applyFont="1" applyBorder="1" applyAlignment="1">
      <alignment horizontal="center" vertical="center"/>
    </xf>
    <xf numFmtId="4" fontId="41" fillId="0" borderId="4" xfId="0" applyNumberFormat="1" applyFont="1" applyBorder="1" applyAlignment="1">
      <alignment horizontal="center" vertical="center"/>
    </xf>
    <xf numFmtId="4" fontId="8" fillId="5" borderId="0" xfId="0" applyNumberFormat="1" applyFont="1" applyFill="1" applyAlignment="1">
      <alignment horizontal="center" vertical="top" wrapText="1"/>
    </xf>
    <xf numFmtId="4" fontId="7" fillId="4" borderId="0" xfId="0" applyNumberFormat="1" applyFont="1" applyFill="1" applyAlignment="1" applyProtection="1">
      <alignment horizontal="center" vertical="center"/>
      <protection locked="0"/>
    </xf>
    <xf numFmtId="4" fontId="0" fillId="4" borderId="0" xfId="0" applyNumberFormat="1" applyFill="1" applyAlignment="1">
      <alignment horizontal="left" vertical="center"/>
    </xf>
    <xf numFmtId="4" fontId="15" fillId="0" borderId="9" xfId="0" applyNumberFormat="1" applyFont="1" applyBorder="1" applyAlignment="1">
      <alignment horizontal="left" vertical="center"/>
    </xf>
    <xf numFmtId="4" fontId="15" fillId="0" borderId="0" xfId="0" applyNumberFormat="1" applyFont="1" applyAlignment="1">
      <alignment horizontal="left" vertical="center"/>
    </xf>
    <xf numFmtId="4" fontId="7" fillId="2" borderId="0" xfId="0" applyNumberFormat="1" applyFont="1" applyFill="1" applyAlignment="1" applyProtection="1">
      <alignment horizontal="left" vertical="center"/>
      <protection locked="0"/>
    </xf>
    <xf numFmtId="4" fontId="7" fillId="2" borderId="8" xfId="0" applyNumberFormat="1" applyFont="1" applyFill="1" applyBorder="1" applyAlignment="1" applyProtection="1">
      <alignment horizontal="left" vertical="center"/>
      <protection locked="0"/>
    </xf>
    <xf numFmtId="4" fontId="45" fillId="2" borderId="0" xfId="0" applyNumberFormat="1" applyFont="1" applyFill="1" applyAlignment="1" applyProtection="1">
      <alignment horizontal="left" vertical="center"/>
      <protection locked="0"/>
    </xf>
    <xf numFmtId="4" fontId="0" fillId="0" borderId="9" xfId="0" applyNumberFormat="1" applyBorder="1" applyAlignment="1">
      <alignment horizontal="center" vertical="center"/>
    </xf>
    <xf numFmtId="4" fontId="0" fillId="0" borderId="0" xfId="0" applyNumberFormat="1" applyAlignment="1">
      <alignment horizontal="center" vertical="center"/>
    </xf>
    <xf numFmtId="4" fontId="0" fillId="0" borderId="8" xfId="0" applyNumberFormat="1" applyBorder="1" applyAlignment="1">
      <alignment horizontal="center" vertical="center"/>
    </xf>
    <xf numFmtId="4" fontId="55" fillId="15" borderId="6" xfId="0" applyNumberFormat="1" applyFont="1" applyFill="1" applyBorder="1" applyAlignment="1">
      <alignment vertical="center"/>
    </xf>
    <xf numFmtId="4" fontId="55" fillId="15" borderId="15" xfId="0" applyNumberFormat="1" applyFont="1" applyFill="1" applyBorder="1" applyAlignment="1">
      <alignment vertical="center"/>
    </xf>
    <xf numFmtId="4" fontId="8" fillId="18" borderId="0" xfId="0" applyNumberFormat="1" applyFont="1" applyFill="1" applyAlignment="1">
      <alignment horizontal="center" vertical="center"/>
    </xf>
    <xf numFmtId="165" fontId="7" fillId="2" borderId="0" xfId="0" applyNumberFormat="1" applyFont="1" applyFill="1" applyAlignment="1">
      <alignment horizontal="right" vertical="center"/>
    </xf>
    <xf numFmtId="4" fontId="7" fillId="0" borderId="0" xfId="0" applyNumberFormat="1" applyFont="1" applyAlignment="1">
      <alignment vertical="center"/>
    </xf>
    <xf numFmtId="4" fontId="0" fillId="1" borderId="13" xfId="0" applyNumberFormat="1" applyFill="1" applyBorder="1" applyAlignment="1">
      <alignment horizontal="center" vertical="center"/>
    </xf>
    <xf numFmtId="4" fontId="0" fillId="1" borderId="14" xfId="0" applyNumberFormat="1" applyFill="1" applyBorder="1" applyAlignment="1">
      <alignment horizontal="center" vertical="center"/>
    </xf>
    <xf numFmtId="4" fontId="0" fillId="1" borderId="12" xfId="0" applyNumberFormat="1" applyFill="1" applyBorder="1" applyAlignment="1">
      <alignment horizontal="center" vertical="center"/>
    </xf>
    <xf numFmtId="4" fontId="0" fillId="1" borderId="10" xfId="0" applyNumberFormat="1" applyFill="1" applyBorder="1" applyAlignment="1">
      <alignment horizontal="center" vertical="center"/>
    </xf>
    <xf numFmtId="4" fontId="0" fillId="1" borderId="7" xfId="0" applyNumberFormat="1" applyFill="1" applyBorder="1" applyAlignment="1">
      <alignment horizontal="center" vertical="center"/>
    </xf>
    <xf numFmtId="4" fontId="0" fillId="1" borderId="11" xfId="0" applyNumberFormat="1" applyFill="1" applyBorder="1" applyAlignment="1">
      <alignment horizontal="center" vertical="center"/>
    </xf>
    <xf numFmtId="4" fontId="6" fillId="0" borderId="0" xfId="0" applyNumberFormat="1" applyFont="1" applyAlignment="1">
      <alignment horizontal="center" vertical="center"/>
    </xf>
    <xf numFmtId="4" fontId="0" fillId="6" borderId="9" xfId="0" applyNumberFormat="1" applyFill="1" applyBorder="1" applyAlignment="1">
      <alignment vertical="center"/>
    </xf>
    <xf numFmtId="4" fontId="0" fillId="6" borderId="0" xfId="0" applyNumberFormat="1" applyFill="1" applyAlignment="1">
      <alignment vertical="center"/>
    </xf>
    <xf numFmtId="4" fontId="0" fillId="0" borderId="9" xfId="0" applyNumberFormat="1" applyBorder="1" applyAlignment="1">
      <alignment horizontal="left" vertical="center"/>
    </xf>
    <xf numFmtId="4" fontId="0" fillId="4" borderId="0" xfId="0" applyNumberFormat="1" applyFill="1" applyAlignment="1">
      <alignment horizontal="right" vertical="center"/>
    </xf>
    <xf numFmtId="4" fontId="0" fillId="4" borderId="9" xfId="0" applyNumberFormat="1" applyFill="1" applyBorder="1" applyAlignment="1">
      <alignment vertical="center"/>
    </xf>
    <xf numFmtId="4" fontId="0" fillId="4" borderId="0" xfId="0" applyNumberFormat="1" applyFill="1" applyAlignment="1">
      <alignment vertical="center"/>
    </xf>
    <xf numFmtId="4" fontId="15" fillId="4" borderId="0" xfId="0" applyNumberFormat="1" applyFont="1" applyFill="1" applyAlignment="1">
      <alignment horizontal="left" vertical="center"/>
    </xf>
    <xf numFmtId="4" fontId="51" fillId="0" borderId="0" xfId="0" applyNumberFormat="1" applyFont="1" applyAlignment="1">
      <alignment horizontal="left" vertical="center"/>
    </xf>
    <xf numFmtId="4" fontId="7" fillId="6" borderId="0" xfId="0" applyNumberFormat="1" applyFont="1" applyFill="1" applyAlignment="1">
      <alignment horizontal="right" vertical="center"/>
    </xf>
    <xf numFmtId="0" fontId="7" fillId="6" borderId="0" xfId="0" applyFont="1" applyFill="1" applyAlignment="1">
      <alignment horizontal="right" vertical="center"/>
    </xf>
    <xf numFmtId="4" fontId="7" fillId="4" borderId="0" xfId="0" applyNumberFormat="1" applyFont="1" applyFill="1" applyAlignment="1">
      <alignment horizontal="right" vertical="center"/>
    </xf>
    <xf numFmtId="0" fontId="7" fillId="0" borderId="0" xfId="0" applyFont="1" applyAlignment="1">
      <alignment horizontal="right" vertical="center"/>
    </xf>
    <xf numFmtId="4" fontId="7" fillId="0" borderId="0" xfId="0" applyNumberFormat="1" applyFont="1" applyAlignment="1">
      <alignment horizontal="right" vertical="center"/>
    </xf>
    <xf numFmtId="4" fontId="15" fillId="6" borderId="0" xfId="0" applyNumberFormat="1" applyFont="1" applyFill="1" applyAlignment="1">
      <alignment horizontal="left" vertical="center"/>
    </xf>
    <xf numFmtId="4" fontId="15" fillId="6" borderId="0" xfId="0" applyNumberFormat="1" applyFont="1" applyFill="1" applyAlignment="1">
      <alignment horizontal="right" vertical="center"/>
    </xf>
    <xf numFmtId="4" fontId="7" fillId="4" borderId="0" xfId="0" applyNumberFormat="1" applyFont="1" applyFill="1" applyAlignment="1">
      <alignment horizontal="left" vertical="center"/>
    </xf>
    <xf numFmtId="4" fontId="0" fillId="0" borderId="13" xfId="0" applyNumberFormat="1" applyBorder="1" applyAlignment="1">
      <alignment horizontal="center" vertical="center"/>
    </xf>
    <xf numFmtId="4" fontId="0" fillId="0" borderId="14" xfId="0" applyNumberFormat="1" applyBorder="1" applyAlignment="1">
      <alignment horizontal="center" vertical="center"/>
    </xf>
    <xf numFmtId="4" fontId="0" fillId="0" borderId="12" xfId="0" applyNumberFormat="1" applyBorder="1" applyAlignment="1">
      <alignment horizontal="center" vertical="center"/>
    </xf>
    <xf numFmtId="0" fontId="7" fillId="4" borderId="0" xfId="0" applyFont="1" applyFill="1" applyAlignment="1">
      <alignment horizontal="right" vertical="center"/>
    </xf>
    <xf numFmtId="164" fontId="7" fillId="2" borderId="6" xfId="6" applyFont="1" applyFill="1" applyBorder="1" applyAlignment="1" applyProtection="1">
      <alignment horizontal="center" vertical="center"/>
      <protection locked="0"/>
    </xf>
    <xf numFmtId="164" fontId="7" fillId="2" borderId="15" xfId="6" applyFont="1" applyFill="1" applyBorder="1" applyAlignment="1" applyProtection="1">
      <alignment horizontal="center" vertical="center"/>
      <protection locked="0"/>
    </xf>
    <xf numFmtId="164" fontId="7" fillId="2" borderId="4" xfId="6" applyFont="1" applyFill="1" applyBorder="1" applyAlignment="1" applyProtection="1">
      <alignment horizontal="center" vertical="center"/>
      <protection locked="0"/>
    </xf>
    <xf numFmtId="4" fontId="0" fillId="0" borderId="8" xfId="0" applyNumberFormat="1" applyBorder="1" applyAlignment="1">
      <alignment horizontal="left" vertical="center"/>
    </xf>
    <xf numFmtId="4" fontId="62" fillId="2" borderId="0" xfId="0" applyNumberFormat="1" applyFont="1" applyFill="1" applyAlignment="1" applyProtection="1">
      <alignment horizontal="left" vertical="center" wrapText="1"/>
      <protection locked="0"/>
    </xf>
    <xf numFmtId="4" fontId="7" fillId="4" borderId="0" xfId="0" applyNumberFormat="1" applyFont="1" applyFill="1" applyAlignment="1">
      <alignment horizontal="center" vertical="center"/>
    </xf>
    <xf numFmtId="4" fontId="8" fillId="1" borderId="9" xfId="0" applyNumberFormat="1" applyFont="1" applyFill="1" applyBorder="1" applyAlignment="1">
      <alignment horizontal="center" vertical="center"/>
    </xf>
    <xf numFmtId="4" fontId="8" fillId="1" borderId="0" xfId="0" applyNumberFormat="1" applyFont="1" applyFill="1" applyAlignment="1">
      <alignment horizontal="center" vertical="center"/>
    </xf>
    <xf numFmtId="4" fontId="15" fillId="4" borderId="0" xfId="0" applyNumberFormat="1" applyFont="1" applyFill="1" applyAlignment="1">
      <alignment horizontal="right" vertical="center"/>
    </xf>
    <xf numFmtId="4" fontId="25" fillId="0" borderId="9" xfId="0" applyNumberFormat="1" applyFont="1" applyBorder="1" applyAlignment="1">
      <alignment horizontal="center" vertical="center"/>
    </xf>
    <xf numFmtId="4" fontId="25" fillId="0" borderId="0" xfId="0" applyNumberFormat="1" applyFont="1" applyAlignment="1">
      <alignment horizontal="center" vertical="center"/>
    </xf>
    <xf numFmtId="10" fontId="7" fillId="2" borderId="6" xfId="0" applyNumberFormat="1" applyFont="1" applyFill="1" applyBorder="1" applyAlignment="1" applyProtection="1">
      <alignment horizontal="center" vertical="center"/>
      <protection locked="0"/>
    </xf>
    <xf numFmtId="10" fontId="7" fillId="2" borderId="15" xfId="0" applyNumberFormat="1" applyFont="1" applyFill="1" applyBorder="1" applyAlignment="1" applyProtection="1">
      <alignment horizontal="center" vertical="center"/>
      <protection locked="0"/>
    </xf>
    <xf numFmtId="10" fontId="7" fillId="2" borderId="4" xfId="0" applyNumberFormat="1" applyFont="1" applyFill="1" applyBorder="1" applyAlignment="1" applyProtection="1">
      <alignment horizontal="center" vertical="center"/>
      <protection locked="0"/>
    </xf>
    <xf numFmtId="4" fontId="7" fillId="4" borderId="8" xfId="0" applyNumberFormat="1" applyFont="1" applyFill="1" applyBorder="1" applyAlignment="1">
      <alignment horizontal="left" vertical="center"/>
    </xf>
    <xf numFmtId="4" fontId="37" fillId="4" borderId="0" xfId="0" applyNumberFormat="1" applyFont="1" applyFill="1" applyAlignment="1">
      <alignment vertical="center"/>
    </xf>
    <xf numFmtId="4" fontId="9" fillId="0" borderId="7" xfId="0" applyNumberFormat="1" applyFont="1" applyBorder="1" applyAlignment="1">
      <alignment horizontal="left" vertical="center"/>
    </xf>
    <xf numFmtId="4" fontId="9" fillId="0" borderId="0" xfId="0" applyNumberFormat="1" applyFont="1" applyAlignment="1">
      <alignment horizontal="left" vertical="center"/>
    </xf>
    <xf numFmtId="4" fontId="7" fillId="0" borderId="0" xfId="0" applyNumberFormat="1" applyFont="1" applyAlignment="1">
      <alignment horizontal="center" vertical="center"/>
    </xf>
    <xf numFmtId="4" fontId="10" fillId="0" borderId="0" xfId="0" applyNumberFormat="1" applyFont="1" applyAlignment="1">
      <alignment horizontal="right" vertical="center" wrapText="1"/>
    </xf>
    <xf numFmtId="4" fontId="27" fillId="0" borderId="0" xfId="0" applyNumberFormat="1" applyFont="1" applyAlignment="1">
      <alignment horizontal="center" vertical="center" wrapText="1"/>
    </xf>
    <xf numFmtId="4" fontId="15" fillId="0" borderId="9" xfId="0" applyNumberFormat="1" applyFont="1" applyBorder="1" applyAlignment="1">
      <alignment horizontal="left" vertical="center" wrapText="1"/>
    </xf>
    <xf numFmtId="4" fontId="15" fillId="0" borderId="0" xfId="0" applyNumberFormat="1" applyFont="1" applyAlignment="1">
      <alignment horizontal="left" vertical="center" wrapText="1"/>
    </xf>
    <xf numFmtId="4" fontId="15" fillId="0" borderId="8" xfId="0" applyNumberFormat="1" applyFont="1" applyBorder="1" applyAlignment="1">
      <alignment horizontal="left" vertical="center" wrapText="1"/>
    </xf>
    <xf numFmtId="4" fontId="5" fillId="2" borderId="0" xfId="0" applyNumberFormat="1" applyFont="1" applyFill="1" applyAlignment="1">
      <alignment horizontal="center"/>
    </xf>
    <xf numFmtId="4" fontId="0" fillId="0" borderId="0" xfId="0" applyNumberFormat="1" applyAlignment="1">
      <alignment horizontal="center"/>
    </xf>
    <xf numFmtId="14" fontId="16" fillId="2" borderId="0" xfId="0" applyNumberFormat="1" applyFont="1" applyFill="1" applyAlignment="1">
      <alignment horizontal="center"/>
    </xf>
    <xf numFmtId="4" fontId="0" fillId="0" borderId="10" xfId="0" applyNumberFormat="1" applyBorder="1" applyAlignment="1">
      <alignment horizontal="left" vertical="center"/>
    </xf>
    <xf numFmtId="4" fontId="0" fillId="0" borderId="7" xfId="0" applyNumberFormat="1" applyBorder="1" applyAlignment="1">
      <alignment horizontal="left" vertical="center"/>
    </xf>
    <xf numFmtId="4" fontId="0" fillId="0" borderId="11" xfId="0" applyNumberFormat="1" applyBorder="1" applyAlignment="1">
      <alignment horizontal="left" vertical="center"/>
    </xf>
    <xf numFmtId="4" fontId="4" fillId="0" borderId="0" xfId="0" applyNumberFormat="1" applyFont="1" applyAlignment="1">
      <alignment horizontal="center" vertical="center"/>
    </xf>
    <xf numFmtId="4" fontId="15" fillId="0" borderId="0" xfId="0" applyNumberFormat="1" applyFont="1"/>
    <xf numFmtId="4" fontId="5" fillId="6" borderId="0" xfId="0" applyNumberFormat="1" applyFont="1" applyFill="1" applyAlignment="1">
      <alignment horizontal="right"/>
    </xf>
    <xf numFmtId="49" fontId="5" fillId="0" borderId="0" xfId="0" applyNumberFormat="1" applyFont="1" applyAlignment="1">
      <alignment horizontal="left"/>
    </xf>
    <xf numFmtId="4" fontId="0" fillId="0" borderId="13" xfId="0" applyNumberFormat="1" applyBorder="1" applyAlignment="1">
      <alignment horizontal="left" vertical="center"/>
    </xf>
    <xf numFmtId="4" fontId="0" fillId="0" borderId="14" xfId="0" applyNumberFormat="1" applyBorder="1" applyAlignment="1">
      <alignment horizontal="left" vertical="center"/>
    </xf>
    <xf numFmtId="4" fontId="0" fillId="0" borderId="12" xfId="0" applyNumberFormat="1" applyBorder="1" applyAlignment="1">
      <alignment horizontal="left" vertical="center"/>
    </xf>
    <xf numFmtId="4" fontId="7" fillId="0" borderId="0" xfId="0" applyNumberFormat="1" applyFont="1" applyAlignment="1">
      <alignment horizontal="left" vertical="center"/>
    </xf>
    <xf numFmtId="4" fontId="7" fillId="0" borderId="8" xfId="0" applyNumberFormat="1" applyFont="1" applyBorder="1" applyAlignment="1">
      <alignment horizontal="left" vertical="center"/>
    </xf>
    <xf numFmtId="4" fontId="7" fillId="15" borderId="6" xfId="0" applyNumberFormat="1" applyFont="1" applyFill="1" applyBorder="1" applyAlignment="1" applyProtection="1">
      <alignment horizontal="left" vertical="center"/>
      <protection locked="0"/>
    </xf>
    <xf numFmtId="4" fontId="7" fillId="15" borderId="15" xfId="0" applyNumberFormat="1" applyFont="1" applyFill="1" applyBorder="1" applyAlignment="1" applyProtection="1">
      <alignment horizontal="left" vertical="center"/>
      <protection locked="0"/>
    </xf>
    <xf numFmtId="4" fontId="7" fillId="15" borderId="4" xfId="0" applyNumberFormat="1" applyFont="1" applyFill="1" applyBorder="1" applyAlignment="1" applyProtection="1">
      <alignment horizontal="left" vertical="center"/>
      <protection locked="0"/>
    </xf>
    <xf numFmtId="4" fontId="7" fillId="0" borderId="7" xfId="0" applyNumberFormat="1" applyFont="1" applyBorder="1" applyAlignment="1">
      <alignment horizontal="left" vertical="center"/>
    </xf>
    <xf numFmtId="4" fontId="10" fillId="4" borderId="0" xfId="0" applyNumberFormat="1" applyFont="1" applyFill="1" applyAlignment="1">
      <alignment horizontal="left" vertical="center"/>
    </xf>
    <xf numFmtId="4" fontId="7" fillId="6" borderId="0" xfId="0" applyNumberFormat="1" applyFont="1" applyFill="1" applyAlignment="1">
      <alignment horizontal="center" vertical="center"/>
    </xf>
    <xf numFmtId="0" fontId="0" fillId="4" borderId="0" xfId="0" applyFill="1" applyAlignment="1">
      <alignment horizontal="right" vertical="center"/>
    </xf>
    <xf numFmtId="4" fontId="14" fillId="4" borderId="0" xfId="0" applyNumberFormat="1" applyFont="1" applyFill="1" applyAlignment="1" applyProtection="1">
      <alignment horizontal="right" vertical="center"/>
      <protection locked="0"/>
    </xf>
    <xf numFmtId="4" fontId="9" fillId="4" borderId="0" xfId="0" applyNumberFormat="1" applyFont="1" applyFill="1" applyAlignment="1" applyProtection="1">
      <alignment horizontal="right" vertical="center"/>
      <protection locked="0"/>
    </xf>
    <xf numFmtId="4" fontId="7" fillId="2" borderId="0" xfId="0" applyNumberFormat="1" applyFont="1" applyFill="1" applyAlignment="1">
      <alignment horizontal="right" vertical="center"/>
    </xf>
    <xf numFmtId="4" fontId="15" fillId="0" borderId="0" xfId="0" applyNumberFormat="1" applyFont="1" applyAlignment="1">
      <alignment vertical="center"/>
    </xf>
    <xf numFmtId="14" fontId="42" fillId="0" borderId="0" xfId="0" applyNumberFormat="1" applyFont="1" applyAlignment="1">
      <alignment horizontal="center" vertical="center"/>
    </xf>
    <xf numFmtId="14" fontId="42" fillId="0" borderId="8" xfId="0" applyNumberFormat="1" applyFont="1" applyBorder="1" applyAlignment="1">
      <alignment horizontal="center" vertical="center"/>
    </xf>
    <xf numFmtId="4" fontId="20" fillId="2" borderId="0" xfId="0" applyNumberFormat="1" applyFont="1" applyFill="1" applyAlignment="1">
      <alignment horizontal="right" vertical="center"/>
    </xf>
    <xf numFmtId="4" fontId="20" fillId="0" borderId="0" xfId="0" applyNumberFormat="1" applyFont="1" applyAlignment="1">
      <alignment horizontal="left" vertical="center" indent="1"/>
    </xf>
    <xf numFmtId="4" fontId="20" fillId="0" borderId="8" xfId="0" applyNumberFormat="1" applyFont="1" applyBorder="1" applyAlignment="1">
      <alignment horizontal="left" vertical="center" indent="1"/>
    </xf>
    <xf numFmtId="168" fontId="7" fillId="15" borderId="6" xfId="0" applyNumberFormat="1" applyFont="1" applyFill="1" applyBorder="1" applyAlignment="1">
      <alignment horizontal="center" vertical="center"/>
    </xf>
    <xf numFmtId="168" fontId="7" fillId="15" borderId="15" xfId="0" applyNumberFormat="1" applyFont="1" applyFill="1" applyBorder="1" applyAlignment="1">
      <alignment horizontal="center" vertical="center"/>
    </xf>
    <xf numFmtId="168" fontId="7" fillId="15" borderId="4" xfId="0" applyNumberFormat="1" applyFont="1" applyFill="1" applyBorder="1" applyAlignment="1">
      <alignment horizontal="center" vertical="center"/>
    </xf>
    <xf numFmtId="168" fontId="7" fillId="6" borderId="0" xfId="0" applyNumberFormat="1" applyFont="1" applyFill="1" applyAlignment="1">
      <alignment horizontal="center" vertical="center"/>
    </xf>
    <xf numFmtId="168" fontId="7" fillId="6" borderId="8" xfId="0" applyNumberFormat="1" applyFont="1" applyFill="1" applyBorder="1" applyAlignment="1">
      <alignment horizontal="center" vertical="center"/>
    </xf>
    <xf numFmtId="4" fontId="7" fillId="2" borderId="0" xfId="0" applyNumberFormat="1" applyFont="1" applyFill="1" applyAlignment="1">
      <alignment horizontal="center" vertical="center"/>
    </xf>
    <xf numFmtId="4" fontId="16" fillId="5" borderId="1" xfId="0" applyNumberFormat="1" applyFont="1" applyFill="1" applyBorder="1" applyAlignment="1">
      <alignment horizontal="right" vertical="center" indent="1"/>
    </xf>
    <xf numFmtId="4" fontId="16" fillId="5" borderId="3" xfId="0" applyNumberFormat="1" applyFont="1" applyFill="1" applyBorder="1" applyAlignment="1">
      <alignment horizontal="right" vertical="center" indent="1"/>
    </xf>
    <xf numFmtId="4" fontId="17" fillId="4" borderId="0" xfId="0" applyNumberFormat="1" applyFont="1" applyFill="1" applyAlignment="1">
      <alignment horizontal="left" vertical="center"/>
    </xf>
    <xf numFmtId="4" fontId="15" fillId="5" borderId="9" xfId="0" applyNumberFormat="1" applyFont="1" applyFill="1" applyBorder="1" applyAlignment="1">
      <alignment horizontal="left" vertical="center"/>
    </xf>
    <xf numFmtId="4" fontId="15" fillId="5" borderId="0" xfId="0" applyNumberFormat="1" applyFont="1" applyFill="1" applyAlignment="1">
      <alignment horizontal="left" vertical="center"/>
    </xf>
    <xf numFmtId="4" fontId="7" fillId="5" borderId="0" xfId="0" applyNumberFormat="1" applyFont="1" applyFill="1" applyAlignment="1">
      <alignment horizontal="center" vertical="center" wrapText="1"/>
    </xf>
    <xf numFmtId="4" fontId="7" fillId="2" borderId="6" xfId="0" applyNumberFormat="1" applyFont="1" applyFill="1" applyBorder="1" applyAlignment="1">
      <alignment horizontal="center" vertical="center"/>
    </xf>
    <xf numFmtId="4" fontId="7" fillId="2" borderId="15" xfId="0" applyNumberFormat="1" applyFont="1" applyFill="1" applyBorder="1" applyAlignment="1">
      <alignment horizontal="center" vertical="center"/>
    </xf>
    <xf numFmtId="4" fontId="7" fillId="2" borderId="4" xfId="0" applyNumberFormat="1" applyFont="1" applyFill="1" applyBorder="1" applyAlignment="1">
      <alignment horizontal="center" vertical="center"/>
    </xf>
    <xf numFmtId="4" fontId="7" fillId="0" borderId="9" xfId="0" applyNumberFormat="1" applyFont="1" applyBorder="1" applyAlignment="1">
      <alignment horizontal="left" vertical="center"/>
    </xf>
    <xf numFmtId="4" fontId="7" fillId="4" borderId="0" xfId="0" applyNumberFormat="1" applyFont="1" applyFill="1" applyAlignment="1" applyProtection="1">
      <alignment horizontal="right" vertical="center"/>
      <protection locked="0"/>
    </xf>
    <xf numFmtId="4" fontId="0" fillId="5" borderId="9" xfId="0" applyNumberFormat="1" applyFill="1" applyBorder="1" applyAlignment="1">
      <alignment horizontal="center" vertical="center"/>
    </xf>
    <xf numFmtId="4" fontId="0" fillId="5" borderId="0" xfId="0" applyNumberFormat="1" applyFill="1" applyAlignment="1">
      <alignment horizontal="center" vertical="center"/>
    </xf>
    <xf numFmtId="4" fontId="0" fillId="5" borderId="8" xfId="0" applyNumberFormat="1" applyFill="1" applyBorder="1" applyAlignment="1">
      <alignment horizontal="center" vertical="center"/>
    </xf>
    <xf numFmtId="14" fontId="7" fillId="5" borderId="9" xfId="1" applyNumberFormat="1" applyFont="1" applyFill="1" applyBorder="1" applyAlignment="1">
      <alignment horizontal="right" vertical="center"/>
    </xf>
    <xf numFmtId="14" fontId="7" fillId="5" borderId="0" xfId="1" applyNumberFormat="1" applyFont="1" applyFill="1" applyAlignment="1">
      <alignment horizontal="right" vertical="center"/>
    </xf>
    <xf numFmtId="14" fontId="7" fillId="5" borderId="8" xfId="1" applyNumberFormat="1" applyFont="1" applyFill="1" applyBorder="1" applyAlignment="1">
      <alignment horizontal="right" vertical="center"/>
    </xf>
    <xf numFmtId="0" fontId="7" fillId="6" borderId="6" xfId="0" applyFont="1" applyFill="1" applyBorder="1" applyAlignment="1">
      <alignment horizontal="center" vertical="center"/>
    </xf>
    <xf numFmtId="0" fontId="7" fillId="6" borderId="15" xfId="0" applyFont="1" applyFill="1" applyBorder="1" applyAlignment="1">
      <alignment horizontal="center" vertical="center"/>
    </xf>
    <xf numFmtId="0" fontId="7" fillId="6" borderId="4" xfId="0" applyFont="1" applyFill="1" applyBorder="1" applyAlignment="1">
      <alignment horizontal="center" vertical="center"/>
    </xf>
    <xf numFmtId="4" fontId="9" fillId="5" borderId="0" xfId="0" applyNumberFormat="1" applyFont="1" applyFill="1" applyAlignment="1">
      <alignment horizontal="center" vertical="center"/>
    </xf>
    <xf numFmtId="4" fontId="9" fillId="5" borderId="8" xfId="0" applyNumberFormat="1" applyFont="1" applyFill="1" applyBorder="1" applyAlignment="1">
      <alignment horizontal="center" vertical="center"/>
    </xf>
    <xf numFmtId="4" fontId="20" fillId="2" borderId="0" xfId="0" applyNumberFormat="1" applyFont="1" applyFill="1" applyAlignment="1" applyProtection="1">
      <alignment horizontal="center" vertical="center"/>
      <protection locked="0"/>
    </xf>
    <xf numFmtId="4" fontId="20" fillId="2" borderId="8" xfId="0" applyNumberFormat="1" applyFont="1" applyFill="1" applyBorder="1" applyAlignment="1" applyProtection="1">
      <alignment horizontal="center" vertical="center"/>
      <protection locked="0"/>
    </xf>
    <xf numFmtId="14" fontId="7" fillId="5" borderId="0" xfId="1" applyNumberFormat="1" applyFont="1" applyFill="1" applyAlignment="1">
      <alignment horizontal="center" vertical="center"/>
    </xf>
    <xf numFmtId="14" fontId="7" fillId="5" borderId="8" xfId="1" applyNumberFormat="1" applyFont="1" applyFill="1" applyBorder="1" applyAlignment="1">
      <alignment horizontal="center" vertical="center"/>
    </xf>
    <xf numFmtId="4" fontId="9" fillId="5" borderId="9" xfId="0" applyNumberFormat="1" applyFont="1" applyFill="1" applyBorder="1" applyAlignment="1">
      <alignment horizontal="left" vertical="center"/>
    </xf>
    <xf numFmtId="4" fontId="9" fillId="5" borderId="0" xfId="0" applyNumberFormat="1" applyFont="1" applyFill="1" applyAlignment="1">
      <alignment horizontal="left" vertical="center"/>
    </xf>
    <xf numFmtId="4" fontId="16" fillId="0" borderId="0" xfId="0" applyNumberFormat="1" applyFont="1" applyAlignment="1">
      <alignment horizontal="left" vertical="center" indent="1"/>
    </xf>
    <xf numFmtId="4" fontId="16" fillId="0" borderId="8" xfId="0" applyNumberFormat="1" applyFont="1" applyBorder="1" applyAlignment="1">
      <alignment horizontal="left" vertical="center" indent="1"/>
    </xf>
    <xf numFmtId="166" fontId="6" fillId="0" borderId="0" xfId="0" applyNumberFormat="1" applyFont="1" applyAlignment="1">
      <alignment horizontal="center" vertical="center"/>
    </xf>
    <xf numFmtId="0" fontId="23" fillId="0" borderId="0" xfId="0" applyFont="1" applyAlignment="1">
      <alignment vertical="center"/>
    </xf>
    <xf numFmtId="4" fontId="16" fillId="0" borderId="0" xfId="0" applyNumberFormat="1" applyFont="1" applyAlignment="1">
      <alignment horizontal="center" vertical="center"/>
    </xf>
    <xf numFmtId="0" fontId="0" fillId="0" borderId="0" xfId="0" applyAlignment="1">
      <alignment vertical="center"/>
    </xf>
    <xf numFmtId="4" fontId="14" fillId="4" borderId="0" xfId="0" applyNumberFormat="1" applyFont="1" applyFill="1" applyAlignment="1">
      <alignment horizontal="right" vertical="center"/>
    </xf>
    <xf numFmtId="4" fontId="9" fillId="4" borderId="0" xfId="0" applyNumberFormat="1" applyFont="1" applyFill="1" applyAlignment="1">
      <alignment horizontal="right" vertical="center"/>
    </xf>
    <xf numFmtId="4" fontId="23" fillId="0" borderId="0" xfId="0" applyNumberFormat="1" applyFont="1" applyAlignment="1">
      <alignment horizontal="left" vertical="center"/>
    </xf>
    <xf numFmtId="4" fontId="23" fillId="0" borderId="0" xfId="0" applyNumberFormat="1" applyFont="1" applyAlignment="1">
      <alignment horizontal="center" vertical="center"/>
    </xf>
    <xf numFmtId="4" fontId="7" fillId="2" borderId="8" xfId="0" applyNumberFormat="1" applyFont="1" applyFill="1" applyBorder="1" applyAlignment="1">
      <alignment horizontal="center" vertical="center"/>
    </xf>
    <xf numFmtId="4" fontId="7" fillId="4" borderId="8" xfId="0" applyNumberFormat="1" applyFont="1" applyFill="1" applyBorder="1" applyAlignment="1">
      <alignment horizontal="center" vertical="center"/>
    </xf>
    <xf numFmtId="4" fontId="14" fillId="4" borderId="0" xfId="0" applyNumberFormat="1" applyFont="1" applyFill="1" applyAlignment="1" applyProtection="1">
      <alignment horizontal="center" vertical="center"/>
      <protection locked="0"/>
    </xf>
    <xf numFmtId="4" fontId="0" fillId="5" borderId="10" xfId="0" applyNumberFormat="1" applyFill="1" applyBorder="1" applyAlignment="1">
      <alignment horizontal="center" vertical="center"/>
    </xf>
    <xf numFmtId="4" fontId="0" fillId="5" borderId="7" xfId="0" applyNumberFormat="1" applyFill="1" applyBorder="1" applyAlignment="1">
      <alignment horizontal="center" vertical="center"/>
    </xf>
    <xf numFmtId="4" fontId="0" fillId="5" borderId="11" xfId="0" applyNumberFormat="1" applyFill="1" applyBorder="1" applyAlignment="1">
      <alignment horizontal="center" vertical="center"/>
    </xf>
    <xf numFmtId="0" fontId="34" fillId="0" borderId="0" xfId="1" applyFont="1" applyAlignment="1">
      <alignment horizontal="left" vertical="center"/>
    </xf>
    <xf numFmtId="0" fontId="36" fillId="0" borderId="0" xfId="1" applyFont="1" applyAlignment="1">
      <alignment horizontal="left" vertical="center"/>
    </xf>
    <xf numFmtId="0" fontId="27" fillId="7" borderId="21" xfId="1" applyFont="1" applyFill="1" applyBorder="1" applyAlignment="1">
      <alignment horizontal="center" vertical="center"/>
    </xf>
    <xf numFmtId="0" fontId="27" fillId="7" borderId="22" xfId="1" applyFont="1" applyFill="1" applyBorder="1" applyAlignment="1">
      <alignment horizontal="center" vertical="center"/>
    </xf>
    <xf numFmtId="0" fontId="7" fillId="8" borderId="20" xfId="1" applyFont="1" applyFill="1" applyBorder="1" applyAlignment="1">
      <alignment horizontal="center" vertical="center" wrapText="1"/>
    </xf>
    <xf numFmtId="0" fontId="7" fillId="8" borderId="2" xfId="1" applyFont="1" applyFill="1" applyBorder="1" applyAlignment="1">
      <alignment horizontal="center" vertical="center" wrapText="1"/>
    </xf>
    <xf numFmtId="0" fontId="7" fillId="8" borderId="23" xfId="1" applyFont="1" applyFill="1" applyBorder="1" applyAlignment="1">
      <alignment horizontal="center" vertical="center" wrapText="1"/>
    </xf>
    <xf numFmtId="0" fontId="7" fillId="8" borderId="25" xfId="1" applyFont="1" applyFill="1" applyBorder="1" applyAlignment="1">
      <alignment horizontal="center" vertical="center" wrapText="1"/>
    </xf>
    <xf numFmtId="0" fontId="7" fillId="8" borderId="24" xfId="1" applyFont="1" applyFill="1" applyBorder="1" applyAlignment="1">
      <alignment horizontal="center" vertical="center" wrapText="1"/>
    </xf>
    <xf numFmtId="0" fontId="7" fillId="8" borderId="26" xfId="1" applyFont="1" applyFill="1" applyBorder="1" applyAlignment="1">
      <alignment horizontal="center" vertical="center" wrapText="1"/>
    </xf>
    <xf numFmtId="4" fontId="23" fillId="6" borderId="9" xfId="0" applyNumberFormat="1" applyFont="1" applyFill="1" applyBorder="1" applyAlignment="1">
      <alignment horizontal="left" vertical="center"/>
    </xf>
    <xf numFmtId="4" fontId="23" fillId="6" borderId="0" xfId="0" applyNumberFormat="1" applyFont="1" applyFill="1" applyAlignment="1">
      <alignment horizontal="left" vertical="center"/>
    </xf>
    <xf numFmtId="0" fontId="0" fillId="0" borderId="5" xfId="0" applyBorder="1" applyAlignment="1">
      <alignment horizontal="center"/>
    </xf>
  </cellXfs>
  <cellStyles count="8">
    <cellStyle name="Monétaire" xfId="6" builtinId="4"/>
    <cellStyle name="Monétaire 2" xfId="4" xr:uid="{792EAE12-3C30-45C9-B027-589BE280DF79}"/>
    <cellStyle name="Monétaire 3" xfId="7" xr:uid="{0A74F53F-F579-4071-895A-5544A43C7054}"/>
    <cellStyle name="Normal" xfId="0" builtinId="0"/>
    <cellStyle name="Normal 2" xfId="1" xr:uid="{00000000-0005-0000-0000-000001000000}"/>
    <cellStyle name="Normal 2 2 2 3" xfId="2" xr:uid="{933A868C-F348-493E-AEB3-95C065960FE4}"/>
    <cellStyle name="Normal 3" xfId="5" xr:uid="{F1014D65-AF35-4C30-9BE2-9923E9AD3E5C}"/>
    <cellStyle name="Normal 8" xfId="3" xr:uid="{9F8A6095-A77B-4A5C-B4DF-D66BCA85E97D}"/>
  </cellStyles>
  <dxfs count="48">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medium">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alignment horizontal="center" vertical="center" textRotation="0" wrapText="1" indent="0" justifyLastLine="0" shrinkToFit="0" readingOrder="0"/>
      <border diagonalUp="0" diagonalDown="0" outline="0">
        <left style="thin">
          <color indexed="64"/>
        </left>
        <right/>
        <top/>
        <bottom/>
      </border>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medium">
          <color indexed="64"/>
        </right>
        <top/>
        <bottom/>
      </border>
      <protection locked="1" hidden="0"/>
    </dxf>
    <dxf>
      <font>
        <b/>
        <i val="0"/>
        <strike val="0"/>
        <condense val="0"/>
        <extend val="0"/>
        <outline val="0"/>
        <shadow val="0"/>
        <u val="none"/>
        <vertAlign val="baseline"/>
        <sz val="11"/>
        <color auto="1"/>
        <name val="Arial"/>
        <family val="2"/>
        <scheme val="none"/>
      </font>
      <fill>
        <patternFill patternType="none">
          <fgColor indexed="64"/>
          <bgColor indexed="65"/>
        </patternFill>
      </fill>
      <alignment horizontal="left" vertical="center" textRotation="0" wrapText="0" indent="0" justifyLastLine="0" shrinkToFit="0" readingOrder="0"/>
      <border diagonalUp="0" diagonalDown="0" outline="0">
        <left style="thin">
          <color auto="1"/>
        </left>
        <right style="thin">
          <color indexed="64"/>
        </right>
        <top/>
        <bottom/>
      </border>
      <protection locked="1" hidden="0"/>
    </dxf>
    <dxf>
      <border outline="0">
        <right style="thin">
          <color rgb="FF000000"/>
        </right>
        <bottom style="thin">
          <color rgb="FF000000"/>
        </bottom>
      </border>
    </dxf>
    <dxf>
      <font>
        <b/>
        <i val="0"/>
        <strike val="0"/>
        <condense val="0"/>
        <extend val="0"/>
        <outline val="0"/>
        <shadow val="0"/>
        <u val="none"/>
        <vertAlign val="baseline"/>
        <sz val="9"/>
        <color auto="1"/>
        <name val="Arial"/>
        <family val="2"/>
        <scheme val="none"/>
      </font>
      <fill>
        <patternFill patternType="none">
          <fgColor rgb="FF000000"/>
          <bgColor rgb="FFFFFFFF"/>
        </patternFill>
      </fill>
      <alignment horizontal="center" vertical="center" textRotation="0" wrapText="1" indent="0" justifyLastLine="0" shrinkToFit="0" readingOrder="0"/>
      <protection locked="1" hidden="0"/>
    </dxf>
    <dxf>
      <border outline="0">
        <bottom style="medium">
          <color rgb="FF000000"/>
        </bottom>
      </border>
    </dxf>
    <dxf>
      <font>
        <b/>
        <i val="0"/>
        <strike val="0"/>
        <condense val="0"/>
        <extend val="0"/>
        <outline val="0"/>
        <shadow val="0"/>
        <u val="none"/>
        <vertAlign val="baseline"/>
        <sz val="12"/>
        <color theme="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medium">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alignment horizontal="center" vertical="center" textRotation="0" wrapText="1" indent="0" justifyLastLine="0" shrinkToFit="0" readingOrder="0"/>
      <border diagonalUp="0" diagonalDown="0" outline="0">
        <left style="thin">
          <color indexed="64"/>
        </left>
        <right/>
        <top/>
        <bottom/>
      </border>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b/>
        <i val="0"/>
        <strike val="0"/>
        <condense val="0"/>
        <extend val="0"/>
        <outline val="0"/>
        <shadow val="0"/>
        <u val="none"/>
        <vertAlign val="baseline"/>
        <sz val="10"/>
        <color auto="1"/>
        <name val="Arial"/>
        <family val="2"/>
        <scheme val="none"/>
      </font>
      <numFmt numFmtId="2" formatCode="0.00"/>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style="thin">
          <color indexed="64"/>
        </right>
        <top/>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medium">
          <color indexed="64"/>
        </right>
        <top/>
        <bottom/>
      </border>
      <protection locked="1" hidden="0"/>
    </dxf>
    <dxf>
      <font>
        <b/>
        <i val="0"/>
        <strike val="0"/>
        <condense val="0"/>
        <extend val="0"/>
        <outline val="0"/>
        <shadow val="0"/>
        <u val="none"/>
        <vertAlign val="baseline"/>
        <sz val="11"/>
        <color auto="1"/>
        <name val="Arial"/>
        <family val="2"/>
        <scheme val="none"/>
      </font>
      <fill>
        <patternFill patternType="none">
          <fgColor indexed="64"/>
          <bgColor indexed="65"/>
        </patternFill>
      </fill>
      <alignment horizontal="left" vertical="center" textRotation="0" wrapText="0" indent="0" justifyLastLine="0" shrinkToFit="0" readingOrder="0"/>
      <border diagonalUp="0" diagonalDown="0" outline="0">
        <left style="thin">
          <color auto="1"/>
        </left>
        <right style="thin">
          <color indexed="64"/>
        </right>
        <top/>
        <bottom/>
      </border>
      <protection locked="1" hidden="0"/>
    </dxf>
    <dxf>
      <border outline="0">
        <right style="thin">
          <color indexed="64"/>
        </right>
        <bottom style="thin">
          <color indexed="64"/>
        </bottom>
      </border>
    </dxf>
    <dxf>
      <font>
        <b/>
        <i val="0"/>
        <strike val="0"/>
        <condense val="0"/>
        <extend val="0"/>
        <outline val="0"/>
        <shadow val="0"/>
        <u val="none"/>
        <vertAlign val="baseline"/>
        <sz val="9"/>
        <color auto="1"/>
        <name val="Arial"/>
        <family val="2"/>
        <scheme val="none"/>
      </font>
      <fill>
        <patternFill patternType="none">
          <fgColor indexed="64"/>
          <bgColor indexed="65"/>
        </patternFill>
      </fill>
      <alignment horizontal="center" vertical="center" textRotation="0" wrapText="1" indent="0" justifyLastLine="0" shrinkToFit="0" readingOrder="0"/>
      <protection locked="1" hidden="0"/>
    </dxf>
    <dxf>
      <border outline="0">
        <bottom style="medium">
          <color indexed="64"/>
        </bottom>
      </border>
    </dxf>
    <dxf>
      <font>
        <b/>
        <i val="0"/>
        <strike val="0"/>
        <condense val="0"/>
        <extend val="0"/>
        <outline val="0"/>
        <shadow val="0"/>
        <u val="none"/>
        <vertAlign val="baseline"/>
        <sz val="12"/>
        <color theme="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border>
        <left style="thin">
          <color auto="1"/>
        </left>
        <right style="thin">
          <color auto="1"/>
        </right>
        <top style="thin">
          <color auto="1"/>
        </top>
        <bottom style="thin">
          <color auto="1"/>
        </bottom>
        <vertical/>
        <horizontal/>
      </border>
    </dxf>
    <dxf>
      <font>
        <b val="0"/>
        <i/>
        <color rgb="FFFF0000"/>
      </font>
    </dxf>
    <dxf>
      <font>
        <color rgb="FFFF0000"/>
      </font>
    </dxf>
    <dxf>
      <font>
        <color rgb="FFFF0000"/>
      </font>
    </dxf>
    <dxf>
      <fill>
        <patternFill>
          <bgColor rgb="FFFF0000"/>
        </patternFill>
      </fill>
    </dxf>
    <dxf>
      <fill>
        <patternFill>
          <bgColor theme="0" tint="-0.14996795556505021"/>
        </patternFill>
      </fill>
    </dxf>
  </dxfs>
  <tableStyles count="0" defaultTableStyle="TableStyleMedium2" defaultPivotStyle="PivotStyleLight16"/>
  <colors>
    <mruColors>
      <color rgb="FF0000FF"/>
      <color rgb="FFFFFF99"/>
      <color rgb="FFFFFF00"/>
      <color rgb="FFFF5050"/>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fmlaLink="$I$20" noThreeD="1"/>
</file>

<file path=xl/ctrlProps/ctrlProp2.xml><?xml version="1.0" encoding="utf-8"?>
<formControlPr xmlns="http://schemas.microsoft.com/office/spreadsheetml/2009/9/main" objectType="CheckBox" fmlaLink="$AQ$19" noThreeD="1"/>
</file>

<file path=xl/ctrlProps/ctrlProp3.xml><?xml version="1.0" encoding="utf-8"?>
<formControlPr xmlns="http://schemas.microsoft.com/office/spreadsheetml/2009/9/main" objectType="CheckBox" fmlaLink="Calculs!$H$26" lockText="1" noThreeD="1"/>
</file>

<file path=xl/ctrlProps/ctrlProp4.xml><?xml version="1.0" encoding="utf-8"?>
<formControlPr xmlns="http://schemas.microsoft.com/office/spreadsheetml/2009/9/main" objectType="CheckBox" fmlaLink="$AB$39" lockText="1" noThreeD="1"/>
</file>

<file path=xl/ctrlProps/ctrlProp5.xml><?xml version="1.0" encoding="utf-8"?>
<formControlPr xmlns="http://schemas.microsoft.com/office/spreadsheetml/2009/9/main" objectType="Radio" checked="Checked" firstButton="1" fmlaLink="$BD$36"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checked="Checked" firstButton="1" fmlaLink="$AU$37"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88900</xdr:colOff>
          <xdr:row>18</xdr:row>
          <xdr:rowOff>165100</xdr:rowOff>
        </xdr:from>
        <xdr:to>
          <xdr:col>10</xdr:col>
          <xdr:colOff>31750</xdr:colOff>
          <xdr:row>20</xdr:row>
          <xdr:rowOff>12700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969696" mc:Ignorable="a14" a14:legacySpreadsheetColorIndex="5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57150</xdr:colOff>
          <xdr:row>17</xdr:row>
          <xdr:rowOff>171450</xdr:rowOff>
        </xdr:from>
        <xdr:to>
          <xdr:col>45</xdr:col>
          <xdr:colOff>0</xdr:colOff>
          <xdr:row>19</xdr:row>
          <xdr:rowOff>31750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969696" mc:Ignorable="a14" a14:legacySpreadsheetColorIndex="5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31750</xdr:colOff>
          <xdr:row>45</xdr:row>
          <xdr:rowOff>19050</xdr:rowOff>
        </xdr:from>
        <xdr:to>
          <xdr:col>34</xdr:col>
          <xdr:colOff>107950</xdr:colOff>
          <xdr:row>46</xdr:row>
          <xdr:rowOff>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88900</xdr:rowOff>
        </xdr:from>
        <xdr:to>
          <xdr:col>29</xdr:col>
          <xdr:colOff>76200</xdr:colOff>
          <xdr:row>39</xdr:row>
          <xdr:rowOff>19050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0</xdr:colOff>
          <xdr:row>35</xdr:row>
          <xdr:rowOff>0</xdr:rowOff>
        </xdr:from>
        <xdr:to>
          <xdr:col>46</xdr:col>
          <xdr:colOff>85725</xdr:colOff>
          <xdr:row>36</xdr:row>
          <xdr:rowOff>0</xdr:rowOff>
        </xdr:to>
        <xdr:grpSp>
          <xdr:nvGrpSpPr>
            <xdr:cNvPr id="2" name="Groupe 1">
              <a:extLst>
                <a:ext uri="{FF2B5EF4-FFF2-40B4-BE49-F238E27FC236}">
                  <a16:creationId xmlns:a16="http://schemas.microsoft.com/office/drawing/2014/main" id="{00000000-0008-0000-0000-000002000000}"/>
                </a:ext>
              </a:extLst>
            </xdr:cNvPr>
            <xdr:cNvGrpSpPr/>
          </xdr:nvGrpSpPr>
          <xdr:grpSpPr>
            <a:xfrm>
              <a:off x="3273136" y="6107545"/>
              <a:ext cx="2389044" cy="190500"/>
              <a:chOff x="3086086" y="5735592"/>
              <a:chExt cx="2257426" cy="219075"/>
            </a:xfrm>
          </xdr:grpSpPr>
          <xdr:sp macro="" textlink="">
            <xdr:nvSpPr>
              <xdr:cNvPr id="1130" name="Option Button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3086086" y="5735592"/>
                <a:ext cx="1219199"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31" name="Option Button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4343387" y="5743574"/>
                <a:ext cx="1000125" cy="2095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38100</xdr:colOff>
          <xdr:row>34</xdr:row>
          <xdr:rowOff>146050</xdr:rowOff>
        </xdr:from>
        <xdr:to>
          <xdr:col>47</xdr:col>
          <xdr:colOff>0</xdr:colOff>
          <xdr:row>36</xdr:row>
          <xdr:rowOff>31750</xdr:rowOff>
        </xdr:to>
        <xdr:sp macro="" textlink="">
          <xdr:nvSpPr>
            <xdr:cNvPr id="1132" name="Group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108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0</xdr:colOff>
          <xdr:row>36</xdr:row>
          <xdr:rowOff>0</xdr:rowOff>
        </xdr:from>
        <xdr:to>
          <xdr:col>46</xdr:col>
          <xdr:colOff>85725</xdr:colOff>
          <xdr:row>37</xdr:row>
          <xdr:rowOff>0</xdr:rowOff>
        </xdr:to>
        <xdr:grpSp>
          <xdr:nvGrpSpPr>
            <xdr:cNvPr id="25" name="Groupe 24">
              <a:extLst>
                <a:ext uri="{FF2B5EF4-FFF2-40B4-BE49-F238E27FC236}">
                  <a16:creationId xmlns:a16="http://schemas.microsoft.com/office/drawing/2014/main" id="{00000000-0008-0000-0000-000019000000}"/>
                </a:ext>
              </a:extLst>
            </xdr:cNvPr>
            <xdr:cNvGrpSpPr/>
          </xdr:nvGrpSpPr>
          <xdr:grpSpPr>
            <a:xfrm>
              <a:off x="3273136" y="6298045"/>
              <a:ext cx="2389044" cy="190500"/>
              <a:chOff x="3086086" y="5735587"/>
              <a:chExt cx="2257426" cy="219075"/>
            </a:xfrm>
          </xdr:grpSpPr>
          <xdr:sp macro="" textlink="">
            <xdr:nvSpPr>
              <xdr:cNvPr id="1133" name="Option Button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3086086" y="5735587"/>
                <a:ext cx="1219199"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34" name="Option Button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4343387" y="5743574"/>
                <a:ext cx="1000125" cy="2095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42</xdr:col>
          <xdr:colOff>31750</xdr:colOff>
          <xdr:row>5</xdr:row>
          <xdr:rowOff>12700</xdr:rowOff>
        </xdr:from>
        <xdr:to>
          <xdr:col>56</xdr:col>
          <xdr:colOff>107950</xdr:colOff>
          <xdr:row>7</xdr:row>
          <xdr:rowOff>31750</xdr:rowOff>
        </xdr:to>
        <xdr:sp macro="" textlink="">
          <xdr:nvSpPr>
            <xdr:cNvPr id="1138" name="Button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800" b="1" i="0" u="none" strike="noStrike" baseline="0">
                  <a:solidFill>
                    <a:srgbClr val="000000"/>
                  </a:solidFill>
                  <a:latin typeface="Arial"/>
                  <a:cs typeface="Arial"/>
                </a:rPr>
                <a:t>Créer nouveau numéro (partie 1)</a:t>
              </a:r>
            </a:p>
          </xdr:txBody>
        </xdr:sp>
        <xdr:clientData fPrintsWithSheet="0"/>
      </xdr:twoCellAnchor>
    </mc:Choice>
    <mc:Fallback/>
  </mc:AlternateContent>
  <xdr:twoCellAnchor>
    <xdr:from>
      <xdr:col>51</xdr:col>
      <xdr:colOff>60615</xdr:colOff>
      <xdr:row>14</xdr:row>
      <xdr:rowOff>147205</xdr:rowOff>
    </xdr:from>
    <xdr:to>
      <xdr:col>57</xdr:col>
      <xdr:colOff>493569</xdr:colOff>
      <xdr:row>17</xdr:row>
      <xdr:rowOff>69273</xdr:rowOff>
    </xdr:to>
    <xdr:sp macro="[0]!cours_usd" textlink="">
      <xdr:nvSpPr>
        <xdr:cNvPr id="26" name="ZoneTexte 25">
          <a:extLst>
            <a:ext uri="{FF2B5EF4-FFF2-40B4-BE49-F238E27FC236}">
              <a16:creationId xmlns:a16="http://schemas.microsoft.com/office/drawing/2014/main" id="{00000000-0008-0000-0000-00001A000000}"/>
            </a:ext>
          </a:extLst>
        </xdr:cNvPr>
        <xdr:cNvSpPr txBox="1"/>
      </xdr:nvSpPr>
      <xdr:spPr>
        <a:xfrm>
          <a:off x="5801592" y="2667000"/>
          <a:ext cx="1177636" cy="493568"/>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Lien</a:t>
          </a:r>
          <a:r>
            <a:rPr lang="fr-FR" sz="1100" b="1" baseline="0">
              <a:solidFill>
                <a:sysClr val="windowText" lastClr="000000"/>
              </a:solidFill>
            </a:rPr>
            <a:t> Taux USD du jour</a:t>
          </a:r>
          <a:endParaRPr lang="fr-FR" sz="1100" b="1">
            <a:solidFill>
              <a:sysClr val="windowText" lastClr="000000"/>
            </a:solidFill>
          </a:endParaRPr>
        </a:p>
      </xdr:txBody>
    </xdr:sp>
    <xdr:clientData fPrintsWithSheet="0"/>
  </xdr:twoCellAnchor>
  <xdr:twoCellAnchor>
    <xdr:from>
      <xdr:col>0</xdr:col>
      <xdr:colOff>0</xdr:colOff>
      <xdr:row>15</xdr:row>
      <xdr:rowOff>155864</xdr:rowOff>
    </xdr:from>
    <xdr:to>
      <xdr:col>8</xdr:col>
      <xdr:colOff>95250</xdr:colOff>
      <xdr:row>17</xdr:row>
      <xdr:rowOff>43296</xdr:rowOff>
    </xdr:to>
    <xdr:sp macro="[0]!cubage" textlink="">
      <xdr:nvSpPr>
        <xdr:cNvPr id="27" name="ZoneTexte 26">
          <a:extLst>
            <a:ext uri="{FF2B5EF4-FFF2-40B4-BE49-F238E27FC236}">
              <a16:creationId xmlns:a16="http://schemas.microsoft.com/office/drawing/2014/main" id="{00000000-0008-0000-0000-00001B000000}"/>
            </a:ext>
          </a:extLst>
        </xdr:cNvPr>
        <xdr:cNvSpPr txBox="1"/>
      </xdr:nvSpPr>
      <xdr:spPr>
        <a:xfrm>
          <a:off x="0" y="2866159"/>
          <a:ext cx="995795" cy="268432"/>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Calcul volume</a:t>
          </a:r>
        </a:p>
      </xdr:txBody>
    </xdr:sp>
    <xdr:clientData fPrintsWithSheet="0"/>
  </xdr:twoCellAnchor>
  <xdr:twoCellAnchor>
    <xdr:from>
      <xdr:col>33</xdr:col>
      <xdr:colOff>25977</xdr:colOff>
      <xdr:row>46</xdr:row>
      <xdr:rowOff>121227</xdr:rowOff>
    </xdr:from>
    <xdr:to>
      <xdr:col>45</xdr:col>
      <xdr:colOff>43296</xdr:colOff>
      <xdr:row>48</xdr:row>
      <xdr:rowOff>8659</xdr:rowOff>
    </xdr:to>
    <xdr:sp macro="[0]!frais_annexes" textlink="">
      <xdr:nvSpPr>
        <xdr:cNvPr id="31" name="ZoneTexte 30">
          <a:extLst>
            <a:ext uri="{FF2B5EF4-FFF2-40B4-BE49-F238E27FC236}">
              <a16:creationId xmlns:a16="http://schemas.microsoft.com/office/drawing/2014/main" id="{00000000-0008-0000-0000-00001F000000}"/>
            </a:ext>
          </a:extLst>
        </xdr:cNvPr>
        <xdr:cNvSpPr txBox="1"/>
      </xdr:nvSpPr>
      <xdr:spPr>
        <a:xfrm>
          <a:off x="3740727" y="8243454"/>
          <a:ext cx="1368137" cy="268432"/>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Grille</a:t>
          </a:r>
          <a:r>
            <a:rPr lang="fr-FR" sz="1100" b="1" baseline="0">
              <a:solidFill>
                <a:sysClr val="windowText" lastClr="000000"/>
              </a:solidFill>
            </a:rPr>
            <a:t> frais annexes</a:t>
          </a:r>
          <a:endParaRPr lang="fr-FR" sz="1100" b="1">
            <a:solidFill>
              <a:sysClr val="windowText" lastClr="000000"/>
            </a:solidFill>
          </a:endParaRPr>
        </a:p>
      </xdr:txBody>
    </xdr:sp>
    <xdr:clientData fPrintsWithSheet="0"/>
  </xdr:twoCellAnchor>
  <xdr:twoCellAnchor>
    <xdr:from>
      <xdr:col>57</xdr:col>
      <xdr:colOff>582084</xdr:colOff>
      <xdr:row>7</xdr:row>
      <xdr:rowOff>194541</xdr:rowOff>
    </xdr:from>
    <xdr:to>
      <xdr:col>60</xdr:col>
      <xdr:colOff>320578</xdr:colOff>
      <xdr:row>10</xdr:row>
      <xdr:rowOff>63018</xdr:rowOff>
    </xdr:to>
    <xdr:sp macro="[0]!print_pdf" textlink="">
      <xdr:nvSpPr>
        <xdr:cNvPr id="5" name="ZoneTexte 4">
          <a:extLst>
            <a:ext uri="{FF2B5EF4-FFF2-40B4-BE49-F238E27FC236}">
              <a16:creationId xmlns:a16="http://schemas.microsoft.com/office/drawing/2014/main" id="{00000000-0008-0000-0000-000005000000}"/>
            </a:ext>
          </a:extLst>
        </xdr:cNvPr>
        <xdr:cNvSpPr txBox="1"/>
      </xdr:nvSpPr>
      <xdr:spPr>
        <a:xfrm>
          <a:off x="7281334" y="1496291"/>
          <a:ext cx="1902786" cy="514060"/>
        </a:xfrm>
        <a:prstGeom prst="rect">
          <a:avLst/>
        </a:prstGeom>
        <a:solidFill>
          <a:schemeClr val="accent1">
            <a:lumMod val="40000"/>
            <a:lumOff val="6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400" b="1" i="1">
              <a:solidFill>
                <a:srgbClr val="002060"/>
              </a:solidFill>
            </a:rPr>
            <a:t>&gt; 2. GENERER PDF</a:t>
          </a:r>
        </a:p>
      </xdr:txBody>
    </xdr:sp>
    <xdr:clientData/>
  </xdr:twoCellAnchor>
  <xdr:twoCellAnchor>
    <xdr:from>
      <xdr:col>57</xdr:col>
      <xdr:colOff>582084</xdr:colOff>
      <xdr:row>4</xdr:row>
      <xdr:rowOff>15875</xdr:rowOff>
    </xdr:from>
    <xdr:to>
      <xdr:col>60</xdr:col>
      <xdr:colOff>320578</xdr:colOff>
      <xdr:row>7</xdr:row>
      <xdr:rowOff>101310</xdr:rowOff>
    </xdr:to>
    <xdr:sp macro="[0]!Save_as" textlink="">
      <xdr:nvSpPr>
        <xdr:cNvPr id="6" name="ZoneTexte 5">
          <a:extLst>
            <a:ext uri="{FF2B5EF4-FFF2-40B4-BE49-F238E27FC236}">
              <a16:creationId xmlns:a16="http://schemas.microsoft.com/office/drawing/2014/main" id="{00000000-0008-0000-0000-000006000000}"/>
            </a:ext>
          </a:extLst>
        </xdr:cNvPr>
        <xdr:cNvSpPr txBox="1"/>
      </xdr:nvSpPr>
      <xdr:spPr>
        <a:xfrm>
          <a:off x="7281334" y="889000"/>
          <a:ext cx="1902786" cy="514060"/>
        </a:xfrm>
        <a:prstGeom prst="rect">
          <a:avLst/>
        </a:prstGeom>
        <a:solidFill>
          <a:srgbClr val="FFFF99"/>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400" b="1" i="1">
              <a:solidFill>
                <a:schemeClr val="bg2">
                  <a:lumMod val="25000"/>
                </a:schemeClr>
              </a:solidFill>
            </a:rPr>
            <a:t>&gt; 1. ENREGISTRER</a:t>
          </a:r>
        </a:p>
      </xdr:txBody>
    </xdr:sp>
    <xdr:clientData/>
  </xdr:twoCellAnchor>
  <xdr:twoCellAnchor>
    <xdr:from>
      <xdr:col>57</xdr:col>
      <xdr:colOff>582083</xdr:colOff>
      <xdr:row>10</xdr:row>
      <xdr:rowOff>148167</xdr:rowOff>
    </xdr:from>
    <xdr:to>
      <xdr:col>60</xdr:col>
      <xdr:colOff>320577</xdr:colOff>
      <xdr:row>14</xdr:row>
      <xdr:rowOff>90727</xdr:rowOff>
    </xdr:to>
    <xdr:sp macro="[0]!suivi_cot" textlink="">
      <xdr:nvSpPr>
        <xdr:cNvPr id="7" name="ZoneTexte 6">
          <a:extLst>
            <a:ext uri="{FF2B5EF4-FFF2-40B4-BE49-F238E27FC236}">
              <a16:creationId xmlns:a16="http://schemas.microsoft.com/office/drawing/2014/main" id="{00000000-0008-0000-0000-000007000000}"/>
            </a:ext>
          </a:extLst>
        </xdr:cNvPr>
        <xdr:cNvSpPr txBox="1"/>
      </xdr:nvSpPr>
      <xdr:spPr>
        <a:xfrm>
          <a:off x="7281333" y="2095500"/>
          <a:ext cx="1902786" cy="514060"/>
        </a:xfrm>
        <a:prstGeom prst="rect">
          <a:avLst/>
        </a:prstGeom>
        <a:solidFill>
          <a:schemeClr val="accent2">
            <a:lumMod val="40000"/>
            <a:lumOff val="6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400" b="1" i="1">
              <a:solidFill>
                <a:schemeClr val="accent2">
                  <a:lumMod val="50000"/>
                </a:schemeClr>
              </a:solidFill>
            </a:rPr>
            <a:t>&gt; 3. SUIVI COTATION</a:t>
          </a:r>
        </a:p>
      </xdr:txBody>
    </xdr:sp>
    <xdr:clientData/>
  </xdr:twoCellAnchor>
  <xdr:twoCellAnchor>
    <xdr:from>
      <xdr:col>60</xdr:col>
      <xdr:colOff>571500</xdr:colOff>
      <xdr:row>10</xdr:row>
      <xdr:rowOff>164522</xdr:rowOff>
    </xdr:from>
    <xdr:to>
      <xdr:col>61</xdr:col>
      <xdr:colOff>649433</xdr:colOff>
      <xdr:row>14</xdr:row>
      <xdr:rowOff>86590</xdr:rowOff>
    </xdr:to>
    <xdr:sp macro="[0]!acces_suivi_cot" textlink="">
      <xdr:nvSpPr>
        <xdr:cNvPr id="3" name="ZoneTexte 2">
          <a:extLst>
            <a:ext uri="{FF2B5EF4-FFF2-40B4-BE49-F238E27FC236}">
              <a16:creationId xmlns:a16="http://schemas.microsoft.com/office/drawing/2014/main" id="{00000000-0008-0000-0000-000003000000}"/>
            </a:ext>
          </a:extLst>
        </xdr:cNvPr>
        <xdr:cNvSpPr txBox="1"/>
      </xdr:nvSpPr>
      <xdr:spPr>
        <a:xfrm>
          <a:off x="9429750" y="2112817"/>
          <a:ext cx="969819" cy="493568"/>
        </a:xfrm>
        <a:prstGeom prst="rect">
          <a:avLst/>
        </a:prstGeom>
        <a:solidFill>
          <a:schemeClr val="accent6">
            <a:lumMod val="60000"/>
            <a:lumOff val="40000"/>
          </a:schemeClr>
        </a:solidFill>
        <a:ln/>
      </xdr:spPr>
      <xdr:style>
        <a:lnRef idx="0">
          <a:schemeClr val="accent6"/>
        </a:lnRef>
        <a:fillRef idx="3">
          <a:schemeClr val="accent6"/>
        </a:fillRef>
        <a:effectRef idx="3">
          <a:schemeClr val="accent6"/>
        </a:effectRef>
        <a:fontRef idx="minor">
          <a:schemeClr val="lt1"/>
        </a:fontRef>
      </xdr:style>
      <xdr:txBody>
        <a:bodyPr vertOverflow="clip" horzOverflow="clip" wrap="square" rtlCol="0" anchor="ctr"/>
        <a:lstStyle/>
        <a:p>
          <a:pPr algn="ctr"/>
          <a:r>
            <a:rPr lang="fr-FR" sz="1100" b="1">
              <a:solidFill>
                <a:sysClr val="windowText" lastClr="000000"/>
              </a:solidFill>
            </a:rPr>
            <a:t>Accès fichier Suivi Cot.</a:t>
          </a:r>
        </a:p>
      </xdr:txBody>
    </xdr:sp>
    <xdr:clientData fPrint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0</xdr:colOff>
          <xdr:row>0</xdr:row>
          <xdr:rowOff>184150</xdr:rowOff>
        </xdr:from>
        <xdr:to>
          <xdr:col>13</xdr:col>
          <xdr:colOff>717550</xdr:colOff>
          <xdr:row>2</xdr:row>
          <xdr:rowOff>88900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100-000002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Arial"/>
                  <a:cs typeface="Arial"/>
                </a:rPr>
                <a:t>REMISE A ZERO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565150</xdr:colOff>
          <xdr:row>5</xdr:row>
          <xdr:rowOff>203200</xdr:rowOff>
        </xdr:from>
        <xdr:to>
          <xdr:col>14</xdr:col>
          <xdr:colOff>514350</xdr:colOff>
          <xdr:row>7</xdr:row>
          <xdr:rowOff>171450</xdr:rowOff>
        </xdr:to>
        <xdr:sp macro="" textlink="">
          <xdr:nvSpPr>
            <xdr:cNvPr id="10243" name="Button 3" hidden="1">
              <a:extLst>
                <a:ext uri="{63B3BB69-23CF-44E3-9099-C40C66FF867C}">
                  <a14:compatExt spid="_x0000_s10243"/>
                </a:ext>
                <a:ext uri="{FF2B5EF4-FFF2-40B4-BE49-F238E27FC236}">
                  <a16:creationId xmlns:a16="http://schemas.microsoft.com/office/drawing/2014/main" id="{00000000-0008-0000-0100-00000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FF0000"/>
                  </a:solidFill>
                  <a:latin typeface="Arial"/>
                  <a:cs typeface="Arial"/>
                </a:rPr>
                <a:t>Enregistrer le volume dans la cotation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260350</xdr:colOff>
          <xdr:row>1</xdr:row>
          <xdr:rowOff>57150</xdr:rowOff>
        </xdr:from>
        <xdr:to>
          <xdr:col>1</xdr:col>
          <xdr:colOff>876300</xdr:colOff>
          <xdr:row>2</xdr:row>
          <xdr:rowOff>190500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Arial"/>
                  <a:cs typeface="Arial"/>
                </a:rPr>
                <a:t>Retour cotation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260350</xdr:colOff>
          <xdr:row>1</xdr:row>
          <xdr:rowOff>57150</xdr:rowOff>
        </xdr:from>
        <xdr:to>
          <xdr:col>1</xdr:col>
          <xdr:colOff>876300</xdr:colOff>
          <xdr:row>2</xdr:row>
          <xdr:rowOff>190500</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0400-0000017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00"/>
                  </a:solidFill>
                  <a:latin typeface="Arial"/>
                  <a:cs typeface="Arial"/>
                </a:rPr>
                <a:t>Retour cotation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40</xdr:row>
          <xdr:rowOff>146050</xdr:rowOff>
        </xdr:from>
        <xdr:to>
          <xdr:col>7</xdr:col>
          <xdr:colOff>222250</xdr:colOff>
          <xdr:row>42</xdr:row>
          <xdr:rowOff>31750</xdr:rowOff>
        </xdr:to>
        <xdr:sp macro="" textlink="">
          <xdr:nvSpPr>
            <xdr:cNvPr id="25610" name="Group Box 10" hidden="1">
              <a:extLst>
                <a:ext uri="{63B3BB69-23CF-44E3-9099-C40C66FF867C}">
                  <a14:compatExt spid="_x0000_s25610"/>
                </a:ext>
                <a:ext uri="{FF2B5EF4-FFF2-40B4-BE49-F238E27FC236}">
                  <a16:creationId xmlns:a16="http://schemas.microsoft.com/office/drawing/2014/main" id="{00000000-0008-0000-0500-00000A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108</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34</xdr:row>
          <xdr:rowOff>146050</xdr:rowOff>
        </xdr:from>
        <xdr:to>
          <xdr:col>4</xdr:col>
          <xdr:colOff>38100</xdr:colOff>
          <xdr:row>36</xdr:row>
          <xdr:rowOff>31750</xdr:rowOff>
        </xdr:to>
        <xdr:sp macro="" textlink="">
          <xdr:nvSpPr>
            <xdr:cNvPr id="27649" name="Group Box 1" hidden="1">
              <a:extLst>
                <a:ext uri="{63B3BB69-23CF-44E3-9099-C40C66FF867C}">
                  <a14:compatExt spid="_x0000_s27649"/>
                </a:ext>
                <a:ext uri="{FF2B5EF4-FFF2-40B4-BE49-F238E27FC236}">
                  <a16:creationId xmlns:a16="http://schemas.microsoft.com/office/drawing/2014/main" id="{00000000-0008-0000-0600-000001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108</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L:\OVERSEAS\GRA\Taxe%20Gasoil.xlsx" TargetMode="External"/><Relationship Id="rId1" Type="http://schemas.openxmlformats.org/officeDocument/2006/relationships/externalLinkPath" Target="file:///L:\OVERSEAS\GRA\Taxe%20Gaso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euil1"/>
    </sheetNames>
    <sheetDataSet>
      <sheetData sheetId="0">
        <row r="1">
          <cell r="D1">
            <v>17.34</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2737C0-D26E-45D4-BC18-57E54D0686EB}" name="Tableau2" displayName="Tableau2" ref="A4:R21" totalsRowShown="0" headerRowDxfId="41" dataDxfId="39" headerRowBorderDxfId="40" tableBorderDxfId="38" headerRowCellStyle="Normal 2" dataCellStyle="Normal 2">
  <autoFilter ref="A4:R21" xr:uid="{47E74151-CF41-436E-9527-E8EF2356AC71}"/>
  <tableColumns count="18">
    <tableColumn id="1" xr3:uid="{70729FD1-6E39-4D9B-BB6D-76DCFA86D5D1}" name="Code" dataDxfId="37" dataCellStyle="Normal 2"/>
    <tableColumn id="2" xr3:uid="{7BA3BA7D-40C9-4159-9271-7B273AAE5335}" name="Détail" dataDxfId="36" dataCellStyle="Normal 2"/>
    <tableColumn id="3" xr3:uid="{A9BEF7FD-0F20-4DB5-9C74-B75D24520F49}" name="AF" dataDxfId="35" dataCellStyle="Normal 2"/>
    <tableColumn id="7" xr3:uid="{E44B206A-CCC8-4011-A5EB-B5A972CB2394}" name="KL" dataDxfId="34" dataCellStyle="Normal 2"/>
    <tableColumn id="18" xr3:uid="{822B7081-BDA0-44B9-8BD4-F49D422CF21C}" name="AH"/>
    <tableColumn id="14" xr3:uid="{70605633-4EF6-4991-A5A5-1F7DF101E4D7}" name="AM" dataDxfId="33" dataCellStyle="Normal 2"/>
    <tableColumn id="4" xr3:uid="{D27CA371-09FB-402C-823D-C2D1D12851A6}" name="CV" dataDxfId="32" dataCellStyle="Normal 2"/>
    <tableColumn id="17" xr3:uid="{5756A8FE-5F8E-445A-83CA-A8586B6CD0A5}" name="CX" dataDxfId="31" dataCellStyle="Normal 2"/>
    <tableColumn id="5" xr3:uid="{D2594A56-2334-4249-ABC5-4A59C99640F9}" name="EK" dataDxfId="30" dataCellStyle="Normal 2"/>
    <tableColumn id="6" xr3:uid="{564090E3-ADEB-4543-B9E3-1CD093787C53}" name="EY" dataDxfId="29" dataCellStyle="Normal 2"/>
    <tableColumn id="16" xr3:uid="{EFFD21BA-8A8B-4FCA-B4DD-967A0DB86BD9}" name="ET" dataDxfId="28" dataCellStyle="Normal 2"/>
    <tableColumn id="8" xr3:uid="{786B389E-D024-4281-9DA7-9F91987AFE25}" name="LH" dataDxfId="27" dataCellStyle="Normal 2"/>
    <tableColumn id="9" xr3:uid="{F71CF2B1-5D55-4E2D-9F2F-131E764DC58C}" name="LX" dataDxfId="26" dataCellStyle="Normal 2"/>
    <tableColumn id="10" xr3:uid="{9FCBBDCB-D4E1-4158-BC02-BE8C8511BA30}" name="QR" dataDxfId="25" dataCellStyle="Normal 2"/>
    <tableColumn id="11" xr3:uid="{74AC05B7-7755-420C-913F-EC186917CDC4}" name="CA" dataDxfId="24" dataCellStyle="Normal 2"/>
    <tableColumn id="12" xr3:uid="{3AF55BD1-B048-4224-BD14-0F9B0110A02E}" name="TK" dataDxfId="23" dataCellStyle="Normal 2"/>
    <tableColumn id="13" xr3:uid="{184822AB-84EF-4C8A-B281-8C9E54B32619}" name="TP" dataDxfId="22" dataCellStyle="Normal 2"/>
    <tableColumn id="15" xr3:uid="{3A2451DA-7C1B-41DF-B13D-F90AEA535145}" name="QY" dataDxfId="21" dataCellStyle="Normal 2"/>
  </tableColumns>
  <tableStyleInfo name="TableStyleMedium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1417616-FF80-4B9F-BE4D-AE00E465B98E}" name="Tableau23" displayName="Tableau23" ref="A4:R5" insertRow="1" totalsRowShown="0" headerRowDxfId="20" dataDxfId="18" headerRowBorderDxfId="19" tableBorderDxfId="17" headerRowCellStyle="Normal 2" dataCellStyle="Normal 2">
  <autoFilter ref="A4:R5" xr:uid="{47E74151-CF41-436E-9527-E8EF2356AC71}"/>
  <tableColumns count="18">
    <tableColumn id="1" xr3:uid="{2EBA432E-3013-4760-B7DB-B629D7E822B2}" name="Code" dataDxfId="16" dataCellStyle="Normal 2"/>
    <tableColumn id="2" xr3:uid="{D8478C46-0C6D-4AAC-880D-043D83F42BCD}" name="Détail" dataDxfId="15" dataCellStyle="Normal 2"/>
    <tableColumn id="3" xr3:uid="{2619D6B3-663B-468E-B934-2A4C7538DA8F}" name="AF" dataDxfId="14" dataCellStyle="Normal 2"/>
    <tableColumn id="7" xr3:uid="{0DBCA66E-52B6-4FE0-85D5-3047496A5914}" name="KL" dataDxfId="13" dataCellStyle="Normal 2"/>
    <tableColumn id="18" xr3:uid="{98AA8B2A-CAC6-4D52-B17F-A0EBE42AC35E}" name="AH"/>
    <tableColumn id="14" xr3:uid="{AF1E6BC3-D359-4AF3-B8AD-AEFAB6360826}" name="AM" dataDxfId="12" dataCellStyle="Normal 2"/>
    <tableColumn id="4" xr3:uid="{2E2B8711-CFF8-4240-9F6D-5BA58DCC479E}" name="CV" dataDxfId="11" dataCellStyle="Normal 2"/>
    <tableColumn id="17" xr3:uid="{BC3E7127-C8DF-4882-BBA3-958379EA3927}" name="CX" dataDxfId="10" dataCellStyle="Normal 2"/>
    <tableColumn id="5" xr3:uid="{C6211FB5-24AC-4282-8A7B-66473EC2A757}" name="EK" dataDxfId="9" dataCellStyle="Normal 2"/>
    <tableColumn id="6" xr3:uid="{2A2B1500-F895-4FC6-A9F6-A2F9EC97C257}" name="EY" dataDxfId="8" dataCellStyle="Normal 2"/>
    <tableColumn id="16" xr3:uid="{6641AE62-49F0-4993-8464-512C06D9DD7C}" name="ET" dataDxfId="7" dataCellStyle="Normal 2"/>
    <tableColumn id="8" xr3:uid="{83CB0886-C69B-4129-AE88-89481E503576}" name="LH" dataDxfId="6" dataCellStyle="Normal 2"/>
    <tableColumn id="9" xr3:uid="{C2A6F0F0-A5F5-49AB-8043-B0F0FCA36686}" name="LX" dataDxfId="5" dataCellStyle="Normal 2"/>
    <tableColumn id="10" xr3:uid="{789BFAE5-6BDA-4D1C-AE8B-CA6A191091BF}" name="QR" dataDxfId="4" dataCellStyle="Normal 2"/>
    <tableColumn id="11" xr3:uid="{BFD08F09-74BE-440F-AD20-39C8104B56C6}" name="CA" dataDxfId="3" dataCellStyle="Normal 2"/>
    <tableColumn id="12" xr3:uid="{927758B9-4BAD-4C40-95E3-4047C6128338}" name="TK" dataDxfId="2" dataCellStyle="Normal 2"/>
    <tableColumn id="13" xr3:uid="{32F255C7-F5A0-46FD-BB2A-D9BCA8A0CA72}" name="TP" dataDxfId="1" dataCellStyle="Normal 2"/>
    <tableColumn id="15" xr3:uid="{AC32D27A-7E58-4CA5-9676-537FE08D631D}" name="QY" dataDxfId="0" dataCellStyle="Normal 2"/>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1.xml"/><Relationship Id="rId4" Type="http://schemas.openxmlformats.org/officeDocument/2006/relationships/ctrlProp" Target="../ctrlProps/ctrlProp1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table" Target="../tables/table2.xml"/><Relationship Id="rId4" Type="http://schemas.openxmlformats.org/officeDocument/2006/relationships/ctrlProp" Target="../ctrlProps/ctrlProp1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1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pageSetUpPr fitToPage="1"/>
  </sheetPr>
  <dimension ref="A1:BY82"/>
  <sheetViews>
    <sheetView showGridLines="0" tabSelected="1" defaultGridColor="0" colorId="8" zoomScale="110" zoomScaleNormal="110" workbookViewId="0">
      <selection activeCell="BG22" sqref="BG22"/>
    </sheetView>
  </sheetViews>
  <sheetFormatPr baseColWidth="10" defaultColWidth="11.453125" defaultRowHeight="12.5" x14ac:dyDescent="0.25"/>
  <cols>
    <col min="1" max="54" width="1.7265625" style="20" customWidth="1"/>
    <col min="55" max="55" width="2.7265625" style="20" customWidth="1"/>
    <col min="56" max="56" width="1.1796875" style="20" customWidth="1"/>
    <col min="57" max="57" width="5.26953125" style="20" customWidth="1"/>
    <col min="58" max="58" width="9.54296875" style="20" customWidth="1"/>
    <col min="59" max="60" width="11.453125" style="20"/>
    <col min="61" max="61" width="13.453125" style="20" customWidth="1"/>
    <col min="62" max="62" width="14.453125" style="20" customWidth="1"/>
    <col min="63" max="63" width="13.7265625" style="20" customWidth="1"/>
    <col min="64" max="69" width="11.453125" style="20" customWidth="1"/>
    <col min="70" max="16384" width="11.453125" style="20"/>
  </cols>
  <sheetData>
    <row r="1" spans="1:73" s="17" customFormat="1" ht="42.75" customHeight="1" thickBot="1" x14ac:dyDescent="0.3">
      <c r="A1" s="333"/>
      <c r="B1" s="333"/>
      <c r="C1" s="333"/>
      <c r="D1" s="333"/>
      <c r="E1" s="333"/>
      <c r="F1" s="333"/>
      <c r="G1" s="333"/>
      <c r="H1" s="333"/>
      <c r="I1" s="333"/>
      <c r="J1" s="333"/>
      <c r="K1" s="333"/>
      <c r="L1" s="333"/>
      <c r="M1" s="333"/>
      <c r="N1" s="333"/>
      <c r="O1" s="333"/>
      <c r="P1" s="333"/>
      <c r="Q1" s="333"/>
      <c r="R1" s="333"/>
      <c r="S1" s="333"/>
      <c r="T1" s="333"/>
      <c r="U1" s="387" t="str">
        <f>+Textes!A3</f>
        <v>COTATION EXPORT AERIENNE</v>
      </c>
      <c r="V1" s="387"/>
      <c r="W1" s="387"/>
      <c r="X1" s="387"/>
      <c r="Y1" s="387"/>
      <c r="Z1" s="387"/>
      <c r="AA1" s="387"/>
      <c r="AB1" s="387"/>
      <c r="AC1" s="387"/>
      <c r="AD1" s="387"/>
      <c r="AE1" s="387"/>
      <c r="AF1" s="387"/>
      <c r="AG1" s="387"/>
      <c r="AH1" s="387"/>
      <c r="AI1" s="387"/>
      <c r="AJ1" s="387"/>
      <c r="AK1" s="387"/>
      <c r="AL1" s="387"/>
      <c r="AM1" s="386"/>
      <c r="AN1" s="386"/>
      <c r="AO1" s="386"/>
      <c r="AP1" s="386"/>
      <c r="AQ1" s="386"/>
      <c r="AR1" s="386"/>
      <c r="AS1" s="386"/>
      <c r="AT1" s="386"/>
      <c r="AU1" s="386"/>
      <c r="AV1" s="386"/>
      <c r="AW1" s="386"/>
      <c r="AX1" s="386"/>
      <c r="AY1" s="386"/>
      <c r="AZ1" s="386"/>
      <c r="BA1" s="386"/>
      <c r="BB1" s="386"/>
      <c r="BC1" s="386"/>
      <c r="BD1" s="386"/>
      <c r="BE1" s="386"/>
      <c r="BF1" s="96"/>
      <c r="BG1" s="161" t="s">
        <v>216</v>
      </c>
      <c r="BH1" s="160" t="s">
        <v>217</v>
      </c>
      <c r="BI1" s="96"/>
      <c r="BJ1" s="96"/>
      <c r="BK1" s="96"/>
      <c r="BL1" s="96"/>
      <c r="BM1" s="96"/>
      <c r="BN1" s="96"/>
      <c r="BO1" s="96"/>
      <c r="BP1" s="96"/>
      <c r="BQ1" s="96"/>
      <c r="BR1" s="96"/>
      <c r="BS1" s="96"/>
      <c r="BT1" s="96"/>
      <c r="BU1" s="96"/>
    </row>
    <row r="2" spans="1:73" s="17" customFormat="1" ht="6.75" customHeight="1" x14ac:dyDescent="0.25">
      <c r="A2" s="16"/>
      <c r="B2" s="16"/>
      <c r="C2" s="16"/>
      <c r="D2" s="16"/>
      <c r="E2" s="16"/>
      <c r="F2" s="16"/>
      <c r="G2" s="16"/>
      <c r="H2" s="16"/>
      <c r="I2" s="16"/>
      <c r="J2" s="16"/>
      <c r="K2" s="16"/>
      <c r="L2" s="16"/>
      <c r="M2" s="16"/>
      <c r="N2" s="16"/>
      <c r="O2" s="16"/>
      <c r="P2" s="16"/>
      <c r="Q2" s="16"/>
      <c r="R2" s="16"/>
      <c r="S2" s="16"/>
      <c r="T2" s="16"/>
      <c r="U2" s="16"/>
      <c r="V2" s="16"/>
      <c r="W2" s="16"/>
      <c r="X2" s="16"/>
      <c r="Y2" s="16"/>
      <c r="Z2" s="16"/>
      <c r="AD2" s="35"/>
      <c r="BE2" s="21"/>
      <c r="BF2" s="97"/>
      <c r="BG2" s="96"/>
      <c r="BH2" s="96"/>
      <c r="BI2" s="96"/>
      <c r="BJ2" s="96"/>
      <c r="BK2" s="96"/>
      <c r="BL2" s="96"/>
      <c r="BM2" s="96"/>
      <c r="BN2" s="96"/>
      <c r="BO2" s="96"/>
      <c r="BP2" s="96"/>
      <c r="BQ2" s="96"/>
      <c r="BR2" s="96"/>
      <c r="BS2" s="96"/>
      <c r="BT2" s="96"/>
      <c r="BU2" s="96"/>
    </row>
    <row r="3" spans="1:73" s="17" customFormat="1" ht="14.15" customHeight="1" x14ac:dyDescent="0.25">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33"/>
      <c r="AB3" s="333"/>
      <c r="AC3" s="333"/>
      <c r="AD3" s="333"/>
      <c r="AE3" s="333"/>
      <c r="AF3" s="333"/>
      <c r="AG3" s="333"/>
      <c r="AH3" s="333"/>
      <c r="AI3" s="333"/>
      <c r="AJ3" s="333"/>
      <c r="AK3" s="333"/>
      <c r="AL3" s="333"/>
      <c r="AM3" s="333"/>
      <c r="AN3" s="333"/>
      <c r="AO3" s="333"/>
      <c r="AP3" s="333"/>
      <c r="AQ3" s="333"/>
      <c r="AR3" s="333"/>
      <c r="AS3" s="333"/>
      <c r="AT3" s="333"/>
      <c r="AU3" s="333"/>
      <c r="AV3" s="333"/>
      <c r="AW3" s="333"/>
      <c r="AX3" s="333"/>
      <c r="AY3" s="333"/>
      <c r="AZ3" s="333"/>
      <c r="BA3" s="333"/>
      <c r="BB3" s="333"/>
      <c r="BC3" s="333"/>
      <c r="BD3" s="333"/>
      <c r="BE3" s="333"/>
      <c r="BF3" s="96"/>
      <c r="BG3" s="98" t="s">
        <v>88</v>
      </c>
      <c r="BH3" s="96"/>
      <c r="BI3" s="96"/>
      <c r="BJ3" s="310" t="str">
        <f ca="1">TEXT($AD$5,"jj/mm/aaaa")</f>
        <v>17/10/2023</v>
      </c>
      <c r="BK3" s="100"/>
      <c r="BL3" s="100"/>
      <c r="BM3" s="100"/>
      <c r="BN3" s="100"/>
      <c r="BO3" s="100"/>
      <c r="BP3" s="100"/>
      <c r="BQ3" s="100"/>
      <c r="BR3" s="100"/>
      <c r="BS3" s="100"/>
      <c r="BT3" s="100"/>
      <c r="BU3" s="100"/>
    </row>
    <row r="4" spans="1:73" s="17" customFormat="1" ht="6" customHeight="1" x14ac:dyDescent="0.25">
      <c r="A4" s="321"/>
      <c r="B4" s="321"/>
      <c r="C4" s="321"/>
      <c r="D4" s="321"/>
      <c r="E4" s="321"/>
      <c r="F4" s="321"/>
      <c r="G4" s="321"/>
      <c r="H4" s="321"/>
      <c r="I4" s="321"/>
      <c r="J4" s="321"/>
      <c r="K4" s="321"/>
      <c r="L4" s="321"/>
      <c r="M4" s="321"/>
      <c r="N4" s="321"/>
      <c r="O4" s="321"/>
      <c r="P4" s="321"/>
      <c r="Q4" s="321"/>
      <c r="R4" s="321"/>
      <c r="S4" s="321"/>
      <c r="T4" s="321"/>
      <c r="U4" s="321"/>
      <c r="V4" s="321"/>
      <c r="W4" s="321"/>
      <c r="X4" s="321"/>
      <c r="Y4" s="321"/>
      <c r="Z4" s="321"/>
      <c r="AA4" s="321"/>
      <c r="AB4" s="321"/>
      <c r="AC4" s="321"/>
      <c r="AD4" s="321"/>
      <c r="AE4" s="321"/>
      <c r="AF4" s="321"/>
      <c r="AG4" s="321"/>
      <c r="AH4" s="321"/>
      <c r="AI4" s="321"/>
      <c r="AJ4" s="321"/>
      <c r="AK4" s="321"/>
      <c r="AL4" s="321"/>
      <c r="AM4" s="321"/>
      <c r="AN4" s="321"/>
      <c r="AO4" s="321"/>
      <c r="AP4" s="321"/>
      <c r="AQ4" s="321"/>
      <c r="AR4" s="321"/>
      <c r="AS4" s="321"/>
      <c r="AT4" s="321"/>
      <c r="AU4" s="321"/>
      <c r="AV4" s="321"/>
      <c r="AW4" s="321"/>
      <c r="AX4" s="321"/>
      <c r="AY4" s="321"/>
      <c r="AZ4" s="321"/>
      <c r="BA4" s="321"/>
      <c r="BB4" s="321"/>
      <c r="BC4" s="321"/>
      <c r="BD4" s="321"/>
      <c r="BE4" s="321"/>
      <c r="BF4" s="96"/>
      <c r="BG4" s="96"/>
      <c r="BH4" s="96"/>
      <c r="BI4" s="96"/>
      <c r="BJ4" s="96"/>
      <c r="BK4" s="100"/>
      <c r="BL4" s="100"/>
      <c r="BM4" s="100"/>
      <c r="BN4" s="100"/>
      <c r="BO4" s="100"/>
      <c r="BP4" s="100"/>
      <c r="BQ4" s="100"/>
      <c r="BR4" s="100"/>
      <c r="BS4" s="100"/>
      <c r="BT4" s="100"/>
      <c r="BU4" s="100"/>
    </row>
    <row r="5" spans="1:73" s="17" customFormat="1" ht="14" x14ac:dyDescent="0.3">
      <c r="A5" s="398" t="str">
        <f>Textes!A4</f>
        <v>Cotation n° (à rappeler)</v>
      </c>
      <c r="B5" s="398"/>
      <c r="C5" s="398"/>
      <c r="D5" s="398"/>
      <c r="E5" s="398"/>
      <c r="F5" s="398"/>
      <c r="G5" s="398"/>
      <c r="H5" s="398"/>
      <c r="I5" s="398"/>
      <c r="J5" s="398"/>
      <c r="K5" s="398"/>
      <c r="L5" s="398"/>
      <c r="M5" s="398"/>
      <c r="N5" s="399"/>
      <c r="O5" s="399"/>
      <c r="P5" s="399"/>
      <c r="Q5" s="399"/>
      <c r="R5" s="399"/>
      <c r="S5" s="399"/>
      <c r="T5" s="399"/>
      <c r="U5" s="399"/>
      <c r="V5" s="399"/>
      <c r="W5" s="399"/>
      <c r="X5" s="400"/>
      <c r="Y5" s="400"/>
      <c r="Z5" s="400"/>
      <c r="AA5" s="400"/>
      <c r="AB5" s="392" t="str">
        <f>Textes!A5</f>
        <v>du</v>
      </c>
      <c r="AC5" s="392"/>
      <c r="AD5" s="393">
        <f ca="1">TODAY()</f>
        <v>45216</v>
      </c>
      <c r="AE5" s="393"/>
      <c r="AF5" s="393"/>
      <c r="AG5" s="393"/>
      <c r="AH5" s="393"/>
      <c r="AI5" s="393"/>
      <c r="AJ5" s="392" t="str">
        <f>Textes!A6</f>
        <v>Par</v>
      </c>
      <c r="AK5" s="392"/>
      <c r="AL5" s="392"/>
      <c r="AM5" s="392"/>
      <c r="AN5" s="392"/>
      <c r="AO5" s="392"/>
      <c r="AP5" s="392"/>
      <c r="AQ5" s="391" t="s">
        <v>350</v>
      </c>
      <c r="AR5" s="391"/>
      <c r="AS5" s="391"/>
      <c r="AT5" s="391"/>
      <c r="AU5" s="391"/>
      <c r="AV5" s="391"/>
      <c r="AW5" s="391"/>
      <c r="AX5" s="391"/>
      <c r="AY5" s="391"/>
      <c r="AZ5" s="391"/>
      <c r="BA5" s="391"/>
      <c r="BB5" s="391"/>
      <c r="BC5" s="391"/>
      <c r="BD5" s="391"/>
      <c r="BE5" s="391"/>
      <c r="BF5" s="96"/>
      <c r="BG5" s="96"/>
      <c r="BH5" s="96"/>
      <c r="BI5" s="96"/>
      <c r="BJ5" s="308" t="str">
        <f>N5&amp;X5</f>
        <v/>
      </c>
      <c r="BK5" s="101"/>
      <c r="BL5" s="101"/>
      <c r="BM5" s="101"/>
      <c r="BN5" s="101"/>
      <c r="BO5" s="101"/>
      <c r="BP5" s="101"/>
      <c r="BQ5" s="101"/>
      <c r="BR5" s="101"/>
      <c r="BS5" s="101"/>
      <c r="BT5" s="101"/>
      <c r="BU5" s="101"/>
    </row>
    <row r="6" spans="1:73" s="17" customFormat="1" ht="10" customHeight="1" x14ac:dyDescent="0.25">
      <c r="A6" s="321"/>
      <c r="B6" s="321"/>
      <c r="C6" s="321"/>
      <c r="D6" s="321"/>
      <c r="E6" s="321"/>
      <c r="F6" s="321"/>
      <c r="G6" s="321"/>
      <c r="H6" s="321"/>
      <c r="I6" s="321"/>
      <c r="J6" s="321"/>
      <c r="K6" s="321"/>
      <c r="L6" s="321"/>
      <c r="M6" s="321"/>
      <c r="N6" s="321"/>
      <c r="O6" s="321"/>
      <c r="P6" s="321"/>
      <c r="Q6" s="321"/>
      <c r="R6" s="321"/>
      <c r="S6" s="321"/>
      <c r="T6" s="321"/>
      <c r="U6" s="321"/>
      <c r="V6" s="321"/>
      <c r="W6" s="321"/>
      <c r="X6" s="321"/>
      <c r="Y6" s="321"/>
      <c r="Z6" s="321"/>
      <c r="AA6" s="321"/>
      <c r="AB6" s="321"/>
      <c r="AC6" s="321"/>
      <c r="AD6" s="321"/>
      <c r="AE6" s="321"/>
      <c r="AF6" s="321"/>
      <c r="AG6" s="321"/>
      <c r="AH6" s="321"/>
      <c r="AI6" s="321"/>
      <c r="AJ6" s="321"/>
      <c r="AK6" s="321"/>
      <c r="AL6" s="321"/>
      <c r="AM6" s="321"/>
      <c r="AN6" s="321"/>
      <c r="AO6" s="321"/>
      <c r="AP6" s="321"/>
      <c r="AQ6" s="321"/>
      <c r="AR6" s="321"/>
      <c r="AS6" s="321"/>
      <c r="AT6" s="321"/>
      <c r="AU6" s="321"/>
      <c r="AV6" s="321"/>
      <c r="AW6" s="321"/>
      <c r="AX6" s="321"/>
      <c r="AY6" s="321"/>
      <c r="AZ6" s="321"/>
      <c r="BA6" s="321"/>
      <c r="BB6" s="321"/>
      <c r="BC6" s="321"/>
      <c r="BD6" s="321"/>
      <c r="BE6" s="321"/>
      <c r="BF6" s="96"/>
      <c r="BG6" s="96"/>
      <c r="BH6" s="96"/>
      <c r="BI6" s="96"/>
      <c r="BJ6" s="96"/>
      <c r="BK6" s="101"/>
      <c r="BL6" s="101"/>
      <c r="BM6" s="101"/>
      <c r="BN6" s="101"/>
      <c r="BO6" s="101"/>
      <c r="BP6" s="101"/>
      <c r="BQ6" s="101"/>
      <c r="BR6" s="101"/>
      <c r="BS6" s="101"/>
      <c r="BT6" s="101"/>
      <c r="BU6" s="101"/>
    </row>
    <row r="7" spans="1:73" s="17" customFormat="1" ht="9" customHeight="1" x14ac:dyDescent="0.3">
      <c r="A7" s="91"/>
      <c r="B7" s="92"/>
      <c r="C7" s="92"/>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3"/>
      <c r="AR7" s="93"/>
      <c r="AS7" s="93"/>
      <c r="AT7" s="93"/>
      <c r="AU7" s="93"/>
      <c r="AV7" s="93"/>
      <c r="AW7" s="93"/>
      <c r="AX7" s="93"/>
      <c r="AY7" s="93"/>
      <c r="AZ7" s="93"/>
      <c r="BA7" s="93"/>
      <c r="BB7" s="93"/>
      <c r="BC7" s="93"/>
      <c r="BD7" s="92"/>
      <c r="BE7" s="94"/>
      <c r="BF7" s="96"/>
      <c r="BG7" s="96"/>
      <c r="BH7" s="96"/>
      <c r="BI7" s="96"/>
      <c r="BJ7" s="96"/>
      <c r="BK7" s="101"/>
      <c r="BL7" s="101"/>
      <c r="BM7" s="101"/>
      <c r="BN7" s="101"/>
      <c r="BO7" s="101"/>
      <c r="BP7" s="101"/>
      <c r="BQ7" s="101"/>
      <c r="BR7" s="101"/>
      <c r="BS7" s="101"/>
      <c r="BT7" s="101"/>
      <c r="BU7" s="101"/>
    </row>
    <row r="8" spans="1:73" s="17" customFormat="1" ht="18" customHeight="1" x14ac:dyDescent="0.25">
      <c r="A8" s="349" t="str">
        <f>Textes!A9</f>
        <v>Société :</v>
      </c>
      <c r="B8" s="311"/>
      <c r="C8" s="311"/>
      <c r="D8" s="311"/>
      <c r="E8" s="311"/>
      <c r="F8" s="311"/>
      <c r="G8" s="311"/>
      <c r="H8" s="311"/>
      <c r="I8" s="311"/>
      <c r="J8" s="311"/>
      <c r="K8" s="406"/>
      <c r="L8" s="407"/>
      <c r="M8" s="407"/>
      <c r="N8" s="407"/>
      <c r="O8" s="407"/>
      <c r="P8" s="407"/>
      <c r="Q8" s="407"/>
      <c r="R8" s="407"/>
      <c r="S8" s="407"/>
      <c r="T8" s="407"/>
      <c r="U8" s="407"/>
      <c r="V8" s="407"/>
      <c r="W8" s="407"/>
      <c r="X8" s="407"/>
      <c r="Y8" s="407"/>
      <c r="Z8" s="407"/>
      <c r="AA8" s="407"/>
      <c r="AB8" s="407"/>
      <c r="AC8" s="407"/>
      <c r="AD8" s="408"/>
      <c r="AF8" s="311" t="str">
        <f>Textes!A7</f>
        <v>Votre référence :</v>
      </c>
      <c r="AG8" s="311"/>
      <c r="AH8" s="311"/>
      <c r="AI8" s="311"/>
      <c r="AJ8" s="311"/>
      <c r="AK8" s="311"/>
      <c r="AL8" s="311"/>
      <c r="AM8" s="311"/>
      <c r="AN8" s="311"/>
      <c r="AO8" s="404"/>
      <c r="AP8" s="404"/>
      <c r="AQ8" s="404"/>
      <c r="AR8" s="404"/>
      <c r="AS8" s="404"/>
      <c r="AT8" s="404"/>
      <c r="AU8" s="404"/>
      <c r="AV8" s="404"/>
      <c r="AW8" s="404"/>
      <c r="AX8" s="404"/>
      <c r="AY8" s="404"/>
      <c r="AZ8" s="404"/>
      <c r="BA8" s="404"/>
      <c r="BB8" s="404"/>
      <c r="BC8" s="404"/>
      <c r="BD8" s="404"/>
      <c r="BE8" s="405"/>
      <c r="BF8" s="96"/>
      <c r="BG8" s="96"/>
      <c r="BH8" s="96"/>
      <c r="BI8" s="96"/>
      <c r="BJ8" s="96"/>
      <c r="BK8" s="101"/>
      <c r="BL8" s="101"/>
      <c r="BM8" s="101"/>
      <c r="BN8" s="101"/>
      <c r="BO8" s="101"/>
      <c r="BP8" s="101"/>
      <c r="BQ8" s="101"/>
      <c r="BR8" s="101"/>
      <c r="BS8" s="101"/>
      <c r="BT8" s="101"/>
      <c r="BU8" s="101"/>
    </row>
    <row r="9" spans="1:73" s="17" customFormat="1" ht="18" customHeight="1" x14ac:dyDescent="0.25">
      <c r="A9" s="349" t="str">
        <f>Textes!A10</f>
        <v>A l'attention de :</v>
      </c>
      <c r="B9" s="311"/>
      <c r="C9" s="311"/>
      <c r="D9" s="311"/>
      <c r="E9" s="311"/>
      <c r="F9" s="311"/>
      <c r="G9" s="311"/>
      <c r="H9" s="311"/>
      <c r="I9" s="311"/>
      <c r="J9" s="311"/>
      <c r="K9" s="409"/>
      <c r="L9" s="409"/>
      <c r="M9" s="409"/>
      <c r="N9" s="409"/>
      <c r="O9" s="409"/>
      <c r="P9" s="409"/>
      <c r="Q9" s="409"/>
      <c r="R9" s="409"/>
      <c r="S9" s="409"/>
      <c r="T9" s="409"/>
      <c r="U9" s="409"/>
      <c r="V9" s="409"/>
      <c r="W9" s="409"/>
      <c r="X9" s="409"/>
      <c r="Y9" s="409"/>
      <c r="Z9" s="409"/>
      <c r="AA9" s="409"/>
      <c r="AB9" s="409"/>
      <c r="AC9" s="409"/>
      <c r="AD9" s="409"/>
      <c r="AF9" s="404" t="str">
        <f>Textes!A8</f>
        <v>Validité de la cotation :</v>
      </c>
      <c r="AG9" s="404"/>
      <c r="AH9" s="404"/>
      <c r="AI9" s="404"/>
      <c r="AJ9" s="404"/>
      <c r="AK9" s="404"/>
      <c r="AL9" s="404"/>
      <c r="AM9" s="404"/>
      <c r="AN9" s="404"/>
      <c r="AO9" s="404"/>
      <c r="AP9" s="404"/>
      <c r="AQ9" s="404"/>
      <c r="AR9" s="404">
        <f ca="1">AD5+3</f>
        <v>45219</v>
      </c>
      <c r="AS9" s="417">
        <f ca="1">AD5+7</f>
        <v>45223</v>
      </c>
      <c r="AT9" s="417"/>
      <c r="AU9" s="417"/>
      <c r="AV9" s="417"/>
      <c r="AW9" s="417"/>
      <c r="AX9" s="417"/>
      <c r="AY9" s="417"/>
      <c r="AZ9" s="417"/>
      <c r="BA9" s="417"/>
      <c r="BB9" s="417"/>
      <c r="BC9" s="417"/>
      <c r="BD9" s="417"/>
      <c r="BE9" s="418"/>
      <c r="BF9" s="96"/>
      <c r="BG9" s="96"/>
      <c r="BH9" s="96"/>
      <c r="BI9" s="96"/>
      <c r="BJ9" s="96"/>
      <c r="BK9" s="101"/>
      <c r="BL9" s="101"/>
      <c r="BM9" s="101"/>
      <c r="BN9" s="101"/>
      <c r="BO9" s="101"/>
      <c r="BP9" s="101"/>
      <c r="BQ9" s="101"/>
      <c r="BR9" s="101"/>
      <c r="BS9" s="101"/>
      <c r="BT9" s="101"/>
      <c r="BU9" s="101"/>
    </row>
    <row r="10" spans="1:73" s="17" customFormat="1" ht="15" customHeight="1" x14ac:dyDescent="0.25">
      <c r="A10" s="388" t="str">
        <f>Textes!A11</f>
        <v>Nous faisons suite à votre demande et vous prions de trouver ci-après notre meilleure estimation concernant l'expédition reprise ci-dessous :</v>
      </c>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90"/>
      <c r="BF10" s="96"/>
      <c r="BG10" s="96"/>
      <c r="BH10" s="96"/>
      <c r="BI10" s="96"/>
      <c r="BJ10" s="96"/>
      <c r="BK10" s="101"/>
      <c r="BL10" s="101"/>
      <c r="BM10" s="101"/>
      <c r="BN10" s="101"/>
      <c r="BO10" s="101"/>
      <c r="BP10" s="101"/>
      <c r="BQ10" s="101"/>
      <c r="BR10" s="101"/>
      <c r="BS10" s="101"/>
      <c r="BT10" s="101"/>
      <c r="BU10" s="101"/>
    </row>
    <row r="11" spans="1:73" s="17" customFormat="1" ht="15" customHeight="1" x14ac:dyDescent="0.25">
      <c r="A11" s="388"/>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90"/>
      <c r="BF11" s="96"/>
      <c r="BG11" s="96"/>
      <c r="BH11" s="96"/>
      <c r="BI11" s="96"/>
      <c r="BJ11" s="96"/>
      <c r="BK11" s="101"/>
      <c r="BL11" s="101"/>
      <c r="BM11" s="101"/>
      <c r="BN11" s="101"/>
      <c r="BO11" s="101"/>
      <c r="BP11" s="101"/>
      <c r="BQ11" s="101"/>
      <c r="BR11" s="101"/>
      <c r="BS11" s="101"/>
      <c r="BT11" s="101"/>
      <c r="BU11" s="101"/>
    </row>
    <row r="12" spans="1:73" s="17" customFormat="1" ht="8.15" customHeight="1" x14ac:dyDescent="0.25">
      <c r="A12" s="401"/>
      <c r="B12" s="402"/>
      <c r="C12" s="402"/>
      <c r="D12" s="402"/>
      <c r="E12" s="402"/>
      <c r="F12" s="402"/>
      <c r="G12" s="402"/>
      <c r="H12" s="402"/>
      <c r="I12" s="402"/>
      <c r="J12" s="402"/>
      <c r="K12" s="402"/>
      <c r="L12" s="402"/>
      <c r="M12" s="402"/>
      <c r="N12" s="402"/>
      <c r="O12" s="402"/>
      <c r="P12" s="402"/>
      <c r="Q12" s="402"/>
      <c r="R12" s="402"/>
      <c r="S12" s="402"/>
      <c r="T12" s="402"/>
      <c r="U12" s="402"/>
      <c r="V12" s="402"/>
      <c r="W12" s="402"/>
      <c r="X12" s="402"/>
      <c r="Y12" s="402"/>
      <c r="Z12" s="402"/>
      <c r="AA12" s="402"/>
      <c r="AB12" s="402"/>
      <c r="AC12" s="402"/>
      <c r="AD12" s="402"/>
      <c r="AE12" s="402"/>
      <c r="AF12" s="402"/>
      <c r="AG12" s="402"/>
      <c r="AH12" s="402"/>
      <c r="AI12" s="402"/>
      <c r="AJ12" s="402"/>
      <c r="AK12" s="402"/>
      <c r="AL12" s="402"/>
      <c r="AM12" s="402"/>
      <c r="AN12" s="402"/>
      <c r="AO12" s="402"/>
      <c r="AP12" s="402"/>
      <c r="AQ12" s="402"/>
      <c r="AR12" s="402"/>
      <c r="AS12" s="402"/>
      <c r="AT12" s="402"/>
      <c r="AU12" s="402"/>
      <c r="AV12" s="402"/>
      <c r="AW12" s="402"/>
      <c r="AX12" s="402"/>
      <c r="AY12" s="402"/>
      <c r="AZ12" s="402"/>
      <c r="BA12" s="402"/>
      <c r="BB12" s="402"/>
      <c r="BC12" s="402"/>
      <c r="BD12" s="402"/>
      <c r="BE12" s="403"/>
      <c r="BF12" s="96"/>
      <c r="BG12" s="96"/>
      <c r="BH12" s="96"/>
      <c r="BI12" s="96"/>
      <c r="BJ12" s="96"/>
      <c r="BK12" s="101"/>
      <c r="BL12" s="101"/>
      <c r="BM12" s="101"/>
      <c r="BN12" s="101"/>
      <c r="BO12" s="101"/>
      <c r="BP12" s="101"/>
      <c r="BQ12" s="101"/>
      <c r="BR12" s="101"/>
      <c r="BS12" s="101"/>
      <c r="BT12" s="101"/>
      <c r="BU12" s="101"/>
    </row>
    <row r="13" spans="1:73" s="17" customFormat="1" ht="8.15" customHeight="1" x14ac:dyDescent="0.25">
      <c r="A13" s="394"/>
      <c r="B13" s="395"/>
      <c r="C13" s="395"/>
      <c r="D13" s="395"/>
      <c r="E13" s="395"/>
      <c r="F13" s="395"/>
      <c r="G13" s="395"/>
      <c r="H13" s="395"/>
      <c r="I13" s="395"/>
      <c r="J13" s="395"/>
      <c r="K13" s="395"/>
      <c r="L13" s="395"/>
      <c r="M13" s="395"/>
      <c r="N13" s="395"/>
      <c r="O13" s="395"/>
      <c r="P13" s="395"/>
      <c r="Q13" s="395"/>
      <c r="R13" s="395"/>
      <c r="S13" s="395"/>
      <c r="T13" s="395"/>
      <c r="U13" s="395"/>
      <c r="V13" s="395"/>
      <c r="W13" s="395"/>
      <c r="X13" s="395"/>
      <c r="Y13" s="395"/>
      <c r="Z13" s="395"/>
      <c r="AA13" s="395"/>
      <c r="AB13" s="395"/>
      <c r="AC13" s="395"/>
      <c r="AD13" s="395"/>
      <c r="AE13" s="395"/>
      <c r="AF13" s="395"/>
      <c r="AG13" s="395"/>
      <c r="AH13" s="395"/>
      <c r="AI13" s="395"/>
      <c r="AJ13" s="395"/>
      <c r="AK13" s="395"/>
      <c r="AL13" s="395"/>
      <c r="AM13" s="395"/>
      <c r="AN13" s="395"/>
      <c r="AO13" s="395"/>
      <c r="AP13" s="395"/>
      <c r="AQ13" s="395"/>
      <c r="AR13" s="395"/>
      <c r="AS13" s="395"/>
      <c r="AT13" s="395"/>
      <c r="AU13" s="395"/>
      <c r="AV13" s="395"/>
      <c r="AW13" s="395"/>
      <c r="AX13" s="395"/>
      <c r="AY13" s="395"/>
      <c r="AZ13" s="395"/>
      <c r="BA13" s="395"/>
      <c r="BB13" s="395"/>
      <c r="BC13" s="395"/>
      <c r="BD13" s="395"/>
      <c r="BE13" s="396"/>
      <c r="BF13" s="96"/>
      <c r="BG13" s="96"/>
      <c r="BH13" s="96"/>
      <c r="BI13" s="96"/>
      <c r="BJ13" s="96"/>
      <c r="BK13" s="101"/>
      <c r="BL13" s="101"/>
      <c r="BM13" s="101"/>
      <c r="BN13" s="101"/>
      <c r="BO13" s="101"/>
      <c r="BP13" s="101"/>
      <c r="BQ13" s="101"/>
      <c r="BR13" s="101"/>
      <c r="BS13" s="101"/>
      <c r="BT13" s="101"/>
      <c r="BU13" s="101"/>
    </row>
    <row r="14" spans="1:73" s="17" customFormat="1" ht="15" customHeight="1" x14ac:dyDescent="0.25">
      <c r="A14" s="349" t="str">
        <f>Textes!A12</f>
        <v>Au départ de :</v>
      </c>
      <c r="B14" s="311"/>
      <c r="C14" s="311"/>
      <c r="D14" s="311"/>
      <c r="E14" s="311"/>
      <c r="F14" s="311"/>
      <c r="G14" s="311"/>
      <c r="H14" s="311"/>
      <c r="I14" s="311"/>
      <c r="J14" s="311"/>
      <c r="K14" s="404"/>
      <c r="L14" s="404"/>
      <c r="M14" s="404"/>
      <c r="N14" s="404"/>
      <c r="O14" s="404"/>
      <c r="P14" s="404"/>
      <c r="Q14" s="404"/>
      <c r="R14" s="404"/>
      <c r="S14" s="404"/>
      <c r="T14" s="404"/>
      <c r="U14" s="404"/>
      <c r="V14" s="404"/>
      <c r="W14" s="404"/>
      <c r="X14" s="404"/>
      <c r="Y14" s="416" t="str">
        <f>Textes!A13</f>
        <v>A destination de :</v>
      </c>
      <c r="Z14" s="321"/>
      <c r="AA14" s="321"/>
      <c r="AB14" s="321"/>
      <c r="AC14" s="321"/>
      <c r="AD14" s="321"/>
      <c r="AE14" s="321"/>
      <c r="AF14" s="321"/>
      <c r="AG14" s="321"/>
      <c r="AH14" s="321"/>
      <c r="AI14" s="321"/>
      <c r="AJ14" s="329"/>
      <c r="AK14" s="329"/>
      <c r="AL14" s="329"/>
      <c r="AM14" s="329"/>
      <c r="AN14" s="329"/>
      <c r="AO14" s="329"/>
      <c r="AP14" s="329"/>
      <c r="AQ14" s="329"/>
      <c r="AR14" s="329"/>
      <c r="AS14" s="329"/>
      <c r="AT14" s="329"/>
      <c r="AU14" s="329"/>
      <c r="AV14" s="329"/>
      <c r="AW14" s="329"/>
      <c r="AX14" s="329"/>
      <c r="AY14" s="329"/>
      <c r="AZ14" s="329"/>
      <c r="BA14" s="329"/>
      <c r="BB14" s="329"/>
      <c r="BC14" s="329"/>
      <c r="BD14" s="329"/>
      <c r="BE14" s="330"/>
      <c r="BF14" s="96"/>
      <c r="BG14" s="96"/>
      <c r="BH14" s="96"/>
      <c r="BI14" s="96"/>
      <c r="BJ14" s="96"/>
      <c r="BK14" s="101"/>
      <c r="BL14" s="100"/>
      <c r="BM14" s="100"/>
      <c r="BN14" s="96"/>
      <c r="BO14" s="101"/>
      <c r="BP14" s="101"/>
      <c r="BQ14" s="101"/>
      <c r="BR14" s="101"/>
      <c r="BS14" s="101"/>
      <c r="BT14" s="101"/>
      <c r="BU14" s="101"/>
    </row>
    <row r="15" spans="1:73" s="17" customFormat="1" ht="15" customHeight="1" x14ac:dyDescent="0.25">
      <c r="A15" s="349" t="str">
        <f>Textes!A15</f>
        <v>Nombre de colis :</v>
      </c>
      <c r="B15" s="311"/>
      <c r="C15" s="311"/>
      <c r="D15" s="311"/>
      <c r="E15" s="311"/>
      <c r="F15" s="311"/>
      <c r="G15" s="311"/>
      <c r="H15" s="311"/>
      <c r="I15" s="311"/>
      <c r="J15" s="311"/>
      <c r="K15" s="385"/>
      <c r="L15" s="385"/>
      <c r="M15" s="385"/>
      <c r="N15" s="385"/>
      <c r="O15" s="385"/>
      <c r="P15" s="385"/>
      <c r="Q15" s="385"/>
      <c r="R15" s="385"/>
      <c r="S15" s="385"/>
      <c r="T15" s="385"/>
      <c r="U15" s="385"/>
      <c r="V15" s="385"/>
      <c r="W15" s="385"/>
      <c r="X15" s="385"/>
      <c r="Y15" s="416" t="str">
        <f>Textes!A24</f>
        <v>Incoterm :</v>
      </c>
      <c r="Z15" s="321"/>
      <c r="AA15" s="321"/>
      <c r="AB15" s="321"/>
      <c r="AC15" s="321"/>
      <c r="AD15" s="321"/>
      <c r="AE15" s="321"/>
      <c r="AF15" s="321"/>
      <c r="AG15" s="321"/>
      <c r="AH15" s="321"/>
      <c r="AI15" s="321"/>
      <c r="AJ15" s="434"/>
      <c r="AK15" s="435"/>
      <c r="AL15" s="435"/>
      <c r="AM15" s="435"/>
      <c r="AN15" s="435"/>
      <c r="AO15" s="435"/>
      <c r="AP15" s="436"/>
      <c r="AQ15" s="437" t="s">
        <v>337</v>
      </c>
      <c r="AR15" s="404"/>
      <c r="AS15" s="404"/>
      <c r="AT15" s="404"/>
      <c r="AU15" s="404"/>
      <c r="AV15" s="404"/>
      <c r="AW15" s="404"/>
      <c r="AX15" s="404"/>
      <c r="AY15" s="404"/>
      <c r="AZ15" s="404"/>
      <c r="BA15" s="404"/>
      <c r="BB15" s="404"/>
      <c r="BC15" s="404"/>
      <c r="BD15" s="404"/>
      <c r="BE15" s="405"/>
      <c r="BF15" s="96"/>
      <c r="BG15" s="96"/>
      <c r="BH15" s="96"/>
      <c r="BI15" s="96"/>
      <c r="BJ15" s="96"/>
      <c r="BK15" s="101"/>
      <c r="BL15" s="101"/>
      <c r="BM15" s="101"/>
      <c r="BN15" s="101"/>
      <c r="BO15" s="101"/>
      <c r="BP15" s="101"/>
      <c r="BQ15" s="101"/>
      <c r="BR15" s="101"/>
      <c r="BS15" s="101"/>
      <c r="BT15" s="101"/>
      <c r="BU15" s="101"/>
    </row>
    <row r="16" spans="1:73" s="17" customFormat="1" ht="15" customHeight="1" x14ac:dyDescent="0.25">
      <c r="A16" s="349" t="str">
        <f>Textes!A16</f>
        <v>Poids brut total :</v>
      </c>
      <c r="B16" s="311"/>
      <c r="C16" s="311"/>
      <c r="D16" s="311"/>
      <c r="E16" s="311"/>
      <c r="F16" s="311"/>
      <c r="G16" s="311"/>
      <c r="H16" s="311"/>
      <c r="I16" s="311"/>
      <c r="J16" s="311"/>
      <c r="K16" s="315"/>
      <c r="L16" s="315"/>
      <c r="M16" s="315"/>
      <c r="N16" s="315"/>
      <c r="O16" s="315"/>
      <c r="P16" s="315"/>
      <c r="Q16" s="315"/>
      <c r="R16" s="315"/>
      <c r="S16" s="315"/>
      <c r="T16" s="315"/>
      <c r="U16" s="315"/>
      <c r="V16" s="339" t="s">
        <v>10</v>
      </c>
      <c r="W16" s="321"/>
      <c r="X16" s="321"/>
      <c r="Y16" s="311" t="str">
        <f>Textes!A14</f>
        <v>Taux de change du jour : 1 EUR =</v>
      </c>
      <c r="Z16" s="311"/>
      <c r="AA16" s="311"/>
      <c r="AB16" s="311"/>
      <c r="AC16" s="311"/>
      <c r="AD16" s="311"/>
      <c r="AE16" s="311"/>
      <c r="AF16" s="311"/>
      <c r="AG16" s="311"/>
      <c r="AH16" s="311"/>
      <c r="AI16" s="311"/>
      <c r="AJ16" s="311"/>
      <c r="AK16" s="311"/>
      <c r="AL16" s="311"/>
      <c r="AM16" s="311"/>
      <c r="AN16" s="311"/>
      <c r="AO16" s="311"/>
      <c r="AP16" s="311"/>
      <c r="AQ16" s="311"/>
      <c r="AR16" s="370"/>
      <c r="AS16" s="422">
        <v>1</v>
      </c>
      <c r="AT16" s="423"/>
      <c r="AU16" s="423"/>
      <c r="AV16" s="423"/>
      <c r="AW16" s="423"/>
      <c r="AX16" s="424"/>
      <c r="AY16" s="425"/>
      <c r="AZ16" s="425"/>
      <c r="BA16" s="425"/>
      <c r="BB16" s="425"/>
      <c r="BC16" s="425"/>
      <c r="BD16" s="425"/>
      <c r="BE16" s="426"/>
      <c r="BF16" s="96"/>
      <c r="BG16" s="96"/>
      <c r="BH16" s="96"/>
      <c r="BI16" s="96"/>
      <c r="BJ16" s="96"/>
      <c r="BK16" s="101"/>
      <c r="BL16" s="101"/>
      <c r="BM16" s="101"/>
      <c r="BN16" s="101"/>
      <c r="BO16" s="101"/>
      <c r="BP16" s="101"/>
      <c r="BQ16" s="101"/>
      <c r="BR16" s="101"/>
      <c r="BS16" s="101"/>
      <c r="BT16" s="101"/>
      <c r="BU16" s="101"/>
    </row>
    <row r="17" spans="1:73" s="17" customFormat="1" ht="15" customHeight="1" x14ac:dyDescent="0.25">
      <c r="A17" s="349" t="str">
        <f>Textes!A17</f>
        <v>Dimensions :</v>
      </c>
      <c r="B17" s="311"/>
      <c r="C17" s="311"/>
      <c r="D17" s="311"/>
      <c r="E17" s="311"/>
      <c r="F17" s="311"/>
      <c r="G17" s="311"/>
      <c r="H17" s="311"/>
      <c r="I17" s="456" t="str">
        <f>Cubage!B12</f>
        <v xml:space="preserve">                  </v>
      </c>
      <c r="J17" s="456"/>
      <c r="K17" s="456"/>
      <c r="L17" s="456"/>
      <c r="M17" s="456"/>
      <c r="N17" s="456"/>
      <c r="O17" s="456"/>
      <c r="P17" s="456"/>
      <c r="Q17" s="456"/>
      <c r="R17" s="456"/>
      <c r="S17" s="456"/>
      <c r="T17" s="456"/>
      <c r="U17" s="456"/>
      <c r="V17" s="456"/>
      <c r="W17" s="456"/>
      <c r="X17" s="456"/>
      <c r="Y17" s="456"/>
      <c r="Z17" s="456"/>
      <c r="AA17" s="456"/>
      <c r="AB17" s="456"/>
      <c r="AC17" s="456"/>
      <c r="AD17" s="456"/>
      <c r="AE17" s="456"/>
      <c r="AF17" s="456"/>
      <c r="AG17" s="456"/>
      <c r="AH17" s="456"/>
      <c r="AI17" s="456"/>
      <c r="AJ17" s="456"/>
      <c r="AK17" s="456"/>
      <c r="AL17" s="456"/>
      <c r="AM17" s="456"/>
      <c r="AN17" s="456"/>
      <c r="AO17" s="456"/>
      <c r="AP17" s="456"/>
      <c r="AQ17" s="456"/>
      <c r="AR17" s="456"/>
      <c r="AS17" s="456"/>
      <c r="AT17" s="456"/>
      <c r="AU17" s="456"/>
      <c r="AV17" s="456"/>
      <c r="AW17" s="456"/>
      <c r="AX17" s="456"/>
      <c r="AY17" s="456"/>
      <c r="AZ17" s="456"/>
      <c r="BA17" s="456"/>
      <c r="BB17" s="456"/>
      <c r="BC17" s="456"/>
      <c r="BD17" s="456"/>
      <c r="BE17" s="457"/>
      <c r="BF17" s="96"/>
      <c r="BG17" s="96"/>
      <c r="BH17" s="96"/>
      <c r="BI17" s="96"/>
      <c r="BJ17" s="96"/>
      <c r="BK17" s="101"/>
      <c r="BL17" s="101"/>
      <c r="BM17" s="101"/>
      <c r="BN17" s="101"/>
      <c r="BO17" s="101"/>
      <c r="BP17" s="101"/>
      <c r="BQ17" s="101"/>
      <c r="BR17" s="101"/>
      <c r="BS17" s="101"/>
      <c r="BT17" s="101"/>
      <c r="BU17" s="101"/>
    </row>
    <row r="18" spans="1:73" s="17" customFormat="1" ht="15" customHeight="1" x14ac:dyDescent="0.25">
      <c r="A18" s="327" t="str">
        <f>Textes!A18</f>
        <v>Volume total :</v>
      </c>
      <c r="B18" s="328"/>
      <c r="C18" s="328"/>
      <c r="D18" s="328"/>
      <c r="E18" s="328"/>
      <c r="F18" s="328"/>
      <c r="G18" s="328"/>
      <c r="H18" s="328"/>
      <c r="I18" s="338">
        <f>Cubage!L6</f>
        <v>0</v>
      </c>
      <c r="J18" s="338"/>
      <c r="K18" s="338"/>
      <c r="L18" s="338"/>
      <c r="M18" s="338"/>
      <c r="N18" s="338"/>
      <c r="O18" s="338"/>
      <c r="P18" s="338"/>
      <c r="Q18" s="338"/>
      <c r="R18" s="338"/>
      <c r="S18" s="338"/>
      <c r="T18" s="338"/>
      <c r="U18" s="338"/>
      <c r="V18" s="404" t="s">
        <v>11</v>
      </c>
      <c r="W18" s="404"/>
      <c r="X18" s="404"/>
      <c r="Y18" s="328" t="str">
        <f>Textes!A25</f>
        <v>Nature de la marchandise :</v>
      </c>
      <c r="Z18" s="328"/>
      <c r="AA18" s="328"/>
      <c r="AB18" s="328"/>
      <c r="AC18" s="328"/>
      <c r="AD18" s="328"/>
      <c r="AE18" s="328"/>
      <c r="AF18" s="328"/>
      <c r="AG18" s="328"/>
      <c r="AH18" s="328"/>
      <c r="AI18" s="328"/>
      <c r="AJ18" s="328"/>
      <c r="AK18" s="328"/>
      <c r="AL18" s="328"/>
      <c r="AM18" s="329"/>
      <c r="AN18" s="329"/>
      <c r="AO18" s="329"/>
      <c r="AP18" s="329"/>
      <c r="AQ18" s="329"/>
      <c r="AR18" s="329"/>
      <c r="AS18" s="329"/>
      <c r="AT18" s="329"/>
      <c r="AU18" s="329"/>
      <c r="AV18" s="329"/>
      <c r="AW18" s="329"/>
      <c r="AX18" s="329"/>
      <c r="AY18" s="329"/>
      <c r="AZ18" s="329"/>
      <c r="BA18" s="329"/>
      <c r="BB18" s="329"/>
      <c r="BC18" s="329"/>
      <c r="BD18" s="329"/>
      <c r="BE18" s="330"/>
      <c r="BF18" s="96"/>
      <c r="BG18" s="96"/>
      <c r="BH18" s="96"/>
      <c r="BI18" s="96"/>
      <c r="BJ18" s="96"/>
      <c r="BK18" s="101"/>
      <c r="BL18" s="101"/>
      <c r="BM18" s="101"/>
      <c r="BN18" s="101"/>
      <c r="BO18" s="101"/>
      <c r="BP18" s="101"/>
      <c r="BQ18" s="101"/>
      <c r="BR18" s="101"/>
      <c r="BS18" s="101"/>
      <c r="BT18" s="101"/>
      <c r="BU18" s="101"/>
    </row>
    <row r="19" spans="1:73" s="17" customFormat="1" ht="15" customHeight="1" x14ac:dyDescent="0.25">
      <c r="A19" s="327" t="str">
        <f>Textes!A19</f>
        <v>Poids taxable :</v>
      </c>
      <c r="B19" s="328"/>
      <c r="C19" s="328"/>
      <c r="D19" s="328"/>
      <c r="E19" s="328"/>
      <c r="F19" s="328"/>
      <c r="G19" s="328"/>
      <c r="H19" s="328"/>
      <c r="I19" s="328"/>
      <c r="J19" s="328"/>
      <c r="K19" s="415">
        <f>IF((I18*166.667)&gt;K16,(I18*166.667),K16)</f>
        <v>0</v>
      </c>
      <c r="L19" s="415"/>
      <c r="M19" s="415"/>
      <c r="N19" s="415"/>
      <c r="O19" s="415"/>
      <c r="P19" s="415"/>
      <c r="Q19" s="415"/>
      <c r="R19" s="415"/>
      <c r="S19" s="415"/>
      <c r="T19" s="415"/>
      <c r="U19" s="415"/>
      <c r="V19" s="176" t="s">
        <v>10</v>
      </c>
      <c r="W19" s="176"/>
      <c r="X19" s="180"/>
      <c r="Y19" s="328" t="str">
        <f>Textes!A20</f>
        <v>Produits réglementés/dangereux :</v>
      </c>
      <c r="Z19" s="328"/>
      <c r="AA19" s="328"/>
      <c r="AB19" s="328"/>
      <c r="AC19" s="328"/>
      <c r="AD19" s="328"/>
      <c r="AE19" s="328"/>
      <c r="AF19" s="328"/>
      <c r="AG19" s="328"/>
      <c r="AH19" s="328"/>
      <c r="AI19" s="328"/>
      <c r="AJ19" s="328"/>
      <c r="AK19" s="328"/>
      <c r="AL19" s="328"/>
      <c r="AM19" s="328"/>
      <c r="AN19" s="328"/>
      <c r="AO19" s="328"/>
      <c r="AP19" s="328"/>
      <c r="AQ19" s="377" t="b">
        <v>0</v>
      </c>
      <c r="AR19" s="377"/>
      <c r="AS19" s="377"/>
      <c r="AT19" s="427" t="str">
        <f>IF(AQ19=TRUE,Textes!A26,Textes!B26)</f>
        <v>NON</v>
      </c>
      <c r="AU19" s="427"/>
      <c r="AV19" s="427"/>
      <c r="AW19" s="427"/>
      <c r="AX19" s="450"/>
      <c r="AY19" s="450"/>
      <c r="AZ19" s="450"/>
      <c r="BA19" s="450"/>
      <c r="BB19" s="450"/>
      <c r="BC19" s="450"/>
      <c r="BD19" s="450"/>
      <c r="BE19" s="451"/>
      <c r="BF19" s="259" t="s">
        <v>327</v>
      </c>
      <c r="BG19" s="96"/>
      <c r="BH19" s="96"/>
      <c r="BI19" s="96"/>
      <c r="BJ19" s="96"/>
      <c r="BK19" s="101"/>
      <c r="BL19" s="101"/>
      <c r="BM19" s="101"/>
      <c r="BN19" s="101"/>
      <c r="BO19" s="101"/>
      <c r="BP19" s="101"/>
      <c r="BQ19" s="101"/>
      <c r="BR19" s="101"/>
      <c r="BS19" s="101"/>
      <c r="BT19" s="101"/>
      <c r="BU19" s="101"/>
    </row>
    <row r="20" spans="1:73" s="17" customFormat="1" ht="15" customHeight="1" x14ac:dyDescent="0.25">
      <c r="A20" s="327" t="str">
        <f>Textes!A27</f>
        <v>Payant pour :</v>
      </c>
      <c r="B20" s="328"/>
      <c r="C20" s="328"/>
      <c r="D20" s="328"/>
      <c r="E20" s="328"/>
      <c r="F20" s="328"/>
      <c r="G20" s="328"/>
      <c r="H20" s="328"/>
      <c r="I20" s="377" t="b">
        <v>0</v>
      </c>
      <c r="J20" s="377"/>
      <c r="K20" s="427" t="str">
        <f>IF(I20=TRUE,Textes!A26,Textes!B26)</f>
        <v>NON</v>
      </c>
      <c r="L20" s="427"/>
      <c r="M20" s="427"/>
      <c r="N20" s="427"/>
      <c r="O20" s="419"/>
      <c r="P20" s="419"/>
      <c r="Q20" s="419"/>
      <c r="R20" s="419"/>
      <c r="S20" s="419"/>
      <c r="T20" s="419"/>
      <c r="U20" s="419"/>
      <c r="V20" s="176" t="str">
        <f>IF(I20=TRUE,"Kg","")</f>
        <v/>
      </c>
      <c r="W20" s="176"/>
      <c r="X20" s="180"/>
      <c r="Y20" s="328" t="str">
        <f>IF(AQ19=TRUE,Textes!A21,"")</f>
        <v/>
      </c>
      <c r="Z20" s="328"/>
      <c r="AA20" s="328"/>
      <c r="AB20" s="328"/>
      <c r="AC20" s="328"/>
      <c r="AD20" s="328"/>
      <c r="AE20" s="328"/>
      <c r="AF20" s="420"/>
      <c r="AG20" s="420"/>
      <c r="AH20" s="420"/>
      <c r="AI20" s="420"/>
      <c r="AJ20" s="420"/>
      <c r="AK20" s="420"/>
      <c r="AL20" s="420"/>
      <c r="AM20" s="420"/>
      <c r="AN20" s="420"/>
      <c r="AO20" s="420"/>
      <c r="AP20" s="420"/>
      <c r="AQ20" s="420"/>
      <c r="AR20" s="420"/>
      <c r="AS20" s="420"/>
      <c r="AT20" s="420"/>
      <c r="AU20" s="420"/>
      <c r="AV20" s="420"/>
      <c r="AW20" s="420"/>
      <c r="AX20" s="420"/>
      <c r="AY20" s="420"/>
      <c r="AZ20" s="420"/>
      <c r="BA20" s="420"/>
      <c r="BB20" s="420"/>
      <c r="BC20" s="420"/>
      <c r="BD20" s="420"/>
      <c r="BE20" s="421"/>
      <c r="BF20" s="96"/>
      <c r="BG20" s="96"/>
      <c r="BH20" s="96"/>
      <c r="BI20" s="96"/>
      <c r="BJ20" s="96"/>
      <c r="BK20" s="101"/>
      <c r="BL20" s="101"/>
      <c r="BM20" s="101"/>
      <c r="BN20" s="101"/>
      <c r="BO20" s="101"/>
      <c r="BP20" s="101"/>
      <c r="BQ20" s="101"/>
      <c r="BR20" s="101"/>
      <c r="BS20" s="101"/>
      <c r="BT20" s="101"/>
      <c r="BU20" s="101"/>
    </row>
    <row r="21" spans="1:73" s="17" customFormat="1" ht="15" customHeight="1" x14ac:dyDescent="0.25">
      <c r="A21" s="327" t="str">
        <f>Textes!A22</f>
        <v>Autres éléments particuliers :</v>
      </c>
      <c r="B21" s="328"/>
      <c r="C21" s="328"/>
      <c r="D21" s="328"/>
      <c r="E21" s="328"/>
      <c r="F21" s="328"/>
      <c r="G21" s="328"/>
      <c r="H21" s="328"/>
      <c r="I21" s="328"/>
      <c r="J21" s="328"/>
      <c r="K21" s="328"/>
      <c r="L21" s="328"/>
      <c r="M21" s="328"/>
      <c r="N21" s="328"/>
      <c r="O21" s="328"/>
      <c r="P21" s="328"/>
      <c r="Q21" s="427"/>
      <c r="R21" s="427"/>
      <c r="S21" s="427"/>
      <c r="T21" s="427"/>
      <c r="U21" s="427"/>
      <c r="V21" s="427"/>
      <c r="W21" s="427"/>
      <c r="X21" s="427"/>
      <c r="Y21" s="427"/>
      <c r="Z21" s="427"/>
      <c r="AA21" s="427"/>
      <c r="AB21" s="427"/>
      <c r="AC21" s="427"/>
      <c r="AD21" s="427"/>
      <c r="AE21" s="427"/>
      <c r="AF21" s="427"/>
      <c r="AG21" s="427"/>
      <c r="AH21" s="427"/>
      <c r="AI21" s="427"/>
      <c r="AJ21" s="427"/>
      <c r="AK21" s="427"/>
      <c r="AL21" s="427"/>
      <c r="AM21" s="427"/>
      <c r="AN21" s="427"/>
      <c r="AO21" s="427"/>
      <c r="AP21" s="427"/>
      <c r="AQ21" s="427"/>
      <c r="AR21" s="427"/>
      <c r="AS21" s="427"/>
      <c r="AT21" s="427"/>
      <c r="AU21" s="427"/>
      <c r="AV21" s="427"/>
      <c r="AW21" s="427"/>
      <c r="AX21" s="427"/>
      <c r="AY21" s="427"/>
      <c r="AZ21" s="427"/>
      <c r="BA21" s="427"/>
      <c r="BB21" s="427"/>
      <c r="BC21" s="427"/>
      <c r="BD21" s="427"/>
      <c r="BE21" s="466"/>
      <c r="BF21" s="96" t="str">
        <f>IF(AQ19=TRUE,"- DGX","- NR")</f>
        <v>- NR</v>
      </c>
      <c r="BG21" s="96"/>
      <c r="BH21" s="96"/>
      <c r="BI21" s="96"/>
      <c r="BJ21" s="260" t="s">
        <v>249</v>
      </c>
      <c r="BK21" s="261"/>
      <c r="BL21" s="101"/>
      <c r="BM21" s="101"/>
      <c r="BN21" s="101"/>
      <c r="BO21" s="101"/>
      <c r="BP21" s="101"/>
      <c r="BQ21" s="101"/>
      <c r="BR21" s="101"/>
      <c r="BS21" s="101"/>
      <c r="BT21" s="101"/>
      <c r="BU21" s="101"/>
    </row>
    <row r="22" spans="1:73" s="17" customFormat="1" ht="8.15" customHeight="1" x14ac:dyDescent="0.25">
      <c r="A22" s="177"/>
      <c r="B22" s="178"/>
      <c r="C22" s="178"/>
      <c r="D22" s="178"/>
      <c r="E22" s="178"/>
      <c r="F22" s="178"/>
      <c r="G22" s="178"/>
      <c r="H22" s="178"/>
      <c r="I22" s="178"/>
      <c r="J22" s="178"/>
      <c r="K22" s="178"/>
      <c r="L22" s="178"/>
      <c r="M22" s="178"/>
      <c r="N22" s="178"/>
      <c r="O22" s="178"/>
      <c r="P22" s="178"/>
      <c r="Q22" s="178"/>
      <c r="R22" s="178"/>
      <c r="S22" s="178"/>
      <c r="T22" s="178"/>
      <c r="U22" s="178"/>
      <c r="V22" s="178"/>
      <c r="W22" s="178"/>
      <c r="X22" s="178"/>
      <c r="Y22" s="178"/>
      <c r="Z22" s="178"/>
      <c r="AA22" s="178"/>
      <c r="AB22" s="178"/>
      <c r="AC22" s="178"/>
      <c r="AD22" s="178"/>
      <c r="AE22" s="178"/>
      <c r="AF22" s="178"/>
      <c r="AG22" s="178"/>
      <c r="AH22" s="178"/>
      <c r="AI22" s="178"/>
      <c r="AJ22" s="178"/>
      <c r="AK22" s="178"/>
      <c r="AL22" s="178"/>
      <c r="AM22" s="178"/>
      <c r="AN22" s="178"/>
      <c r="AO22" s="178"/>
      <c r="AP22" s="178"/>
      <c r="AQ22" s="178"/>
      <c r="AR22" s="178"/>
      <c r="AS22" s="178"/>
      <c r="AT22" s="178"/>
      <c r="AU22" s="178"/>
      <c r="AV22" s="178"/>
      <c r="AW22" s="178"/>
      <c r="AX22" s="178"/>
      <c r="AY22" s="178"/>
      <c r="AZ22" s="178"/>
      <c r="BA22" s="178"/>
      <c r="BB22" s="178"/>
      <c r="BC22" s="178"/>
      <c r="BD22" s="178"/>
      <c r="BE22" s="179"/>
      <c r="BF22" s="96"/>
      <c r="BG22" s="96"/>
      <c r="BH22" s="96"/>
      <c r="BI22" s="96"/>
      <c r="BJ22" s="262"/>
      <c r="BK22" s="263"/>
      <c r="BL22" s="96"/>
      <c r="BM22" s="96"/>
      <c r="BN22" s="101"/>
      <c r="BO22" s="101"/>
      <c r="BP22" s="101"/>
      <c r="BQ22" s="96"/>
      <c r="BR22" s="96"/>
      <c r="BS22" s="96"/>
      <c r="BT22" s="96"/>
      <c r="BU22" s="96"/>
    </row>
    <row r="23" spans="1:73" s="17" customFormat="1" ht="8.15" customHeight="1" x14ac:dyDescent="0.25">
      <c r="A23" s="469"/>
      <c r="B23" s="470"/>
      <c r="C23" s="470"/>
      <c r="D23" s="470"/>
      <c r="E23" s="470"/>
      <c r="F23" s="470"/>
      <c r="G23" s="470"/>
      <c r="H23" s="470"/>
      <c r="I23" s="470"/>
      <c r="J23" s="470"/>
      <c r="K23" s="470"/>
      <c r="L23" s="470"/>
      <c r="M23" s="470"/>
      <c r="N23" s="470"/>
      <c r="O23" s="470"/>
      <c r="P23" s="470"/>
      <c r="Q23" s="470"/>
      <c r="R23" s="470"/>
      <c r="S23" s="470"/>
      <c r="T23" s="470"/>
      <c r="U23" s="470"/>
      <c r="V23" s="470"/>
      <c r="W23" s="470"/>
      <c r="X23" s="470"/>
      <c r="Y23" s="470"/>
      <c r="Z23" s="470"/>
      <c r="AA23" s="470"/>
      <c r="AB23" s="470"/>
      <c r="AC23" s="470"/>
      <c r="AD23" s="470"/>
      <c r="AE23" s="470"/>
      <c r="AF23" s="470"/>
      <c r="AG23" s="470"/>
      <c r="AH23" s="470"/>
      <c r="AI23" s="470"/>
      <c r="AJ23" s="470"/>
      <c r="AK23" s="470"/>
      <c r="AL23" s="470"/>
      <c r="AM23" s="470"/>
      <c r="AN23" s="470"/>
      <c r="AO23" s="470"/>
      <c r="AP23" s="470"/>
      <c r="AQ23" s="470"/>
      <c r="AR23" s="470"/>
      <c r="AS23" s="470"/>
      <c r="AT23" s="470"/>
      <c r="AU23" s="470"/>
      <c r="AV23" s="470"/>
      <c r="AW23" s="470"/>
      <c r="AX23" s="470"/>
      <c r="AY23" s="470"/>
      <c r="AZ23" s="470"/>
      <c r="BA23" s="470"/>
      <c r="BB23" s="470"/>
      <c r="BC23" s="470"/>
      <c r="BD23" s="470"/>
      <c r="BE23" s="471"/>
      <c r="BF23" s="96"/>
      <c r="BG23" s="96"/>
      <c r="BH23" s="96"/>
      <c r="BI23" s="96"/>
      <c r="BJ23" s="162" t="s">
        <v>241</v>
      </c>
      <c r="BK23" s="162" t="s">
        <v>245</v>
      </c>
      <c r="BL23" s="96"/>
      <c r="BM23" s="96"/>
      <c r="BN23" s="101"/>
      <c r="BO23" s="101"/>
      <c r="BP23" s="101"/>
      <c r="BQ23" s="96"/>
      <c r="BR23" s="96"/>
      <c r="BS23" s="96"/>
      <c r="BT23" s="96"/>
      <c r="BU23" s="96"/>
    </row>
    <row r="24" spans="1:73" s="17" customFormat="1" ht="15" customHeight="1" x14ac:dyDescent="0.25">
      <c r="A24" s="454" t="str">
        <f>Textes!A28</f>
        <v>Détail de la cotation :</v>
      </c>
      <c r="B24" s="455"/>
      <c r="C24" s="455"/>
      <c r="D24" s="455"/>
      <c r="E24" s="455"/>
      <c r="F24" s="455"/>
      <c r="G24" s="455"/>
      <c r="H24" s="455"/>
      <c r="I24" s="455"/>
      <c r="J24" s="455"/>
      <c r="K24" s="455"/>
      <c r="L24" s="455"/>
      <c r="M24" s="455"/>
      <c r="N24" s="455"/>
      <c r="O24" s="455"/>
      <c r="P24" s="455"/>
      <c r="Q24" s="452" t="str">
        <f>Textes!A29</f>
        <v xml:space="preserve">Aéroport de départ : </v>
      </c>
      <c r="R24" s="452"/>
      <c r="S24" s="452"/>
      <c r="T24" s="452"/>
      <c r="U24" s="452"/>
      <c r="V24" s="452"/>
      <c r="W24" s="452"/>
      <c r="X24" s="452"/>
      <c r="Y24" s="452"/>
      <c r="Z24" s="452"/>
      <c r="AA24" s="452"/>
      <c r="AB24" s="453"/>
      <c r="AC24" s="445"/>
      <c r="AD24" s="446"/>
      <c r="AE24" s="446"/>
      <c r="AF24" s="446"/>
      <c r="AG24" s="447"/>
      <c r="AH24" s="442" t="str">
        <f>Textes!A30</f>
        <v>Aéroport d'arrivée :</v>
      </c>
      <c r="AI24" s="443"/>
      <c r="AJ24" s="443"/>
      <c r="AK24" s="443"/>
      <c r="AL24" s="443"/>
      <c r="AM24" s="443"/>
      <c r="AN24" s="443"/>
      <c r="AO24" s="443"/>
      <c r="AP24" s="443"/>
      <c r="AQ24" s="443"/>
      <c r="AR24" s="443"/>
      <c r="AS24" s="443"/>
      <c r="AT24" s="444"/>
      <c r="AU24" s="445"/>
      <c r="AV24" s="446"/>
      <c r="AW24" s="446"/>
      <c r="AX24" s="446"/>
      <c r="AY24" s="447"/>
      <c r="AZ24" s="448"/>
      <c r="BA24" s="448"/>
      <c r="BB24" s="448"/>
      <c r="BC24" s="448"/>
      <c r="BD24" s="448"/>
      <c r="BE24" s="449"/>
      <c r="BF24" s="431"/>
      <c r="BG24" s="432"/>
      <c r="BH24" s="432"/>
      <c r="BI24" s="96"/>
      <c r="BJ24" s="163" t="s">
        <v>242</v>
      </c>
      <c r="BK24" s="163" t="s">
        <v>246</v>
      </c>
      <c r="BL24" s="96"/>
      <c r="BM24" s="96"/>
      <c r="BN24" s="101"/>
      <c r="BO24" s="101"/>
      <c r="BP24" s="101"/>
      <c r="BQ24" s="96"/>
      <c r="BR24" s="96"/>
      <c r="BS24" s="96"/>
      <c r="BT24" s="96"/>
    </row>
    <row r="25" spans="1:73" s="17" customFormat="1" ht="8.15" customHeight="1" x14ac:dyDescent="0.25">
      <c r="A25" s="439"/>
      <c r="B25" s="440"/>
      <c r="C25" s="440"/>
      <c r="D25" s="440"/>
      <c r="E25" s="440"/>
      <c r="F25" s="440"/>
      <c r="G25" s="440"/>
      <c r="H25" s="440"/>
      <c r="I25" s="440"/>
      <c r="J25" s="440"/>
      <c r="K25" s="440"/>
      <c r="L25" s="440"/>
      <c r="M25" s="440"/>
      <c r="N25" s="440"/>
      <c r="O25" s="440"/>
      <c r="P25" s="440"/>
      <c r="Q25" s="440"/>
      <c r="R25" s="440"/>
      <c r="S25" s="440"/>
      <c r="T25" s="440"/>
      <c r="U25" s="440"/>
      <c r="V25" s="440"/>
      <c r="W25" s="440"/>
      <c r="X25" s="440"/>
      <c r="Y25" s="440"/>
      <c r="Z25" s="440"/>
      <c r="AA25" s="440"/>
      <c r="AB25" s="440"/>
      <c r="AC25" s="440"/>
      <c r="AD25" s="440"/>
      <c r="AE25" s="440"/>
      <c r="AF25" s="440"/>
      <c r="AG25" s="440"/>
      <c r="AH25" s="440"/>
      <c r="AI25" s="440"/>
      <c r="AJ25" s="440"/>
      <c r="AK25" s="440"/>
      <c r="AL25" s="440"/>
      <c r="AM25" s="440"/>
      <c r="AN25" s="440"/>
      <c r="AO25" s="440"/>
      <c r="AP25" s="440"/>
      <c r="AQ25" s="440"/>
      <c r="AR25" s="440"/>
      <c r="AS25" s="440"/>
      <c r="AT25" s="440"/>
      <c r="AU25" s="440"/>
      <c r="AV25" s="440"/>
      <c r="AW25" s="440"/>
      <c r="AX25" s="440"/>
      <c r="AY25" s="440"/>
      <c r="AZ25" s="440"/>
      <c r="BA25" s="440"/>
      <c r="BB25" s="440"/>
      <c r="BC25" s="440"/>
      <c r="BD25" s="440"/>
      <c r="BE25" s="441"/>
      <c r="BF25" s="431"/>
      <c r="BG25" s="432"/>
      <c r="BH25" s="432"/>
      <c r="BI25" s="96"/>
      <c r="BJ25" s="162" t="s">
        <v>243</v>
      </c>
      <c r="BK25" s="162" t="s">
        <v>247</v>
      </c>
      <c r="BL25" s="96"/>
      <c r="BM25" s="96"/>
      <c r="BN25" s="101"/>
      <c r="BO25" s="101"/>
      <c r="BP25" s="101"/>
      <c r="BQ25" s="96"/>
      <c r="BR25" s="96"/>
      <c r="BS25" s="96"/>
      <c r="BT25" s="96"/>
    </row>
    <row r="26" spans="1:73" s="17" customFormat="1" ht="15" customHeight="1" x14ac:dyDescent="0.25">
      <c r="A26" s="318" t="str">
        <f>Textes!A31</f>
        <v>FRAIS AU DEPART</v>
      </c>
      <c r="B26" s="319"/>
      <c r="C26" s="319"/>
      <c r="D26" s="319"/>
      <c r="E26" s="319"/>
      <c r="F26" s="319"/>
      <c r="G26" s="319"/>
      <c r="H26" s="319"/>
      <c r="I26" s="319"/>
      <c r="J26" s="319"/>
      <c r="K26" s="319"/>
      <c r="L26" s="353" t="str">
        <f>Textes!A32</f>
        <v>Préacheminement :</v>
      </c>
      <c r="M26" s="353"/>
      <c r="N26" s="353"/>
      <c r="O26" s="353"/>
      <c r="P26" s="353"/>
      <c r="Q26" s="353"/>
      <c r="R26" s="353"/>
      <c r="S26" s="353"/>
      <c r="T26" s="353"/>
      <c r="U26" s="353"/>
      <c r="V26" s="289"/>
      <c r="W26" s="289"/>
      <c r="X26" s="289"/>
      <c r="Y26" s="289"/>
      <c r="Z26" s="289"/>
      <c r="AA26" s="289"/>
      <c r="AB26" s="289"/>
      <c r="AC26" s="289"/>
      <c r="AD26" s="289"/>
      <c r="AE26" s="289"/>
      <c r="AF26" s="289"/>
      <c r="AG26" s="289"/>
      <c r="AH26" s="289"/>
      <c r="AI26" s="289"/>
      <c r="AJ26" s="289"/>
      <c r="AK26" s="289"/>
      <c r="AL26" s="289"/>
      <c r="AM26" s="289"/>
      <c r="AN26" s="289"/>
      <c r="AO26" s="289"/>
      <c r="AP26" s="289"/>
      <c r="AQ26" s="289"/>
      <c r="AR26" s="289"/>
      <c r="AS26" s="289"/>
      <c r="AT26" s="289"/>
      <c r="AU26" s="438">
        <f>BF26</f>
        <v>0</v>
      </c>
      <c r="AV26" s="412"/>
      <c r="AW26" s="412"/>
      <c r="AX26" s="412"/>
      <c r="AY26" s="412"/>
      <c r="AZ26" s="412"/>
      <c r="BA26" s="412"/>
      <c r="BB26" s="372" t="s">
        <v>73</v>
      </c>
      <c r="BC26" s="372"/>
      <c r="BD26" s="298"/>
      <c r="BE26" s="304"/>
      <c r="BF26" s="158"/>
      <c r="BG26" s="266" t="s">
        <v>323</v>
      </c>
      <c r="BH26" s="96"/>
      <c r="BI26" s="96"/>
      <c r="BJ26" s="164" t="s">
        <v>244</v>
      </c>
      <c r="BK26" s="165" t="s">
        <v>248</v>
      </c>
      <c r="BL26" s="96"/>
      <c r="BM26" s="96"/>
      <c r="BN26" s="101"/>
      <c r="BO26" s="101"/>
      <c r="BP26" s="101"/>
      <c r="BQ26" s="96"/>
      <c r="BR26" s="96"/>
      <c r="BS26" s="96"/>
      <c r="BT26" s="96"/>
    </row>
    <row r="27" spans="1:73" s="17" customFormat="1" ht="15" customHeight="1" x14ac:dyDescent="0.25">
      <c r="A27" s="349"/>
      <c r="B27" s="311"/>
      <c r="C27" s="311"/>
      <c r="D27" s="311"/>
      <c r="E27" s="311"/>
      <c r="F27" s="311"/>
      <c r="G27" s="311"/>
      <c r="H27" s="311"/>
      <c r="I27" s="311"/>
      <c r="J27" s="311"/>
      <c r="K27" s="311"/>
      <c r="L27" s="346" t="str">
        <f>Textes!A33</f>
        <v xml:space="preserve">Taxe gasoil en sus : </v>
      </c>
      <c r="M27" s="346"/>
      <c r="N27" s="346"/>
      <c r="O27" s="346"/>
      <c r="P27" s="346"/>
      <c r="Q27" s="346"/>
      <c r="R27" s="346"/>
      <c r="S27" s="346"/>
      <c r="T27" s="346"/>
      <c r="U27" s="346"/>
      <c r="V27" s="346"/>
      <c r="W27" s="458">
        <f ca="1">AD5</f>
        <v>45216</v>
      </c>
      <c r="X27" s="458"/>
      <c r="Y27" s="458"/>
      <c r="Z27" s="458"/>
      <c r="AA27" s="458"/>
      <c r="AB27" s="458"/>
      <c r="AC27" s="459"/>
      <c r="AD27" s="459"/>
      <c r="AE27" s="465" t="s">
        <v>87</v>
      </c>
      <c r="AF27" s="465"/>
      <c r="AG27" s="460">
        <f>[1]Feuil1!$D$1</f>
        <v>17.34</v>
      </c>
      <c r="AH27" s="461"/>
      <c r="AI27" s="461"/>
      <c r="AJ27" s="464" t="s">
        <v>86</v>
      </c>
      <c r="AK27" s="464"/>
      <c r="AL27" s="464"/>
      <c r="AM27" s="464"/>
      <c r="AN27" s="464"/>
      <c r="AO27" s="464"/>
      <c r="AP27" s="464"/>
      <c r="AQ27" s="464"/>
      <c r="AR27" s="464"/>
      <c r="AS27" s="464"/>
      <c r="AT27" s="464"/>
      <c r="AU27" s="315">
        <f>AU26*AG27/100</f>
        <v>0</v>
      </c>
      <c r="AV27" s="315"/>
      <c r="AW27" s="315"/>
      <c r="AX27" s="315"/>
      <c r="AY27" s="315"/>
      <c r="AZ27" s="315"/>
      <c r="BA27" s="315"/>
      <c r="BB27" s="385" t="s">
        <v>73</v>
      </c>
      <c r="BC27" s="385"/>
      <c r="BD27" s="295"/>
      <c r="BE27" s="296"/>
      <c r="BF27" s="96"/>
      <c r="BG27" s="107"/>
      <c r="BH27" s="107"/>
      <c r="BI27" s="96"/>
      <c r="BJ27" s="96"/>
      <c r="BK27" s="96"/>
      <c r="BL27" s="96"/>
      <c r="BM27" s="96"/>
      <c r="BN27" s="101"/>
      <c r="BO27" s="101"/>
      <c r="BP27" s="101"/>
      <c r="BQ27" s="96"/>
      <c r="BR27" s="96"/>
      <c r="BS27" s="96"/>
      <c r="BT27" s="96"/>
    </row>
    <row r="28" spans="1:73" s="17" customFormat="1" ht="15" customHeight="1" x14ac:dyDescent="0.25">
      <c r="A28" s="347"/>
      <c r="B28" s="348"/>
      <c r="C28" s="348"/>
      <c r="D28" s="348"/>
      <c r="E28" s="348"/>
      <c r="F28" s="348"/>
      <c r="G28" s="348"/>
      <c r="H28" s="348"/>
      <c r="I28" s="348"/>
      <c r="J28" s="348"/>
      <c r="K28" s="348"/>
      <c r="L28" s="326" t="str">
        <f>Textes!A34</f>
        <v>Manutention :</v>
      </c>
      <c r="M28" s="326"/>
      <c r="N28" s="326"/>
      <c r="O28" s="326"/>
      <c r="P28" s="326"/>
      <c r="Q28" s="326"/>
      <c r="R28" s="326"/>
      <c r="S28" s="326"/>
      <c r="T28" s="326"/>
      <c r="U28" s="326"/>
      <c r="V28" s="326"/>
      <c r="W28" s="326"/>
      <c r="X28" s="326"/>
      <c r="Y28" s="326"/>
      <c r="Z28" s="326"/>
      <c r="AA28" s="326"/>
      <c r="AB28" s="326"/>
      <c r="AC28" s="326"/>
      <c r="AD28" s="326"/>
      <c r="AE28" s="326"/>
      <c r="AF28" s="326"/>
      <c r="AG28" s="326"/>
      <c r="AH28" s="326"/>
      <c r="AI28" s="326"/>
      <c r="AJ28" s="326"/>
      <c r="AK28" s="326"/>
      <c r="AL28" s="326"/>
      <c r="AM28" s="326"/>
      <c r="AN28" s="326"/>
      <c r="AO28" s="326"/>
      <c r="AP28" s="326"/>
      <c r="AQ28" s="326"/>
      <c r="AR28" s="326"/>
      <c r="AS28" s="326"/>
      <c r="AT28" s="326"/>
      <c r="AU28" s="357">
        <f>IF(($K$16*BF28)&gt;BG28,($K$16*BF28),BG28)</f>
        <v>22</v>
      </c>
      <c r="AV28" s="357"/>
      <c r="AW28" s="357"/>
      <c r="AX28" s="357"/>
      <c r="AY28" s="357"/>
      <c r="AZ28" s="357"/>
      <c r="BA28" s="357"/>
      <c r="BB28" s="372" t="s">
        <v>73</v>
      </c>
      <c r="BC28" s="372"/>
      <c r="BD28" s="298"/>
      <c r="BE28" s="304" t="s">
        <v>338</v>
      </c>
      <c r="BF28" s="106">
        <v>0.1</v>
      </c>
      <c r="BG28" s="106">
        <v>22</v>
      </c>
      <c r="BH28" s="265" t="s">
        <v>320</v>
      </c>
      <c r="BI28" s="96"/>
      <c r="BJ28" s="254"/>
      <c r="BK28" s="96"/>
      <c r="BL28" s="96"/>
      <c r="BM28" s="96"/>
      <c r="BN28" s="101"/>
      <c r="BO28" s="101"/>
      <c r="BP28" s="101"/>
      <c r="BQ28" s="96"/>
      <c r="BR28" s="99"/>
      <c r="BS28" s="96"/>
      <c r="BT28" s="96"/>
    </row>
    <row r="29" spans="1:73" s="17" customFormat="1" ht="15" customHeight="1" x14ac:dyDescent="0.25">
      <c r="A29" s="320"/>
      <c r="B29" s="321"/>
      <c r="C29" s="321"/>
      <c r="D29" s="321"/>
      <c r="E29" s="321"/>
      <c r="F29" s="321"/>
      <c r="G29" s="321"/>
      <c r="H29" s="321"/>
      <c r="I29" s="321"/>
      <c r="J29" s="321"/>
      <c r="K29" s="321"/>
      <c r="L29" s="311" t="str">
        <f>Textes!A35</f>
        <v>Mise à  FOB :</v>
      </c>
      <c r="M29" s="311"/>
      <c r="N29" s="311"/>
      <c r="O29" s="311"/>
      <c r="P29" s="311"/>
      <c r="Q29" s="311"/>
      <c r="R29" s="311"/>
      <c r="S29" s="311"/>
      <c r="T29" s="404"/>
      <c r="U29" s="404"/>
      <c r="V29" s="404"/>
      <c r="W29" s="404"/>
      <c r="X29" s="404"/>
      <c r="Y29" s="404"/>
      <c r="Z29" s="404"/>
      <c r="AA29" s="404"/>
      <c r="AB29" s="404"/>
      <c r="AC29" s="404"/>
      <c r="AD29" s="404"/>
      <c r="AE29" s="404"/>
      <c r="AF29" s="404"/>
      <c r="AG29" s="404"/>
      <c r="AH29" s="404"/>
      <c r="AI29" s="404"/>
      <c r="AJ29" s="404"/>
      <c r="AK29" s="404"/>
      <c r="AL29" s="404"/>
      <c r="AM29" s="404"/>
      <c r="AN29" s="404"/>
      <c r="AO29" s="404"/>
      <c r="AP29" s="404"/>
      <c r="AQ29" s="404"/>
      <c r="AR29" s="404"/>
      <c r="AS29" s="404"/>
      <c r="AT29" s="404"/>
      <c r="AU29" s="415">
        <f>BF29</f>
        <v>62</v>
      </c>
      <c r="AV29" s="316"/>
      <c r="AW29" s="316"/>
      <c r="AX29" s="316"/>
      <c r="AY29" s="316"/>
      <c r="AZ29" s="316"/>
      <c r="BA29" s="316"/>
      <c r="BB29" s="385" t="s">
        <v>73</v>
      </c>
      <c r="BC29" s="385"/>
      <c r="BD29" s="295"/>
      <c r="BE29" s="296"/>
      <c r="BF29" s="158">
        <v>62</v>
      </c>
      <c r="BG29" s="96"/>
      <c r="BH29" s="112"/>
      <c r="BI29" s="96"/>
      <c r="BJ29" s="254"/>
      <c r="BK29" s="96"/>
      <c r="BL29" s="96"/>
      <c r="BM29" s="96"/>
      <c r="BN29" s="101"/>
      <c r="BO29" s="101"/>
      <c r="BP29" s="101"/>
      <c r="BQ29" s="96"/>
      <c r="BR29" s="96"/>
      <c r="BS29" s="96"/>
      <c r="BT29" s="96"/>
    </row>
    <row r="30" spans="1:73" s="17" customFormat="1" ht="8.15" customHeight="1" x14ac:dyDescent="0.25">
      <c r="A30" s="332"/>
      <c r="B30" s="333"/>
      <c r="C30" s="333"/>
      <c r="D30" s="333"/>
      <c r="E30" s="333"/>
      <c r="F30" s="333"/>
      <c r="G30" s="333"/>
      <c r="H30" s="333"/>
      <c r="I30" s="333"/>
      <c r="J30" s="333"/>
      <c r="K30" s="333"/>
      <c r="L30" s="333"/>
      <c r="M30" s="333"/>
      <c r="N30" s="333"/>
      <c r="O30" s="333"/>
      <c r="P30" s="333"/>
      <c r="Q30" s="333"/>
      <c r="R30" s="333"/>
      <c r="S30" s="333"/>
      <c r="T30" s="333"/>
      <c r="U30" s="333"/>
      <c r="V30" s="333"/>
      <c r="W30" s="333"/>
      <c r="X30" s="333"/>
      <c r="Y30" s="333"/>
      <c r="Z30" s="333"/>
      <c r="AA30" s="333"/>
      <c r="AB30" s="333"/>
      <c r="AC30" s="333"/>
      <c r="AD30" s="333"/>
      <c r="AE30" s="333"/>
      <c r="AF30" s="333"/>
      <c r="AG30" s="333"/>
      <c r="AH30" s="333"/>
      <c r="AI30" s="333"/>
      <c r="AJ30" s="333"/>
      <c r="AK30" s="333"/>
      <c r="AL30" s="333"/>
      <c r="AM30" s="333"/>
      <c r="AN30" s="333"/>
      <c r="AO30" s="333"/>
      <c r="AP30" s="333"/>
      <c r="AQ30" s="333"/>
      <c r="AR30" s="333"/>
      <c r="AS30" s="333"/>
      <c r="AT30" s="333"/>
      <c r="AU30" s="333"/>
      <c r="AV30" s="333"/>
      <c r="AW30" s="333"/>
      <c r="AX30" s="333"/>
      <c r="AY30" s="333"/>
      <c r="AZ30" s="333"/>
      <c r="BA30" s="333"/>
      <c r="BB30" s="333"/>
      <c r="BC30" s="333"/>
      <c r="BD30" s="333"/>
      <c r="BE30" s="334"/>
      <c r="BF30" s="96"/>
      <c r="BG30" s="96"/>
      <c r="BH30" s="112"/>
      <c r="BI30" s="96"/>
      <c r="BJ30" s="254"/>
      <c r="BK30" s="96"/>
      <c r="BL30" s="96"/>
      <c r="BM30" s="96"/>
      <c r="BN30" s="101"/>
      <c r="BO30" s="101"/>
      <c r="BP30" s="101"/>
      <c r="BQ30" s="96"/>
      <c r="BR30" s="96"/>
      <c r="BS30" s="96"/>
      <c r="BT30" s="96"/>
      <c r="BU30" s="96"/>
    </row>
    <row r="31" spans="1:73" s="17" customFormat="1" ht="15" customHeight="1" x14ac:dyDescent="0.25">
      <c r="A31" s="318" t="str">
        <f>Textes!A36</f>
        <v>FRET AERIEN</v>
      </c>
      <c r="B31" s="319"/>
      <c r="C31" s="319"/>
      <c r="D31" s="319"/>
      <c r="E31" s="319"/>
      <c r="F31" s="319"/>
      <c r="G31" s="319"/>
      <c r="H31" s="319"/>
      <c r="I31" s="319"/>
      <c r="J31" s="319"/>
      <c r="K31" s="319"/>
      <c r="L31" s="352" t="str">
        <f>Textes!A37</f>
        <v>Compagnie :</v>
      </c>
      <c r="M31" s="352"/>
      <c r="N31" s="352"/>
      <c r="O31" s="352"/>
      <c r="P31" s="352"/>
      <c r="Q31" s="352"/>
      <c r="R31" s="352"/>
      <c r="S31" s="352"/>
      <c r="T31" s="352"/>
      <c r="U31" s="468"/>
      <c r="V31" s="468"/>
      <c r="W31" s="468"/>
      <c r="X31" s="468"/>
      <c r="Y31" s="468"/>
      <c r="Z31" s="468"/>
      <c r="AA31" s="468"/>
      <c r="AB31" s="350" t="str">
        <f>Textes!A40</f>
        <v>Prix au Kg</v>
      </c>
      <c r="AC31" s="350"/>
      <c r="AD31" s="350"/>
      <c r="AE31" s="350"/>
      <c r="AF31" s="350"/>
      <c r="AG31" s="350"/>
      <c r="AH31" s="350"/>
      <c r="AI31" s="413">
        <f>BG31+BH31</f>
        <v>0</v>
      </c>
      <c r="AJ31" s="414"/>
      <c r="AK31" s="414"/>
      <c r="AL31" s="414"/>
      <c r="AM31" s="414"/>
      <c r="AN31" s="414"/>
      <c r="AO31" s="414"/>
      <c r="AP31" s="414"/>
      <c r="AQ31" s="430" t="s">
        <v>73</v>
      </c>
      <c r="AR31" s="430"/>
      <c r="AS31" s="430"/>
      <c r="AT31" s="430"/>
      <c r="AU31" s="357">
        <f>MAX(BF32:BF33)</f>
        <v>96.036000000000001</v>
      </c>
      <c r="AV31" s="357"/>
      <c r="AW31" s="357"/>
      <c r="AX31" s="357"/>
      <c r="AY31" s="357"/>
      <c r="AZ31" s="357"/>
      <c r="BA31" s="357"/>
      <c r="BB31" s="372" t="s">
        <v>73</v>
      </c>
      <c r="BC31" s="372"/>
      <c r="BD31" s="181"/>
      <c r="BE31" s="467"/>
      <c r="BF31" s="96"/>
      <c r="BG31" s="159"/>
      <c r="BH31" s="106"/>
      <c r="BI31" s="265" t="s">
        <v>321</v>
      </c>
      <c r="BJ31" s="96"/>
      <c r="BK31" s="433"/>
      <c r="BL31" s="96"/>
      <c r="BM31" s="96"/>
      <c r="BN31" s="96"/>
      <c r="BO31" s="96"/>
      <c r="BP31" s="96"/>
      <c r="BQ31" s="96"/>
      <c r="BR31" s="96"/>
      <c r="BS31" s="96"/>
      <c r="BT31" s="96"/>
      <c r="BU31" s="96"/>
    </row>
    <row r="32" spans="1:73" s="17" customFormat="1" ht="15" customHeight="1" x14ac:dyDescent="0.25">
      <c r="A32" s="351" t="s">
        <v>21</v>
      </c>
      <c r="B32" s="352"/>
      <c r="C32" s="352"/>
      <c r="D32" s="352"/>
      <c r="E32" s="352"/>
      <c r="F32" s="352"/>
      <c r="G32" s="352"/>
      <c r="H32" s="352"/>
      <c r="I32" s="352"/>
      <c r="J32" s="352"/>
      <c r="K32" s="352"/>
      <c r="L32" s="352" t="str">
        <f>Textes!A38</f>
        <v>Minimum de taxation :</v>
      </c>
      <c r="M32" s="352"/>
      <c r="N32" s="352"/>
      <c r="O32" s="352"/>
      <c r="P32" s="352"/>
      <c r="Q32" s="352"/>
      <c r="R32" s="352"/>
      <c r="S32" s="352"/>
      <c r="T32" s="352"/>
      <c r="U32" s="352"/>
      <c r="V32" s="352"/>
      <c r="W32" s="352"/>
      <c r="X32" s="352"/>
      <c r="Y32" s="352"/>
      <c r="Z32" s="352"/>
      <c r="AA32" s="352"/>
      <c r="AB32" s="352"/>
      <c r="AC32" s="352"/>
      <c r="AD32" s="352"/>
      <c r="AE32" s="352"/>
      <c r="AF32" s="352"/>
      <c r="AG32" s="352"/>
      <c r="AH32" s="352"/>
      <c r="AI32" s="413">
        <f>BF33</f>
        <v>96.036000000000001</v>
      </c>
      <c r="AJ32" s="414"/>
      <c r="AK32" s="414"/>
      <c r="AL32" s="414"/>
      <c r="AM32" s="414"/>
      <c r="AN32" s="414"/>
      <c r="AO32" s="414"/>
      <c r="AP32" s="414"/>
      <c r="AQ32" s="430" t="s">
        <v>73</v>
      </c>
      <c r="AR32" s="430"/>
      <c r="AS32" s="430"/>
      <c r="AT32" s="430"/>
      <c r="AU32" s="357"/>
      <c r="AV32" s="357"/>
      <c r="AW32" s="357"/>
      <c r="AX32" s="357"/>
      <c r="AY32" s="357"/>
      <c r="AZ32" s="357"/>
      <c r="BA32" s="357"/>
      <c r="BB32" s="372"/>
      <c r="BC32" s="372"/>
      <c r="BD32" s="181"/>
      <c r="BE32" s="467"/>
      <c r="BF32" s="264">
        <f>AI31*AI33</f>
        <v>0</v>
      </c>
      <c r="BG32" s="273">
        <f>BG31*AI33</f>
        <v>0</v>
      </c>
      <c r="BH32" s="274">
        <f>BH31*AI33</f>
        <v>0</v>
      </c>
      <c r="BI32" s="265" t="s">
        <v>322</v>
      </c>
      <c r="BJ32" s="96"/>
      <c r="BK32" s="433"/>
      <c r="BL32" s="98"/>
      <c r="BM32" s="96"/>
      <c r="BN32" s="96"/>
      <c r="BO32" s="96"/>
      <c r="BP32" s="96"/>
      <c r="BQ32" s="96"/>
      <c r="BR32" s="96"/>
      <c r="BS32" s="96"/>
      <c r="BT32" s="96"/>
      <c r="BU32" s="96"/>
    </row>
    <row r="33" spans="1:73" s="17" customFormat="1" ht="15" customHeight="1" x14ac:dyDescent="0.25">
      <c r="A33" s="351"/>
      <c r="B33" s="352"/>
      <c r="C33" s="352"/>
      <c r="D33" s="352"/>
      <c r="E33" s="352"/>
      <c r="F33" s="352"/>
      <c r="G33" s="352"/>
      <c r="H33" s="352"/>
      <c r="I33" s="352"/>
      <c r="J33" s="352"/>
      <c r="K33" s="352"/>
      <c r="L33" s="352" t="str">
        <f>Textes!A39</f>
        <v>Sur base poids taxable de :</v>
      </c>
      <c r="M33" s="352"/>
      <c r="N33" s="352"/>
      <c r="O33" s="352"/>
      <c r="P33" s="352"/>
      <c r="Q33" s="352"/>
      <c r="R33" s="352"/>
      <c r="S33" s="352"/>
      <c r="T33" s="352"/>
      <c r="U33" s="352"/>
      <c r="V33" s="352"/>
      <c r="W33" s="352"/>
      <c r="X33" s="352"/>
      <c r="Y33" s="352"/>
      <c r="Z33" s="352"/>
      <c r="AA33" s="352"/>
      <c r="AB33" s="352"/>
      <c r="AC33" s="352"/>
      <c r="AD33" s="352"/>
      <c r="AE33" s="352"/>
      <c r="AF33" s="352"/>
      <c r="AG33" s="352"/>
      <c r="AH33" s="352"/>
      <c r="AI33" s="462">
        <f>MAX(K19,O20)</f>
        <v>0</v>
      </c>
      <c r="AJ33" s="463"/>
      <c r="AK33" s="463"/>
      <c r="AL33" s="463"/>
      <c r="AM33" s="463"/>
      <c r="AN33" s="463"/>
      <c r="AO33" s="463"/>
      <c r="AP33" s="463"/>
      <c r="AQ33" s="410" t="s">
        <v>10</v>
      </c>
      <c r="AR33" s="410"/>
      <c r="AS33" s="410"/>
      <c r="AT33" s="410"/>
      <c r="AU33" s="357"/>
      <c r="AV33" s="357"/>
      <c r="AW33" s="357"/>
      <c r="AX33" s="357"/>
      <c r="AY33" s="357"/>
      <c r="AZ33" s="357"/>
      <c r="BA33" s="357"/>
      <c r="BB33" s="372"/>
      <c r="BC33" s="372"/>
      <c r="BD33" s="181"/>
      <c r="BE33" s="467"/>
      <c r="BF33" s="254">
        <f>BG33+BH33</f>
        <v>96.036000000000001</v>
      </c>
      <c r="BG33" s="158">
        <v>80.03</v>
      </c>
      <c r="BH33" s="272">
        <f>BG33*0.2</f>
        <v>16.006</v>
      </c>
      <c r="BI33" s="265" t="s">
        <v>324</v>
      </c>
      <c r="BJ33" s="96"/>
      <c r="BK33" s="268"/>
      <c r="BL33" s="98"/>
      <c r="BM33" s="96"/>
      <c r="BN33" s="96"/>
      <c r="BO33" s="96"/>
      <c r="BP33" s="96"/>
      <c r="BQ33" s="96"/>
      <c r="BR33" s="96"/>
      <c r="BS33" s="96"/>
      <c r="BT33" s="96"/>
      <c r="BU33" s="96"/>
    </row>
    <row r="34" spans="1:73" s="17" customFormat="1" ht="8.15" customHeight="1" x14ac:dyDescent="0.25">
      <c r="A34" s="332"/>
      <c r="B34" s="333"/>
      <c r="C34" s="333"/>
      <c r="D34" s="333"/>
      <c r="E34" s="333"/>
      <c r="F34" s="333"/>
      <c r="G34" s="333"/>
      <c r="H34" s="333"/>
      <c r="I34" s="333"/>
      <c r="J34" s="333"/>
      <c r="K34" s="333"/>
      <c r="L34" s="333"/>
      <c r="M34" s="333"/>
      <c r="N34" s="333"/>
      <c r="O34" s="333"/>
      <c r="P34" s="333"/>
      <c r="Q34" s="333"/>
      <c r="R34" s="333"/>
      <c r="S34" s="333"/>
      <c r="T34" s="333"/>
      <c r="U34" s="333"/>
      <c r="V34" s="333"/>
      <c r="W34" s="333"/>
      <c r="X34" s="333"/>
      <c r="Y34" s="333"/>
      <c r="Z34" s="333"/>
      <c r="AA34" s="333"/>
      <c r="AB34" s="333"/>
      <c r="AC34" s="333"/>
      <c r="AD34" s="333"/>
      <c r="AE34" s="333"/>
      <c r="AF34" s="333"/>
      <c r="AG34" s="333"/>
      <c r="AH34" s="333"/>
      <c r="AI34" s="333"/>
      <c r="AJ34" s="333"/>
      <c r="AK34" s="333"/>
      <c r="AL34" s="333"/>
      <c r="AM34" s="333"/>
      <c r="AN34" s="333"/>
      <c r="AO34" s="333"/>
      <c r="AP34" s="333"/>
      <c r="AQ34" s="333"/>
      <c r="AR34" s="333"/>
      <c r="AS34" s="333"/>
      <c r="AT34" s="333"/>
      <c r="AU34" s="333"/>
      <c r="AV34" s="333"/>
      <c r="AW34" s="333"/>
      <c r="AX34" s="333"/>
      <c r="AY34" s="333"/>
      <c r="AZ34" s="333"/>
      <c r="BA34" s="333"/>
      <c r="BB34" s="333"/>
      <c r="BC34" s="333"/>
      <c r="BD34" s="333"/>
      <c r="BE34" s="334"/>
      <c r="BF34" s="96"/>
      <c r="BG34" s="96"/>
      <c r="BH34" s="96"/>
      <c r="BI34" s="96"/>
      <c r="BJ34" s="96"/>
      <c r="BK34" s="268"/>
      <c r="BL34" s="96"/>
      <c r="BM34" s="96"/>
      <c r="BN34" s="96"/>
      <c r="BO34" s="96"/>
      <c r="BP34" s="96"/>
      <c r="BQ34" s="96"/>
      <c r="BR34" s="96"/>
      <c r="BS34" s="96"/>
      <c r="BT34" s="96"/>
      <c r="BU34" s="96"/>
    </row>
    <row r="35" spans="1:73" s="17" customFormat="1" ht="15" customHeight="1" x14ac:dyDescent="0.25">
      <c r="A35" s="318" t="str">
        <f>Textes!A41</f>
        <v>DANGEREUX</v>
      </c>
      <c r="B35" s="319"/>
      <c r="C35" s="319"/>
      <c r="D35" s="319"/>
      <c r="E35" s="319"/>
      <c r="F35" s="319"/>
      <c r="G35" s="319"/>
      <c r="H35" s="319"/>
      <c r="I35" s="319"/>
      <c r="J35" s="319"/>
      <c r="K35" s="319"/>
      <c r="L35" s="326" t="str">
        <f>Textes!A42</f>
        <v>Taxe sur produits dangereux :</v>
      </c>
      <c r="M35" s="326"/>
      <c r="N35" s="326"/>
      <c r="O35" s="326"/>
      <c r="P35" s="326"/>
      <c r="Q35" s="326"/>
      <c r="R35" s="326"/>
      <c r="S35" s="326"/>
      <c r="T35" s="326"/>
      <c r="U35" s="326"/>
      <c r="V35" s="326"/>
      <c r="W35" s="326"/>
      <c r="X35" s="326"/>
      <c r="Y35" s="326"/>
      <c r="Z35" s="326"/>
      <c r="AA35" s="326"/>
      <c r="AB35" s="362"/>
      <c r="AC35" s="362"/>
      <c r="AD35" s="362"/>
      <c r="AE35" s="362"/>
      <c r="AF35" s="362"/>
      <c r="AG35" s="362"/>
      <c r="AH35" s="362"/>
      <c r="AI35" s="362"/>
      <c r="AJ35" s="362"/>
      <c r="AK35" s="362"/>
      <c r="AL35" s="362"/>
      <c r="AM35" s="362"/>
      <c r="AN35" s="362"/>
      <c r="AO35" s="362"/>
      <c r="AP35" s="362"/>
      <c r="AQ35" s="362"/>
      <c r="AR35" s="362"/>
      <c r="AS35" s="362"/>
      <c r="AT35" s="362"/>
      <c r="AU35" s="357">
        <f>IF(AQ19=TRUE,BF35,0)</f>
        <v>0</v>
      </c>
      <c r="AV35" s="412"/>
      <c r="AW35" s="412"/>
      <c r="AX35" s="412"/>
      <c r="AY35" s="412"/>
      <c r="AZ35" s="412"/>
      <c r="BA35" s="412"/>
      <c r="BB35" s="372" t="s">
        <v>73</v>
      </c>
      <c r="BC35" s="372"/>
      <c r="BD35" s="181"/>
      <c r="BE35" s="304" t="s">
        <v>339</v>
      </c>
      <c r="BF35" s="158">
        <f>122.4+84</f>
        <v>206.4</v>
      </c>
      <c r="BG35" s="96"/>
      <c r="BH35" s="96"/>
      <c r="BI35" s="96"/>
      <c r="BJ35" s="267"/>
      <c r="BK35" s="268"/>
      <c r="BL35" s="96"/>
      <c r="BM35" s="96"/>
      <c r="BN35" s="96"/>
      <c r="BO35" s="96"/>
      <c r="BP35" s="96"/>
      <c r="BQ35" s="96"/>
      <c r="BR35" s="96"/>
      <c r="BS35" s="96"/>
      <c r="BT35" s="96"/>
      <c r="BU35" s="96"/>
    </row>
    <row r="36" spans="1:73" s="17" customFormat="1" ht="15" customHeight="1" x14ac:dyDescent="0.25">
      <c r="A36" s="347"/>
      <c r="B36" s="348"/>
      <c r="C36" s="348"/>
      <c r="D36" s="348"/>
      <c r="E36" s="348"/>
      <c r="F36" s="348"/>
      <c r="G36" s="348"/>
      <c r="H36" s="348"/>
      <c r="I36" s="348"/>
      <c r="J36" s="348"/>
      <c r="K36" s="348"/>
      <c r="L36" s="360" t="str">
        <f>Textes!A43</f>
        <v xml:space="preserve">Etablissement déclaration DG : </v>
      </c>
      <c r="M36" s="360"/>
      <c r="N36" s="360"/>
      <c r="O36" s="360"/>
      <c r="P36" s="360"/>
      <c r="Q36" s="360"/>
      <c r="R36" s="360"/>
      <c r="S36" s="360"/>
      <c r="T36" s="360"/>
      <c r="U36" s="360"/>
      <c r="V36" s="360"/>
      <c r="W36" s="360"/>
      <c r="X36" s="360"/>
      <c r="Y36" s="360"/>
      <c r="Z36" s="360"/>
      <c r="AA36" s="360"/>
      <c r="AB36" s="361" t="str">
        <f>Textes!A45</f>
        <v>Par vos soins</v>
      </c>
      <c r="AC36" s="361"/>
      <c r="AD36" s="361"/>
      <c r="AE36" s="361"/>
      <c r="AF36" s="361"/>
      <c r="AG36" s="361"/>
      <c r="AH36" s="361"/>
      <c r="AI36" s="361"/>
      <c r="AJ36" s="361"/>
      <c r="AK36" s="182">
        <v>1</v>
      </c>
      <c r="AL36" s="182" t="b">
        <v>0</v>
      </c>
      <c r="AM36" s="361" t="str">
        <f>Textes!A46</f>
        <v>Par Safram</v>
      </c>
      <c r="AN36" s="361"/>
      <c r="AO36" s="361"/>
      <c r="AP36" s="361"/>
      <c r="AQ36" s="361"/>
      <c r="AR36" s="361"/>
      <c r="AS36" s="361"/>
      <c r="AT36" s="361"/>
      <c r="AU36" s="355">
        <f>IF(AQ19=TRUE,IF(BD36=2,BF36,0),0)</f>
        <v>0</v>
      </c>
      <c r="AV36" s="355"/>
      <c r="AW36" s="355"/>
      <c r="AX36" s="355"/>
      <c r="AY36" s="355"/>
      <c r="AZ36" s="355"/>
      <c r="BA36" s="355"/>
      <c r="BB36" s="411" t="s">
        <v>73</v>
      </c>
      <c r="BC36" s="411"/>
      <c r="BD36" s="182">
        <v>1</v>
      </c>
      <c r="BE36" s="297"/>
      <c r="BF36" s="299">
        <v>95</v>
      </c>
      <c r="BG36" s="265" t="s">
        <v>289</v>
      </c>
      <c r="BH36" s="96"/>
      <c r="BI36" s="96"/>
      <c r="BJ36" s="267"/>
      <c r="BK36" s="268"/>
      <c r="BL36" s="96"/>
      <c r="BM36" s="96"/>
      <c r="BN36" s="96"/>
      <c r="BO36" s="96"/>
      <c r="BP36" s="96"/>
      <c r="BQ36" s="96"/>
      <c r="BR36" s="96"/>
      <c r="BS36" s="96"/>
      <c r="BT36" s="96"/>
      <c r="BU36" s="96"/>
    </row>
    <row r="37" spans="1:73" s="17" customFormat="1" ht="15" customHeight="1" x14ac:dyDescent="0.25">
      <c r="A37" s="320"/>
      <c r="B37" s="321"/>
      <c r="C37" s="321"/>
      <c r="D37" s="321"/>
      <c r="E37" s="321"/>
      <c r="F37" s="321"/>
      <c r="G37" s="321"/>
      <c r="H37" s="321"/>
      <c r="I37" s="321"/>
      <c r="J37" s="321"/>
      <c r="K37" s="321"/>
      <c r="L37" s="353" t="str">
        <f>Textes!A44</f>
        <v>Etiquettage DG :</v>
      </c>
      <c r="M37" s="353"/>
      <c r="N37" s="353"/>
      <c r="O37" s="353"/>
      <c r="P37" s="353"/>
      <c r="Q37" s="353"/>
      <c r="R37" s="353"/>
      <c r="S37" s="353"/>
      <c r="T37" s="353"/>
      <c r="U37" s="375" t="str">
        <f>Textes!A45</f>
        <v>Par vos soins</v>
      </c>
      <c r="V37" s="375"/>
      <c r="W37" s="375"/>
      <c r="X37" s="375"/>
      <c r="Y37" s="375"/>
      <c r="Z37" s="375"/>
      <c r="AA37" s="375"/>
      <c r="AB37" s="375"/>
      <c r="AC37" s="375"/>
      <c r="AD37" s="375"/>
      <c r="AE37" s="375"/>
      <c r="AF37" s="375"/>
      <c r="AG37" s="375"/>
      <c r="AH37" s="375"/>
      <c r="AI37" s="375"/>
      <c r="AJ37" s="375"/>
      <c r="AK37" s="275">
        <v>1</v>
      </c>
      <c r="AL37" s="275" t="b">
        <v>0</v>
      </c>
      <c r="AM37" s="375" t="str">
        <f>Textes!A46</f>
        <v>Par Safram</v>
      </c>
      <c r="AN37" s="375"/>
      <c r="AO37" s="375"/>
      <c r="AP37" s="375"/>
      <c r="AQ37" s="375"/>
      <c r="AR37" s="375"/>
      <c r="AS37" s="375"/>
      <c r="AT37" s="375"/>
      <c r="AU37" s="275">
        <v>1</v>
      </c>
      <c r="AV37" s="357">
        <f>IF(AQ19=TRUE,IF(AU37=2,BF37,0),0)</f>
        <v>0</v>
      </c>
      <c r="AW37" s="357"/>
      <c r="AX37" s="357"/>
      <c r="AY37" s="357"/>
      <c r="AZ37" s="357"/>
      <c r="BA37" s="357"/>
      <c r="BB37" s="372" t="s">
        <v>73</v>
      </c>
      <c r="BC37" s="372"/>
      <c r="BE37" s="300"/>
      <c r="BF37" s="299">
        <v>75</v>
      </c>
      <c r="BG37" s="314" t="s">
        <v>336</v>
      </c>
      <c r="BH37" s="314"/>
      <c r="BI37" s="96"/>
      <c r="BJ37" s="267"/>
      <c r="BK37" s="268"/>
      <c r="BL37" s="96"/>
      <c r="BM37" s="96"/>
      <c r="BN37" s="96"/>
      <c r="BO37" s="96"/>
      <c r="BP37" s="96"/>
      <c r="BQ37" s="96"/>
      <c r="BR37" s="96"/>
      <c r="BS37" s="96"/>
      <c r="BT37" s="96"/>
      <c r="BU37" s="96"/>
    </row>
    <row r="38" spans="1:73" s="17" customFormat="1" ht="10" customHeight="1" x14ac:dyDescent="0.25">
      <c r="A38" s="332"/>
      <c r="B38" s="333"/>
      <c r="C38" s="333"/>
      <c r="D38" s="333"/>
      <c r="E38" s="333"/>
      <c r="F38" s="333"/>
      <c r="G38" s="333"/>
      <c r="H38" s="333"/>
      <c r="I38" s="333"/>
      <c r="J38" s="333"/>
      <c r="K38" s="333"/>
      <c r="L38" s="333"/>
      <c r="M38" s="333"/>
      <c r="N38" s="333"/>
      <c r="O38" s="333"/>
      <c r="P38" s="333"/>
      <c r="Q38" s="333"/>
      <c r="R38" s="333"/>
      <c r="S38" s="333"/>
      <c r="T38" s="333"/>
      <c r="U38" s="333"/>
      <c r="V38" s="333"/>
      <c r="W38" s="333"/>
      <c r="X38" s="333"/>
      <c r="Y38" s="333"/>
      <c r="Z38" s="333"/>
      <c r="AA38" s="333"/>
      <c r="AB38" s="333"/>
      <c r="AC38" s="333"/>
      <c r="AD38" s="333"/>
      <c r="AE38" s="333"/>
      <c r="AF38" s="333"/>
      <c r="AG38" s="333"/>
      <c r="AH38" s="333"/>
      <c r="AI38" s="333"/>
      <c r="AJ38" s="333"/>
      <c r="AK38" s="333"/>
      <c r="AL38" s="333"/>
      <c r="AM38" s="333"/>
      <c r="AN38" s="333"/>
      <c r="AO38" s="333"/>
      <c r="AP38" s="333"/>
      <c r="AQ38" s="333"/>
      <c r="AR38" s="333"/>
      <c r="AS38" s="333"/>
      <c r="AT38" s="333"/>
      <c r="AU38" s="333"/>
      <c r="AV38" s="333"/>
      <c r="AW38" s="333"/>
      <c r="AX38" s="333"/>
      <c r="AY38" s="333"/>
      <c r="AZ38" s="333"/>
      <c r="BA38" s="333"/>
      <c r="BB38" s="333"/>
      <c r="BC38" s="333"/>
      <c r="BD38" s="333"/>
      <c r="BE38" s="334"/>
      <c r="BF38" s="96"/>
      <c r="BG38" s="314"/>
      <c r="BH38" s="314"/>
      <c r="BI38" s="96"/>
      <c r="BJ38" s="267"/>
      <c r="BK38" s="268"/>
      <c r="BL38" s="96"/>
      <c r="BM38" s="96"/>
      <c r="BN38" s="96"/>
      <c r="BO38" s="96"/>
      <c r="BP38" s="96"/>
      <c r="BQ38" s="96"/>
      <c r="BR38" s="96"/>
      <c r="BS38" s="96"/>
      <c r="BT38" s="96"/>
      <c r="BU38" s="96"/>
    </row>
    <row r="39" spans="1:73" s="17" customFormat="1" ht="15" customHeight="1" x14ac:dyDescent="0.3">
      <c r="A39" s="318" t="str">
        <f>Textes!A47</f>
        <v>ASSURANCE</v>
      </c>
      <c r="B39" s="319"/>
      <c r="C39" s="319"/>
      <c r="D39" s="319"/>
      <c r="E39" s="319"/>
      <c r="F39" s="319"/>
      <c r="G39" s="319"/>
      <c r="H39" s="319"/>
      <c r="I39" s="319"/>
      <c r="J39" s="319"/>
      <c r="K39" s="319"/>
      <c r="L39" s="352" t="str">
        <f>Textes!A48</f>
        <v>Assurance, frais de gestion* :</v>
      </c>
      <c r="M39" s="352"/>
      <c r="N39" s="352"/>
      <c r="O39" s="352"/>
      <c r="P39" s="352"/>
      <c r="Q39" s="352"/>
      <c r="R39" s="352"/>
      <c r="S39" s="352"/>
      <c r="T39" s="352"/>
      <c r="U39" s="352"/>
      <c r="V39" s="352"/>
      <c r="W39" s="352"/>
      <c r="X39" s="352"/>
      <c r="Y39" s="352"/>
      <c r="Z39" s="352"/>
      <c r="AA39" s="352"/>
      <c r="AB39" s="382" t="b">
        <v>0</v>
      </c>
      <c r="AC39" s="382"/>
      <c r="AD39" s="382"/>
      <c r="AE39" s="382"/>
      <c r="AF39" s="382"/>
      <c r="AG39" s="382"/>
      <c r="AH39" s="382"/>
      <c r="AI39" s="362" t="str">
        <f>IF(AB39=TRUE,Textes!A26,Textes!B26)</f>
        <v>NON</v>
      </c>
      <c r="AJ39" s="362"/>
      <c r="AK39" s="362"/>
      <c r="AL39" s="362"/>
      <c r="AM39" s="362"/>
      <c r="AN39" s="362"/>
      <c r="AO39" s="362"/>
      <c r="AP39" s="362"/>
      <c r="AQ39" s="362"/>
      <c r="AR39" s="362"/>
      <c r="AS39" s="362"/>
      <c r="AT39" s="362"/>
      <c r="AU39" s="357"/>
      <c r="AV39" s="357"/>
      <c r="AW39" s="357"/>
      <c r="AX39" s="357"/>
      <c r="AY39" s="357"/>
      <c r="AZ39" s="357"/>
      <c r="BA39" s="357"/>
      <c r="BB39" s="362"/>
      <c r="BC39" s="362"/>
      <c r="BD39" s="362"/>
      <c r="BE39" s="381"/>
      <c r="BF39" s="96"/>
      <c r="BG39" s="96"/>
      <c r="BH39" s="96"/>
      <c r="BI39" s="96"/>
      <c r="BJ39" s="267"/>
      <c r="BK39" s="268"/>
      <c r="BL39" s="96"/>
      <c r="BM39" s="96"/>
      <c r="BN39" s="96"/>
      <c r="BO39" s="96"/>
      <c r="BP39" s="102"/>
      <c r="BQ39" s="102"/>
      <c r="BR39" s="102"/>
      <c r="BS39" s="102"/>
      <c r="BT39" s="102"/>
      <c r="BU39" s="102"/>
    </row>
    <row r="40" spans="1:73" s="17" customFormat="1" ht="15" customHeight="1" x14ac:dyDescent="0.25">
      <c r="A40" s="320"/>
      <c r="B40" s="321"/>
      <c r="C40" s="321"/>
      <c r="D40" s="321"/>
      <c r="E40" s="321"/>
      <c r="F40" s="321"/>
      <c r="G40" s="321"/>
      <c r="H40" s="321"/>
      <c r="I40" s="321"/>
      <c r="J40" s="321"/>
      <c r="K40" s="321"/>
      <c r="L40" s="311" t="str">
        <f>Textes!A49</f>
        <v>Valeur marchandise :</v>
      </c>
      <c r="M40" s="311"/>
      <c r="N40" s="311"/>
      <c r="O40" s="311"/>
      <c r="P40" s="311"/>
      <c r="Q40" s="311"/>
      <c r="R40" s="311"/>
      <c r="S40" s="311"/>
      <c r="T40" s="311"/>
      <c r="U40" s="311"/>
      <c r="V40" s="311"/>
      <c r="W40" s="370"/>
      <c r="X40" s="367"/>
      <c r="Y40" s="368"/>
      <c r="Z40" s="368"/>
      <c r="AA40" s="368"/>
      <c r="AB40" s="368"/>
      <c r="AC40" s="368"/>
      <c r="AD40" s="368"/>
      <c r="AE40" s="368"/>
      <c r="AF40" s="369"/>
      <c r="AG40" s="333" t="str">
        <f>Textes!A50</f>
        <v>Taux :</v>
      </c>
      <c r="AH40" s="333"/>
      <c r="AI40" s="333"/>
      <c r="AJ40" s="334"/>
      <c r="AK40" s="378">
        <v>3.5000000000000001E-3</v>
      </c>
      <c r="AL40" s="379"/>
      <c r="AM40" s="379"/>
      <c r="AN40" s="379"/>
      <c r="AO40" s="380"/>
      <c r="AP40" s="376">
        <f>IF(AND((BF40*AK40)&lt;20,(BF40*AK40)&gt;0),20,BF40*AK40)</f>
        <v>20</v>
      </c>
      <c r="AQ40" s="377"/>
      <c r="AR40" s="377"/>
      <c r="AS40" s="377"/>
      <c r="AT40" s="377"/>
      <c r="AU40" s="355">
        <f>IF(AB39=TRUE,AP40,0)</f>
        <v>0</v>
      </c>
      <c r="AV40" s="356"/>
      <c r="AW40" s="356"/>
      <c r="AX40" s="356"/>
      <c r="AY40" s="356"/>
      <c r="AZ40" s="356"/>
      <c r="BA40" s="356"/>
      <c r="BB40" s="385" t="s">
        <v>73</v>
      </c>
      <c r="BC40" s="385"/>
      <c r="BD40" s="295"/>
      <c r="BE40" s="296"/>
      <c r="BF40" s="271">
        <f>(X40+AU26+AU27+AU31+AU50)*1.1</f>
        <v>105.63960000000002</v>
      </c>
      <c r="BG40" s="96"/>
      <c r="BH40" s="96"/>
      <c r="BI40" s="96"/>
      <c r="BJ40" s="267"/>
      <c r="BK40" s="268"/>
      <c r="BL40" s="96"/>
      <c r="BM40" s="96"/>
      <c r="BN40" s="96"/>
      <c r="BO40" s="216"/>
      <c r="BP40" s="96"/>
      <c r="BQ40" s="96"/>
      <c r="BR40" s="96"/>
      <c r="BS40" s="96"/>
      <c r="BT40" s="96"/>
      <c r="BU40" s="96"/>
    </row>
    <row r="41" spans="1:73" s="17" customFormat="1" ht="10" customHeight="1" x14ac:dyDescent="0.25">
      <c r="A41" s="332"/>
      <c r="B41" s="333"/>
      <c r="C41" s="333"/>
      <c r="D41" s="333"/>
      <c r="E41" s="333"/>
      <c r="F41" s="333"/>
      <c r="G41" s="333"/>
      <c r="H41" s="333"/>
      <c r="I41" s="333"/>
      <c r="J41" s="333"/>
      <c r="K41" s="333"/>
      <c r="L41" s="333"/>
      <c r="M41" s="333"/>
      <c r="N41" s="333"/>
      <c r="O41" s="333"/>
      <c r="P41" s="333"/>
      <c r="Q41" s="333"/>
      <c r="R41" s="333"/>
      <c r="S41" s="333"/>
      <c r="T41" s="333"/>
      <c r="U41" s="333"/>
      <c r="V41" s="333"/>
      <c r="W41" s="333"/>
      <c r="X41" s="333"/>
      <c r="Y41" s="333"/>
      <c r="Z41" s="333"/>
      <c r="AA41" s="333"/>
      <c r="AB41" s="333"/>
      <c r="AC41" s="333"/>
      <c r="AD41" s="333"/>
      <c r="AE41" s="333"/>
      <c r="AF41" s="333"/>
      <c r="AG41" s="333"/>
      <c r="AH41" s="333"/>
      <c r="AI41" s="333"/>
      <c r="AJ41" s="333"/>
      <c r="AK41" s="333"/>
      <c r="AL41" s="333"/>
      <c r="AM41" s="333"/>
      <c r="AN41" s="333"/>
      <c r="AO41" s="333"/>
      <c r="AP41" s="333"/>
      <c r="AQ41" s="333"/>
      <c r="AR41" s="333"/>
      <c r="AS41" s="333"/>
      <c r="AT41" s="333"/>
      <c r="AU41" s="333"/>
      <c r="AV41" s="333"/>
      <c r="AW41" s="333"/>
      <c r="AX41" s="333"/>
      <c r="AY41" s="333"/>
      <c r="AZ41" s="333"/>
      <c r="BA41" s="333"/>
      <c r="BB41" s="333"/>
      <c r="BC41" s="333"/>
      <c r="BD41" s="333"/>
      <c r="BE41" s="334"/>
      <c r="BF41" s="96"/>
      <c r="BG41" s="96"/>
      <c r="BH41" s="96"/>
      <c r="BI41" s="96"/>
      <c r="BJ41" s="267"/>
      <c r="BK41" s="268"/>
      <c r="BL41" s="96"/>
      <c r="BM41" s="96"/>
      <c r="BN41" s="96"/>
      <c r="BO41" s="216"/>
      <c r="BP41" s="96"/>
      <c r="BQ41" s="96"/>
      <c r="BR41" s="96"/>
      <c r="BS41" s="96"/>
      <c r="BT41" s="96"/>
      <c r="BU41" s="96"/>
    </row>
    <row r="42" spans="1:73" s="17" customFormat="1" ht="15" customHeight="1" x14ac:dyDescent="0.25">
      <c r="A42" s="318" t="str">
        <f>Textes!A51</f>
        <v>AUTRES FRAIS</v>
      </c>
      <c r="B42" s="319"/>
      <c r="C42" s="319"/>
      <c r="D42" s="319"/>
      <c r="E42" s="319"/>
      <c r="F42" s="319"/>
      <c r="G42" s="319"/>
      <c r="H42" s="319"/>
      <c r="I42" s="319"/>
      <c r="J42" s="319"/>
      <c r="K42" s="319"/>
      <c r="L42" s="326" t="str">
        <f>Textes!A52</f>
        <v>Taxe LTA :</v>
      </c>
      <c r="M42" s="326"/>
      <c r="N42" s="326"/>
      <c r="O42" s="326"/>
      <c r="P42" s="326"/>
      <c r="Q42" s="326"/>
      <c r="R42" s="326"/>
      <c r="S42" s="326"/>
      <c r="T42" s="326"/>
      <c r="U42" s="326"/>
      <c r="V42" s="326"/>
      <c r="W42" s="326"/>
      <c r="X42" s="326"/>
      <c r="Y42" s="326"/>
      <c r="Z42" s="326"/>
      <c r="AA42" s="326"/>
      <c r="AB42" s="326"/>
      <c r="AC42" s="326"/>
      <c r="AD42" s="326"/>
      <c r="AE42" s="326"/>
      <c r="AF42" s="326"/>
      <c r="AG42" s="326"/>
      <c r="AH42" s="326"/>
      <c r="AI42" s="326"/>
      <c r="AJ42" s="326"/>
      <c r="AK42" s="326"/>
      <c r="AL42" s="326"/>
      <c r="AM42" s="326"/>
      <c r="AN42" s="326"/>
      <c r="AO42" s="326"/>
      <c r="AP42" s="326"/>
      <c r="AQ42" s="326"/>
      <c r="AR42" s="326"/>
      <c r="AS42" s="326"/>
      <c r="AT42" s="326"/>
      <c r="AU42" s="357">
        <f>BF42</f>
        <v>31.3</v>
      </c>
      <c r="AV42" s="358"/>
      <c r="AW42" s="358"/>
      <c r="AX42" s="358"/>
      <c r="AY42" s="358"/>
      <c r="AZ42" s="358"/>
      <c r="BA42" s="358"/>
      <c r="BB42" s="372" t="s">
        <v>73</v>
      </c>
      <c r="BC42" s="372"/>
      <c r="BD42" s="298"/>
      <c r="BE42" s="304" t="s">
        <v>340</v>
      </c>
      <c r="BF42" s="158">
        <v>31.3</v>
      </c>
      <c r="BG42" s="96"/>
      <c r="BH42" s="96"/>
      <c r="BI42" s="96"/>
      <c r="BJ42" s="267"/>
      <c r="BK42" s="268"/>
      <c r="BL42" s="96"/>
      <c r="BM42" s="96"/>
      <c r="BN42" s="96"/>
      <c r="BO42" s="216"/>
      <c r="BP42" s="96"/>
      <c r="BQ42" s="96"/>
      <c r="BR42" s="96"/>
      <c r="BS42" s="96"/>
      <c r="BT42" s="96"/>
      <c r="BU42" s="96"/>
    </row>
    <row r="43" spans="1:73" s="17" customFormat="1" ht="15" customHeight="1" x14ac:dyDescent="0.25">
      <c r="A43" s="320"/>
      <c r="B43" s="321"/>
      <c r="C43" s="321"/>
      <c r="D43" s="321"/>
      <c r="E43" s="321"/>
      <c r="F43" s="321"/>
      <c r="G43" s="321"/>
      <c r="H43" s="321"/>
      <c r="I43" s="321"/>
      <c r="J43" s="321"/>
      <c r="K43" s="321"/>
      <c r="L43" s="311" t="str">
        <f>Textes!A53</f>
        <v>Taxe de sûreté :</v>
      </c>
      <c r="M43" s="311"/>
      <c r="N43" s="311"/>
      <c r="O43" s="311"/>
      <c r="P43" s="311"/>
      <c r="Q43" s="311"/>
      <c r="R43" s="311"/>
      <c r="S43" s="311"/>
      <c r="T43" s="311"/>
      <c r="U43" s="311"/>
      <c r="V43" s="311"/>
      <c r="W43" s="311"/>
      <c r="X43" s="311"/>
      <c r="Y43" s="311"/>
      <c r="Z43" s="311"/>
      <c r="AA43" s="311"/>
      <c r="AB43" s="311"/>
      <c r="AC43" s="311"/>
      <c r="AD43" s="311"/>
      <c r="AE43" s="311"/>
      <c r="AF43" s="311"/>
      <c r="AG43" s="311"/>
      <c r="AH43" s="311"/>
      <c r="AI43" s="311"/>
      <c r="AJ43" s="311"/>
      <c r="AK43" s="311"/>
      <c r="AL43" s="311"/>
      <c r="AM43" s="311"/>
      <c r="AN43" s="311"/>
      <c r="AO43" s="311"/>
      <c r="AP43" s="311"/>
      <c r="AQ43" s="311"/>
      <c r="AR43" s="311"/>
      <c r="AS43" s="311"/>
      <c r="AT43" s="311"/>
      <c r="AU43" s="359">
        <f>IF($K$16*BF43&lt;BG43,BG43,IF($K$16*BF43&gt;BH43,BH43,$K$16*BF43))</f>
        <v>32</v>
      </c>
      <c r="AV43" s="358"/>
      <c r="AW43" s="358"/>
      <c r="AX43" s="358"/>
      <c r="AY43" s="358"/>
      <c r="AZ43" s="358"/>
      <c r="BA43" s="358"/>
      <c r="BB43" s="385" t="s">
        <v>73</v>
      </c>
      <c r="BC43" s="385"/>
      <c r="BD43" s="295"/>
      <c r="BE43" s="305" t="s">
        <v>341</v>
      </c>
      <c r="BF43" s="106">
        <v>0.154</v>
      </c>
      <c r="BG43" s="106">
        <v>32</v>
      </c>
      <c r="BH43" s="106">
        <v>390</v>
      </c>
      <c r="BI43" s="265" t="s">
        <v>310</v>
      </c>
      <c r="BJ43" s="267"/>
      <c r="BK43" s="268"/>
      <c r="BL43" s="96"/>
      <c r="BM43" s="96"/>
      <c r="BN43" s="96"/>
      <c r="BO43" s="216"/>
      <c r="BP43" s="96"/>
      <c r="BQ43" s="96"/>
      <c r="BR43" s="96"/>
      <c r="BS43" s="96"/>
      <c r="BT43" s="96"/>
      <c r="BU43" s="96"/>
    </row>
    <row r="44" spans="1:73" s="17" customFormat="1" ht="15" customHeight="1" x14ac:dyDescent="0.25">
      <c r="A44" s="320"/>
      <c r="B44" s="321"/>
      <c r="C44" s="321"/>
      <c r="D44" s="321"/>
      <c r="E44" s="321"/>
      <c r="F44" s="321"/>
      <c r="G44" s="321"/>
      <c r="H44" s="321"/>
      <c r="I44" s="321"/>
      <c r="J44" s="321"/>
      <c r="K44" s="321"/>
      <c r="L44" s="326" t="str">
        <f>Textes!A55</f>
        <v>Surcharge Fuel :</v>
      </c>
      <c r="M44" s="326"/>
      <c r="N44" s="326"/>
      <c r="O44" s="326"/>
      <c r="P44" s="326"/>
      <c r="Q44" s="326"/>
      <c r="R44" s="326"/>
      <c r="S44" s="326"/>
      <c r="T44" s="326"/>
      <c r="U44" s="326"/>
      <c r="V44" s="326"/>
      <c r="W44" s="326"/>
      <c r="X44" s="326"/>
      <c r="Y44" s="326"/>
      <c r="Z44" s="326"/>
      <c r="AA44" s="326"/>
      <c r="AB44" s="326"/>
      <c r="AC44" s="326"/>
      <c r="AD44" s="326"/>
      <c r="AE44" s="326"/>
      <c r="AF44" s="326"/>
      <c r="AG44" s="326"/>
      <c r="AH44" s="326"/>
      <c r="AI44" s="326"/>
      <c r="AJ44" s="326"/>
      <c r="AK44" s="326"/>
      <c r="AL44" s="326"/>
      <c r="AM44" s="326"/>
      <c r="AN44" s="326"/>
      <c r="AO44" s="326"/>
      <c r="AP44" s="326"/>
      <c r="AQ44" s="326"/>
      <c r="AR44" s="326"/>
      <c r="AS44" s="326"/>
      <c r="AT44" s="326"/>
      <c r="AU44" s="357">
        <f>K19*BF44</f>
        <v>0</v>
      </c>
      <c r="AV44" s="358"/>
      <c r="AW44" s="358"/>
      <c r="AX44" s="358"/>
      <c r="AY44" s="358"/>
      <c r="AZ44" s="358"/>
      <c r="BA44" s="358"/>
      <c r="BB44" s="372" t="s">
        <v>73</v>
      </c>
      <c r="BC44" s="372"/>
      <c r="BD44" s="298"/>
      <c r="BE44" s="304" t="s">
        <v>342</v>
      </c>
      <c r="BF44" s="106"/>
      <c r="BG44" s="265" t="s">
        <v>311</v>
      </c>
      <c r="BH44" s="96"/>
      <c r="BI44" s="265"/>
      <c r="BJ44" s="267"/>
      <c r="BK44" s="270"/>
      <c r="BL44" s="96"/>
      <c r="BM44" s="96"/>
      <c r="BN44" s="96"/>
      <c r="BO44" s="216"/>
      <c r="BP44" s="96"/>
      <c r="BQ44" s="96"/>
      <c r="BR44" s="96"/>
      <c r="BS44" s="96"/>
      <c r="BT44" s="96"/>
      <c r="BU44" s="96"/>
    </row>
    <row r="45" spans="1:73" s="17" customFormat="1" ht="15" customHeight="1" x14ac:dyDescent="0.25">
      <c r="A45" s="320"/>
      <c r="B45" s="321"/>
      <c r="C45" s="321"/>
      <c r="D45" s="321"/>
      <c r="E45" s="321"/>
      <c r="F45" s="321"/>
      <c r="G45" s="321"/>
      <c r="H45" s="321"/>
      <c r="I45" s="321"/>
      <c r="J45" s="321"/>
      <c r="K45" s="321"/>
      <c r="L45" s="311" t="str">
        <f>Textes!A54</f>
        <v>Insurance &amp; Risk Charges (IRC):</v>
      </c>
      <c r="M45" s="311"/>
      <c r="N45" s="311"/>
      <c r="O45" s="311"/>
      <c r="P45" s="311"/>
      <c r="Q45" s="311"/>
      <c r="R45" s="311"/>
      <c r="S45" s="311"/>
      <c r="T45" s="311"/>
      <c r="U45" s="311"/>
      <c r="V45" s="311"/>
      <c r="W45" s="311"/>
      <c r="X45" s="311"/>
      <c r="Y45" s="311"/>
      <c r="Z45" s="311"/>
      <c r="AA45" s="311"/>
      <c r="AB45" s="311"/>
      <c r="AC45" s="311"/>
      <c r="AD45" s="311"/>
      <c r="AE45" s="311"/>
      <c r="AF45" s="311"/>
      <c r="AG45" s="311"/>
      <c r="AH45" s="311"/>
      <c r="AI45" s="311"/>
      <c r="AJ45" s="311"/>
      <c r="AK45" s="311"/>
      <c r="AL45" s="311"/>
      <c r="AM45" s="311"/>
      <c r="AN45" s="311"/>
      <c r="AO45" s="311"/>
      <c r="AP45" s="311"/>
      <c r="AQ45" s="311"/>
      <c r="AR45" s="311"/>
      <c r="AS45" s="311"/>
      <c r="AT45" s="311"/>
      <c r="AU45" s="359">
        <f>K19*BF45</f>
        <v>0</v>
      </c>
      <c r="AV45" s="358"/>
      <c r="AW45" s="358"/>
      <c r="AX45" s="358"/>
      <c r="AY45" s="358"/>
      <c r="AZ45" s="358"/>
      <c r="BA45" s="358"/>
      <c r="BB45" s="385" t="s">
        <v>73</v>
      </c>
      <c r="BC45" s="385"/>
      <c r="BD45" s="295"/>
      <c r="BE45" s="305" t="s">
        <v>343</v>
      </c>
      <c r="BF45" s="106"/>
      <c r="BG45" s="265" t="s">
        <v>311</v>
      </c>
      <c r="BH45" s="96"/>
      <c r="BI45" s="265"/>
      <c r="BJ45" s="267"/>
      <c r="BK45" s="270"/>
      <c r="BL45" s="96"/>
      <c r="BM45" s="96"/>
      <c r="BN45" s="96"/>
      <c r="BO45" s="216"/>
      <c r="BP45" s="96"/>
      <c r="BQ45" s="96"/>
      <c r="BR45" s="96"/>
      <c r="BS45" s="96"/>
      <c r="BT45" s="96"/>
      <c r="BU45" s="96"/>
    </row>
    <row r="46" spans="1:73" s="17" customFormat="1" ht="25" customHeight="1" x14ac:dyDescent="0.25">
      <c r="A46" s="320"/>
      <c r="B46" s="321"/>
      <c r="C46" s="321"/>
      <c r="D46" s="321"/>
      <c r="E46" s="321"/>
      <c r="F46" s="321"/>
      <c r="G46" s="321"/>
      <c r="H46" s="321"/>
      <c r="I46" s="321"/>
      <c r="J46" s="321"/>
      <c r="K46" s="321"/>
      <c r="L46" s="312" t="str">
        <f>Textes!A56</f>
        <v>Frais de sécurisation  
(RAS Cargo ou Brigade Cynotechnique)</v>
      </c>
      <c r="M46" s="312"/>
      <c r="N46" s="312"/>
      <c r="O46" s="312"/>
      <c r="P46" s="312"/>
      <c r="Q46" s="312"/>
      <c r="R46" s="312"/>
      <c r="S46" s="312"/>
      <c r="T46" s="312"/>
      <c r="U46" s="312"/>
      <c r="V46" s="312"/>
      <c r="W46" s="312"/>
      <c r="X46" s="312"/>
      <c r="Y46" s="312"/>
      <c r="Z46" s="312"/>
      <c r="AA46" s="312"/>
      <c r="AB46" s="312"/>
      <c r="AC46" s="312"/>
      <c r="AD46" s="312"/>
      <c r="AE46" s="312"/>
      <c r="AF46" s="312"/>
      <c r="AG46" s="312"/>
      <c r="AH46" s="312"/>
      <c r="AI46" s="372" t="str">
        <f>IF(Calculs!H26,Textes!A26,Textes!B26)</f>
        <v>NON</v>
      </c>
      <c r="AJ46" s="372"/>
      <c r="AK46" s="372"/>
      <c r="AL46" s="372"/>
      <c r="AM46" s="372"/>
      <c r="AN46" s="372"/>
      <c r="AO46" s="372"/>
      <c r="AP46" s="372"/>
      <c r="AQ46" s="372"/>
      <c r="AR46" s="372"/>
      <c r="AS46" s="372"/>
      <c r="AT46" s="372"/>
      <c r="AU46" s="438">
        <f>IF(Calculs!H26,IF($K$16*BF46&lt;BG46,BG46,IF($K$16*BF46&gt;BH46,BH46,$K$16*BF46)),0)</f>
        <v>0</v>
      </c>
      <c r="AV46" s="358"/>
      <c r="AW46" s="358"/>
      <c r="AX46" s="358"/>
      <c r="AY46" s="358"/>
      <c r="AZ46" s="358"/>
      <c r="BA46" s="358"/>
      <c r="BB46" s="372" t="s">
        <v>73</v>
      </c>
      <c r="BC46" s="372"/>
      <c r="BD46" s="298"/>
      <c r="BE46" s="304" t="s">
        <v>344</v>
      </c>
      <c r="BF46" s="106">
        <v>0.22500000000000001</v>
      </c>
      <c r="BG46" s="106">
        <v>80.8</v>
      </c>
      <c r="BH46" s="106">
        <v>751</v>
      </c>
      <c r="BI46" s="265" t="s">
        <v>310</v>
      </c>
      <c r="BJ46" s="267"/>
      <c r="BK46" s="270"/>
      <c r="BL46" s="96"/>
      <c r="BM46" s="96"/>
      <c r="BN46" s="96"/>
      <c r="BO46" s="216"/>
      <c r="BP46" s="96"/>
      <c r="BQ46" s="96"/>
      <c r="BR46" s="96"/>
      <c r="BS46" s="96"/>
      <c r="BT46" s="96"/>
      <c r="BU46" s="96"/>
    </row>
    <row r="47" spans="1:73" s="17" customFormat="1" ht="15" customHeight="1" x14ac:dyDescent="0.25">
      <c r="A47" s="320"/>
      <c r="B47" s="321"/>
      <c r="C47" s="321"/>
      <c r="D47" s="321"/>
      <c r="E47" s="321"/>
      <c r="F47" s="321"/>
      <c r="G47" s="321"/>
      <c r="H47" s="321"/>
      <c r="I47" s="321"/>
      <c r="J47" s="321"/>
      <c r="K47" s="321"/>
      <c r="L47" s="311" t="str">
        <f>Textes!A57</f>
        <v>Frais d'apurement ECS</v>
      </c>
      <c r="M47" s="311"/>
      <c r="N47" s="311"/>
      <c r="O47" s="311"/>
      <c r="P47" s="311"/>
      <c r="Q47" s="311"/>
      <c r="R47" s="311"/>
      <c r="S47" s="311"/>
      <c r="T47" s="311"/>
      <c r="U47" s="311"/>
      <c r="V47" s="311"/>
      <c r="W47" s="311"/>
      <c r="X47" s="311"/>
      <c r="Y47" s="311"/>
      <c r="Z47" s="311"/>
      <c r="AA47" s="311"/>
      <c r="AB47" s="311"/>
      <c r="AC47" s="311"/>
      <c r="AD47" s="311"/>
      <c r="AE47" s="311"/>
      <c r="AF47" s="311"/>
      <c r="AG47" s="311"/>
      <c r="AH47" s="311"/>
      <c r="AI47" s="311"/>
      <c r="AJ47" s="311"/>
      <c r="AK47" s="311"/>
      <c r="AL47" s="311"/>
      <c r="AM47" s="311"/>
      <c r="AN47" s="311"/>
      <c r="AO47" s="311"/>
      <c r="AP47" s="311"/>
      <c r="AQ47" s="311"/>
      <c r="AR47" s="311"/>
      <c r="AS47" s="311"/>
      <c r="AT47" s="311"/>
      <c r="AU47" s="315">
        <f>BF47*BG47</f>
        <v>6.5</v>
      </c>
      <c r="AV47" s="316"/>
      <c r="AW47" s="316"/>
      <c r="AX47" s="316"/>
      <c r="AY47" s="316"/>
      <c r="AZ47" s="316"/>
      <c r="BA47" s="316"/>
      <c r="BB47" s="385" t="s">
        <v>73</v>
      </c>
      <c r="BC47" s="385"/>
      <c r="BD47" s="295"/>
      <c r="BE47" s="305" t="s">
        <v>345</v>
      </c>
      <c r="BF47" s="158">
        <v>6.5</v>
      </c>
      <c r="BG47" s="307">
        <v>1</v>
      </c>
      <c r="BH47" s="265" t="s">
        <v>328</v>
      </c>
      <c r="BI47" s="265"/>
      <c r="BJ47" s="267" t="str">
        <f>'Frais annexes'!C35</f>
        <v>ECS</v>
      </c>
      <c r="BK47" s="269" t="e">
        <f>'Frais annexes'!E35</f>
        <v>#N/A</v>
      </c>
      <c r="BL47" s="96"/>
      <c r="BM47" s="96"/>
      <c r="BN47" s="96"/>
      <c r="BO47" s="216"/>
      <c r="BP47" s="96"/>
      <c r="BQ47" s="96"/>
      <c r="BR47" s="96"/>
      <c r="BS47" s="96"/>
      <c r="BT47" s="96"/>
      <c r="BU47" s="96"/>
    </row>
    <row r="48" spans="1:73" s="17" customFormat="1" ht="15" customHeight="1" x14ac:dyDescent="0.25">
      <c r="A48" s="320"/>
      <c r="B48" s="321"/>
      <c r="C48" s="321"/>
      <c r="D48" s="321"/>
      <c r="E48" s="321"/>
      <c r="F48" s="321"/>
      <c r="G48" s="321"/>
      <c r="H48" s="321"/>
      <c r="I48" s="321"/>
      <c r="J48" s="321"/>
      <c r="K48" s="321"/>
      <c r="L48" s="353" t="str">
        <f>Textes!A60</f>
        <v>Frais aériens annexes :</v>
      </c>
      <c r="M48" s="353"/>
      <c r="N48" s="353"/>
      <c r="O48" s="353"/>
      <c r="P48" s="353"/>
      <c r="Q48" s="353"/>
      <c r="R48" s="353"/>
      <c r="S48" s="353"/>
      <c r="T48" s="353"/>
      <c r="U48" s="353"/>
      <c r="V48" s="353"/>
      <c r="W48" s="353"/>
      <c r="X48" s="353"/>
      <c r="Y48" s="353"/>
      <c r="Z48" s="353"/>
      <c r="AA48" s="353"/>
      <c r="AB48" s="353"/>
      <c r="AC48" s="353"/>
      <c r="AD48" s="353"/>
      <c r="AE48" s="353"/>
      <c r="AF48" s="353"/>
      <c r="AG48" s="353"/>
      <c r="AH48" s="353"/>
      <c r="AI48" s="353"/>
      <c r="AJ48" s="353"/>
      <c r="AK48" s="353"/>
      <c r="AL48" s="353"/>
      <c r="AM48" s="353"/>
      <c r="AN48" s="353"/>
      <c r="AO48" s="353"/>
      <c r="AP48" s="353"/>
      <c r="AQ48" s="353"/>
      <c r="AR48" s="353"/>
      <c r="AS48" s="353"/>
      <c r="AT48" s="353"/>
      <c r="AU48" s="357">
        <f>IF(K19&gt;500,BG48,BF48)</f>
        <v>48.7</v>
      </c>
      <c r="AV48" s="366"/>
      <c r="AW48" s="366"/>
      <c r="AX48" s="366"/>
      <c r="AY48" s="366"/>
      <c r="AZ48" s="366"/>
      <c r="BA48" s="366"/>
      <c r="BB48" s="372" t="s">
        <v>73</v>
      </c>
      <c r="BC48" s="372"/>
      <c r="BD48" s="298"/>
      <c r="BE48" s="304" t="s">
        <v>346</v>
      </c>
      <c r="BF48" s="158">
        <v>48.7</v>
      </c>
      <c r="BG48" s="158">
        <v>64.849999999999994</v>
      </c>
      <c r="BH48" s="306" t="s">
        <v>348</v>
      </c>
      <c r="BI48" s="96"/>
      <c r="BJ48" s="267" t="str">
        <f>'Frais annexes'!C36</f>
        <v>FRAIS ANNEXES</v>
      </c>
      <c r="BK48" s="269" t="e">
        <f>'Frais annexes'!E36</f>
        <v>#N/A</v>
      </c>
      <c r="BL48" s="96"/>
      <c r="BM48" s="96"/>
      <c r="BN48" s="96"/>
      <c r="BO48" s="216"/>
      <c r="BP48" s="96"/>
      <c r="BQ48" s="96"/>
      <c r="BR48" s="96"/>
      <c r="BS48" s="96"/>
      <c r="BT48" s="96"/>
      <c r="BU48" s="96"/>
    </row>
    <row r="49" spans="1:77" s="17" customFormat="1" ht="10" customHeight="1" x14ac:dyDescent="0.25">
      <c r="A49" s="332"/>
      <c r="B49" s="333"/>
      <c r="C49" s="333"/>
      <c r="D49" s="333"/>
      <c r="E49" s="333"/>
      <c r="F49" s="333"/>
      <c r="G49" s="333"/>
      <c r="H49" s="333"/>
      <c r="I49" s="333"/>
      <c r="J49" s="333"/>
      <c r="K49" s="333"/>
      <c r="L49" s="333"/>
      <c r="M49" s="333"/>
      <c r="N49" s="333"/>
      <c r="O49" s="333"/>
      <c r="P49" s="333"/>
      <c r="Q49" s="333"/>
      <c r="R49" s="333"/>
      <c r="S49" s="333"/>
      <c r="T49" s="333"/>
      <c r="U49" s="333"/>
      <c r="V49" s="333"/>
      <c r="W49" s="333"/>
      <c r="X49" s="333"/>
      <c r="Y49" s="333"/>
      <c r="Z49" s="333"/>
      <c r="AA49" s="333"/>
      <c r="AB49" s="333"/>
      <c r="AC49" s="333"/>
      <c r="AD49" s="333"/>
      <c r="AE49" s="333"/>
      <c r="AF49" s="333"/>
      <c r="AG49" s="333"/>
      <c r="AH49" s="333"/>
      <c r="AI49" s="333"/>
      <c r="AJ49" s="333"/>
      <c r="AK49" s="333"/>
      <c r="AL49" s="333"/>
      <c r="AM49" s="333"/>
      <c r="AN49" s="333"/>
      <c r="AO49" s="333"/>
      <c r="AP49" s="333"/>
      <c r="AQ49" s="333"/>
      <c r="AR49" s="333"/>
      <c r="AS49" s="333"/>
      <c r="AT49" s="333"/>
      <c r="AU49" s="333"/>
      <c r="AV49" s="333"/>
      <c r="AW49" s="333"/>
      <c r="AX49" s="333"/>
      <c r="AY49" s="333"/>
      <c r="AZ49" s="333"/>
      <c r="BA49" s="333"/>
      <c r="BB49" s="333"/>
      <c r="BC49" s="333"/>
      <c r="BD49" s="333"/>
      <c r="BE49" s="334"/>
      <c r="BF49" s="96"/>
      <c r="BG49" s="96"/>
      <c r="BH49" s="96"/>
      <c r="BI49" s="96"/>
      <c r="BJ49" s="267" t="str">
        <f>'Frais annexes'!C40</f>
        <v>AUTRES INFOS</v>
      </c>
      <c r="BK49" s="428" t="e">
        <f>'Frais annexes'!E40</f>
        <v>#N/A</v>
      </c>
      <c r="BL49" s="96"/>
      <c r="BM49" s="96"/>
      <c r="BN49" s="96"/>
      <c r="BO49" s="216"/>
      <c r="BP49" s="96"/>
      <c r="BQ49" s="96"/>
      <c r="BR49" s="96"/>
      <c r="BS49" s="96"/>
      <c r="BT49" s="96"/>
      <c r="BU49" s="96"/>
    </row>
    <row r="50" spans="1:77" s="17" customFormat="1" ht="15" customHeight="1" x14ac:dyDescent="0.25">
      <c r="A50" s="318" t="str">
        <f>Textes!A59</f>
        <v>DESTINATION</v>
      </c>
      <c r="B50" s="319"/>
      <c r="C50" s="319"/>
      <c r="D50" s="319"/>
      <c r="E50" s="319"/>
      <c r="F50" s="319"/>
      <c r="G50" s="319"/>
      <c r="H50" s="319"/>
      <c r="I50" s="319"/>
      <c r="J50" s="319"/>
      <c r="K50" s="319"/>
      <c r="L50" s="353" t="str">
        <f>Textes!A58</f>
        <v>Frais arrivée et livraison DAP (**) :</v>
      </c>
      <c r="M50" s="353"/>
      <c r="N50" s="353"/>
      <c r="O50" s="353"/>
      <c r="P50" s="353"/>
      <c r="Q50" s="353"/>
      <c r="R50" s="353"/>
      <c r="S50" s="353"/>
      <c r="T50" s="353"/>
      <c r="U50" s="353"/>
      <c r="V50" s="353"/>
      <c r="W50" s="353"/>
      <c r="X50" s="353"/>
      <c r="Y50" s="353"/>
      <c r="Z50" s="353"/>
      <c r="AA50" s="353"/>
      <c r="AB50" s="353"/>
      <c r="AC50" s="353"/>
      <c r="AD50" s="353"/>
      <c r="AE50" s="326"/>
      <c r="AF50" s="326"/>
      <c r="AG50" s="326"/>
      <c r="AH50" s="326"/>
      <c r="AI50" s="326"/>
      <c r="AJ50" s="326"/>
      <c r="AK50" s="326"/>
      <c r="AL50" s="326"/>
      <c r="AM50" s="326"/>
      <c r="AN50" s="326"/>
      <c r="AO50" s="326"/>
      <c r="AP50" s="326"/>
      <c r="AQ50" s="326"/>
      <c r="AR50" s="326"/>
      <c r="AS50" s="326"/>
      <c r="AT50" s="326"/>
      <c r="AU50" s="438">
        <f>+BF50</f>
        <v>0</v>
      </c>
      <c r="AV50" s="412"/>
      <c r="AW50" s="412"/>
      <c r="AX50" s="412"/>
      <c r="AY50" s="412"/>
      <c r="AZ50" s="412"/>
      <c r="BA50" s="412"/>
      <c r="BB50" s="325" t="s">
        <v>73</v>
      </c>
      <c r="BC50" s="325"/>
      <c r="BD50" s="289"/>
      <c r="BE50" s="304" t="s">
        <v>347</v>
      </c>
      <c r="BF50" s="158"/>
      <c r="BG50" s="268" t="s">
        <v>335</v>
      </c>
      <c r="BH50" s="322"/>
      <c r="BI50" s="323"/>
      <c r="BJ50" s="96"/>
      <c r="BK50" s="429"/>
      <c r="BL50" s="96"/>
      <c r="BM50" s="96"/>
      <c r="BN50" s="96"/>
      <c r="BO50" s="96"/>
      <c r="BP50" s="96"/>
      <c r="BQ50" s="96"/>
      <c r="BR50" s="96"/>
      <c r="BS50" s="96"/>
      <c r="BT50" s="96"/>
      <c r="BU50" s="96"/>
    </row>
    <row r="51" spans="1:77" s="17" customFormat="1" ht="10" customHeight="1" x14ac:dyDescent="0.25">
      <c r="A51" s="363"/>
      <c r="B51" s="364"/>
      <c r="C51" s="364"/>
      <c r="D51" s="364"/>
      <c r="E51" s="364"/>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5"/>
      <c r="BF51" s="96"/>
      <c r="BG51" s="96"/>
      <c r="BH51" s="96"/>
      <c r="BI51" s="96"/>
      <c r="BJ51" s="96"/>
      <c r="BK51" s="98"/>
      <c r="BL51" s="96"/>
      <c r="BM51" s="96"/>
      <c r="BN51" s="96"/>
      <c r="BO51" s="96"/>
      <c r="BP51" s="96"/>
      <c r="BQ51" s="96"/>
      <c r="BR51" s="96"/>
      <c r="BS51" s="96"/>
      <c r="BT51" s="96"/>
      <c r="BU51" s="96"/>
    </row>
    <row r="52" spans="1:77" s="17" customFormat="1" ht="5.15" customHeight="1" x14ac:dyDescent="0.25">
      <c r="A52" s="343"/>
      <c r="B52" s="344"/>
      <c r="C52" s="344"/>
      <c r="D52" s="344"/>
      <c r="E52" s="344"/>
      <c r="F52" s="344"/>
      <c r="G52" s="344"/>
      <c r="H52" s="344"/>
      <c r="I52" s="344"/>
      <c r="J52" s="344"/>
      <c r="K52" s="344"/>
      <c r="L52" s="344"/>
      <c r="M52" s="344"/>
      <c r="N52" s="344"/>
      <c r="O52" s="344"/>
      <c r="P52" s="344"/>
      <c r="Q52" s="344"/>
      <c r="R52" s="344"/>
      <c r="S52" s="344"/>
      <c r="T52" s="344"/>
      <c r="U52" s="344"/>
      <c r="V52" s="344"/>
      <c r="W52" s="344"/>
      <c r="X52" s="344"/>
      <c r="Y52" s="344"/>
      <c r="Z52" s="344"/>
      <c r="AA52" s="344"/>
      <c r="AB52" s="344"/>
      <c r="AC52" s="344"/>
      <c r="AD52" s="344"/>
      <c r="AE52" s="344"/>
      <c r="AF52" s="344"/>
      <c r="AG52" s="344"/>
      <c r="AH52" s="344"/>
      <c r="AI52" s="344"/>
      <c r="AJ52" s="344"/>
      <c r="AK52" s="344"/>
      <c r="AL52" s="344"/>
      <c r="AM52" s="344"/>
      <c r="AN52" s="344"/>
      <c r="AO52" s="344"/>
      <c r="AP52" s="344"/>
      <c r="AQ52" s="344"/>
      <c r="AR52" s="344"/>
      <c r="AS52" s="344"/>
      <c r="AT52" s="344"/>
      <c r="AU52" s="344"/>
      <c r="AV52" s="344"/>
      <c r="AW52" s="344"/>
      <c r="AX52" s="344"/>
      <c r="AY52" s="344"/>
      <c r="AZ52" s="344"/>
      <c r="BA52" s="344"/>
      <c r="BB52" s="344"/>
      <c r="BC52" s="344"/>
      <c r="BD52" s="344"/>
      <c r="BE52" s="345"/>
      <c r="BF52" s="96"/>
      <c r="BG52" s="96"/>
      <c r="BH52" s="96"/>
      <c r="BI52" s="96"/>
      <c r="BJ52" s="96"/>
      <c r="BK52" s="96"/>
      <c r="BL52" s="96"/>
      <c r="BM52" s="96"/>
      <c r="BN52" s="96"/>
      <c r="BO52" s="96"/>
      <c r="BP52" s="96"/>
      <c r="BQ52" s="96"/>
      <c r="BR52" s="96"/>
      <c r="BS52" s="96"/>
      <c r="BT52" s="96"/>
      <c r="BU52" s="96"/>
    </row>
    <row r="53" spans="1:77" s="18" customFormat="1" ht="18" customHeight="1" x14ac:dyDescent="0.25">
      <c r="A53" s="373" t="s">
        <v>85</v>
      </c>
      <c r="B53" s="374"/>
      <c r="C53" s="374"/>
      <c r="D53" s="374"/>
      <c r="E53" s="374"/>
      <c r="F53" s="374"/>
      <c r="G53" s="374"/>
      <c r="H53" s="374"/>
      <c r="I53" s="374"/>
      <c r="J53" s="374"/>
      <c r="K53" s="374"/>
      <c r="L53" s="337" t="s">
        <v>224</v>
      </c>
      <c r="M53" s="337"/>
      <c r="N53" s="337"/>
      <c r="O53" s="337"/>
      <c r="P53" s="337"/>
      <c r="Q53" s="337"/>
      <c r="R53" s="337"/>
      <c r="S53" s="337"/>
      <c r="T53" s="337"/>
      <c r="U53" s="337"/>
      <c r="V53" s="337"/>
      <c r="W53" s="337"/>
      <c r="X53" s="337"/>
      <c r="Y53" s="337"/>
      <c r="Z53" s="337"/>
      <c r="AA53" s="337"/>
      <c r="AB53" s="337"/>
      <c r="AC53" s="337"/>
      <c r="AD53" s="337"/>
      <c r="AE53" s="337"/>
      <c r="AF53" s="337"/>
      <c r="AG53" s="337"/>
      <c r="AH53" s="337"/>
      <c r="AI53" s="337"/>
      <c r="AJ53" s="337"/>
      <c r="AK53" s="337"/>
      <c r="AL53" s="337"/>
      <c r="AM53" s="337"/>
      <c r="AN53" s="337"/>
      <c r="AO53" s="337"/>
      <c r="AP53" s="337"/>
      <c r="AQ53" s="183"/>
      <c r="AR53" s="335">
        <f>SUM(AU26:BA50)-AU37</f>
        <v>298.536</v>
      </c>
      <c r="AS53" s="336"/>
      <c r="AT53" s="336"/>
      <c r="AU53" s="336"/>
      <c r="AV53" s="336"/>
      <c r="AW53" s="336"/>
      <c r="AX53" s="336"/>
      <c r="AY53" s="336"/>
      <c r="AZ53" s="336"/>
      <c r="BA53" s="336"/>
      <c r="BB53" s="303" t="s">
        <v>73</v>
      </c>
      <c r="BC53" s="301"/>
      <c r="BD53" s="302"/>
      <c r="BE53" s="34"/>
      <c r="BF53" s="324"/>
      <c r="BG53" s="112"/>
      <c r="BH53" s="112"/>
      <c r="BI53" s="112"/>
      <c r="BJ53" s="96"/>
      <c r="BK53" s="96"/>
      <c r="BL53" s="96"/>
      <c r="BM53" s="96"/>
      <c r="BN53" s="96"/>
      <c r="BO53" s="103"/>
      <c r="BP53" s="103"/>
      <c r="BQ53" s="103"/>
      <c r="BR53" s="103"/>
      <c r="BS53" s="103"/>
      <c r="BT53" s="103"/>
      <c r="BU53" s="103"/>
      <c r="BV53" s="17"/>
      <c r="BW53" s="17"/>
      <c r="BX53" s="17"/>
      <c r="BY53" s="17"/>
    </row>
    <row r="54" spans="1:77" s="17" customFormat="1" ht="5.15" customHeight="1" x14ac:dyDescent="0.25">
      <c r="A54" s="340"/>
      <c r="B54" s="341"/>
      <c r="C54" s="341"/>
      <c r="D54" s="341"/>
      <c r="E54" s="341"/>
      <c r="F54" s="341"/>
      <c r="G54" s="341"/>
      <c r="H54" s="341"/>
      <c r="I54" s="341"/>
      <c r="J54" s="341"/>
      <c r="K54" s="341"/>
      <c r="L54" s="341"/>
      <c r="M54" s="341"/>
      <c r="N54" s="341"/>
      <c r="O54" s="341"/>
      <c r="P54" s="341"/>
      <c r="Q54" s="341"/>
      <c r="R54" s="341"/>
      <c r="S54" s="341"/>
      <c r="T54" s="341"/>
      <c r="U54" s="341"/>
      <c r="V54" s="341"/>
      <c r="W54" s="341"/>
      <c r="X54" s="341"/>
      <c r="Y54" s="341"/>
      <c r="Z54" s="341"/>
      <c r="AA54" s="341"/>
      <c r="AB54" s="341"/>
      <c r="AC54" s="341"/>
      <c r="AD54" s="341"/>
      <c r="AE54" s="341"/>
      <c r="AF54" s="341"/>
      <c r="AG54" s="341"/>
      <c r="AH54" s="341"/>
      <c r="AI54" s="341"/>
      <c r="AJ54" s="341"/>
      <c r="AK54" s="341"/>
      <c r="AL54" s="341"/>
      <c r="AM54" s="341"/>
      <c r="AN54" s="341"/>
      <c r="AO54" s="341"/>
      <c r="AP54" s="341"/>
      <c r="AQ54" s="341"/>
      <c r="AR54" s="341"/>
      <c r="AS54" s="341"/>
      <c r="AT54" s="341"/>
      <c r="AU54" s="341"/>
      <c r="AV54" s="341"/>
      <c r="AW54" s="341"/>
      <c r="AX54" s="341"/>
      <c r="AY54" s="341"/>
      <c r="AZ54" s="341"/>
      <c r="BA54" s="341"/>
      <c r="BB54" s="341"/>
      <c r="BC54" s="341"/>
      <c r="BD54" s="341"/>
      <c r="BE54" s="342"/>
      <c r="BF54" s="324"/>
      <c r="BG54" s="96"/>
      <c r="BH54" s="112"/>
      <c r="BI54" s="112"/>
      <c r="BJ54" s="96"/>
      <c r="BK54" s="96"/>
      <c r="BL54" s="96"/>
      <c r="BM54" s="96"/>
      <c r="BN54" s="96"/>
      <c r="BO54" s="96"/>
      <c r="BP54" s="96"/>
      <c r="BQ54" s="96"/>
      <c r="BR54" s="96"/>
      <c r="BS54" s="96"/>
      <c r="BT54" s="96"/>
      <c r="BU54" s="96"/>
    </row>
    <row r="55" spans="1:77" s="17" customFormat="1" ht="8.15" customHeight="1" x14ac:dyDescent="0.25">
      <c r="A55" s="383" t="str">
        <f>Textes!A61</f>
        <v>INFORMATIONS COMPLEMENTAIRES :</v>
      </c>
      <c r="B55" s="383"/>
      <c r="C55" s="383"/>
      <c r="D55" s="383"/>
      <c r="E55" s="383"/>
      <c r="F55" s="383"/>
      <c r="G55" s="383"/>
      <c r="H55" s="383"/>
      <c r="I55" s="383"/>
      <c r="J55" s="383"/>
      <c r="K55" s="383"/>
      <c r="L55" s="383"/>
      <c r="M55" s="383"/>
      <c r="N55" s="383"/>
      <c r="O55" s="383"/>
      <c r="P55" s="383"/>
      <c r="Q55" s="383"/>
      <c r="R55" s="383"/>
      <c r="S55" s="383"/>
      <c r="T55" s="383"/>
      <c r="U55" s="383"/>
      <c r="V55" s="383"/>
      <c r="W55" s="383"/>
      <c r="X55" s="383"/>
      <c r="Y55" s="383"/>
      <c r="Z55" s="383"/>
      <c r="AA55" s="383"/>
      <c r="AB55" s="383"/>
      <c r="AC55" s="383"/>
      <c r="AD55" s="383"/>
      <c r="AE55" s="383"/>
      <c r="AF55" s="383"/>
      <c r="AG55" s="383"/>
      <c r="AH55" s="383"/>
      <c r="AI55" s="383"/>
      <c r="AJ55" s="383"/>
      <c r="AK55" s="383"/>
      <c r="AL55" s="383"/>
      <c r="AM55" s="383"/>
      <c r="AN55" s="383"/>
      <c r="AO55" s="383"/>
      <c r="AP55" s="383"/>
      <c r="AQ55" s="383"/>
      <c r="AR55" s="383"/>
      <c r="AS55" s="383"/>
      <c r="AT55" s="383"/>
      <c r="AU55" s="383"/>
      <c r="AV55" s="383"/>
      <c r="AW55" s="383"/>
      <c r="AX55" s="383"/>
      <c r="AY55" s="383"/>
      <c r="AZ55" s="383"/>
      <c r="BA55" s="383"/>
      <c r="BB55" s="383"/>
      <c r="BC55" s="383"/>
      <c r="BD55" s="383"/>
      <c r="BE55" s="383"/>
      <c r="BF55" s="324"/>
      <c r="BG55" s="112"/>
      <c r="BH55" s="112"/>
      <c r="BI55" s="112"/>
      <c r="BJ55" s="313"/>
      <c r="BK55" s="96"/>
      <c r="BL55" s="96"/>
      <c r="BM55" s="96"/>
      <c r="BN55" s="96"/>
      <c r="BO55" s="96"/>
      <c r="BP55" s="96"/>
      <c r="BQ55" s="96"/>
      <c r="BR55" s="96"/>
      <c r="BS55" s="96"/>
      <c r="BT55" s="96"/>
      <c r="BU55" s="96"/>
    </row>
    <row r="56" spans="1:77" s="17" customFormat="1" x14ac:dyDescent="0.25">
      <c r="A56" s="384"/>
      <c r="B56" s="384"/>
      <c r="C56" s="384"/>
      <c r="D56" s="384"/>
      <c r="E56" s="384"/>
      <c r="F56" s="384"/>
      <c r="G56" s="384"/>
      <c r="H56" s="384"/>
      <c r="I56" s="384"/>
      <c r="J56" s="384"/>
      <c r="K56" s="384"/>
      <c r="L56" s="384"/>
      <c r="M56" s="384"/>
      <c r="N56" s="384"/>
      <c r="O56" s="384"/>
      <c r="P56" s="384"/>
      <c r="Q56" s="384"/>
      <c r="R56" s="384"/>
      <c r="S56" s="384"/>
      <c r="T56" s="384"/>
      <c r="U56" s="384"/>
      <c r="V56" s="384"/>
      <c r="W56" s="384"/>
      <c r="X56" s="384"/>
      <c r="Y56" s="384"/>
      <c r="Z56" s="384"/>
      <c r="AA56" s="384"/>
      <c r="AB56" s="384"/>
      <c r="AC56" s="384"/>
      <c r="AD56" s="384"/>
      <c r="AE56" s="384"/>
      <c r="AF56" s="384"/>
      <c r="AG56" s="384"/>
      <c r="AH56" s="384"/>
      <c r="AI56" s="384"/>
      <c r="AJ56" s="384"/>
      <c r="AK56" s="384"/>
      <c r="AL56" s="384"/>
      <c r="AM56" s="384"/>
      <c r="AN56" s="384"/>
      <c r="AO56" s="384"/>
      <c r="AP56" s="384"/>
      <c r="AQ56" s="384"/>
      <c r="AR56" s="384"/>
      <c r="AS56" s="384"/>
      <c r="AT56" s="384"/>
      <c r="AU56" s="384"/>
      <c r="AV56" s="384"/>
      <c r="AW56" s="384"/>
      <c r="AX56" s="384"/>
      <c r="AY56" s="384"/>
      <c r="AZ56" s="384"/>
      <c r="BA56" s="384"/>
      <c r="BB56" s="384"/>
      <c r="BC56" s="384"/>
      <c r="BD56" s="384"/>
      <c r="BE56" s="384"/>
      <c r="BF56" s="324"/>
      <c r="BG56" s="112"/>
      <c r="BH56" s="291"/>
      <c r="BI56" s="112"/>
      <c r="BJ56" s="313"/>
      <c r="BK56" s="96"/>
      <c r="BL56" s="96"/>
      <c r="BM56" s="96"/>
      <c r="BN56" s="96"/>
      <c r="BO56" s="96"/>
      <c r="BP56" s="96"/>
      <c r="BQ56" s="96"/>
      <c r="BR56" s="96"/>
      <c r="BS56" s="96"/>
      <c r="BT56" s="96"/>
      <c r="BU56" s="96"/>
    </row>
    <row r="57" spans="1:77" s="17" customFormat="1" ht="13" customHeight="1" x14ac:dyDescent="0.25">
      <c r="A57" s="331" t="str">
        <f>Textes!A62</f>
        <v>Tarif standard non prioritaire - sous réserve de capacité compagnie</v>
      </c>
      <c r="B57" s="331"/>
      <c r="C57" s="331"/>
      <c r="D57" s="331"/>
      <c r="E57" s="331"/>
      <c r="F57" s="331"/>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1"/>
      <c r="AE57" s="331"/>
      <c r="AF57" s="331"/>
      <c r="AG57" s="331"/>
      <c r="AH57" s="331"/>
      <c r="AI57" s="331"/>
      <c r="AJ57" s="331"/>
      <c r="AK57" s="331"/>
      <c r="AL57" s="331"/>
      <c r="AM57" s="331"/>
      <c r="AN57" s="331"/>
      <c r="AO57" s="331"/>
      <c r="AP57" s="331"/>
      <c r="AQ57" s="331"/>
      <c r="AR57" s="331"/>
      <c r="AS57" s="331"/>
      <c r="AT57" s="331"/>
      <c r="AU57" s="331"/>
      <c r="AV57" s="331"/>
      <c r="AW57" s="331"/>
      <c r="AX57" s="331"/>
      <c r="AY57" s="331"/>
      <c r="AZ57" s="331"/>
      <c r="BA57" s="331"/>
      <c r="BB57" s="331"/>
      <c r="BC57" s="331"/>
      <c r="BD57" s="331"/>
      <c r="BE57" s="331"/>
      <c r="BF57" s="96"/>
      <c r="BG57" s="112"/>
      <c r="BH57" s="291"/>
      <c r="BI57" s="112"/>
      <c r="BJ57" s="313"/>
      <c r="BK57" s="96"/>
      <c r="BL57" s="96"/>
      <c r="BM57" s="96"/>
      <c r="BN57" s="96"/>
      <c r="BO57" s="96"/>
      <c r="BP57" s="96"/>
      <c r="BQ57" s="96"/>
      <c r="BR57" s="96"/>
      <c r="BS57" s="96"/>
      <c r="BT57" s="96"/>
      <c r="BU57" s="96"/>
    </row>
    <row r="58" spans="1:77" s="17" customFormat="1" ht="13" customHeight="1" x14ac:dyDescent="0.25">
      <c r="A58" s="317" t="str">
        <f>Textes!A63</f>
        <v>(**) Soumis à variation du taux de change EUR/USD. Montant actualisable au moment du départ.</v>
      </c>
      <c r="B58" s="317"/>
      <c r="C58" s="317"/>
      <c r="D58" s="317"/>
      <c r="E58" s="317"/>
      <c r="F58" s="317"/>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7"/>
      <c r="AE58" s="317"/>
      <c r="AF58" s="317"/>
      <c r="AG58" s="317"/>
      <c r="AH58" s="317"/>
      <c r="AI58" s="317"/>
      <c r="AJ58" s="317"/>
      <c r="AK58" s="317"/>
      <c r="AL58" s="317"/>
      <c r="AM58" s="317"/>
      <c r="AN58" s="317"/>
      <c r="AO58" s="317"/>
      <c r="AP58" s="317"/>
      <c r="AQ58" s="317"/>
      <c r="AR58" s="317"/>
      <c r="AS58" s="317"/>
      <c r="AT58" s="317"/>
      <c r="AU58" s="317"/>
      <c r="AV58" s="317"/>
      <c r="AW58" s="317"/>
      <c r="AX58" s="317"/>
      <c r="AY58" s="317"/>
      <c r="AZ58" s="317"/>
      <c r="BA58" s="317"/>
      <c r="BB58" s="317"/>
      <c r="BC58" s="317"/>
      <c r="BD58" s="317"/>
      <c r="BE58" s="317"/>
      <c r="BF58" s="96"/>
      <c r="BG58" s="112"/>
      <c r="BH58" s="112"/>
      <c r="BI58" s="112"/>
      <c r="BJ58" s="96"/>
      <c r="BK58" s="96"/>
      <c r="BL58" s="96"/>
      <c r="BM58" s="96"/>
      <c r="BN58" s="96"/>
      <c r="BO58" s="96"/>
      <c r="BP58" s="96"/>
      <c r="BQ58" s="96"/>
      <c r="BR58" s="96"/>
      <c r="BS58" s="96"/>
      <c r="BT58" s="96"/>
      <c r="BU58" s="96"/>
    </row>
    <row r="59" spans="1:77" s="17" customFormat="1" ht="13" customHeight="1" x14ac:dyDescent="0.25">
      <c r="BF59" s="96"/>
      <c r="BG59" s="112"/>
      <c r="BH59" s="112"/>
      <c r="BI59" s="112"/>
      <c r="BJ59" s="96"/>
      <c r="BK59" s="96"/>
      <c r="BL59" s="96"/>
      <c r="BM59" s="96"/>
      <c r="BN59" s="96"/>
      <c r="BO59" s="96"/>
      <c r="BP59" s="96"/>
      <c r="BQ59" s="96"/>
      <c r="BR59" s="96"/>
      <c r="BS59" s="96"/>
      <c r="BT59" s="96"/>
      <c r="BU59" s="96"/>
    </row>
    <row r="60" spans="1:77" s="17" customFormat="1" ht="13" customHeight="1" x14ac:dyDescent="0.25">
      <c r="BF60" s="96"/>
      <c r="BG60" s="96"/>
      <c r="BH60" s="96"/>
      <c r="BI60" s="96"/>
      <c r="BJ60" s="96"/>
      <c r="BK60" s="96"/>
      <c r="BL60" s="96"/>
      <c r="BM60" s="96"/>
      <c r="BN60" s="96"/>
      <c r="BO60" s="96"/>
      <c r="BP60" s="96"/>
      <c r="BQ60" s="96"/>
      <c r="BR60" s="96"/>
      <c r="BS60" s="96"/>
      <c r="BT60" s="96"/>
      <c r="BU60" s="96"/>
    </row>
    <row r="61" spans="1:77" s="17" customFormat="1" ht="13" customHeight="1" x14ac:dyDescent="0.25">
      <c r="BF61" s="96"/>
      <c r="BG61" s="96"/>
      <c r="BH61" s="96"/>
      <c r="BI61" s="96"/>
      <c r="BJ61" s="96"/>
      <c r="BK61" s="96"/>
      <c r="BL61" s="96"/>
      <c r="BM61" s="96"/>
      <c r="BN61" s="96"/>
      <c r="BO61" s="96"/>
      <c r="BP61" s="96"/>
      <c r="BQ61" s="96"/>
      <c r="BR61" s="96"/>
      <c r="BS61" s="96"/>
      <c r="BT61" s="96"/>
      <c r="BU61" s="96"/>
    </row>
    <row r="62" spans="1:77" s="17" customFormat="1" ht="13" customHeight="1" x14ac:dyDescent="0.25">
      <c r="BF62" s="96"/>
      <c r="BG62" s="96"/>
      <c r="BH62" s="96"/>
      <c r="BI62" s="96"/>
      <c r="BJ62" s="96"/>
      <c r="BK62" s="96"/>
      <c r="BL62" s="96"/>
      <c r="BM62" s="96"/>
      <c r="BN62" s="96"/>
      <c r="BO62" s="96"/>
      <c r="BP62" s="96"/>
      <c r="BQ62" s="96"/>
      <c r="BR62" s="96"/>
      <c r="BS62" s="96"/>
      <c r="BT62" s="96"/>
      <c r="BU62" s="96"/>
    </row>
    <row r="63" spans="1:77" s="19" customFormat="1" ht="10" x14ac:dyDescent="0.25">
      <c r="BF63" s="104"/>
      <c r="BG63" s="104"/>
      <c r="BH63" s="104"/>
      <c r="BI63" s="104"/>
      <c r="BJ63" s="104"/>
      <c r="BK63" s="104"/>
      <c r="BL63" s="104"/>
      <c r="BM63" s="104"/>
      <c r="BN63" s="104"/>
      <c r="BO63" s="104"/>
      <c r="BP63" s="104"/>
      <c r="BQ63" s="104"/>
      <c r="BR63" s="104"/>
      <c r="BS63" s="104"/>
      <c r="BT63" s="104"/>
      <c r="BU63" s="104"/>
    </row>
    <row r="64" spans="1:77" ht="10" customHeight="1" x14ac:dyDescent="0.25">
      <c r="A64" s="371" t="str">
        <f>Textes!A64</f>
        <v>"En raison de la situation géopolitique actuelle, toutes les compagnies se réservent le droit de modifier leurs prix sans préavis ou d'annuler leur vols à tout moment. Safram ne pourra être tenu pour responsable des frais engendrés par ces modifications/annulations."</v>
      </c>
      <c r="B64" s="371"/>
      <c r="C64" s="371"/>
      <c r="D64" s="371"/>
      <c r="E64" s="371"/>
      <c r="F64" s="371"/>
      <c r="G64" s="371"/>
      <c r="H64" s="371"/>
      <c r="I64" s="371"/>
      <c r="J64" s="371"/>
      <c r="K64" s="371"/>
      <c r="L64" s="371"/>
      <c r="M64" s="371"/>
      <c r="N64" s="371"/>
      <c r="O64" s="371"/>
      <c r="P64" s="371"/>
      <c r="Q64" s="371"/>
      <c r="R64" s="371"/>
      <c r="S64" s="371"/>
      <c r="T64" s="371"/>
      <c r="U64" s="371"/>
      <c r="V64" s="371"/>
      <c r="W64" s="371"/>
      <c r="X64" s="371"/>
      <c r="Y64" s="371"/>
      <c r="Z64" s="371"/>
      <c r="AA64" s="371"/>
      <c r="AB64" s="371"/>
      <c r="AC64" s="371"/>
      <c r="AD64" s="371"/>
      <c r="AE64" s="371"/>
      <c r="AF64" s="371"/>
      <c r="AG64" s="371"/>
      <c r="AH64" s="371"/>
      <c r="AI64" s="371"/>
      <c r="AJ64" s="371"/>
      <c r="AK64" s="371"/>
      <c r="AL64" s="371"/>
      <c r="AM64" s="371"/>
      <c r="AN64" s="371"/>
      <c r="AO64" s="371"/>
      <c r="AP64" s="371"/>
      <c r="AQ64" s="371"/>
      <c r="AR64" s="371"/>
      <c r="AS64" s="371"/>
      <c r="AT64" s="371"/>
      <c r="AU64" s="371"/>
      <c r="AV64" s="371"/>
      <c r="AW64" s="371"/>
      <c r="AX64" s="371"/>
      <c r="AY64" s="371"/>
      <c r="AZ64" s="371"/>
      <c r="BA64" s="371"/>
      <c r="BB64" s="371"/>
      <c r="BC64" s="371"/>
      <c r="BD64" s="371"/>
      <c r="BE64" s="371"/>
      <c r="BF64" s="105"/>
      <c r="BG64" s="105"/>
      <c r="BH64" s="105"/>
      <c r="BI64" s="105"/>
      <c r="BJ64" s="105"/>
      <c r="BK64" s="105"/>
      <c r="BL64" s="105"/>
      <c r="BM64" s="105"/>
      <c r="BN64" s="105"/>
      <c r="BO64" s="105"/>
      <c r="BP64" s="105"/>
      <c r="BQ64" s="105"/>
      <c r="BR64" s="105"/>
      <c r="BS64" s="105"/>
      <c r="BT64" s="105"/>
      <c r="BU64" s="105"/>
    </row>
    <row r="65" spans="1:73" ht="10" customHeight="1" x14ac:dyDescent="0.25">
      <c r="A65" s="371"/>
      <c r="B65" s="371"/>
      <c r="C65" s="371"/>
      <c r="D65" s="371"/>
      <c r="E65" s="371"/>
      <c r="F65" s="371"/>
      <c r="G65" s="371"/>
      <c r="H65" s="371"/>
      <c r="I65" s="371"/>
      <c r="J65" s="371"/>
      <c r="K65" s="371"/>
      <c r="L65" s="371"/>
      <c r="M65" s="371"/>
      <c r="N65" s="371"/>
      <c r="O65" s="371"/>
      <c r="P65" s="371"/>
      <c r="Q65" s="371"/>
      <c r="R65" s="371"/>
      <c r="S65" s="371"/>
      <c r="T65" s="371"/>
      <c r="U65" s="371"/>
      <c r="V65" s="371"/>
      <c r="W65" s="371"/>
      <c r="X65" s="371"/>
      <c r="Y65" s="371"/>
      <c r="Z65" s="371"/>
      <c r="AA65" s="371"/>
      <c r="AB65" s="371"/>
      <c r="AC65" s="371"/>
      <c r="AD65" s="371"/>
      <c r="AE65" s="371"/>
      <c r="AF65" s="371"/>
      <c r="AG65" s="371"/>
      <c r="AH65" s="371"/>
      <c r="AI65" s="371"/>
      <c r="AJ65" s="371"/>
      <c r="AK65" s="371"/>
      <c r="AL65" s="371"/>
      <c r="AM65" s="371"/>
      <c r="AN65" s="371"/>
      <c r="AO65" s="371"/>
      <c r="AP65" s="371"/>
      <c r="AQ65" s="371"/>
      <c r="AR65" s="371"/>
      <c r="AS65" s="371"/>
      <c r="AT65" s="371"/>
      <c r="AU65" s="371"/>
      <c r="AV65" s="371"/>
      <c r="AW65" s="371"/>
      <c r="AX65" s="371"/>
      <c r="AY65" s="371"/>
      <c r="AZ65" s="371"/>
      <c r="BA65" s="371"/>
      <c r="BB65" s="371"/>
      <c r="BC65" s="371"/>
      <c r="BD65" s="371"/>
      <c r="BE65" s="371"/>
      <c r="BF65" s="105"/>
      <c r="BG65" s="105"/>
      <c r="BH65" s="105"/>
      <c r="BI65" s="105"/>
      <c r="BJ65" s="105"/>
      <c r="BK65" s="105"/>
      <c r="BL65" s="105"/>
      <c r="BM65" s="105"/>
      <c r="BN65" s="105"/>
      <c r="BO65" s="105"/>
      <c r="BP65" s="105"/>
      <c r="BQ65" s="105"/>
      <c r="BR65" s="105"/>
      <c r="BS65" s="105"/>
      <c r="BT65" s="105"/>
      <c r="BU65" s="105"/>
    </row>
    <row r="66" spans="1:73" x14ac:dyDescent="0.25">
      <c r="A66" s="354" t="str">
        <f>Textes!A65</f>
        <v>(*) Ordre d'assurance à nous confirmer par écrit. Cette cotation est soumise aux conditions générales de vente disponibles sur simple demande.</v>
      </c>
      <c r="B66" s="354"/>
      <c r="C66" s="354"/>
      <c r="D66" s="354"/>
      <c r="E66" s="354"/>
      <c r="F66" s="354"/>
      <c r="G66" s="354"/>
      <c r="H66" s="354"/>
      <c r="I66" s="354"/>
      <c r="J66" s="354"/>
      <c r="K66" s="354"/>
      <c r="L66" s="354"/>
      <c r="M66" s="354"/>
      <c r="N66" s="354"/>
      <c r="O66" s="354"/>
      <c r="P66" s="354"/>
      <c r="Q66" s="354"/>
      <c r="R66" s="354"/>
      <c r="S66" s="354"/>
      <c r="T66" s="354"/>
      <c r="U66" s="354"/>
      <c r="V66" s="354"/>
      <c r="W66" s="354"/>
      <c r="X66" s="354"/>
      <c r="Y66" s="354"/>
      <c r="Z66" s="354"/>
      <c r="AA66" s="354"/>
      <c r="AB66" s="354"/>
      <c r="AC66" s="354"/>
      <c r="AD66" s="354"/>
      <c r="AE66" s="354"/>
      <c r="AF66" s="354"/>
      <c r="AG66" s="354"/>
      <c r="AH66" s="354"/>
      <c r="AI66" s="354"/>
      <c r="AJ66" s="354"/>
      <c r="AK66" s="354"/>
      <c r="AL66" s="354"/>
      <c r="AM66" s="354"/>
      <c r="AN66" s="354"/>
      <c r="AO66" s="354"/>
      <c r="AP66" s="354"/>
      <c r="AQ66" s="354"/>
      <c r="AR66" s="354"/>
      <c r="AS66" s="354"/>
      <c r="AT66" s="354"/>
      <c r="AU66" s="354"/>
      <c r="AV66" s="354"/>
      <c r="AW66" s="354"/>
      <c r="AX66" s="354"/>
      <c r="AY66" s="354"/>
      <c r="AZ66" s="354"/>
      <c r="BA66" s="354"/>
      <c r="BB66" s="354"/>
      <c r="BC66" s="354"/>
      <c r="BD66" s="354"/>
      <c r="BE66" s="354"/>
      <c r="BF66" s="105"/>
      <c r="BG66" s="105"/>
      <c r="BH66" s="105"/>
      <c r="BI66" s="105"/>
      <c r="BJ66" s="105"/>
      <c r="BK66" s="105"/>
      <c r="BL66" s="105"/>
      <c r="BM66" s="105"/>
      <c r="BN66" s="105"/>
      <c r="BO66" s="105"/>
      <c r="BP66" s="105"/>
      <c r="BQ66" s="105"/>
      <c r="BR66" s="105"/>
      <c r="BS66" s="105"/>
      <c r="BT66" s="105"/>
      <c r="BU66" s="105"/>
    </row>
    <row r="67" spans="1:73" x14ac:dyDescent="0.25">
      <c r="A67" s="105"/>
      <c r="B67" s="105"/>
      <c r="C67" s="105"/>
      <c r="D67" s="105"/>
      <c r="E67" s="105"/>
      <c r="F67" s="105"/>
      <c r="G67" s="105"/>
      <c r="H67" s="105"/>
      <c r="I67" s="105"/>
      <c r="J67" s="105"/>
      <c r="K67" s="105"/>
      <c r="L67" s="105"/>
      <c r="M67" s="105"/>
      <c r="N67" s="105"/>
      <c r="O67" s="105"/>
      <c r="P67" s="105"/>
      <c r="Q67" s="105"/>
      <c r="R67" s="105"/>
      <c r="S67" s="105"/>
      <c r="T67" s="105"/>
      <c r="U67" s="105"/>
      <c r="V67" s="105"/>
      <c r="W67" s="105"/>
      <c r="X67" s="105"/>
      <c r="Y67" s="105"/>
      <c r="Z67" s="105"/>
      <c r="AA67" s="105"/>
      <c r="AB67" s="105"/>
      <c r="AC67" s="105"/>
      <c r="AD67" s="105"/>
      <c r="AE67" s="105"/>
      <c r="AF67" s="105"/>
      <c r="AG67" s="105"/>
      <c r="AH67" s="105"/>
      <c r="AI67" s="105"/>
      <c r="AJ67" s="105"/>
      <c r="AK67" s="105"/>
      <c r="AL67" s="105"/>
      <c r="AM67" s="105"/>
      <c r="AN67" s="105"/>
      <c r="AO67" s="105"/>
      <c r="AP67" s="105"/>
      <c r="AQ67" s="105"/>
      <c r="AR67" s="105"/>
      <c r="AS67" s="105"/>
      <c r="AT67" s="105"/>
      <c r="AU67" s="105"/>
      <c r="AV67" s="105"/>
      <c r="AW67" s="105"/>
      <c r="AX67" s="105"/>
      <c r="AY67" s="105"/>
      <c r="AZ67" s="105"/>
      <c r="BA67" s="105"/>
      <c r="BB67" s="105"/>
      <c r="BC67" s="105"/>
      <c r="BD67" s="105"/>
      <c r="BE67" s="105"/>
      <c r="BF67" s="105"/>
      <c r="BG67" s="105"/>
      <c r="BH67" s="105"/>
      <c r="BI67" s="105"/>
      <c r="BJ67" s="105"/>
      <c r="BK67" s="105"/>
      <c r="BL67" s="105"/>
      <c r="BM67" s="105"/>
      <c r="BN67" s="105"/>
      <c r="BO67" s="105"/>
      <c r="BP67" s="105"/>
      <c r="BQ67" s="105"/>
      <c r="BR67" s="105"/>
      <c r="BS67" s="105"/>
      <c r="BT67" s="105"/>
      <c r="BU67" s="105"/>
    </row>
    <row r="68" spans="1:73" x14ac:dyDescent="0.25">
      <c r="A68" s="105"/>
      <c r="B68" s="105"/>
      <c r="C68" s="105"/>
      <c r="D68" s="105"/>
      <c r="E68" s="105"/>
      <c r="F68" s="105"/>
      <c r="G68" s="105"/>
      <c r="H68" s="105"/>
      <c r="I68" s="105"/>
      <c r="J68" s="105"/>
      <c r="K68" s="105"/>
      <c r="L68" s="105"/>
      <c r="M68" s="105"/>
      <c r="N68" s="105"/>
      <c r="O68" s="105"/>
      <c r="P68" s="105"/>
      <c r="Q68" s="105"/>
      <c r="R68" s="105"/>
      <c r="S68" s="105"/>
      <c r="T68" s="105"/>
      <c r="U68" s="105"/>
      <c r="V68" s="105"/>
      <c r="W68" s="105"/>
      <c r="X68" s="105"/>
      <c r="Y68" s="105"/>
      <c r="Z68" s="105"/>
      <c r="AA68" s="105"/>
      <c r="AB68" s="105"/>
      <c r="AC68" s="105"/>
      <c r="AD68" s="105"/>
      <c r="AE68" s="105"/>
      <c r="AF68" s="105"/>
      <c r="AG68" s="105"/>
      <c r="AH68" s="105"/>
      <c r="AI68" s="105"/>
      <c r="AJ68" s="105"/>
      <c r="AK68" s="105"/>
      <c r="AL68" s="105"/>
      <c r="AM68" s="105"/>
      <c r="AN68" s="105"/>
      <c r="AO68" s="105"/>
      <c r="AP68" s="105"/>
      <c r="AQ68" s="105"/>
      <c r="AR68" s="105"/>
      <c r="AS68" s="105"/>
      <c r="AT68" s="105"/>
      <c r="AU68" s="105"/>
      <c r="AV68" s="105"/>
      <c r="AW68" s="105"/>
      <c r="AX68" s="105"/>
      <c r="AY68" s="105"/>
      <c r="AZ68" s="105"/>
      <c r="BA68" s="105"/>
      <c r="BB68" s="105"/>
      <c r="BC68" s="105"/>
      <c r="BD68" s="105"/>
      <c r="BE68" s="105"/>
      <c r="BF68" s="105"/>
      <c r="BG68" s="105"/>
      <c r="BH68" s="105"/>
      <c r="BI68" s="105"/>
      <c r="BJ68" s="105"/>
      <c r="BK68" s="105"/>
      <c r="BL68" s="105"/>
      <c r="BM68" s="105"/>
      <c r="BN68" s="105"/>
      <c r="BO68" s="105"/>
      <c r="BP68" s="105"/>
      <c r="BQ68" s="105"/>
      <c r="BR68" s="105"/>
      <c r="BS68" s="105"/>
      <c r="BT68" s="105"/>
      <c r="BU68" s="105"/>
    </row>
    <row r="69" spans="1:73" x14ac:dyDescent="0.25">
      <c r="A69" s="105"/>
      <c r="B69" s="105"/>
      <c r="C69" s="105"/>
      <c r="D69" s="105"/>
      <c r="E69" s="105"/>
      <c r="F69" s="105"/>
      <c r="G69" s="105"/>
      <c r="H69" s="105"/>
      <c r="I69" s="105"/>
      <c r="J69" s="105"/>
      <c r="K69" s="105"/>
      <c r="L69" s="105"/>
      <c r="M69" s="105"/>
      <c r="N69" s="105"/>
      <c r="O69" s="105"/>
      <c r="P69" s="105"/>
      <c r="Q69" s="105"/>
      <c r="R69" s="105"/>
      <c r="S69" s="105"/>
      <c r="T69" s="105"/>
      <c r="U69" s="105"/>
      <c r="V69" s="105"/>
      <c r="W69" s="105"/>
      <c r="X69" s="105"/>
      <c r="Y69" s="105"/>
      <c r="Z69" s="105"/>
      <c r="AA69" s="105"/>
      <c r="AB69" s="105"/>
      <c r="AC69" s="105"/>
      <c r="AD69" s="105"/>
      <c r="AE69" s="105"/>
      <c r="AF69" s="105"/>
      <c r="AG69" s="105"/>
      <c r="AH69" s="105"/>
      <c r="AI69" s="105"/>
      <c r="AJ69" s="105"/>
      <c r="AK69" s="105"/>
      <c r="AL69" s="105"/>
      <c r="AM69" s="105"/>
      <c r="AN69" s="105"/>
      <c r="AO69" s="105"/>
      <c r="AP69" s="105"/>
      <c r="AQ69" s="105"/>
      <c r="AR69" s="105"/>
      <c r="AS69" s="105"/>
      <c r="AT69" s="105"/>
      <c r="AU69" s="105"/>
      <c r="AV69" s="105"/>
      <c r="AW69" s="105"/>
      <c r="AX69" s="105"/>
      <c r="AY69" s="105"/>
      <c r="AZ69" s="105"/>
      <c r="BA69" s="105"/>
      <c r="BB69" s="105"/>
      <c r="BC69" s="105"/>
      <c r="BD69" s="105"/>
      <c r="BE69" s="105"/>
      <c r="BF69" s="105"/>
      <c r="BG69" s="105"/>
      <c r="BH69" s="105"/>
      <c r="BI69" s="105"/>
      <c r="BJ69" s="105"/>
      <c r="BK69" s="105"/>
      <c r="BL69" s="105"/>
      <c r="BM69" s="105"/>
      <c r="BN69" s="105"/>
      <c r="BO69" s="105"/>
      <c r="BP69" s="105"/>
      <c r="BQ69" s="105"/>
      <c r="BR69" s="105"/>
      <c r="BS69" s="105"/>
      <c r="BT69" s="105"/>
      <c r="BU69" s="105"/>
    </row>
    <row r="70" spans="1:73" x14ac:dyDescent="0.25">
      <c r="A70" s="105"/>
      <c r="B70" s="105"/>
      <c r="C70" s="105"/>
      <c r="D70" s="105"/>
      <c r="E70" s="105"/>
      <c r="F70" s="105"/>
      <c r="G70" s="105"/>
      <c r="H70" s="105"/>
      <c r="I70" s="105"/>
      <c r="J70" s="105"/>
      <c r="K70" s="105"/>
      <c r="L70" s="105"/>
      <c r="M70" s="105"/>
      <c r="N70" s="105"/>
      <c r="O70" s="105"/>
      <c r="P70" s="105"/>
      <c r="Q70" s="105"/>
      <c r="R70" s="105"/>
      <c r="S70" s="105"/>
      <c r="T70" s="105"/>
      <c r="U70" s="105"/>
      <c r="V70" s="105"/>
      <c r="W70" s="105"/>
      <c r="X70" s="105"/>
      <c r="Y70" s="105"/>
      <c r="Z70" s="105"/>
      <c r="AA70" s="105"/>
      <c r="AB70" s="105"/>
      <c r="AC70" s="105"/>
      <c r="AD70" s="105"/>
      <c r="AE70" s="105"/>
      <c r="AF70" s="105"/>
      <c r="AG70" s="105"/>
      <c r="AH70" s="105"/>
      <c r="AI70" s="105"/>
      <c r="AJ70" s="105"/>
      <c r="AK70" s="105"/>
      <c r="AL70" s="105"/>
      <c r="AM70" s="105"/>
      <c r="AN70" s="105"/>
      <c r="AO70" s="105"/>
      <c r="AP70" s="105"/>
      <c r="AQ70" s="105"/>
      <c r="AR70" s="105"/>
      <c r="AS70" s="105"/>
      <c r="AT70" s="105"/>
      <c r="AU70" s="105"/>
      <c r="AV70" s="105"/>
      <c r="AW70" s="105"/>
      <c r="AX70" s="105"/>
      <c r="AY70" s="105"/>
      <c r="AZ70" s="105"/>
      <c r="BA70" s="105"/>
      <c r="BB70" s="105"/>
      <c r="BC70" s="105"/>
      <c r="BD70" s="105"/>
      <c r="BE70" s="105"/>
      <c r="BF70" s="105"/>
      <c r="BG70" s="105"/>
      <c r="BH70" s="105"/>
      <c r="BI70" s="105"/>
      <c r="BJ70" s="105"/>
      <c r="BK70" s="105"/>
      <c r="BL70" s="105"/>
      <c r="BM70" s="105"/>
      <c r="BN70" s="105"/>
      <c r="BO70" s="105"/>
      <c r="BP70" s="105"/>
      <c r="BQ70" s="105"/>
      <c r="BR70" s="105"/>
      <c r="BS70" s="105"/>
      <c r="BT70" s="105"/>
      <c r="BU70" s="105"/>
    </row>
    <row r="71" spans="1:73" x14ac:dyDescent="0.25">
      <c r="A71" s="105"/>
      <c r="B71" s="105"/>
      <c r="C71" s="105"/>
      <c r="D71" s="105"/>
      <c r="E71" s="105"/>
      <c r="F71" s="105"/>
      <c r="G71" s="105"/>
      <c r="H71" s="105"/>
      <c r="I71" s="105"/>
      <c r="J71" s="105"/>
      <c r="K71" s="105"/>
      <c r="L71" s="105"/>
      <c r="M71" s="105"/>
      <c r="N71" s="105"/>
      <c r="O71" s="105"/>
      <c r="P71" s="105"/>
      <c r="Q71" s="105"/>
      <c r="R71" s="105"/>
      <c r="S71" s="105"/>
      <c r="T71" s="105"/>
      <c r="U71" s="105"/>
      <c r="V71" s="105"/>
      <c r="W71" s="105"/>
      <c r="X71" s="105"/>
      <c r="Y71" s="105"/>
      <c r="Z71" s="105"/>
      <c r="AA71" s="105"/>
      <c r="AB71" s="105"/>
      <c r="AC71" s="105"/>
      <c r="AD71" s="105"/>
      <c r="AE71" s="105"/>
      <c r="AF71" s="105"/>
      <c r="AG71" s="105"/>
      <c r="AH71" s="105"/>
      <c r="AI71" s="105"/>
      <c r="AJ71" s="105"/>
      <c r="AK71" s="105"/>
      <c r="AL71" s="105"/>
      <c r="AM71" s="105"/>
      <c r="AN71" s="105"/>
      <c r="AO71" s="105"/>
      <c r="AP71" s="105"/>
      <c r="AQ71" s="105"/>
      <c r="AR71" s="105"/>
      <c r="AS71" s="105"/>
      <c r="AT71" s="105"/>
      <c r="AU71" s="105"/>
      <c r="AV71" s="105"/>
      <c r="AW71" s="105"/>
      <c r="AX71" s="105"/>
      <c r="AY71" s="105"/>
      <c r="AZ71" s="105"/>
      <c r="BA71" s="105"/>
      <c r="BB71" s="105"/>
      <c r="BC71" s="105"/>
      <c r="BD71" s="105"/>
      <c r="BE71" s="105"/>
      <c r="BF71" s="105"/>
      <c r="BG71" s="105"/>
      <c r="BH71" s="105"/>
      <c r="BI71" s="105"/>
      <c r="BJ71" s="105"/>
      <c r="BK71" s="105"/>
      <c r="BL71" s="105"/>
      <c r="BM71" s="105"/>
      <c r="BN71" s="105"/>
      <c r="BO71" s="105"/>
      <c r="BP71" s="105"/>
      <c r="BQ71" s="105"/>
      <c r="BR71" s="105"/>
      <c r="BS71" s="105"/>
      <c r="BT71" s="105"/>
      <c r="BU71" s="105"/>
    </row>
    <row r="72" spans="1:73" x14ac:dyDescent="0.25">
      <c r="A72" s="105"/>
      <c r="B72" s="105"/>
      <c r="C72" s="105"/>
      <c r="D72" s="105"/>
      <c r="E72" s="105"/>
      <c r="F72" s="105"/>
      <c r="G72" s="105"/>
      <c r="H72" s="105"/>
      <c r="I72" s="105"/>
      <c r="J72" s="105"/>
      <c r="K72" s="105"/>
      <c r="L72" s="105"/>
      <c r="M72" s="105"/>
      <c r="N72" s="105"/>
      <c r="O72" s="105"/>
      <c r="P72" s="105"/>
      <c r="Q72" s="105"/>
      <c r="R72" s="105"/>
      <c r="S72" s="105"/>
      <c r="T72" s="105"/>
      <c r="U72" s="105"/>
      <c r="V72" s="105"/>
      <c r="W72" s="105"/>
      <c r="X72" s="105"/>
      <c r="Y72" s="105"/>
      <c r="Z72" s="105"/>
      <c r="AA72" s="105"/>
      <c r="AB72" s="105"/>
      <c r="AC72" s="105"/>
      <c r="AD72" s="105"/>
      <c r="AE72" s="105"/>
      <c r="AF72" s="105"/>
      <c r="AG72" s="105"/>
      <c r="AH72" s="105"/>
      <c r="AI72" s="105"/>
      <c r="AJ72" s="105"/>
      <c r="AK72" s="105"/>
      <c r="AL72" s="105"/>
      <c r="AM72" s="105"/>
      <c r="AN72" s="105"/>
      <c r="AO72" s="105"/>
      <c r="AP72" s="105"/>
      <c r="AQ72" s="105"/>
      <c r="AR72" s="105"/>
      <c r="AS72" s="105"/>
      <c r="AT72" s="105"/>
      <c r="AU72" s="105"/>
      <c r="AV72" s="105"/>
      <c r="AW72" s="105"/>
      <c r="AX72" s="105"/>
      <c r="AY72" s="105"/>
      <c r="AZ72" s="105"/>
      <c r="BA72" s="105"/>
      <c r="BB72" s="105"/>
      <c r="BC72" s="105"/>
      <c r="BD72" s="105"/>
      <c r="BE72" s="105"/>
      <c r="BF72" s="105"/>
      <c r="BG72" s="105"/>
      <c r="BH72" s="105"/>
      <c r="BI72" s="105"/>
      <c r="BJ72" s="105"/>
      <c r="BK72" s="105"/>
      <c r="BL72" s="105"/>
      <c r="BM72" s="105"/>
      <c r="BN72" s="105"/>
      <c r="BO72" s="105"/>
      <c r="BP72" s="105"/>
      <c r="BQ72" s="105"/>
      <c r="BR72" s="105"/>
      <c r="BS72" s="105"/>
      <c r="BT72" s="105"/>
      <c r="BU72" s="105"/>
    </row>
    <row r="73" spans="1:73" x14ac:dyDescent="0.25">
      <c r="A73" s="105"/>
      <c r="B73" s="105"/>
      <c r="C73" s="105"/>
      <c r="D73" s="105"/>
      <c r="E73" s="105"/>
      <c r="F73" s="105"/>
      <c r="G73" s="105"/>
      <c r="H73" s="105"/>
      <c r="I73" s="105"/>
      <c r="J73" s="105"/>
      <c r="K73" s="105"/>
      <c r="L73" s="105"/>
      <c r="M73" s="105"/>
      <c r="N73" s="105"/>
      <c r="O73" s="105"/>
      <c r="P73" s="105"/>
      <c r="Q73" s="105"/>
      <c r="R73" s="105"/>
      <c r="S73" s="105"/>
      <c r="T73" s="105"/>
      <c r="U73" s="105"/>
      <c r="V73" s="105"/>
      <c r="W73" s="105"/>
      <c r="X73" s="105"/>
      <c r="Y73" s="105"/>
      <c r="Z73" s="105"/>
      <c r="AA73" s="105"/>
      <c r="AB73" s="105"/>
      <c r="AC73" s="105"/>
      <c r="AD73" s="105"/>
      <c r="AE73" s="105"/>
      <c r="AF73" s="105"/>
      <c r="AG73" s="105"/>
      <c r="AH73" s="105"/>
      <c r="AI73" s="105"/>
      <c r="AJ73" s="105"/>
      <c r="AK73" s="105"/>
      <c r="AL73" s="105"/>
      <c r="AM73" s="105"/>
      <c r="AN73" s="105"/>
      <c r="AO73" s="105"/>
      <c r="AP73" s="105"/>
      <c r="AQ73" s="105"/>
      <c r="AR73" s="105"/>
      <c r="AS73" s="105"/>
      <c r="AT73" s="105"/>
      <c r="AU73" s="105"/>
      <c r="AV73" s="105"/>
      <c r="AW73" s="105"/>
      <c r="AX73" s="105"/>
      <c r="AY73" s="105"/>
      <c r="AZ73" s="105"/>
      <c r="BA73" s="105"/>
      <c r="BB73" s="105"/>
      <c r="BC73" s="105"/>
      <c r="BD73" s="105"/>
      <c r="BE73" s="105"/>
      <c r="BF73" s="105"/>
      <c r="BG73" s="105"/>
      <c r="BH73" s="105"/>
      <c r="BI73" s="105"/>
      <c r="BJ73" s="105"/>
      <c r="BK73" s="105"/>
      <c r="BL73" s="105"/>
      <c r="BM73" s="105"/>
      <c r="BN73" s="105"/>
      <c r="BO73" s="105"/>
      <c r="BP73" s="105"/>
      <c r="BQ73" s="105"/>
      <c r="BR73" s="105"/>
      <c r="BS73" s="105"/>
      <c r="BT73" s="105"/>
      <c r="BU73" s="105"/>
    </row>
    <row r="74" spans="1:73" x14ac:dyDescent="0.25">
      <c r="A74" s="105"/>
      <c r="B74" s="105"/>
      <c r="C74" s="105"/>
      <c r="D74" s="105"/>
      <c r="E74" s="105"/>
      <c r="F74" s="105"/>
      <c r="G74" s="105"/>
      <c r="H74" s="105"/>
      <c r="I74" s="105"/>
      <c r="J74" s="105"/>
      <c r="K74" s="105"/>
      <c r="L74" s="105"/>
      <c r="M74" s="105"/>
      <c r="N74" s="105"/>
      <c r="O74" s="105"/>
      <c r="P74" s="105"/>
      <c r="Q74" s="105"/>
      <c r="R74" s="105"/>
      <c r="S74" s="105"/>
      <c r="T74" s="105"/>
      <c r="U74" s="105"/>
      <c r="V74" s="105"/>
      <c r="W74" s="105"/>
      <c r="X74" s="105"/>
      <c r="Y74" s="105"/>
      <c r="Z74" s="105"/>
      <c r="AA74" s="105"/>
      <c r="AB74" s="105"/>
      <c r="AC74" s="105"/>
      <c r="AD74" s="105"/>
      <c r="AE74" s="105"/>
      <c r="AF74" s="105"/>
      <c r="AG74" s="105"/>
      <c r="AH74" s="105"/>
      <c r="AI74" s="105"/>
      <c r="AJ74" s="105"/>
      <c r="AK74" s="105"/>
      <c r="AL74" s="105"/>
      <c r="AM74" s="105"/>
      <c r="AN74" s="105"/>
      <c r="AO74" s="105"/>
      <c r="AP74" s="105"/>
      <c r="AQ74" s="105"/>
      <c r="AR74" s="105"/>
      <c r="AS74" s="105"/>
      <c r="AT74" s="105"/>
      <c r="AU74" s="105"/>
      <c r="AV74" s="105"/>
      <c r="AW74" s="105"/>
      <c r="AX74" s="105"/>
      <c r="AY74" s="105"/>
      <c r="AZ74" s="105"/>
      <c r="BA74" s="105"/>
      <c r="BB74" s="105"/>
      <c r="BC74" s="105"/>
      <c r="BD74" s="105"/>
      <c r="BE74" s="105"/>
      <c r="BF74" s="105"/>
      <c r="BG74" s="105"/>
      <c r="BH74" s="105"/>
      <c r="BI74" s="105"/>
      <c r="BJ74" s="105"/>
      <c r="BK74" s="105"/>
      <c r="BL74" s="105"/>
      <c r="BM74" s="105"/>
      <c r="BN74" s="105"/>
      <c r="BO74" s="105"/>
      <c r="BP74" s="105"/>
      <c r="BQ74" s="105"/>
      <c r="BR74" s="105"/>
      <c r="BS74" s="105"/>
      <c r="BT74" s="105"/>
      <c r="BU74" s="105"/>
    </row>
    <row r="75" spans="1:73" x14ac:dyDescent="0.25">
      <c r="A75" s="105"/>
      <c r="B75" s="105"/>
      <c r="C75" s="105"/>
      <c r="D75" s="105"/>
      <c r="E75" s="105"/>
      <c r="F75" s="105"/>
      <c r="G75" s="105"/>
      <c r="H75" s="105"/>
      <c r="I75" s="105"/>
      <c r="J75" s="105"/>
      <c r="K75" s="105"/>
      <c r="L75" s="105"/>
      <c r="M75" s="105"/>
      <c r="N75" s="105"/>
      <c r="O75" s="105"/>
      <c r="P75" s="105"/>
      <c r="Q75" s="105"/>
      <c r="R75" s="105"/>
      <c r="S75" s="105"/>
      <c r="T75" s="105"/>
      <c r="U75" s="105"/>
      <c r="V75" s="105"/>
      <c r="W75" s="105"/>
      <c r="X75" s="105"/>
      <c r="Y75" s="105"/>
      <c r="Z75" s="105"/>
      <c r="AA75" s="105"/>
      <c r="AB75" s="105"/>
      <c r="AC75" s="105"/>
      <c r="AD75" s="105"/>
      <c r="AE75" s="105"/>
      <c r="AF75" s="105"/>
      <c r="AG75" s="105"/>
      <c r="AH75" s="105"/>
      <c r="AI75" s="105"/>
      <c r="AJ75" s="105"/>
      <c r="AK75" s="105"/>
      <c r="AL75" s="105"/>
      <c r="AM75" s="105"/>
      <c r="AN75" s="105"/>
      <c r="AO75" s="105"/>
      <c r="AP75" s="105"/>
      <c r="AQ75" s="105"/>
      <c r="AR75" s="105"/>
      <c r="AS75" s="105"/>
      <c r="AT75" s="105"/>
      <c r="AU75" s="105"/>
      <c r="AV75" s="105"/>
      <c r="AW75" s="105"/>
      <c r="AX75" s="105"/>
      <c r="AY75" s="105"/>
      <c r="AZ75" s="105"/>
      <c r="BA75" s="105"/>
      <c r="BB75" s="105"/>
      <c r="BC75" s="105"/>
      <c r="BD75" s="105"/>
      <c r="BE75" s="105"/>
      <c r="BF75" s="105"/>
      <c r="BG75" s="105"/>
      <c r="BH75" s="105"/>
      <c r="BI75" s="105"/>
      <c r="BJ75" s="105"/>
      <c r="BK75" s="105"/>
      <c r="BL75" s="105"/>
      <c r="BM75" s="105"/>
      <c r="BN75" s="105"/>
      <c r="BO75" s="105"/>
      <c r="BP75" s="105"/>
      <c r="BQ75" s="105"/>
      <c r="BR75" s="105"/>
      <c r="BS75" s="105"/>
      <c r="BT75" s="105"/>
      <c r="BU75" s="105"/>
    </row>
    <row r="76" spans="1:73" x14ac:dyDescent="0.25">
      <c r="A76" s="105"/>
      <c r="B76" s="105"/>
      <c r="C76" s="105"/>
      <c r="D76" s="105"/>
      <c r="E76" s="105"/>
      <c r="F76" s="105"/>
      <c r="G76" s="105"/>
      <c r="H76" s="105"/>
      <c r="I76" s="105"/>
      <c r="J76" s="105"/>
      <c r="K76" s="105"/>
      <c r="L76" s="105"/>
      <c r="M76" s="105"/>
      <c r="N76" s="105"/>
      <c r="O76" s="105"/>
      <c r="P76" s="105"/>
      <c r="Q76" s="105"/>
      <c r="R76" s="105"/>
      <c r="S76" s="105"/>
      <c r="T76" s="105"/>
      <c r="U76" s="105"/>
      <c r="V76" s="105"/>
      <c r="W76" s="105"/>
      <c r="X76" s="105"/>
      <c r="Y76" s="105"/>
      <c r="Z76" s="105"/>
      <c r="AA76" s="105"/>
      <c r="AB76" s="105"/>
      <c r="AC76" s="105"/>
      <c r="AD76" s="105"/>
      <c r="AE76" s="105"/>
      <c r="AF76" s="105"/>
      <c r="AG76" s="105"/>
      <c r="AH76" s="105"/>
      <c r="AI76" s="105"/>
      <c r="AJ76" s="105"/>
      <c r="AK76" s="105"/>
      <c r="AL76" s="105"/>
      <c r="AM76" s="105"/>
      <c r="AN76" s="105"/>
      <c r="AO76" s="105"/>
      <c r="AP76" s="105"/>
      <c r="AQ76" s="105"/>
      <c r="AR76" s="105"/>
      <c r="AS76" s="105"/>
      <c r="AT76" s="105"/>
      <c r="AU76" s="105"/>
      <c r="AV76" s="105"/>
      <c r="AW76" s="105"/>
      <c r="AX76" s="105"/>
      <c r="AY76" s="105"/>
      <c r="AZ76" s="105"/>
      <c r="BA76" s="105"/>
      <c r="BB76" s="105"/>
      <c r="BC76" s="105"/>
      <c r="BD76" s="105"/>
      <c r="BE76" s="105"/>
      <c r="BF76" s="105"/>
      <c r="BG76" s="105"/>
      <c r="BH76" s="105"/>
      <c r="BI76" s="105"/>
      <c r="BJ76" s="105"/>
      <c r="BK76" s="105"/>
      <c r="BL76" s="105"/>
      <c r="BM76" s="105"/>
      <c r="BN76" s="105"/>
      <c r="BO76" s="105"/>
      <c r="BP76" s="105"/>
      <c r="BQ76" s="105"/>
      <c r="BR76" s="105"/>
      <c r="BS76" s="105"/>
      <c r="BT76" s="105"/>
      <c r="BU76" s="105"/>
    </row>
    <row r="77" spans="1:73" x14ac:dyDescent="0.25">
      <c r="A77" s="105"/>
      <c r="B77" s="105"/>
      <c r="C77" s="105"/>
      <c r="D77" s="105"/>
      <c r="E77" s="105"/>
      <c r="F77" s="105"/>
      <c r="G77" s="105"/>
      <c r="H77" s="105"/>
      <c r="I77" s="105"/>
      <c r="J77" s="105"/>
      <c r="K77" s="105"/>
      <c r="L77" s="105"/>
      <c r="M77" s="105"/>
      <c r="N77" s="105"/>
      <c r="O77" s="105"/>
      <c r="P77" s="105"/>
      <c r="Q77" s="105"/>
      <c r="R77" s="105"/>
      <c r="S77" s="105"/>
      <c r="T77" s="105"/>
      <c r="U77" s="105"/>
      <c r="V77" s="105"/>
      <c r="W77" s="105"/>
      <c r="X77" s="105"/>
      <c r="Y77" s="105"/>
      <c r="Z77" s="105"/>
      <c r="AA77" s="105"/>
      <c r="AB77" s="105"/>
      <c r="AC77" s="105"/>
      <c r="AD77" s="105"/>
      <c r="AE77" s="105"/>
      <c r="AF77" s="105"/>
      <c r="AG77" s="105"/>
      <c r="AH77" s="105"/>
      <c r="AI77" s="105"/>
      <c r="AJ77" s="105"/>
      <c r="AK77" s="105"/>
      <c r="AL77" s="105"/>
      <c r="AM77" s="105"/>
      <c r="AN77" s="105"/>
      <c r="AO77" s="105"/>
      <c r="AP77" s="105"/>
      <c r="AQ77" s="105"/>
      <c r="AR77" s="105"/>
      <c r="AS77" s="105"/>
      <c r="AT77" s="105"/>
      <c r="AU77" s="105"/>
      <c r="AV77" s="105"/>
      <c r="AW77" s="105"/>
      <c r="AX77" s="105"/>
      <c r="AY77" s="105"/>
      <c r="AZ77" s="105"/>
      <c r="BA77" s="105"/>
      <c r="BB77" s="105"/>
      <c r="BC77" s="105"/>
      <c r="BD77" s="105"/>
      <c r="BE77" s="105"/>
      <c r="BF77" s="105"/>
      <c r="BG77" s="105"/>
      <c r="BH77" s="105"/>
      <c r="BI77" s="105"/>
      <c r="BJ77" s="105"/>
      <c r="BK77" s="105"/>
      <c r="BL77" s="105"/>
      <c r="BM77" s="105"/>
      <c r="BN77" s="105"/>
      <c r="BO77" s="105"/>
      <c r="BP77" s="105"/>
      <c r="BQ77" s="105"/>
      <c r="BR77" s="105"/>
      <c r="BS77" s="105"/>
      <c r="BT77" s="105"/>
      <c r="BU77" s="105"/>
    </row>
    <row r="78" spans="1:73" x14ac:dyDescent="0.25">
      <c r="A78" s="105"/>
      <c r="B78" s="105"/>
      <c r="C78" s="105"/>
      <c r="D78" s="105"/>
      <c r="E78" s="105"/>
      <c r="F78" s="105"/>
      <c r="G78" s="105"/>
      <c r="H78" s="105"/>
      <c r="I78" s="105"/>
      <c r="J78" s="105"/>
      <c r="K78" s="105"/>
      <c r="L78" s="105"/>
      <c r="M78" s="105"/>
      <c r="N78" s="105"/>
      <c r="O78" s="105"/>
      <c r="P78" s="105"/>
      <c r="Q78" s="105"/>
      <c r="R78" s="105"/>
      <c r="S78" s="105"/>
      <c r="T78" s="105"/>
      <c r="U78" s="105"/>
      <c r="V78" s="105"/>
      <c r="W78" s="105"/>
      <c r="X78" s="105"/>
      <c r="Y78" s="105"/>
      <c r="Z78" s="105"/>
      <c r="AA78" s="105"/>
      <c r="AB78" s="105"/>
      <c r="AC78" s="105"/>
      <c r="AD78" s="105"/>
      <c r="AE78" s="105"/>
      <c r="AF78" s="105"/>
      <c r="AG78" s="105"/>
      <c r="AH78" s="105"/>
      <c r="AI78" s="105"/>
      <c r="AJ78" s="105"/>
      <c r="AK78" s="105"/>
      <c r="AL78" s="105"/>
      <c r="AM78" s="105"/>
      <c r="AN78" s="105"/>
      <c r="AO78" s="105"/>
      <c r="AP78" s="105"/>
      <c r="AQ78" s="105"/>
      <c r="AR78" s="105"/>
      <c r="AS78" s="105"/>
      <c r="AT78" s="105"/>
      <c r="AU78" s="105"/>
      <c r="AV78" s="105"/>
      <c r="AW78" s="105"/>
      <c r="AX78" s="105"/>
      <c r="AY78" s="105"/>
      <c r="AZ78" s="105"/>
      <c r="BA78" s="105"/>
      <c r="BB78" s="105"/>
      <c r="BC78" s="105"/>
      <c r="BD78" s="105"/>
      <c r="BE78" s="105"/>
      <c r="BF78" s="105"/>
      <c r="BG78" s="105"/>
      <c r="BH78" s="105"/>
      <c r="BI78" s="105"/>
      <c r="BJ78" s="105"/>
      <c r="BK78" s="105"/>
      <c r="BL78" s="105"/>
      <c r="BM78" s="105"/>
      <c r="BN78" s="105"/>
      <c r="BO78" s="105"/>
      <c r="BP78" s="105"/>
      <c r="BQ78" s="105"/>
      <c r="BR78" s="105"/>
      <c r="BS78" s="105"/>
      <c r="BT78" s="105"/>
      <c r="BU78" s="105"/>
    </row>
    <row r="79" spans="1:73" x14ac:dyDescent="0.25">
      <c r="A79" s="105"/>
      <c r="B79" s="105"/>
      <c r="C79" s="105"/>
      <c r="D79" s="105"/>
      <c r="E79" s="105"/>
      <c r="F79" s="105"/>
      <c r="G79" s="105"/>
      <c r="H79" s="105"/>
      <c r="I79" s="105"/>
      <c r="J79" s="105"/>
      <c r="K79" s="105"/>
      <c r="L79" s="105"/>
      <c r="M79" s="105"/>
      <c r="N79" s="105"/>
      <c r="O79" s="105"/>
      <c r="P79" s="105"/>
      <c r="Q79" s="105"/>
      <c r="R79" s="105"/>
      <c r="S79" s="105"/>
      <c r="T79" s="105"/>
      <c r="U79" s="105"/>
      <c r="V79" s="105"/>
      <c r="W79" s="105"/>
      <c r="X79" s="105"/>
      <c r="Y79" s="105"/>
      <c r="Z79" s="105"/>
      <c r="AA79" s="105"/>
      <c r="AB79" s="105"/>
      <c r="AC79" s="105"/>
      <c r="AD79" s="105"/>
      <c r="AE79" s="105"/>
      <c r="AF79" s="105"/>
      <c r="AG79" s="105"/>
      <c r="AH79" s="105"/>
      <c r="AI79" s="105"/>
      <c r="AJ79" s="105"/>
      <c r="AK79" s="105"/>
      <c r="AL79" s="105"/>
      <c r="AM79" s="105"/>
      <c r="AN79" s="105"/>
      <c r="AO79" s="105"/>
      <c r="AP79" s="105"/>
      <c r="AQ79" s="105"/>
      <c r="AR79" s="105"/>
      <c r="AS79" s="105"/>
      <c r="AT79" s="105"/>
      <c r="AU79" s="105"/>
      <c r="AV79" s="105"/>
      <c r="AW79" s="105"/>
      <c r="AX79" s="105"/>
      <c r="AY79" s="105"/>
      <c r="AZ79" s="105"/>
      <c r="BA79" s="105"/>
      <c r="BB79" s="105"/>
      <c r="BC79" s="105"/>
      <c r="BD79" s="105"/>
      <c r="BE79" s="105"/>
      <c r="BF79" s="105"/>
      <c r="BG79" s="105"/>
      <c r="BH79" s="105"/>
      <c r="BI79" s="105"/>
      <c r="BJ79" s="105"/>
      <c r="BK79" s="105"/>
      <c r="BL79" s="105"/>
      <c r="BM79" s="105"/>
      <c r="BN79" s="105"/>
      <c r="BO79" s="105"/>
      <c r="BP79" s="105"/>
      <c r="BQ79" s="105"/>
      <c r="BR79" s="105"/>
      <c r="BS79" s="105"/>
      <c r="BT79" s="105"/>
      <c r="BU79" s="105"/>
    </row>
    <row r="80" spans="1:73" x14ac:dyDescent="0.25">
      <c r="A80" s="105"/>
      <c r="B80" s="105"/>
      <c r="C80" s="105"/>
      <c r="D80" s="105"/>
      <c r="E80" s="105"/>
      <c r="F80" s="105"/>
      <c r="G80" s="105"/>
      <c r="H80" s="105"/>
      <c r="I80" s="105"/>
      <c r="J80" s="105"/>
      <c r="K80" s="105"/>
      <c r="L80" s="105"/>
      <c r="M80" s="105"/>
      <c r="N80" s="105"/>
      <c r="O80" s="105"/>
      <c r="P80" s="105"/>
      <c r="Q80" s="105"/>
      <c r="R80" s="105"/>
      <c r="S80" s="105"/>
      <c r="T80" s="105"/>
      <c r="U80" s="105"/>
      <c r="V80" s="105"/>
      <c r="W80" s="105"/>
      <c r="X80" s="105"/>
      <c r="Y80" s="105"/>
      <c r="Z80" s="105"/>
      <c r="AA80" s="105"/>
      <c r="AB80" s="105"/>
      <c r="AC80" s="105"/>
      <c r="AD80" s="105"/>
      <c r="AE80" s="105"/>
      <c r="AF80" s="105"/>
      <c r="AG80" s="105"/>
      <c r="AH80" s="105"/>
      <c r="AI80" s="105"/>
      <c r="AJ80" s="105"/>
      <c r="AK80" s="105"/>
      <c r="AL80" s="105"/>
      <c r="AM80" s="105"/>
      <c r="AN80" s="105"/>
      <c r="AO80" s="105"/>
      <c r="AP80" s="105"/>
      <c r="AQ80" s="105"/>
      <c r="AR80" s="105"/>
      <c r="AS80" s="105"/>
      <c r="AT80" s="105"/>
      <c r="AU80" s="105"/>
      <c r="AV80" s="105"/>
      <c r="AW80" s="105"/>
      <c r="AX80" s="105"/>
      <c r="AY80" s="105"/>
      <c r="AZ80" s="105"/>
      <c r="BA80" s="105"/>
      <c r="BB80" s="105"/>
      <c r="BC80" s="105"/>
      <c r="BD80" s="105"/>
      <c r="BE80" s="105"/>
      <c r="BF80" s="105"/>
      <c r="BG80" s="105"/>
      <c r="BH80" s="105"/>
      <c r="BI80" s="105"/>
      <c r="BJ80" s="105"/>
      <c r="BK80" s="105"/>
      <c r="BL80" s="105"/>
      <c r="BM80" s="105"/>
      <c r="BN80" s="105"/>
      <c r="BO80" s="105"/>
      <c r="BP80" s="105"/>
      <c r="BQ80" s="105"/>
      <c r="BR80" s="105"/>
      <c r="BS80" s="105"/>
      <c r="BT80" s="105"/>
      <c r="BU80" s="105"/>
    </row>
    <row r="81" spans="1:73" x14ac:dyDescent="0.25">
      <c r="A81" s="105"/>
      <c r="B81" s="105"/>
      <c r="C81" s="105"/>
      <c r="D81" s="105"/>
      <c r="E81" s="105"/>
      <c r="F81" s="105"/>
      <c r="G81" s="105"/>
      <c r="H81" s="105"/>
      <c r="I81" s="105"/>
      <c r="J81" s="105"/>
      <c r="K81" s="105"/>
      <c r="L81" s="105"/>
      <c r="M81" s="105"/>
      <c r="N81" s="105"/>
      <c r="O81" s="105"/>
      <c r="P81" s="105"/>
      <c r="Q81" s="105"/>
      <c r="R81" s="105"/>
      <c r="S81" s="105"/>
      <c r="T81" s="105"/>
      <c r="U81" s="105"/>
      <c r="V81" s="105"/>
      <c r="W81" s="105"/>
      <c r="X81" s="105"/>
      <c r="Y81" s="105"/>
      <c r="Z81" s="105"/>
      <c r="AA81" s="105"/>
      <c r="AB81" s="105"/>
      <c r="AC81" s="105"/>
      <c r="AD81" s="105"/>
      <c r="AE81" s="105"/>
      <c r="AF81" s="105"/>
      <c r="AG81" s="105"/>
      <c r="AH81" s="105"/>
      <c r="AI81" s="105"/>
      <c r="AJ81" s="105"/>
      <c r="AK81" s="105"/>
      <c r="AL81" s="105"/>
      <c r="AM81" s="105"/>
      <c r="AN81" s="105"/>
      <c r="AO81" s="105"/>
      <c r="AP81" s="105"/>
      <c r="AQ81" s="105"/>
      <c r="AR81" s="105"/>
      <c r="AS81" s="105"/>
      <c r="AT81" s="105"/>
      <c r="AU81" s="105"/>
      <c r="AV81" s="105"/>
      <c r="AW81" s="105"/>
      <c r="AX81" s="105"/>
      <c r="AY81" s="105"/>
      <c r="AZ81" s="105"/>
      <c r="BA81" s="105"/>
      <c r="BB81" s="105"/>
      <c r="BC81" s="105"/>
      <c r="BD81" s="105"/>
      <c r="BE81" s="105"/>
      <c r="BF81" s="105"/>
      <c r="BG81" s="105"/>
      <c r="BH81" s="105"/>
      <c r="BI81" s="105"/>
      <c r="BJ81" s="105"/>
      <c r="BK81" s="105"/>
      <c r="BL81" s="105"/>
      <c r="BM81" s="105"/>
      <c r="BN81" s="105"/>
      <c r="BO81" s="105"/>
      <c r="BP81" s="105"/>
      <c r="BQ81" s="105"/>
      <c r="BR81" s="105"/>
      <c r="BS81" s="105"/>
      <c r="BT81" s="105"/>
      <c r="BU81" s="105"/>
    </row>
    <row r="82" spans="1:73" x14ac:dyDescent="0.25">
      <c r="A82" s="105"/>
      <c r="B82" s="105"/>
      <c r="C82" s="105"/>
      <c r="D82" s="105"/>
      <c r="E82" s="105"/>
      <c r="F82" s="105"/>
      <c r="G82" s="105"/>
      <c r="H82" s="105"/>
      <c r="I82" s="105"/>
      <c r="J82" s="105"/>
      <c r="K82" s="105"/>
      <c r="L82" s="105"/>
      <c r="M82" s="105"/>
      <c r="N82" s="105"/>
      <c r="O82" s="105"/>
      <c r="P82" s="105"/>
      <c r="Q82" s="105"/>
      <c r="R82" s="105"/>
      <c r="S82" s="105"/>
      <c r="T82" s="105"/>
      <c r="U82" s="105"/>
      <c r="V82" s="105"/>
      <c r="W82" s="105"/>
      <c r="X82" s="105"/>
      <c r="Y82" s="105"/>
      <c r="Z82" s="105"/>
      <c r="AA82" s="105"/>
      <c r="AB82" s="105"/>
      <c r="AC82" s="105"/>
      <c r="AD82" s="105"/>
      <c r="AE82" s="105"/>
      <c r="AF82" s="105"/>
      <c r="AG82" s="105"/>
      <c r="AH82" s="105"/>
      <c r="AI82" s="105"/>
      <c r="AJ82" s="105"/>
      <c r="AK82" s="105"/>
      <c r="AL82" s="105"/>
      <c r="AM82" s="105"/>
      <c r="AN82" s="105"/>
      <c r="AO82" s="105"/>
      <c r="AP82" s="105"/>
      <c r="AQ82" s="105"/>
      <c r="AR82" s="105"/>
      <c r="AS82" s="105"/>
      <c r="AT82" s="105"/>
      <c r="AU82" s="105"/>
      <c r="AV82" s="105"/>
      <c r="AW82" s="105"/>
      <c r="AX82" s="105"/>
      <c r="AY82" s="105"/>
      <c r="AZ82" s="105"/>
      <c r="BA82" s="105"/>
      <c r="BB82" s="105"/>
      <c r="BC82" s="105"/>
      <c r="BD82" s="105"/>
      <c r="BE82" s="105"/>
      <c r="BF82" s="105"/>
      <c r="BG82" s="105"/>
      <c r="BH82" s="105"/>
      <c r="BI82" s="105"/>
      <c r="BJ82" s="105"/>
      <c r="BK82" s="105"/>
      <c r="BL82" s="105"/>
      <c r="BM82" s="105"/>
      <c r="BN82" s="105"/>
      <c r="BO82" s="105"/>
      <c r="BP82" s="105"/>
      <c r="BQ82" s="105"/>
      <c r="BR82" s="105"/>
      <c r="BS82" s="105"/>
      <c r="BT82" s="105"/>
      <c r="BU82" s="105"/>
    </row>
  </sheetData>
  <mergeCells count="194">
    <mergeCell ref="W27:AD27"/>
    <mergeCell ref="AG27:AI27"/>
    <mergeCell ref="AI33:AP33"/>
    <mergeCell ref="AI32:AP32"/>
    <mergeCell ref="AJ27:AT27"/>
    <mergeCell ref="AE27:AF27"/>
    <mergeCell ref="A30:BE30"/>
    <mergeCell ref="A21:P21"/>
    <mergeCell ref="Q21:BE21"/>
    <mergeCell ref="BB31:BC33"/>
    <mergeCell ref="BB29:BC29"/>
    <mergeCell ref="BB28:BC28"/>
    <mergeCell ref="BB27:BC27"/>
    <mergeCell ref="BB26:BC26"/>
    <mergeCell ref="BE31:BE33"/>
    <mergeCell ref="U31:AA31"/>
    <mergeCell ref="L29:S29"/>
    <mergeCell ref="T29:AT29"/>
    <mergeCell ref="A26:K26"/>
    <mergeCell ref="L26:U26"/>
    <mergeCell ref="A23:BE23"/>
    <mergeCell ref="BK49:BK50"/>
    <mergeCell ref="AQ32:AT32"/>
    <mergeCell ref="AQ31:AT31"/>
    <mergeCell ref="BF24:BH25"/>
    <mergeCell ref="BK31:BK32"/>
    <mergeCell ref="AJ15:AP15"/>
    <mergeCell ref="AQ15:BE15"/>
    <mergeCell ref="AU46:BA46"/>
    <mergeCell ref="AU50:BA50"/>
    <mergeCell ref="A25:BE25"/>
    <mergeCell ref="AH24:AT24"/>
    <mergeCell ref="AC24:AG24"/>
    <mergeCell ref="AZ24:BE24"/>
    <mergeCell ref="AT19:AW19"/>
    <mergeCell ref="AX19:BE19"/>
    <mergeCell ref="AU24:AY24"/>
    <mergeCell ref="Q24:AB24"/>
    <mergeCell ref="A24:P24"/>
    <mergeCell ref="AU26:BA26"/>
    <mergeCell ref="A31:K31"/>
    <mergeCell ref="AU27:BA27"/>
    <mergeCell ref="AU39:BA39"/>
    <mergeCell ref="A17:H17"/>
    <mergeCell ref="I17:BE17"/>
    <mergeCell ref="A14:J14"/>
    <mergeCell ref="Y14:AI14"/>
    <mergeCell ref="AJ14:BE14"/>
    <mergeCell ref="A15:J15"/>
    <mergeCell ref="Y15:AI15"/>
    <mergeCell ref="K15:X15"/>
    <mergeCell ref="AS9:BE9"/>
    <mergeCell ref="K14:X14"/>
    <mergeCell ref="I20:J20"/>
    <mergeCell ref="O20:U20"/>
    <mergeCell ref="V18:X18"/>
    <mergeCell ref="Y18:AL18"/>
    <mergeCell ref="K19:U19"/>
    <mergeCell ref="A19:J19"/>
    <mergeCell ref="AQ19:AS19"/>
    <mergeCell ref="Y19:AP19"/>
    <mergeCell ref="Y20:AE20"/>
    <mergeCell ref="AF20:BE20"/>
    <mergeCell ref="Y16:AR16"/>
    <mergeCell ref="AS16:AX16"/>
    <mergeCell ref="AY16:BE16"/>
    <mergeCell ref="K20:N20"/>
    <mergeCell ref="A20:H20"/>
    <mergeCell ref="A16:J16"/>
    <mergeCell ref="A35:K35"/>
    <mergeCell ref="AQ33:AT33"/>
    <mergeCell ref="L28:AT28"/>
    <mergeCell ref="BB36:BC36"/>
    <mergeCell ref="AB35:AT35"/>
    <mergeCell ref="L33:AH33"/>
    <mergeCell ref="L31:T31"/>
    <mergeCell ref="L35:AA35"/>
    <mergeCell ref="AU35:BA35"/>
    <mergeCell ref="A33:K33"/>
    <mergeCell ref="A34:BE34"/>
    <mergeCell ref="BB35:BC35"/>
    <mergeCell ref="A36:K36"/>
    <mergeCell ref="AI31:AP31"/>
    <mergeCell ref="AU28:BA28"/>
    <mergeCell ref="AU29:BA29"/>
    <mergeCell ref="AU31:BA33"/>
    <mergeCell ref="AM1:BE1"/>
    <mergeCell ref="A1:T1"/>
    <mergeCell ref="U1:AL1"/>
    <mergeCell ref="A10:BE11"/>
    <mergeCell ref="AQ5:BE5"/>
    <mergeCell ref="AJ5:AP5"/>
    <mergeCell ref="AD5:AI5"/>
    <mergeCell ref="AB5:AC5"/>
    <mergeCell ref="A13:BE13"/>
    <mergeCell ref="A6:BE6"/>
    <mergeCell ref="A3:BE3"/>
    <mergeCell ref="A4:BE4"/>
    <mergeCell ref="A5:M5"/>
    <mergeCell ref="N5:W5"/>
    <mergeCell ref="X5:AA5"/>
    <mergeCell ref="A12:BE12"/>
    <mergeCell ref="AO8:BE8"/>
    <mergeCell ref="A9:J9"/>
    <mergeCell ref="A8:J8"/>
    <mergeCell ref="K8:AD8"/>
    <mergeCell ref="K9:AD9"/>
    <mergeCell ref="AF8:AN8"/>
    <mergeCell ref="AF9:AR9"/>
    <mergeCell ref="A64:BE65"/>
    <mergeCell ref="AI46:AT46"/>
    <mergeCell ref="A37:K37"/>
    <mergeCell ref="A53:K53"/>
    <mergeCell ref="U37:AJ37"/>
    <mergeCell ref="AP40:AT40"/>
    <mergeCell ref="AK40:AO40"/>
    <mergeCell ref="AG40:AJ40"/>
    <mergeCell ref="BB39:BE39"/>
    <mergeCell ref="AM37:AT37"/>
    <mergeCell ref="L39:AA39"/>
    <mergeCell ref="AB39:AH39"/>
    <mergeCell ref="A43:K43"/>
    <mergeCell ref="A55:BE56"/>
    <mergeCell ref="AV37:BA37"/>
    <mergeCell ref="BB37:BC37"/>
    <mergeCell ref="BB40:BC40"/>
    <mergeCell ref="BB42:BC42"/>
    <mergeCell ref="BB43:BC43"/>
    <mergeCell ref="BB44:BC44"/>
    <mergeCell ref="BB45:BC45"/>
    <mergeCell ref="BB46:BC46"/>
    <mergeCell ref="BB47:BC47"/>
    <mergeCell ref="BB48:BC48"/>
    <mergeCell ref="A66:BE66"/>
    <mergeCell ref="A49:BE49"/>
    <mergeCell ref="L50:AD50"/>
    <mergeCell ref="AE50:AT50"/>
    <mergeCell ref="AU36:BA36"/>
    <mergeCell ref="L48:AT48"/>
    <mergeCell ref="A42:K42"/>
    <mergeCell ref="A44:K44"/>
    <mergeCell ref="AU40:BA40"/>
    <mergeCell ref="AU42:BA42"/>
    <mergeCell ref="AU43:BA43"/>
    <mergeCell ref="AU44:BA44"/>
    <mergeCell ref="L36:AA36"/>
    <mergeCell ref="AB36:AJ36"/>
    <mergeCell ref="AM36:AT36"/>
    <mergeCell ref="AI39:AT39"/>
    <mergeCell ref="A51:BE51"/>
    <mergeCell ref="L42:AT42"/>
    <mergeCell ref="A40:K40"/>
    <mergeCell ref="A45:K45"/>
    <mergeCell ref="AU45:BA45"/>
    <mergeCell ref="AU48:BA48"/>
    <mergeCell ref="X40:AF40"/>
    <mergeCell ref="L40:W40"/>
    <mergeCell ref="K16:U16"/>
    <mergeCell ref="A18:H18"/>
    <mergeCell ref="AM18:BE18"/>
    <mergeCell ref="A57:BE57"/>
    <mergeCell ref="A47:K47"/>
    <mergeCell ref="A41:BE41"/>
    <mergeCell ref="A38:BE38"/>
    <mergeCell ref="AR53:BA53"/>
    <mergeCell ref="A46:K46"/>
    <mergeCell ref="L53:AP53"/>
    <mergeCell ref="A29:K29"/>
    <mergeCell ref="I18:U18"/>
    <mergeCell ref="V16:X16"/>
    <mergeCell ref="A54:BE54"/>
    <mergeCell ref="A52:BE52"/>
    <mergeCell ref="L27:V27"/>
    <mergeCell ref="A28:K28"/>
    <mergeCell ref="A27:K27"/>
    <mergeCell ref="A50:K50"/>
    <mergeCell ref="L47:AT47"/>
    <mergeCell ref="AB31:AH31"/>
    <mergeCell ref="A32:K32"/>
    <mergeCell ref="L32:AH32"/>
    <mergeCell ref="L37:T37"/>
    <mergeCell ref="L43:AT43"/>
    <mergeCell ref="L46:AH46"/>
    <mergeCell ref="BJ55:BJ57"/>
    <mergeCell ref="BG37:BH38"/>
    <mergeCell ref="AU47:BA47"/>
    <mergeCell ref="A58:BE58"/>
    <mergeCell ref="A39:K39"/>
    <mergeCell ref="A48:K48"/>
    <mergeCell ref="BH50:BI50"/>
    <mergeCell ref="BF53:BF56"/>
    <mergeCell ref="BB50:BC50"/>
    <mergeCell ref="L45:AT45"/>
    <mergeCell ref="L44:AT44"/>
  </mergeCells>
  <phoneticPr fontId="0" type="noConversion"/>
  <conditionalFormatting sqref="N5:AA5">
    <cfRule type="containsBlanks" dxfId="47" priority="9">
      <formula>LEN(TRIM(N5))=0</formula>
    </cfRule>
  </conditionalFormatting>
  <conditionalFormatting sqref="U31:AA31">
    <cfRule type="containsBlanks" dxfId="46" priority="8">
      <formula>LEN(TRIM(U31))=0</formula>
    </cfRule>
  </conditionalFormatting>
  <conditionalFormatting sqref="K20 AT19">
    <cfRule type="containsText" dxfId="45" priority="6" operator="containsText" text="YES">
      <formula>NOT(ISERROR(SEARCH("YES",K19)))</formula>
    </cfRule>
    <cfRule type="containsText" dxfId="44" priority="7" operator="containsText" text="OUI">
      <formula>NOT(ISERROR(SEARCH("OUI",K19)))</formula>
    </cfRule>
  </conditionalFormatting>
  <conditionalFormatting sqref="AQ15:BE15">
    <cfRule type="containsText" dxfId="43" priority="3" operator="containsText" text="ville obligatoire">
      <formula>NOT(ISERROR(SEARCH("ville obligatoire",AQ15)))</formula>
    </cfRule>
  </conditionalFormatting>
  <conditionalFormatting sqref="AX19:BE19">
    <cfRule type="expression" dxfId="42" priority="1">
      <formula>AQ19=TRUE</formula>
    </cfRule>
  </conditionalFormatting>
  <dataValidations count="2">
    <dataValidation type="list" allowBlank="1" showInputMessage="1" showErrorMessage="1" sqref="BH1" xr:uid="{D9AFA1EB-1403-4628-9223-BCFF9E05262A}">
      <formula1>"FR,GB"</formula1>
    </dataValidation>
    <dataValidation type="list" allowBlank="1" showInputMessage="1" showErrorMessage="1" sqref="AX19:BE19" xr:uid="{3A6B5357-60CE-460A-939B-5DF75912891A}">
      <formula1>"VOL PAX,VOL CAO,PAX FLIGHT,CAO FLIGHT"</formula1>
    </dataValidation>
  </dataValidations>
  <printOptions horizontalCentered="1"/>
  <pageMargins left="0.31496062992125984" right="0.31496062992125984" top="0.39370078740157483" bottom="0.39370078740157483" header="0.19685039370078741" footer="0.19685039370078741"/>
  <pageSetup paperSize="9" scale="92"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defaultSize="0" autoFill="0" autoLine="0" autoPict="0">
                <anchor moveWithCells="1">
                  <from>
                    <xdr:col>7</xdr:col>
                    <xdr:colOff>88900</xdr:colOff>
                    <xdr:row>18</xdr:row>
                    <xdr:rowOff>165100</xdr:rowOff>
                  </from>
                  <to>
                    <xdr:col>10</xdr:col>
                    <xdr:colOff>31750</xdr:colOff>
                    <xdr:row>20</xdr:row>
                    <xdr:rowOff>12700</xdr:rowOff>
                  </to>
                </anchor>
              </controlPr>
            </control>
          </mc:Choice>
        </mc:AlternateContent>
        <mc:AlternateContent xmlns:mc="http://schemas.openxmlformats.org/markup-compatibility/2006">
          <mc:Choice Requires="x14">
            <control shapeId="1035" r:id="rId5" name="Check Box 11">
              <controlPr defaultSize="0" autoFill="0" autoLine="0" autoPict="0">
                <anchor moveWithCells="1">
                  <from>
                    <xdr:col>42</xdr:col>
                    <xdr:colOff>57150</xdr:colOff>
                    <xdr:row>17</xdr:row>
                    <xdr:rowOff>171450</xdr:rowOff>
                  </from>
                  <to>
                    <xdr:col>45</xdr:col>
                    <xdr:colOff>0</xdr:colOff>
                    <xdr:row>19</xdr:row>
                    <xdr:rowOff>31750</xdr:rowOff>
                  </to>
                </anchor>
              </controlPr>
            </control>
          </mc:Choice>
        </mc:AlternateContent>
        <mc:AlternateContent xmlns:mc="http://schemas.openxmlformats.org/markup-compatibility/2006">
          <mc:Choice Requires="x14">
            <control shapeId="1097" r:id="rId6" name="Check Box 73">
              <controlPr defaultSize="0" autoFill="0" autoLine="0" autoPict="0">
                <anchor moveWithCells="1">
                  <from>
                    <xdr:col>32</xdr:col>
                    <xdr:colOff>31750</xdr:colOff>
                    <xdr:row>45</xdr:row>
                    <xdr:rowOff>19050</xdr:rowOff>
                  </from>
                  <to>
                    <xdr:col>34</xdr:col>
                    <xdr:colOff>107950</xdr:colOff>
                    <xdr:row>46</xdr:row>
                    <xdr:rowOff>0</xdr:rowOff>
                  </to>
                </anchor>
              </controlPr>
            </control>
          </mc:Choice>
        </mc:AlternateContent>
        <mc:AlternateContent xmlns:mc="http://schemas.openxmlformats.org/markup-compatibility/2006">
          <mc:Choice Requires="x14">
            <control shapeId="1106" r:id="rId7" name="Check Box 82">
              <controlPr defaultSize="0" autoFill="0" autoLine="0" autoPict="0">
                <anchor moveWithCells="1">
                  <from>
                    <xdr:col>27</xdr:col>
                    <xdr:colOff>0</xdr:colOff>
                    <xdr:row>37</xdr:row>
                    <xdr:rowOff>88900</xdr:rowOff>
                  </from>
                  <to>
                    <xdr:col>29</xdr:col>
                    <xdr:colOff>76200</xdr:colOff>
                    <xdr:row>39</xdr:row>
                    <xdr:rowOff>19050</xdr:rowOff>
                  </to>
                </anchor>
              </controlPr>
            </control>
          </mc:Choice>
        </mc:AlternateContent>
        <mc:AlternateContent xmlns:mc="http://schemas.openxmlformats.org/markup-compatibility/2006">
          <mc:Choice Requires="x14">
            <control shapeId="1130" r:id="rId8" name="Option Button 106">
              <controlPr defaultSize="0" autoFill="0" autoLine="0" autoPict="0">
                <anchor moveWithCells="1">
                  <from>
                    <xdr:col>27</xdr:col>
                    <xdr:colOff>0</xdr:colOff>
                    <xdr:row>35</xdr:row>
                    <xdr:rowOff>0</xdr:rowOff>
                  </from>
                  <to>
                    <xdr:col>37</xdr:col>
                    <xdr:colOff>76200</xdr:colOff>
                    <xdr:row>36</xdr:row>
                    <xdr:rowOff>0</xdr:rowOff>
                  </to>
                </anchor>
              </controlPr>
            </control>
          </mc:Choice>
        </mc:AlternateContent>
        <mc:AlternateContent xmlns:mc="http://schemas.openxmlformats.org/markup-compatibility/2006">
          <mc:Choice Requires="x14">
            <control shapeId="1131" r:id="rId9" name="Option Button 107">
              <controlPr defaultSize="0" autoFill="0" autoLine="0" autoPict="0">
                <anchor moveWithCells="1">
                  <from>
                    <xdr:col>38</xdr:col>
                    <xdr:colOff>0</xdr:colOff>
                    <xdr:row>35</xdr:row>
                    <xdr:rowOff>12700</xdr:rowOff>
                  </from>
                  <to>
                    <xdr:col>46</xdr:col>
                    <xdr:colOff>88900</xdr:colOff>
                    <xdr:row>35</xdr:row>
                    <xdr:rowOff>190500</xdr:rowOff>
                  </to>
                </anchor>
              </controlPr>
            </control>
          </mc:Choice>
        </mc:AlternateContent>
        <mc:AlternateContent xmlns:mc="http://schemas.openxmlformats.org/markup-compatibility/2006">
          <mc:Choice Requires="x14">
            <control shapeId="1132" r:id="rId10" name="Group Box 108">
              <controlPr defaultSize="0" autoFill="0" autoPict="0">
                <anchor moveWithCells="1">
                  <from>
                    <xdr:col>26</xdr:col>
                    <xdr:colOff>38100</xdr:colOff>
                    <xdr:row>34</xdr:row>
                    <xdr:rowOff>146050</xdr:rowOff>
                  </from>
                  <to>
                    <xdr:col>47</xdr:col>
                    <xdr:colOff>0</xdr:colOff>
                    <xdr:row>36</xdr:row>
                    <xdr:rowOff>31750</xdr:rowOff>
                  </to>
                </anchor>
              </controlPr>
            </control>
          </mc:Choice>
        </mc:AlternateContent>
        <mc:AlternateContent xmlns:mc="http://schemas.openxmlformats.org/markup-compatibility/2006">
          <mc:Choice Requires="x14">
            <control shapeId="1133" r:id="rId11" name="Option Button 109">
              <controlPr defaultSize="0" autoFill="0" autoLine="0" autoPict="0">
                <anchor moveWithCells="1">
                  <from>
                    <xdr:col>27</xdr:col>
                    <xdr:colOff>0</xdr:colOff>
                    <xdr:row>36</xdr:row>
                    <xdr:rowOff>0</xdr:rowOff>
                  </from>
                  <to>
                    <xdr:col>37</xdr:col>
                    <xdr:colOff>76200</xdr:colOff>
                    <xdr:row>37</xdr:row>
                    <xdr:rowOff>0</xdr:rowOff>
                  </to>
                </anchor>
              </controlPr>
            </control>
          </mc:Choice>
        </mc:AlternateContent>
        <mc:AlternateContent xmlns:mc="http://schemas.openxmlformats.org/markup-compatibility/2006">
          <mc:Choice Requires="x14">
            <control shapeId="1134" r:id="rId12" name="Option Button 110">
              <controlPr defaultSize="0" autoFill="0" autoLine="0" autoPict="0">
                <anchor moveWithCells="1">
                  <from>
                    <xdr:col>38</xdr:col>
                    <xdr:colOff>0</xdr:colOff>
                    <xdr:row>36</xdr:row>
                    <xdr:rowOff>12700</xdr:rowOff>
                  </from>
                  <to>
                    <xdr:col>46</xdr:col>
                    <xdr:colOff>88900</xdr:colOff>
                    <xdr:row>36</xdr:row>
                    <xdr:rowOff>190500</xdr:rowOff>
                  </to>
                </anchor>
              </controlPr>
            </control>
          </mc:Choice>
        </mc:AlternateContent>
        <mc:AlternateContent xmlns:mc="http://schemas.openxmlformats.org/markup-compatibility/2006">
          <mc:Choice Requires="x14">
            <control shapeId="1138" r:id="rId13" name="Button 114">
              <controlPr defaultSize="0" print="0" autoFill="0" autoPict="0" macro="[0]!new_number_cot">
                <anchor moveWithCells="1" sizeWithCells="1">
                  <from>
                    <xdr:col>42</xdr:col>
                    <xdr:colOff>31750</xdr:colOff>
                    <xdr:row>5</xdr:row>
                    <xdr:rowOff>12700</xdr:rowOff>
                  </from>
                  <to>
                    <xdr:col>56</xdr:col>
                    <xdr:colOff>107950</xdr:colOff>
                    <xdr:row>7</xdr:row>
                    <xdr:rowOff>31750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1000000}">
          <x14:formula1>
            <xm:f>Données!$A$2:$A$9</xm:f>
          </x14:formula1>
          <xm:sqref>AJ15:AP15</xm:sqref>
        </x14:dataValidation>
        <x14:dataValidation type="list" allowBlank="1" showInputMessage="1" showErrorMessage="1" xr:uid="{7F037F22-8578-4659-B677-D00875D3B603}">
          <x14:formula1>
            <xm:f>Données!$A$15:$A$17</xm:f>
          </x14:formula1>
          <xm:sqref>AQ5:BE5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D14CA-5874-4266-A38A-58324B60B9A2}">
  <sheetPr codeName="Feuil8">
    <pageSetUpPr fitToPage="1"/>
  </sheetPr>
  <dimension ref="A1:Q18"/>
  <sheetViews>
    <sheetView zoomScaleNormal="100" workbookViewId="0">
      <selection activeCell="B2" sqref="B2"/>
    </sheetView>
  </sheetViews>
  <sheetFormatPr baseColWidth="10" defaultColWidth="11.453125" defaultRowHeight="18" customHeight="1" x14ac:dyDescent="0.25"/>
  <cols>
    <col min="1" max="1" width="18" style="57" customWidth="1"/>
    <col min="2" max="2" width="11.1796875" style="57" customWidth="1"/>
    <col min="3" max="3" width="11.81640625" style="57" customWidth="1"/>
    <col min="4" max="11" width="11.453125" style="57"/>
    <col min="12" max="13" width="12.81640625" style="57" customWidth="1"/>
    <col min="14" max="14" width="11.453125" style="57"/>
    <col min="15" max="15" width="12.54296875" style="57" customWidth="1"/>
    <col min="16" max="16384" width="11.453125" style="57"/>
  </cols>
  <sheetData>
    <row r="1" spans="1:17" ht="30" customHeight="1" x14ac:dyDescent="0.25">
      <c r="A1" s="53"/>
      <c r="B1" s="54" t="s">
        <v>145</v>
      </c>
      <c r="C1" s="54" t="s">
        <v>146</v>
      </c>
      <c r="D1" s="54" t="s">
        <v>147</v>
      </c>
      <c r="E1" s="54" t="s">
        <v>148</v>
      </c>
      <c r="F1" s="54" t="s">
        <v>149</v>
      </c>
      <c r="G1" s="54" t="s">
        <v>150</v>
      </c>
      <c r="H1" s="54" t="s">
        <v>151</v>
      </c>
      <c r="I1" s="54" t="s">
        <v>152</v>
      </c>
      <c r="J1" s="54" t="s">
        <v>153</v>
      </c>
      <c r="K1" s="54" t="s">
        <v>154</v>
      </c>
      <c r="L1" s="55"/>
      <c r="M1" s="55"/>
      <c r="N1" s="55"/>
      <c r="O1" s="56"/>
    </row>
    <row r="2" spans="1:17" ht="22" customHeight="1" x14ac:dyDescent="0.25">
      <c r="A2" s="58" t="s">
        <v>155</v>
      </c>
      <c r="B2" s="59"/>
      <c r="C2" s="59"/>
      <c r="D2" s="59"/>
      <c r="E2" s="59"/>
      <c r="F2" s="59"/>
      <c r="G2" s="59"/>
      <c r="H2" s="59"/>
      <c r="I2" s="59"/>
      <c r="J2" s="59"/>
      <c r="K2" s="59"/>
      <c r="L2" s="60"/>
      <c r="M2" s="60"/>
      <c r="N2" s="60"/>
      <c r="O2" s="61"/>
    </row>
    <row r="3" spans="1:17" ht="22" customHeight="1" x14ac:dyDescent="0.25">
      <c r="A3" s="62" t="s">
        <v>156</v>
      </c>
      <c r="B3" s="63"/>
      <c r="C3" s="63"/>
      <c r="D3" s="63"/>
      <c r="E3" s="63"/>
      <c r="F3" s="63"/>
      <c r="G3" s="63"/>
      <c r="H3" s="63"/>
      <c r="I3" s="63"/>
      <c r="J3" s="63"/>
      <c r="K3" s="63"/>
      <c r="L3" s="60"/>
      <c r="M3" s="60"/>
      <c r="N3" s="60"/>
      <c r="O3" s="61"/>
    </row>
    <row r="4" spans="1:17" ht="22" customHeight="1" thickBot="1" x14ac:dyDescent="0.3">
      <c r="A4" s="62" t="s">
        <v>157</v>
      </c>
      <c r="B4" s="63"/>
      <c r="C4" s="63"/>
      <c r="D4" s="63"/>
      <c r="E4" s="63"/>
      <c r="F4" s="63"/>
      <c r="G4" s="63"/>
      <c r="H4" s="63"/>
      <c r="I4" s="63"/>
      <c r="J4" s="63"/>
      <c r="K4" s="63"/>
      <c r="L4" s="60"/>
      <c r="M4" s="60"/>
      <c r="N4" s="64"/>
      <c r="O4" s="65"/>
    </row>
    <row r="5" spans="1:17" ht="22" customHeight="1" thickBot="1" x14ac:dyDescent="0.3">
      <c r="A5" s="66" t="s">
        <v>158</v>
      </c>
      <c r="B5" s="67"/>
      <c r="C5" s="67"/>
      <c r="D5" s="67"/>
      <c r="E5" s="67"/>
      <c r="F5" s="67"/>
      <c r="G5" s="67"/>
      <c r="H5" s="67"/>
      <c r="I5" s="67"/>
      <c r="J5" s="67"/>
      <c r="K5" s="67"/>
      <c r="L5" s="290">
        <f>SUM(B5:K5)</f>
        <v>0</v>
      </c>
      <c r="M5" s="60"/>
      <c r="N5" s="64"/>
      <c r="O5" s="65"/>
    </row>
    <row r="6" spans="1:17" ht="30" customHeight="1" thickBot="1" x14ac:dyDescent="0.3">
      <c r="A6" s="68" t="s">
        <v>159</v>
      </c>
      <c r="B6" s="69">
        <f>(B2/100*B3/100*B4/100)*B5</f>
        <v>0</v>
      </c>
      <c r="C6" s="69">
        <f t="shared" ref="C6:K6" si="0">(C2/100*C3/100*C4/100)*C5</f>
        <v>0</v>
      </c>
      <c r="D6" s="69">
        <f t="shared" si="0"/>
        <v>0</v>
      </c>
      <c r="E6" s="69">
        <f t="shared" si="0"/>
        <v>0</v>
      </c>
      <c r="F6" s="69">
        <f t="shared" si="0"/>
        <v>0</v>
      </c>
      <c r="G6" s="69">
        <f t="shared" si="0"/>
        <v>0</v>
      </c>
      <c r="H6" s="69">
        <f t="shared" si="0"/>
        <v>0</v>
      </c>
      <c r="I6" s="69">
        <f t="shared" si="0"/>
        <v>0</v>
      </c>
      <c r="J6" s="69">
        <f t="shared" si="0"/>
        <v>0</v>
      </c>
      <c r="K6" s="70">
        <f t="shared" si="0"/>
        <v>0</v>
      </c>
      <c r="L6" s="71">
        <f>SUM(B6:K6)</f>
        <v>0</v>
      </c>
      <c r="M6" s="72" t="s">
        <v>11</v>
      </c>
      <c r="N6" s="64"/>
      <c r="O6" s="65"/>
    </row>
    <row r="7" spans="1:17" ht="30" customHeight="1" thickBot="1" x14ac:dyDescent="0.3">
      <c r="A7" s="73"/>
      <c r="B7" s="74"/>
      <c r="C7" s="74"/>
      <c r="D7" s="74"/>
      <c r="E7" s="74"/>
      <c r="F7" s="74"/>
      <c r="G7" s="74"/>
      <c r="H7" s="74"/>
      <c r="I7" s="74"/>
      <c r="J7" s="74"/>
      <c r="K7" s="74"/>
      <c r="L7" s="75"/>
      <c r="M7" s="72"/>
      <c r="N7" s="64"/>
      <c r="O7" s="65"/>
    </row>
    <row r="8" spans="1:17" ht="30" customHeight="1" thickBot="1" x14ac:dyDescent="0.3">
      <c r="A8" s="76" t="s">
        <v>160</v>
      </c>
      <c r="B8" s="77">
        <f>(B2/100*B3/100)/2.4*B5</f>
        <v>0</v>
      </c>
      <c r="C8" s="77">
        <f t="shared" ref="C8:K8" si="1">(C2/100*C3/100)/2.4*C5</f>
        <v>0</v>
      </c>
      <c r="D8" s="77">
        <f t="shared" si="1"/>
        <v>0</v>
      </c>
      <c r="E8" s="77">
        <f t="shared" si="1"/>
        <v>0</v>
      </c>
      <c r="F8" s="77">
        <f t="shared" si="1"/>
        <v>0</v>
      </c>
      <c r="G8" s="77">
        <f t="shared" si="1"/>
        <v>0</v>
      </c>
      <c r="H8" s="77">
        <f t="shared" si="1"/>
        <v>0</v>
      </c>
      <c r="I8" s="77">
        <f t="shared" si="1"/>
        <v>0</v>
      </c>
      <c r="J8" s="77">
        <f t="shared" si="1"/>
        <v>0</v>
      </c>
      <c r="K8" s="77">
        <f t="shared" si="1"/>
        <v>0</v>
      </c>
      <c r="L8" s="78">
        <f>SUM(B8:K8)</f>
        <v>0</v>
      </c>
      <c r="M8" s="72" t="s">
        <v>161</v>
      </c>
      <c r="N8" s="64"/>
      <c r="O8" s="65"/>
    </row>
    <row r="9" spans="1:17" ht="33" customHeight="1" x14ac:dyDescent="0.25">
      <c r="A9" s="79"/>
      <c r="B9" s="80"/>
      <c r="C9" s="81"/>
      <c r="D9" s="81"/>
      <c r="E9" s="81"/>
      <c r="F9" s="82"/>
      <c r="G9" s="82"/>
      <c r="H9" s="82"/>
      <c r="I9" s="82"/>
      <c r="J9" s="82"/>
      <c r="K9" s="82"/>
      <c r="L9" s="82"/>
      <c r="M9" s="82"/>
      <c r="N9" s="82"/>
      <c r="O9" s="83"/>
    </row>
    <row r="10" spans="1:17" s="86" customFormat="1" ht="18" customHeight="1" x14ac:dyDescent="0.25">
      <c r="A10" s="84"/>
      <c r="B10" s="85" t="str">
        <f>IF(B5&gt;0,B5&amp;"*"&amp;B2&amp;"*"&amp;B3&amp;"*"&amp;B4,"")</f>
        <v/>
      </c>
      <c r="C10" s="85" t="str">
        <f t="shared" ref="C10:K10" si="2">IF(C5&gt;0,C5&amp;"*"&amp;C2&amp;"*"&amp;C3&amp;"*"&amp;C4,"")</f>
        <v/>
      </c>
      <c r="D10" s="85" t="str">
        <f t="shared" si="2"/>
        <v/>
      </c>
      <c r="E10" s="85" t="str">
        <f t="shared" si="2"/>
        <v/>
      </c>
      <c r="F10" s="85" t="str">
        <f t="shared" si="2"/>
        <v/>
      </c>
      <c r="G10" s="85" t="str">
        <f t="shared" si="2"/>
        <v/>
      </c>
      <c r="H10" s="85" t="str">
        <f t="shared" si="2"/>
        <v/>
      </c>
      <c r="I10" s="85" t="str">
        <f t="shared" si="2"/>
        <v/>
      </c>
      <c r="J10" s="85" t="str">
        <f t="shared" si="2"/>
        <v/>
      </c>
      <c r="K10" s="85" t="str">
        <f t="shared" si="2"/>
        <v/>
      </c>
      <c r="L10" s="84"/>
      <c r="M10" s="84"/>
      <c r="N10" s="84"/>
      <c r="O10" s="84"/>
      <c r="P10" s="84"/>
      <c r="Q10" s="84"/>
    </row>
    <row r="11" spans="1:17" s="89" customFormat="1" ht="18" customHeight="1" x14ac:dyDescent="0.25">
      <c r="A11" s="87"/>
      <c r="B11" s="88"/>
      <c r="C11" s="88" t="str">
        <f>IF(C5&gt;0,"+","")</f>
        <v/>
      </c>
      <c r="D11" s="88" t="str">
        <f t="shared" ref="D11:K11" si="3">IF(D5&gt;0,"+","")</f>
        <v/>
      </c>
      <c r="E11" s="88" t="str">
        <f t="shared" si="3"/>
        <v/>
      </c>
      <c r="F11" s="88" t="str">
        <f t="shared" si="3"/>
        <v/>
      </c>
      <c r="G11" s="88" t="str">
        <f t="shared" si="3"/>
        <v/>
      </c>
      <c r="H11" s="88" t="str">
        <f t="shared" si="3"/>
        <v/>
      </c>
      <c r="I11" s="88" t="str">
        <f t="shared" si="3"/>
        <v/>
      </c>
      <c r="J11" s="88" t="str">
        <f t="shared" si="3"/>
        <v/>
      </c>
      <c r="K11" s="88" t="str">
        <f t="shared" si="3"/>
        <v/>
      </c>
      <c r="L11" s="87"/>
      <c r="M11" s="87"/>
      <c r="N11" s="87"/>
      <c r="O11" s="87"/>
      <c r="P11" s="87"/>
      <c r="Q11" s="87"/>
    </row>
    <row r="12" spans="1:17" s="89" customFormat="1" ht="18" customHeight="1" x14ac:dyDescent="0.25">
      <c r="A12" s="87"/>
      <c r="B12" s="472" t="str">
        <f>B10&amp;" "&amp;C11&amp;" "&amp;C10&amp;" "&amp;D11&amp;" "&amp;D10&amp;" "&amp;E11&amp;" "&amp;E10&amp;" "&amp;F11&amp;" "&amp;F10&amp;" "&amp;G11&amp;" "&amp;G10&amp;" "&amp;H11&amp;" "&amp;H10&amp;" "&amp;I11&amp;" "&amp;I10&amp;" "&amp;J11&amp;" "&amp;J10&amp;" "&amp;K11&amp;" "&amp;K10</f>
        <v xml:space="preserve">                  </v>
      </c>
      <c r="C12" s="472"/>
      <c r="D12" s="472"/>
      <c r="E12" s="472"/>
      <c r="F12" s="472"/>
      <c r="G12" s="472"/>
      <c r="H12" s="472"/>
      <c r="I12" s="472"/>
      <c r="J12" s="472"/>
      <c r="K12" s="472"/>
      <c r="L12" s="87"/>
      <c r="M12" s="87"/>
      <c r="N12" s="87"/>
      <c r="O12" s="87"/>
      <c r="P12" s="87"/>
      <c r="Q12" s="87"/>
    </row>
    <row r="13" spans="1:17" ht="18" customHeight="1" x14ac:dyDescent="0.25">
      <c r="A13" s="90"/>
      <c r="B13" s="473"/>
      <c r="C13" s="473"/>
      <c r="D13" s="473"/>
      <c r="E13" s="473"/>
      <c r="F13" s="473"/>
      <c r="G13" s="473"/>
      <c r="H13" s="473"/>
      <c r="I13" s="473"/>
      <c r="J13" s="473"/>
      <c r="K13" s="473"/>
      <c r="L13" s="90"/>
      <c r="M13" s="90"/>
      <c r="N13" s="90"/>
      <c r="O13" s="90"/>
      <c r="P13" s="90"/>
      <c r="Q13" s="90"/>
    </row>
    <row r="14" spans="1:17" ht="18" customHeight="1" x14ac:dyDescent="0.25">
      <c r="A14" s="90"/>
      <c r="B14" s="90"/>
      <c r="C14" s="90"/>
      <c r="D14" s="90"/>
      <c r="E14" s="90"/>
      <c r="F14" s="90"/>
      <c r="G14" s="90"/>
      <c r="H14" s="90"/>
      <c r="I14" s="90"/>
      <c r="J14" s="90"/>
      <c r="K14" s="90"/>
      <c r="L14" s="90"/>
      <c r="M14" s="90"/>
      <c r="N14" s="90"/>
      <c r="O14" s="90"/>
      <c r="P14" s="90"/>
      <c r="Q14" s="90"/>
    </row>
    <row r="15" spans="1:17" ht="18" customHeight="1" x14ac:dyDescent="0.25">
      <c r="A15" s="90"/>
      <c r="B15" s="90"/>
      <c r="C15" s="90"/>
      <c r="D15" s="90"/>
      <c r="E15" s="90"/>
      <c r="F15" s="90"/>
      <c r="G15" s="90"/>
      <c r="H15" s="90"/>
      <c r="I15" s="90"/>
      <c r="J15" s="90"/>
      <c r="K15" s="90"/>
      <c r="L15" s="90"/>
      <c r="M15" s="90"/>
      <c r="N15" s="90"/>
      <c r="O15" s="90"/>
      <c r="P15" s="90"/>
      <c r="Q15" s="90"/>
    </row>
    <row r="16" spans="1:17" ht="18" customHeight="1" x14ac:dyDescent="0.25">
      <c r="A16" s="90"/>
      <c r="B16" s="90"/>
      <c r="C16" s="90"/>
      <c r="D16" s="90"/>
      <c r="E16" s="90"/>
      <c r="F16" s="90"/>
      <c r="G16" s="90"/>
      <c r="H16" s="90"/>
      <c r="I16" s="90"/>
      <c r="J16" s="90"/>
      <c r="K16" s="90"/>
      <c r="L16" s="90"/>
      <c r="M16" s="90"/>
      <c r="N16" s="90"/>
      <c r="O16" s="90"/>
      <c r="P16" s="90"/>
      <c r="Q16" s="90"/>
    </row>
    <row r="17" spans="1:17" ht="18" customHeight="1" x14ac:dyDescent="0.25">
      <c r="A17" s="90"/>
      <c r="B17" s="90"/>
      <c r="C17" s="90"/>
      <c r="D17" s="90"/>
      <c r="E17" s="90"/>
      <c r="F17" s="90"/>
      <c r="G17" s="90"/>
      <c r="H17" s="90"/>
      <c r="I17" s="90"/>
      <c r="J17" s="90"/>
      <c r="K17" s="90"/>
      <c r="L17" s="90"/>
      <c r="M17" s="90"/>
      <c r="N17" s="90"/>
      <c r="O17" s="90"/>
      <c r="P17" s="90"/>
      <c r="Q17" s="90"/>
    </row>
    <row r="18" spans="1:17" ht="18" customHeight="1" x14ac:dyDescent="0.25">
      <c r="M18" s="90"/>
      <c r="N18" s="90"/>
    </row>
  </sheetData>
  <sheetProtection sheet="1" objects="1" scenarios="1" selectLockedCells="1"/>
  <mergeCells count="2">
    <mergeCell ref="B12:K12"/>
    <mergeCell ref="B13:K13"/>
  </mergeCells>
  <pageMargins left="0.25" right="0.25" top="0.75" bottom="0.75" header="0.3" footer="0.3"/>
  <pageSetup paperSize="9" scale="80"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reset_cubage">
                <anchor moveWithCells="1" sizeWithCells="1">
                  <from>
                    <xdr:col>12</xdr:col>
                    <xdr:colOff>0</xdr:colOff>
                    <xdr:row>0</xdr:row>
                    <xdr:rowOff>184150</xdr:rowOff>
                  </from>
                  <to>
                    <xdr:col>13</xdr:col>
                    <xdr:colOff>717550</xdr:colOff>
                    <xdr:row>2</xdr:row>
                    <xdr:rowOff>88900</xdr:rowOff>
                  </to>
                </anchor>
              </controlPr>
            </control>
          </mc:Choice>
        </mc:AlternateContent>
        <mc:AlternateContent xmlns:mc="http://schemas.openxmlformats.org/markup-compatibility/2006">
          <mc:Choice Requires="x14">
            <control shapeId="10243" r:id="rId5" name="Button 3">
              <controlPr defaultSize="0" print="0" autoFill="0" autoPict="0" macro="[0]!retour_cubage">
                <anchor moveWithCells="1" sizeWithCells="1">
                  <from>
                    <xdr:col>12</xdr:col>
                    <xdr:colOff>565150</xdr:colOff>
                    <xdr:row>5</xdr:row>
                    <xdr:rowOff>203200</xdr:rowOff>
                  </from>
                  <to>
                    <xdr:col>14</xdr:col>
                    <xdr:colOff>514350</xdr:colOff>
                    <xdr:row>7</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14E1D-7F20-4BC8-9DF3-6CA90C6B9002}">
  <sheetPr codeName="Feuil7"/>
  <dimension ref="A1:T42"/>
  <sheetViews>
    <sheetView zoomScaleNormal="100" workbookViewId="0">
      <pane xSplit="2" ySplit="4" topLeftCell="C5" activePane="bottomRight" state="frozen"/>
      <selection pane="topRight" activeCell="C1" sqref="C1"/>
      <selection pane="bottomLeft" activeCell="A6" sqref="A6"/>
      <selection pane="bottomRight" activeCell="C8" sqref="C8"/>
    </sheetView>
  </sheetViews>
  <sheetFormatPr baseColWidth="10" defaultColWidth="11.453125" defaultRowHeight="20.149999999999999" customHeight="1" x14ac:dyDescent="0.25"/>
  <cols>
    <col min="1" max="1" width="17.81640625" style="47" customWidth="1"/>
    <col min="2" max="2" width="13.7265625" style="170" customWidth="1"/>
    <col min="3" max="10" width="14.26953125" style="47" customWidth="1"/>
    <col min="11" max="11" width="15" style="47" customWidth="1"/>
    <col min="12" max="12" width="14.26953125" customWidth="1"/>
    <col min="13" max="18" width="14.26953125" style="47" customWidth="1"/>
    <col min="19" max="19" width="14.7265625" customWidth="1"/>
    <col min="20" max="20" width="20.54296875" style="47" customWidth="1"/>
    <col min="21" max="21" width="34.1796875" style="47" customWidth="1"/>
    <col min="22" max="22" width="22.54296875" style="47" customWidth="1"/>
    <col min="23" max="16384" width="11.453125" style="47"/>
  </cols>
  <sheetData>
    <row r="1" spans="1:20" s="39" customFormat="1" ht="20.149999999999999" customHeight="1" x14ac:dyDescent="0.3">
      <c r="A1" s="474" t="s">
        <v>103</v>
      </c>
      <c r="B1" s="475"/>
      <c r="C1" s="478" t="s">
        <v>255</v>
      </c>
      <c r="D1" s="476" t="s">
        <v>254</v>
      </c>
      <c r="E1" s="476" t="s">
        <v>290</v>
      </c>
      <c r="F1" s="476" t="s">
        <v>260</v>
      </c>
      <c r="G1" s="476" t="s">
        <v>96</v>
      </c>
      <c r="H1" s="476" t="s">
        <v>256</v>
      </c>
      <c r="I1" s="476" t="s">
        <v>97</v>
      </c>
      <c r="J1" s="476" t="s">
        <v>257</v>
      </c>
      <c r="K1" s="476" t="s">
        <v>258</v>
      </c>
      <c r="L1" s="476" t="s">
        <v>98</v>
      </c>
      <c r="M1" s="476" t="s">
        <v>99</v>
      </c>
      <c r="N1" s="476" t="s">
        <v>261</v>
      </c>
      <c r="O1" s="476" t="s">
        <v>100</v>
      </c>
      <c r="P1" s="476" t="s">
        <v>259</v>
      </c>
      <c r="Q1" s="476" t="s">
        <v>101</v>
      </c>
      <c r="R1" s="480" t="s">
        <v>262</v>
      </c>
      <c r="S1" s="37" t="s">
        <v>102</v>
      </c>
      <c r="T1" s="38" t="s">
        <v>265</v>
      </c>
    </row>
    <row r="2" spans="1:20" s="39" customFormat="1" ht="20.149999999999999" customHeight="1" x14ac:dyDescent="0.3">
      <c r="A2" s="474"/>
      <c r="B2" s="475"/>
      <c r="C2" s="479"/>
      <c r="D2" s="477"/>
      <c r="E2" s="477"/>
      <c r="F2" s="477"/>
      <c r="G2" s="477"/>
      <c r="H2" s="477"/>
      <c r="I2" s="477"/>
      <c r="J2" s="477"/>
      <c r="K2" s="477"/>
      <c r="L2" s="477"/>
      <c r="M2" s="477"/>
      <c r="N2" s="477"/>
      <c r="O2" s="477"/>
      <c r="P2" s="477"/>
      <c r="Q2" s="477"/>
      <c r="R2" s="481"/>
      <c r="S2" s="40" t="s">
        <v>104</v>
      </c>
      <c r="T2" s="41" t="s">
        <v>105</v>
      </c>
    </row>
    <row r="3" spans="1:20" ht="20.149999999999999" customHeight="1" x14ac:dyDescent="0.25">
      <c r="A3" s="474"/>
      <c r="B3" s="475"/>
      <c r="C3" s="42" t="s">
        <v>106</v>
      </c>
      <c r="D3" s="44" t="s">
        <v>110</v>
      </c>
      <c r="E3" s="44">
        <v>124</v>
      </c>
      <c r="F3" s="43" t="s">
        <v>117</v>
      </c>
      <c r="G3" s="43" t="s">
        <v>107</v>
      </c>
      <c r="H3" s="43">
        <v>160</v>
      </c>
      <c r="I3" s="43" t="s">
        <v>108</v>
      </c>
      <c r="J3" s="43" t="s">
        <v>109</v>
      </c>
      <c r="K3" s="95"/>
      <c r="L3" s="44" t="s">
        <v>111</v>
      </c>
      <c r="M3" s="43" t="s">
        <v>112</v>
      </c>
      <c r="N3" s="43" t="s">
        <v>113</v>
      </c>
      <c r="O3" s="43" t="s">
        <v>114</v>
      </c>
      <c r="P3" s="43" t="s">
        <v>115</v>
      </c>
      <c r="Q3" s="44" t="s">
        <v>116</v>
      </c>
      <c r="R3" s="45" t="s">
        <v>118</v>
      </c>
      <c r="S3" s="46" t="s">
        <v>119</v>
      </c>
      <c r="T3" s="167" t="s">
        <v>264</v>
      </c>
    </row>
    <row r="4" spans="1:20" ht="20.149999999999999" customHeight="1" thickBot="1" x14ac:dyDescent="0.3">
      <c r="A4" s="48" t="s">
        <v>120</v>
      </c>
      <c r="B4" s="168" t="s">
        <v>121</v>
      </c>
      <c r="C4" s="171" t="s">
        <v>122</v>
      </c>
      <c r="D4" s="166" t="s">
        <v>126</v>
      </c>
      <c r="E4" s="166" t="s">
        <v>291</v>
      </c>
      <c r="F4" s="174" t="s">
        <v>133</v>
      </c>
      <c r="G4" s="174" t="s">
        <v>123</v>
      </c>
      <c r="H4" s="166" t="s">
        <v>167</v>
      </c>
      <c r="I4" s="166" t="s">
        <v>124</v>
      </c>
      <c r="J4" s="174" t="s">
        <v>125</v>
      </c>
      <c r="K4" s="173" t="s">
        <v>165</v>
      </c>
      <c r="L4" s="166" t="s">
        <v>127</v>
      </c>
      <c r="M4" s="166" t="s">
        <v>128</v>
      </c>
      <c r="N4" s="166" t="s">
        <v>129</v>
      </c>
      <c r="O4" s="166" t="s">
        <v>130</v>
      </c>
      <c r="P4" s="166" t="s">
        <v>131</v>
      </c>
      <c r="Q4" s="166" t="s">
        <v>132</v>
      </c>
      <c r="R4" s="175" t="s">
        <v>134</v>
      </c>
      <c r="S4" s="49" t="s">
        <v>263</v>
      </c>
      <c r="T4" s="172" t="s">
        <v>270</v>
      </c>
    </row>
    <row r="5" spans="1:20" ht="14" x14ac:dyDescent="0.25">
      <c r="A5" s="207" t="s">
        <v>296</v>
      </c>
      <c r="B5" s="169" t="s">
        <v>299</v>
      </c>
      <c r="C5" s="201">
        <v>3.1E-2</v>
      </c>
      <c r="D5" s="202">
        <v>3.1E-2</v>
      </c>
      <c r="E5" s="202">
        <v>2.9000000000000001E-2</v>
      </c>
      <c r="F5" s="202">
        <v>2.9000000000000001E-2</v>
      </c>
      <c r="G5" s="202">
        <v>2.9000000000000001E-2</v>
      </c>
      <c r="H5" s="202">
        <v>2.9000000000000001E-2</v>
      </c>
      <c r="I5" s="202">
        <v>2.9000000000000001E-2</v>
      </c>
      <c r="J5" s="202">
        <v>2.9000000000000001E-2</v>
      </c>
      <c r="K5" s="202">
        <v>2.9000000000000001E-2</v>
      </c>
      <c r="L5" s="202">
        <v>2.9000000000000001E-2</v>
      </c>
      <c r="M5" s="202">
        <v>2.9000000000000001E-2</v>
      </c>
      <c r="N5" s="202">
        <v>2.9000000000000001E-2</v>
      </c>
      <c r="O5" s="202">
        <v>2.9000000000000001E-2</v>
      </c>
      <c r="P5" s="202">
        <v>2.9000000000000001E-2</v>
      </c>
      <c r="Q5" s="202">
        <v>2.9000000000000001E-2</v>
      </c>
      <c r="R5" s="202">
        <v>2.9000000000000001E-2</v>
      </c>
      <c r="S5" s="47"/>
    </row>
    <row r="6" spans="1:20" ht="14" x14ac:dyDescent="0.25">
      <c r="A6" s="208" t="s">
        <v>297</v>
      </c>
      <c r="B6" s="169" t="s">
        <v>301</v>
      </c>
      <c r="C6" s="203">
        <v>9.6999999999999993</v>
      </c>
      <c r="D6" s="204">
        <v>9.6999999999999993</v>
      </c>
      <c r="E6" s="204">
        <v>8.99</v>
      </c>
      <c r="F6" s="204">
        <v>8.99</v>
      </c>
      <c r="G6" s="204">
        <v>8.99</v>
      </c>
      <c r="H6" s="204">
        <v>8.99</v>
      </c>
      <c r="I6" s="204">
        <v>8.99</v>
      </c>
      <c r="J6" s="204">
        <v>8.99</v>
      </c>
      <c r="K6" s="204">
        <v>8.99</v>
      </c>
      <c r="L6" s="204">
        <v>8.99</v>
      </c>
      <c r="M6" s="204">
        <v>8.99</v>
      </c>
      <c r="N6" s="204">
        <v>8.99</v>
      </c>
      <c r="O6" s="204">
        <v>8.99</v>
      </c>
      <c r="P6" s="204">
        <v>8.99</v>
      </c>
      <c r="Q6" s="204">
        <v>8.99</v>
      </c>
      <c r="R6" s="204">
        <v>8.99</v>
      </c>
      <c r="S6" s="47"/>
    </row>
    <row r="7" spans="1:20" ht="14" x14ac:dyDescent="0.25">
      <c r="A7" s="208" t="s">
        <v>298</v>
      </c>
      <c r="B7" s="169" t="s">
        <v>300</v>
      </c>
      <c r="C7" s="203">
        <v>27.3</v>
      </c>
      <c r="D7" s="204">
        <v>27.3</v>
      </c>
      <c r="E7" s="204">
        <v>25.15</v>
      </c>
      <c r="F7" s="204">
        <v>25.15</v>
      </c>
      <c r="G7" s="204">
        <v>25.15</v>
      </c>
      <c r="H7" s="204">
        <v>25.15</v>
      </c>
      <c r="I7" s="204">
        <v>25.15</v>
      </c>
      <c r="J7" s="204">
        <v>25.15</v>
      </c>
      <c r="K7" s="204">
        <v>25.15</v>
      </c>
      <c r="L7" s="204">
        <v>25.15</v>
      </c>
      <c r="M7" s="204">
        <v>25.15</v>
      </c>
      <c r="N7" s="204">
        <v>25.15</v>
      </c>
      <c r="O7" s="204">
        <v>25.15</v>
      </c>
      <c r="P7" s="204">
        <v>25.15</v>
      </c>
      <c r="Q7" s="204">
        <v>25.15</v>
      </c>
      <c r="R7" s="204">
        <v>25.15</v>
      </c>
      <c r="S7" s="47"/>
    </row>
    <row r="8" spans="1:20" ht="14" x14ac:dyDescent="0.25">
      <c r="A8" s="209" t="s">
        <v>224</v>
      </c>
      <c r="B8" s="205">
        <f>Cotation!K16</f>
        <v>0</v>
      </c>
      <c r="C8" s="189">
        <f>IF(Tableau2[[#This Row],[Détail]]*C5&lt;C6,C6,IF(Tableau2[[#This Row],[Détail]]*C5&gt;C7,C7,Tableau2[[#This Row],[Détail]]*C5))</f>
        <v>9.6999999999999993</v>
      </c>
      <c r="D8" s="187">
        <f>IF(Tableau2[[#This Row],[AF]]*D5&lt;D6,D6,IF(Tableau2[[#This Row],[AF]]*D5&gt;D7,D7,Tableau2[[#This Row],[AF]]*D5))</f>
        <v>9.6999999999999993</v>
      </c>
      <c r="E8" s="187">
        <f>IF(Tableau2[[#This Row],[KL]]*E5&lt;E6,E6,IF(Tableau2[[#This Row],[KL]]*E5&gt;E7,E7,Tableau2[[#This Row],[KL]]*E5))</f>
        <v>8.99</v>
      </c>
      <c r="F8" s="187">
        <f>IF(Tableau2[[#This Row],[AH]]*F5&lt;F6,F6,IF(Tableau2[[#This Row],[AH]]*F5&gt;F7,F7,Tableau2[[#This Row],[AH]]*F5))</f>
        <v>8.99</v>
      </c>
      <c r="G8" s="187">
        <f>IF(Tableau2[[#This Row],[AM]]*G5&lt;G6,G6,IF(Tableau2[[#This Row],[AM]]*G5&gt;G7,G7,Tableau2[[#This Row],[AM]]*G5))</f>
        <v>8.99</v>
      </c>
      <c r="H8" s="187">
        <f>IF(Tableau2[[#This Row],[CV]]*H5&lt;H6,H6,IF(Tableau2[[#This Row],[CV]]*H5&gt;H7,H7,Tableau2[[#This Row],[CV]]*H5))</f>
        <v>8.99</v>
      </c>
      <c r="I8" s="187">
        <f>IF(Tableau2[[#This Row],[CX]]*I5&lt;I6,I6,IF(Tableau2[[#This Row],[CX]]*I5&gt;I7,I7,Tableau2[[#This Row],[CX]]*I5))</f>
        <v>8.99</v>
      </c>
      <c r="J8" s="187">
        <f>IF(Tableau2[[#This Row],[EK]]*J5&lt;J6,J6,IF(Tableau2[[#This Row],[EK]]*J5&gt;J7,J7,Tableau2[[#This Row],[EK]]*J5))</f>
        <v>8.99</v>
      </c>
      <c r="K8" s="187">
        <f>IF(Tableau2[[#This Row],[EY]]*K5&lt;K6,K6,IF(Tableau2[[#This Row],[EY]]*K5&gt;K7,K7,Tableau2[[#This Row],[EY]]*K5))</f>
        <v>8.99</v>
      </c>
      <c r="L8" s="187">
        <f>IF(Tableau2[[#This Row],[ET]]*L5&lt;L6,L6,IF(Tableau2[[#This Row],[ET]]*L5&gt;L7,L7,Tableau2[[#This Row],[ET]]*L5))</f>
        <v>8.99</v>
      </c>
      <c r="M8" s="187">
        <f>IF(Tableau2[[#This Row],[LH]]*M5&lt;M6,M6,IF(Tableau2[[#This Row],[LH]]*M5&gt;M7,M7,Tableau2[[#This Row],[LH]]*M5))</f>
        <v>8.99</v>
      </c>
      <c r="N8" s="187">
        <f>IF(Tableau2[[#This Row],[LX]]*N5&lt;N6,N6,IF(Tableau2[[#This Row],[LX]]*N5&gt;N7,N7,Tableau2[[#This Row],[LX]]*N5))</f>
        <v>8.99</v>
      </c>
      <c r="O8" s="187">
        <f>IF(Tableau2[[#This Row],[QR]]*O5&lt;O6,O6,IF(Tableau2[[#This Row],[QR]]*O5&gt;O7,O7,Tableau2[[#This Row],[QR]]*O5))</f>
        <v>8.99</v>
      </c>
      <c r="P8" s="187">
        <f>IF(Tableau2[[#This Row],[CA]]*P5&lt;P6,P6,IF(Tableau2[[#This Row],[CA]]*P5&gt;P7,P7,Tableau2[[#This Row],[CA]]*P5))</f>
        <v>8.99</v>
      </c>
      <c r="Q8" s="187">
        <f>IF(Tableau2[[#This Row],[TK]]*Q5&lt;Q6,Q6,IF(Tableau2[[#This Row],[TK]]*Q5&gt;Q7,Q7,Tableau2[[#This Row],[TK]]*Q5))</f>
        <v>8.99</v>
      </c>
      <c r="R8" s="187">
        <f>IF(Tableau2[[#This Row],[TP]]*R5&lt;R6,R6,IF(Tableau2[[#This Row],[TP]]*R5&gt;R7,R7,Tableau2[[#This Row],[TP]]*R5))</f>
        <v>8.99</v>
      </c>
      <c r="S8" s="47"/>
    </row>
    <row r="9" spans="1:20" ht="14" x14ac:dyDescent="0.25">
      <c r="A9" s="206" t="s">
        <v>275</v>
      </c>
      <c r="B9" s="169" t="s">
        <v>135</v>
      </c>
      <c r="C9" s="184"/>
      <c r="D9" s="185"/>
      <c r="E9" s="195"/>
      <c r="F9" s="185"/>
      <c r="G9" s="185"/>
      <c r="H9" s="185"/>
      <c r="I9" s="185"/>
      <c r="J9" s="185"/>
      <c r="K9" s="186"/>
      <c r="L9" s="187">
        <v>12</v>
      </c>
      <c r="M9" s="187">
        <v>12</v>
      </c>
      <c r="N9" s="185"/>
      <c r="O9" s="185"/>
      <c r="P9" s="185"/>
      <c r="Q9" s="185"/>
      <c r="R9" s="188"/>
      <c r="S9" s="47"/>
    </row>
    <row r="10" spans="1:20" ht="14" x14ac:dyDescent="0.25">
      <c r="A10" s="206" t="s">
        <v>269</v>
      </c>
      <c r="B10" s="169" t="s">
        <v>251</v>
      </c>
      <c r="C10" s="189">
        <v>21</v>
      </c>
      <c r="D10" s="187">
        <v>21</v>
      </c>
      <c r="E10" s="185"/>
      <c r="F10" s="185"/>
      <c r="G10" s="185"/>
      <c r="H10" s="185"/>
      <c r="I10" s="185"/>
      <c r="J10" s="187">
        <v>20</v>
      </c>
      <c r="K10" s="186"/>
      <c r="L10" s="187">
        <v>12</v>
      </c>
      <c r="M10" s="187">
        <v>12</v>
      </c>
      <c r="N10" s="185"/>
      <c r="O10" s="185"/>
      <c r="P10" s="187">
        <v>10</v>
      </c>
      <c r="Q10" s="185"/>
      <c r="R10" s="187">
        <v>20</v>
      </c>
      <c r="S10" s="47"/>
    </row>
    <row r="11" spans="1:20" ht="14" x14ac:dyDescent="0.25">
      <c r="A11" s="206" t="s">
        <v>274</v>
      </c>
      <c r="B11" s="169" t="s">
        <v>136</v>
      </c>
      <c r="C11" s="184"/>
      <c r="D11" s="185"/>
      <c r="E11" s="187">
        <v>26.5</v>
      </c>
      <c r="F11" s="185"/>
      <c r="G11" s="187">
        <v>25</v>
      </c>
      <c r="H11" s="185"/>
      <c r="I11" s="185"/>
      <c r="J11" s="185"/>
      <c r="K11" s="186"/>
      <c r="L11" s="185"/>
      <c r="M11" s="187">
        <v>2</v>
      </c>
      <c r="N11" s="187">
        <v>2.2000000000000002</v>
      </c>
      <c r="O11" s="190"/>
      <c r="P11" s="187">
        <v>6</v>
      </c>
      <c r="Q11" s="185"/>
      <c r="R11" s="188"/>
      <c r="S11" s="47"/>
    </row>
    <row r="12" spans="1:20" ht="14" x14ac:dyDescent="0.25">
      <c r="A12" s="206" t="s">
        <v>273</v>
      </c>
      <c r="B12" s="169" t="s">
        <v>67</v>
      </c>
      <c r="C12" s="189">
        <v>31.3</v>
      </c>
      <c r="D12" s="187">
        <v>31.3</v>
      </c>
      <c r="E12" s="196">
        <v>31</v>
      </c>
      <c r="F12" s="187">
        <v>31.3</v>
      </c>
      <c r="G12" s="187">
        <v>31.3</v>
      </c>
      <c r="H12" s="187">
        <v>30</v>
      </c>
      <c r="I12" s="187">
        <v>31.3</v>
      </c>
      <c r="J12" s="187">
        <v>31.3</v>
      </c>
      <c r="K12" s="187">
        <v>31.3</v>
      </c>
      <c r="L12" s="185"/>
      <c r="M12" s="185"/>
      <c r="N12" s="187">
        <v>31.3</v>
      </c>
      <c r="O12" s="187">
        <v>31.3</v>
      </c>
      <c r="P12" s="187">
        <v>31.3</v>
      </c>
      <c r="Q12" s="187">
        <v>31.3</v>
      </c>
      <c r="R12" s="187">
        <v>29.8</v>
      </c>
      <c r="S12" s="47"/>
    </row>
    <row r="13" spans="1:20" ht="25" x14ac:dyDescent="0.25">
      <c r="A13" s="206" t="s">
        <v>271</v>
      </c>
      <c r="B13" s="169" t="s">
        <v>272</v>
      </c>
      <c r="C13" s="189">
        <v>21</v>
      </c>
      <c r="D13" s="187">
        <v>21</v>
      </c>
      <c r="E13" s="196">
        <v>11.1</v>
      </c>
      <c r="F13" s="187">
        <v>6.5</v>
      </c>
      <c r="G13" s="187">
        <v>6.5</v>
      </c>
      <c r="H13" s="187">
        <v>6.5</v>
      </c>
      <c r="I13" s="187">
        <v>6.5</v>
      </c>
      <c r="J13" s="187">
        <v>6.5</v>
      </c>
      <c r="K13" s="187">
        <v>9</v>
      </c>
      <c r="L13" s="185"/>
      <c r="M13" s="187">
        <v>6.5</v>
      </c>
      <c r="N13" s="185"/>
      <c r="O13" s="187">
        <v>3</v>
      </c>
      <c r="P13" s="187">
        <v>6.5</v>
      </c>
      <c r="Q13" s="187">
        <v>6.5</v>
      </c>
      <c r="R13" s="187">
        <v>6.5</v>
      </c>
      <c r="S13" s="47"/>
    </row>
    <row r="14" spans="1:20" ht="14" x14ac:dyDescent="0.25">
      <c r="A14" s="206" t="s">
        <v>138</v>
      </c>
      <c r="B14" s="169" t="s">
        <v>139</v>
      </c>
      <c r="C14" s="193">
        <v>84</v>
      </c>
      <c r="D14" s="193">
        <v>84</v>
      </c>
      <c r="E14" s="193">
        <v>84</v>
      </c>
      <c r="F14" s="193">
        <v>84</v>
      </c>
      <c r="G14" s="193">
        <v>84</v>
      </c>
      <c r="H14" s="193">
        <v>84</v>
      </c>
      <c r="I14" s="193">
        <v>84</v>
      </c>
      <c r="J14" s="193">
        <v>84</v>
      </c>
      <c r="K14" s="193">
        <v>84</v>
      </c>
      <c r="L14" s="193">
        <v>84</v>
      </c>
      <c r="M14" s="193">
        <v>84</v>
      </c>
      <c r="N14" s="193">
        <v>84</v>
      </c>
      <c r="O14" s="193">
        <v>84</v>
      </c>
      <c r="P14" s="193">
        <v>84</v>
      </c>
      <c r="Q14" s="193">
        <v>84</v>
      </c>
      <c r="R14" s="193">
        <v>84</v>
      </c>
      <c r="S14" s="47"/>
    </row>
    <row r="15" spans="1:20" ht="14" x14ac:dyDescent="0.25">
      <c r="A15" s="206" t="s">
        <v>140</v>
      </c>
      <c r="B15" s="169" t="s">
        <v>141</v>
      </c>
      <c r="C15" s="193">
        <v>122.4</v>
      </c>
      <c r="D15" s="192">
        <v>122.4</v>
      </c>
      <c r="E15" s="192">
        <v>122.4</v>
      </c>
      <c r="F15" s="192">
        <v>132.5</v>
      </c>
      <c r="G15" s="192">
        <v>122.4</v>
      </c>
      <c r="H15" s="192">
        <v>135</v>
      </c>
      <c r="I15" s="192">
        <v>122.4</v>
      </c>
      <c r="J15" s="192">
        <v>122.4</v>
      </c>
      <c r="K15" s="192">
        <f>IF(B8*0.3&lt;50,50,B8*0.3)</f>
        <v>50</v>
      </c>
      <c r="L15" s="192">
        <v>100</v>
      </c>
      <c r="M15" s="192">
        <v>100</v>
      </c>
      <c r="N15" s="192">
        <v>122.4</v>
      </c>
      <c r="O15" s="192">
        <v>122.4</v>
      </c>
      <c r="P15" s="192">
        <v>120</v>
      </c>
      <c r="Q15" s="192">
        <v>122.4</v>
      </c>
      <c r="R15" s="194">
        <v>119</v>
      </c>
      <c r="S15" s="47"/>
    </row>
    <row r="16" spans="1:20" ht="25" x14ac:dyDescent="0.25">
      <c r="A16" s="206" t="s">
        <v>317</v>
      </c>
      <c r="B16" s="169" t="s">
        <v>303</v>
      </c>
      <c r="C16" s="184"/>
      <c r="D16" s="185"/>
      <c r="E16" s="191">
        <v>56.6</v>
      </c>
      <c r="F16" s="185"/>
      <c r="G16" s="192">
        <f>B8*0.25</f>
        <v>0</v>
      </c>
      <c r="H16" s="185"/>
      <c r="I16" s="185"/>
      <c r="J16" s="185"/>
      <c r="K16" s="191">
        <v>16</v>
      </c>
      <c r="L16" s="185"/>
      <c r="M16" s="185"/>
      <c r="N16" s="192">
        <v>16</v>
      </c>
      <c r="O16" s="192">
        <v>16</v>
      </c>
      <c r="P16" s="192">
        <v>15</v>
      </c>
      <c r="Q16" s="185"/>
      <c r="R16" s="188"/>
      <c r="S16" s="47"/>
    </row>
    <row r="17" spans="1:19" ht="14" x14ac:dyDescent="0.25">
      <c r="A17" s="206" t="s">
        <v>316</v>
      </c>
      <c r="B17" s="169"/>
      <c r="C17" s="184"/>
      <c r="D17" s="185"/>
      <c r="E17" s="191">
        <v>56.6</v>
      </c>
      <c r="F17" s="185"/>
      <c r="G17" s="192">
        <f>B8*0.75</f>
        <v>0</v>
      </c>
      <c r="H17" s="185"/>
      <c r="I17" s="185"/>
      <c r="J17" s="185"/>
      <c r="K17" s="186"/>
      <c r="L17" s="185"/>
      <c r="M17" s="185"/>
      <c r="N17" s="185"/>
      <c r="O17" s="185"/>
      <c r="P17" s="185"/>
      <c r="Q17" s="185"/>
      <c r="R17" s="188"/>
      <c r="S17" s="47"/>
    </row>
    <row r="18" spans="1:19" ht="26" x14ac:dyDescent="0.25">
      <c r="A18" s="206" t="s">
        <v>305</v>
      </c>
      <c r="B18" s="169" t="s">
        <v>253</v>
      </c>
      <c r="C18" s="192">
        <v>39.85</v>
      </c>
      <c r="D18" s="192">
        <v>39.85</v>
      </c>
      <c r="E18" s="192">
        <v>17.2</v>
      </c>
      <c r="F18" s="185" t="s">
        <v>266</v>
      </c>
      <c r="G18" s="192">
        <v>100</v>
      </c>
      <c r="H18" s="192" t="s">
        <v>318</v>
      </c>
      <c r="I18" s="185" t="s">
        <v>266</v>
      </c>
      <c r="J18" s="192">
        <v>17.2</v>
      </c>
      <c r="K18" s="192" t="s">
        <v>308</v>
      </c>
      <c r="L18" s="192">
        <v>60</v>
      </c>
      <c r="M18" s="192">
        <v>60</v>
      </c>
      <c r="N18" s="192">
        <v>17.2</v>
      </c>
      <c r="O18" s="192">
        <v>18.2</v>
      </c>
      <c r="P18" s="192">
        <v>25</v>
      </c>
      <c r="Q18" s="192">
        <v>39.85</v>
      </c>
      <c r="R18" s="192">
        <v>25</v>
      </c>
      <c r="S18" s="47"/>
    </row>
    <row r="19" spans="1:19" ht="25" x14ac:dyDescent="0.25">
      <c r="A19" s="206" t="s">
        <v>268</v>
      </c>
      <c r="B19" s="169" t="s">
        <v>292</v>
      </c>
      <c r="C19" s="52" t="s">
        <v>252</v>
      </c>
      <c r="D19" s="51" t="s">
        <v>137</v>
      </c>
      <c r="E19" s="51" t="s">
        <v>326</v>
      </c>
      <c r="F19" s="51" t="s">
        <v>326</v>
      </c>
      <c r="G19" s="51" t="s">
        <v>326</v>
      </c>
      <c r="H19" s="51" t="s">
        <v>326</v>
      </c>
      <c r="I19" s="51" t="s">
        <v>326</v>
      </c>
      <c r="J19" s="51" t="s">
        <v>326</v>
      </c>
      <c r="K19" s="51" t="s">
        <v>326</v>
      </c>
      <c r="L19" s="51" t="s">
        <v>326</v>
      </c>
      <c r="M19" s="51" t="s">
        <v>326</v>
      </c>
      <c r="N19" s="50"/>
      <c r="O19" s="50"/>
      <c r="P19" s="51" t="s">
        <v>169</v>
      </c>
      <c r="Q19" s="51" t="s">
        <v>326</v>
      </c>
      <c r="R19" s="51" t="s">
        <v>326</v>
      </c>
      <c r="S19" s="47"/>
    </row>
    <row r="20" spans="1:19" ht="23" x14ac:dyDescent="0.25">
      <c r="A20" s="206" t="s">
        <v>267</v>
      </c>
      <c r="B20" s="169" t="s">
        <v>143</v>
      </c>
      <c r="C20" s="52" t="s">
        <v>142</v>
      </c>
      <c r="D20" s="51" t="s">
        <v>142</v>
      </c>
      <c r="E20" s="51" t="s">
        <v>144</v>
      </c>
      <c r="F20" s="51" t="s">
        <v>144</v>
      </c>
      <c r="G20" s="51" t="s">
        <v>144</v>
      </c>
      <c r="H20" s="51" t="s">
        <v>144</v>
      </c>
      <c r="I20" s="51" t="s">
        <v>144</v>
      </c>
      <c r="J20" s="51" t="s">
        <v>144</v>
      </c>
      <c r="K20" s="51" t="s">
        <v>144</v>
      </c>
      <c r="L20" s="51" t="s">
        <v>144</v>
      </c>
      <c r="M20" s="51" t="s">
        <v>144</v>
      </c>
      <c r="N20" s="50"/>
      <c r="O20" s="50"/>
      <c r="P20" s="51" t="s">
        <v>168</v>
      </c>
      <c r="Q20" s="51" t="s">
        <v>144</v>
      </c>
      <c r="R20" s="51" t="s">
        <v>144</v>
      </c>
      <c r="S20" s="47"/>
    </row>
    <row r="21" spans="1:19" ht="26" x14ac:dyDescent="0.25">
      <c r="A21" s="206" t="s">
        <v>309</v>
      </c>
      <c r="B21" s="169"/>
      <c r="C21" s="212"/>
      <c r="D21" s="50"/>
      <c r="E21" s="213"/>
      <c r="F21" s="50"/>
      <c r="G21" s="50"/>
      <c r="H21" s="50"/>
      <c r="I21" s="50"/>
      <c r="J21" s="50"/>
      <c r="K21" s="214" t="s">
        <v>276</v>
      </c>
      <c r="L21" s="50"/>
      <c r="M21" s="50"/>
      <c r="N21" s="50"/>
      <c r="O21" s="50"/>
      <c r="P21" s="50"/>
      <c r="Q21" s="50"/>
      <c r="R21" s="215" t="s">
        <v>302</v>
      </c>
      <c r="S21" s="47"/>
    </row>
    <row r="22" spans="1:19" s="197" customFormat="1" ht="12.5" x14ac:dyDescent="0.25">
      <c r="A22" s="200"/>
      <c r="B22" s="198"/>
      <c r="C22" s="199"/>
      <c r="D22" s="199"/>
      <c r="E22" s="199"/>
      <c r="F22" s="199"/>
      <c r="G22" s="199"/>
      <c r="H22" s="199"/>
      <c r="I22" s="199"/>
      <c r="J22" s="199"/>
      <c r="K22" s="199"/>
      <c r="L22" s="199"/>
      <c r="M22" s="199"/>
      <c r="N22" s="199"/>
      <c r="O22" s="199"/>
      <c r="P22" s="199"/>
      <c r="Q22" s="199"/>
      <c r="R22" s="199"/>
    </row>
    <row r="23" spans="1:19" s="197" customFormat="1" ht="24" customHeight="1" x14ac:dyDescent="0.25">
      <c r="A23" s="200"/>
      <c r="B23" s="198"/>
      <c r="C23" s="241" t="s">
        <v>122</v>
      </c>
      <c r="D23" s="241" t="s">
        <v>126</v>
      </c>
      <c r="E23" s="241" t="s">
        <v>291</v>
      </c>
      <c r="F23" s="241" t="s">
        <v>133</v>
      </c>
      <c r="G23" s="241" t="s">
        <v>123</v>
      </c>
      <c r="H23" s="241" t="s">
        <v>167</v>
      </c>
      <c r="I23" s="241" t="s">
        <v>124</v>
      </c>
      <c r="J23" s="241" t="s">
        <v>125</v>
      </c>
      <c r="K23" s="241" t="s">
        <v>165</v>
      </c>
      <c r="L23" s="241" t="s">
        <v>127</v>
      </c>
      <c r="M23" s="241" t="s">
        <v>128</v>
      </c>
      <c r="N23" s="241" t="s">
        <v>129</v>
      </c>
      <c r="O23" s="241" t="s">
        <v>130</v>
      </c>
      <c r="P23" s="241" t="s">
        <v>131</v>
      </c>
      <c r="Q23" s="241" t="s">
        <v>132</v>
      </c>
      <c r="R23" s="241" t="s">
        <v>134</v>
      </c>
    </row>
    <row r="24" spans="1:19" ht="22" customHeight="1" x14ac:dyDescent="0.25">
      <c r="A24" s="210" t="s">
        <v>293</v>
      </c>
      <c r="B24" s="222" t="s">
        <v>307</v>
      </c>
      <c r="C24" s="244">
        <f t="shared" ref="C24:R24" si="0">C12</f>
        <v>31.3</v>
      </c>
      <c r="D24" s="244">
        <f t="shared" si="0"/>
        <v>31.3</v>
      </c>
      <c r="E24" s="244">
        <f t="shared" si="0"/>
        <v>31</v>
      </c>
      <c r="F24" s="244">
        <f t="shared" si="0"/>
        <v>31.3</v>
      </c>
      <c r="G24" s="244">
        <f t="shared" si="0"/>
        <v>31.3</v>
      </c>
      <c r="H24" s="244">
        <f t="shared" si="0"/>
        <v>30</v>
      </c>
      <c r="I24" s="244">
        <f t="shared" si="0"/>
        <v>31.3</v>
      </c>
      <c r="J24" s="244">
        <f t="shared" si="0"/>
        <v>31.3</v>
      </c>
      <c r="K24" s="244">
        <f t="shared" si="0"/>
        <v>31.3</v>
      </c>
      <c r="L24" s="244">
        <f t="shared" si="0"/>
        <v>0</v>
      </c>
      <c r="M24" s="244">
        <f t="shared" si="0"/>
        <v>0</v>
      </c>
      <c r="N24" s="244">
        <f t="shared" si="0"/>
        <v>31.3</v>
      </c>
      <c r="O24" s="244">
        <f t="shared" si="0"/>
        <v>31.3</v>
      </c>
      <c r="P24" s="244">
        <f t="shared" si="0"/>
        <v>31.3</v>
      </c>
      <c r="Q24" s="244">
        <f t="shared" si="0"/>
        <v>31.3</v>
      </c>
      <c r="R24" s="244">
        <f t="shared" si="0"/>
        <v>29.8</v>
      </c>
      <c r="S24" s="47"/>
    </row>
    <row r="25" spans="1:19" ht="22" customHeight="1" thickBot="1" x14ac:dyDescent="0.3">
      <c r="A25" s="211" t="s">
        <v>294</v>
      </c>
      <c r="B25" s="223" t="s">
        <v>307</v>
      </c>
      <c r="C25" s="245">
        <f t="shared" ref="C25:R25" si="1">C13</f>
        <v>21</v>
      </c>
      <c r="D25" s="245">
        <f t="shared" si="1"/>
        <v>21</v>
      </c>
      <c r="E25" s="245">
        <f t="shared" si="1"/>
        <v>11.1</v>
      </c>
      <c r="F25" s="245">
        <f t="shared" si="1"/>
        <v>6.5</v>
      </c>
      <c r="G25" s="245">
        <f t="shared" si="1"/>
        <v>6.5</v>
      </c>
      <c r="H25" s="245">
        <f t="shared" si="1"/>
        <v>6.5</v>
      </c>
      <c r="I25" s="245">
        <f t="shared" si="1"/>
        <v>6.5</v>
      </c>
      <c r="J25" s="245">
        <f t="shared" si="1"/>
        <v>6.5</v>
      </c>
      <c r="K25" s="245">
        <f t="shared" si="1"/>
        <v>9</v>
      </c>
      <c r="L25" s="245">
        <f t="shared" si="1"/>
        <v>0</v>
      </c>
      <c r="M25" s="245">
        <f t="shared" si="1"/>
        <v>6.5</v>
      </c>
      <c r="N25" s="245">
        <f t="shared" si="1"/>
        <v>0</v>
      </c>
      <c r="O25" s="245">
        <f t="shared" si="1"/>
        <v>3</v>
      </c>
      <c r="P25" s="245">
        <f t="shared" si="1"/>
        <v>6.5</v>
      </c>
      <c r="Q25" s="245">
        <f t="shared" si="1"/>
        <v>6.5</v>
      </c>
      <c r="R25" s="245">
        <f t="shared" si="1"/>
        <v>6.5</v>
      </c>
      <c r="S25" s="47"/>
    </row>
    <row r="26" spans="1:19" ht="22" customHeight="1" thickTop="1" thickBot="1" x14ac:dyDescent="0.3">
      <c r="A26" s="211" t="s">
        <v>295</v>
      </c>
      <c r="B26" s="224" t="s">
        <v>307</v>
      </c>
      <c r="C26" s="246">
        <f>C8+C9+C10+C11</f>
        <v>30.7</v>
      </c>
      <c r="D26" s="247">
        <f t="shared" ref="D26:R26" si="2">D8+D9+D10+D11</f>
        <v>30.7</v>
      </c>
      <c r="E26" s="247">
        <f t="shared" si="2"/>
        <v>35.49</v>
      </c>
      <c r="F26" s="247">
        <f t="shared" si="2"/>
        <v>8.99</v>
      </c>
      <c r="G26" s="247">
        <f t="shared" si="2"/>
        <v>33.99</v>
      </c>
      <c r="H26" s="247">
        <f t="shared" si="2"/>
        <v>8.99</v>
      </c>
      <c r="I26" s="247">
        <f t="shared" si="2"/>
        <v>8.99</v>
      </c>
      <c r="J26" s="247">
        <f t="shared" si="2"/>
        <v>28.990000000000002</v>
      </c>
      <c r="K26" s="247">
        <f t="shared" si="2"/>
        <v>8.99</v>
      </c>
      <c r="L26" s="247">
        <f t="shared" si="2"/>
        <v>32.99</v>
      </c>
      <c r="M26" s="247">
        <f t="shared" si="2"/>
        <v>34.99</v>
      </c>
      <c r="N26" s="247">
        <f t="shared" si="2"/>
        <v>11.190000000000001</v>
      </c>
      <c r="O26" s="247">
        <f t="shared" si="2"/>
        <v>8.99</v>
      </c>
      <c r="P26" s="247">
        <f t="shared" si="2"/>
        <v>24.990000000000002</v>
      </c>
      <c r="Q26" s="247">
        <f t="shared" si="2"/>
        <v>8.99</v>
      </c>
      <c r="R26" s="248">
        <f t="shared" si="2"/>
        <v>28.990000000000002</v>
      </c>
      <c r="S26" s="47"/>
    </row>
    <row r="27" spans="1:19" ht="22" customHeight="1" thickTop="1" x14ac:dyDescent="0.25">
      <c r="A27" s="258" t="s">
        <v>304</v>
      </c>
      <c r="B27" s="225" t="s">
        <v>307</v>
      </c>
      <c r="C27" s="218">
        <f>C14+C15</f>
        <v>206.4</v>
      </c>
      <c r="D27" s="218">
        <f t="shared" ref="D27:R27" si="3">D14+D15</f>
        <v>206.4</v>
      </c>
      <c r="E27" s="218">
        <f t="shared" si="3"/>
        <v>206.4</v>
      </c>
      <c r="F27" s="219">
        <f t="shared" si="3"/>
        <v>216.5</v>
      </c>
      <c r="G27" s="218">
        <f t="shared" si="3"/>
        <v>206.4</v>
      </c>
      <c r="H27" s="219">
        <f t="shared" si="3"/>
        <v>219</v>
      </c>
      <c r="I27" s="218">
        <f t="shared" si="3"/>
        <v>206.4</v>
      </c>
      <c r="J27" s="218">
        <f t="shared" si="3"/>
        <v>206.4</v>
      </c>
      <c r="K27" s="219">
        <f t="shared" si="3"/>
        <v>134</v>
      </c>
      <c r="L27" s="218">
        <f t="shared" si="3"/>
        <v>184</v>
      </c>
      <c r="M27" s="218">
        <f t="shared" si="3"/>
        <v>184</v>
      </c>
      <c r="N27" s="218">
        <f t="shared" si="3"/>
        <v>206.4</v>
      </c>
      <c r="O27" s="218">
        <f t="shared" si="3"/>
        <v>206.4</v>
      </c>
      <c r="P27" s="219">
        <f t="shared" si="3"/>
        <v>204</v>
      </c>
      <c r="Q27" s="218">
        <f t="shared" si="3"/>
        <v>206.4</v>
      </c>
      <c r="R27" s="219">
        <f t="shared" si="3"/>
        <v>203</v>
      </c>
      <c r="S27" s="47"/>
    </row>
    <row r="28" spans="1:19" ht="22" customHeight="1" x14ac:dyDescent="0.25">
      <c r="A28" s="258" t="s">
        <v>306</v>
      </c>
      <c r="B28" s="225" t="s">
        <v>307</v>
      </c>
      <c r="C28" s="220">
        <f>C16</f>
        <v>0</v>
      </c>
      <c r="D28" s="220">
        <f t="shared" ref="D28:R28" si="4">D16</f>
        <v>0</v>
      </c>
      <c r="E28" s="220">
        <f t="shared" si="4"/>
        <v>56.6</v>
      </c>
      <c r="F28" s="220">
        <f t="shared" si="4"/>
        <v>0</v>
      </c>
      <c r="G28" s="221">
        <f t="shared" si="4"/>
        <v>0</v>
      </c>
      <c r="H28" s="220">
        <f t="shared" si="4"/>
        <v>0</v>
      </c>
      <c r="I28" s="220">
        <f t="shared" si="4"/>
        <v>0</v>
      </c>
      <c r="J28" s="220">
        <f t="shared" si="4"/>
        <v>0</v>
      </c>
      <c r="K28" s="221">
        <f t="shared" si="4"/>
        <v>16</v>
      </c>
      <c r="L28" s="220">
        <f t="shared" si="4"/>
        <v>0</v>
      </c>
      <c r="M28" s="220">
        <f t="shared" si="4"/>
        <v>0</v>
      </c>
      <c r="N28" s="220">
        <f t="shared" si="4"/>
        <v>16</v>
      </c>
      <c r="O28" s="220">
        <f t="shared" si="4"/>
        <v>16</v>
      </c>
      <c r="P28" s="220">
        <f t="shared" si="4"/>
        <v>15</v>
      </c>
      <c r="Q28" s="220">
        <f t="shared" si="4"/>
        <v>0</v>
      </c>
      <c r="R28" s="220">
        <f t="shared" si="4"/>
        <v>0</v>
      </c>
      <c r="S28" s="47"/>
    </row>
    <row r="29" spans="1:19" ht="22" customHeight="1" x14ac:dyDescent="0.25">
      <c r="A29" s="258" t="s">
        <v>313</v>
      </c>
      <c r="B29" s="225" t="s">
        <v>307</v>
      </c>
      <c r="C29" s="220">
        <f>C18</f>
        <v>39.85</v>
      </c>
      <c r="D29" s="220">
        <f t="shared" ref="D29:R29" si="5">D18</f>
        <v>39.85</v>
      </c>
      <c r="E29" s="220">
        <f t="shared" si="5"/>
        <v>17.2</v>
      </c>
      <c r="F29" s="220" t="str">
        <f t="shared" si="5"/>
        <v>?</v>
      </c>
      <c r="G29" s="220">
        <f t="shared" si="5"/>
        <v>100</v>
      </c>
      <c r="H29" s="220" t="str">
        <f t="shared" si="5"/>
        <v>31,00 / EQ - 75 / UN3480 SI</v>
      </c>
      <c r="I29" s="220" t="str">
        <f t="shared" si="5"/>
        <v>?</v>
      </c>
      <c r="J29" s="220">
        <f t="shared" si="5"/>
        <v>17.2</v>
      </c>
      <c r="K29" s="220" t="str">
        <f t="shared" si="5"/>
        <v>0,30 /kg min 50 /lith 39,85 EQ</v>
      </c>
      <c r="L29" s="220">
        <f t="shared" si="5"/>
        <v>60</v>
      </c>
      <c r="M29" s="220">
        <f t="shared" si="5"/>
        <v>60</v>
      </c>
      <c r="N29" s="220">
        <f t="shared" si="5"/>
        <v>17.2</v>
      </c>
      <c r="O29" s="220">
        <f t="shared" si="5"/>
        <v>18.2</v>
      </c>
      <c r="P29" s="220">
        <f t="shared" si="5"/>
        <v>25</v>
      </c>
      <c r="Q29" s="220">
        <f t="shared" si="5"/>
        <v>39.85</v>
      </c>
      <c r="R29" s="220">
        <f t="shared" si="5"/>
        <v>25</v>
      </c>
      <c r="S29" s="47"/>
    </row>
    <row r="30" spans="1:19" ht="22" customHeight="1" x14ac:dyDescent="0.25">
      <c r="A30" s="217" t="s">
        <v>312</v>
      </c>
      <c r="B30" s="227" t="s">
        <v>307</v>
      </c>
      <c r="C30" s="226">
        <f>C21</f>
        <v>0</v>
      </c>
      <c r="D30" s="226">
        <f t="shared" ref="D30:R30" si="6">D21</f>
        <v>0</v>
      </c>
      <c r="E30" s="226">
        <f t="shared" si="6"/>
        <v>0</v>
      </c>
      <c r="F30" s="226">
        <f t="shared" si="6"/>
        <v>0</v>
      </c>
      <c r="G30" s="226">
        <f t="shared" si="6"/>
        <v>0</v>
      </c>
      <c r="H30" s="226">
        <f t="shared" si="6"/>
        <v>0</v>
      </c>
      <c r="I30" s="226">
        <f t="shared" si="6"/>
        <v>0</v>
      </c>
      <c r="J30" s="226">
        <f t="shared" si="6"/>
        <v>0</v>
      </c>
      <c r="K30" s="226" t="str">
        <f t="shared" si="6"/>
        <v>nav &gt; CDG 0,25 /kg mini 30</v>
      </c>
      <c r="L30" s="226">
        <f t="shared" si="6"/>
        <v>0</v>
      </c>
      <c r="M30" s="226">
        <f t="shared" si="6"/>
        <v>0</v>
      </c>
      <c r="N30" s="226">
        <f t="shared" si="6"/>
        <v>0</v>
      </c>
      <c r="O30" s="226">
        <f t="shared" si="6"/>
        <v>0</v>
      </c>
      <c r="P30" s="226">
        <f t="shared" si="6"/>
        <v>0</v>
      </c>
      <c r="Q30" s="226">
        <f t="shared" si="6"/>
        <v>0</v>
      </c>
      <c r="R30" s="226" t="str">
        <f t="shared" si="6"/>
        <v>mini ECS 40,50 / mois ?</v>
      </c>
      <c r="S30" s="47"/>
    </row>
    <row r="31" spans="1:19" ht="20.149999999999999" customHeight="1" x14ac:dyDescent="0.25">
      <c r="S31" s="47"/>
    </row>
    <row r="32" spans="1:19" ht="22" customHeight="1" x14ac:dyDescent="0.25">
      <c r="C32" s="255" t="s">
        <v>319</v>
      </c>
      <c r="D32" s="256"/>
      <c r="E32" s="243">
        <f>Cotation!K16</f>
        <v>0</v>
      </c>
      <c r="F32" s="242"/>
      <c r="L32" s="47"/>
      <c r="S32" s="47"/>
    </row>
    <row r="33" spans="3:19" ht="22" customHeight="1" x14ac:dyDescent="0.25">
      <c r="C33" s="253" t="s">
        <v>314</v>
      </c>
      <c r="D33" s="240"/>
      <c r="E33" s="257">
        <f>Cotation!U31</f>
        <v>0</v>
      </c>
      <c r="F33" s="242"/>
      <c r="S33" s="47"/>
    </row>
    <row r="34" spans="3:19" ht="22" customHeight="1" x14ac:dyDescent="0.25">
      <c r="C34" s="228" t="s">
        <v>293</v>
      </c>
      <c r="D34" s="229"/>
      <c r="E34" s="249" t="e">
        <f>HLOOKUP($E$33,$A$23:$R$30,2,FALSE)</f>
        <v>#N/A</v>
      </c>
      <c r="F34" s="236"/>
      <c r="S34" s="47"/>
    </row>
    <row r="35" spans="3:19" ht="22" customHeight="1" x14ac:dyDescent="0.25">
      <c r="C35" s="230" t="s">
        <v>294</v>
      </c>
      <c r="D35" s="231"/>
      <c r="E35" s="250" t="e">
        <f>HLOOKUP($E$33,$A$23:$R$30,3,FALSE)</f>
        <v>#N/A</v>
      </c>
      <c r="F35" s="238"/>
      <c r="S35" s="47"/>
    </row>
    <row r="36" spans="3:19" ht="22" customHeight="1" x14ac:dyDescent="0.25">
      <c r="C36" s="230" t="s">
        <v>295</v>
      </c>
      <c r="D36" s="231"/>
      <c r="E36" s="250" t="e">
        <f>HLOOKUP($E$33,$A$23:$R$30,4,FALSE)</f>
        <v>#N/A</v>
      </c>
      <c r="F36" s="238"/>
      <c r="S36" s="47"/>
    </row>
    <row r="37" spans="3:19" ht="22" customHeight="1" x14ac:dyDescent="0.25">
      <c r="C37" s="232" t="s">
        <v>304</v>
      </c>
      <c r="D37" s="233"/>
      <c r="E37" s="251" t="e">
        <f>HLOOKUP($E$33,$A$23:$R$30,5,FALSE)</f>
        <v>#N/A</v>
      </c>
      <c r="F37" s="239"/>
      <c r="S37" s="47"/>
    </row>
    <row r="38" spans="3:19" ht="22" customHeight="1" x14ac:dyDescent="0.25">
      <c r="C38" s="232" t="s">
        <v>306</v>
      </c>
      <c r="D38" s="233"/>
      <c r="E38" s="251" t="e">
        <f>HLOOKUP($E$33,$A$23:$R$30,6,FALSE)</f>
        <v>#N/A</v>
      </c>
      <c r="F38" s="239"/>
      <c r="S38" s="47"/>
    </row>
    <row r="39" spans="3:19" ht="22" customHeight="1" x14ac:dyDescent="0.25">
      <c r="C39" s="232" t="s">
        <v>315</v>
      </c>
      <c r="D39" s="233"/>
      <c r="E39" s="251" t="e">
        <f>HLOOKUP($E$33,$A$23:$R$30,7,FALSE)</f>
        <v>#N/A</v>
      </c>
      <c r="F39" s="239"/>
      <c r="S39" s="47"/>
    </row>
    <row r="40" spans="3:19" ht="20.149999999999999" customHeight="1" x14ac:dyDescent="0.25">
      <c r="C40" s="234" t="s">
        <v>312</v>
      </c>
      <c r="D40" s="235"/>
      <c r="E40" s="252" t="e">
        <f>HLOOKUP($E$33,$A$23:$R$30,8,FALSE)</f>
        <v>#N/A</v>
      </c>
      <c r="F40" s="237"/>
      <c r="S40" s="47"/>
    </row>
    <row r="41" spans="3:19" ht="20.149999999999999" customHeight="1" x14ac:dyDescent="0.25">
      <c r="S41" s="47"/>
    </row>
    <row r="42" spans="3:19" ht="20.149999999999999" customHeight="1" x14ac:dyDescent="0.25">
      <c r="S42" s="47"/>
    </row>
  </sheetData>
  <mergeCells count="19">
    <mergeCell ref="R1:R2"/>
    <mergeCell ref="A2:B2"/>
    <mergeCell ref="P1:P2"/>
    <mergeCell ref="Q1:Q2"/>
    <mergeCell ref="F1:F2"/>
    <mergeCell ref="E1:E2"/>
    <mergeCell ref="A3:B3"/>
    <mergeCell ref="A1:B1"/>
    <mergeCell ref="M1:M2"/>
    <mergeCell ref="N1:N2"/>
    <mergeCell ref="O1:O2"/>
    <mergeCell ref="C1:C2"/>
    <mergeCell ref="G1:G2"/>
    <mergeCell ref="I1:I2"/>
    <mergeCell ref="J1:J2"/>
    <mergeCell ref="D1:D2"/>
    <mergeCell ref="L1:L2"/>
    <mergeCell ref="K1:K2"/>
    <mergeCell ref="H1:H2"/>
  </mergeCells>
  <phoneticPr fontId="11"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retour_annexes">
                <anchor moveWithCells="1" sizeWithCells="1">
                  <from>
                    <xdr:col>0</xdr:col>
                    <xdr:colOff>260350</xdr:colOff>
                    <xdr:row>1</xdr:row>
                    <xdr:rowOff>57150</xdr:rowOff>
                  </from>
                  <to>
                    <xdr:col>1</xdr:col>
                    <xdr:colOff>876300</xdr:colOff>
                    <xdr:row>2</xdr:row>
                    <xdr:rowOff>190500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0D9B8-13CD-48F1-8BE3-00D509010099}">
  <sheetPr codeName="Feuil10">
    <pageSetUpPr fitToPage="1"/>
  </sheetPr>
  <dimension ref="A1:R10"/>
  <sheetViews>
    <sheetView zoomScaleNormal="100" workbookViewId="0">
      <pane xSplit="2" ySplit="4" topLeftCell="C8" activePane="bottomRight" state="frozen"/>
      <selection pane="topRight" activeCell="C1" sqref="C1"/>
      <selection pane="bottomLeft" activeCell="A6" sqref="A6"/>
      <selection pane="bottomRight" activeCell="C9" sqref="C9"/>
    </sheetView>
  </sheetViews>
  <sheetFormatPr baseColWidth="10" defaultColWidth="11.453125" defaultRowHeight="20.149999999999999" customHeight="1" x14ac:dyDescent="0.25"/>
  <cols>
    <col min="1" max="1" width="17.81640625" style="47" customWidth="1"/>
    <col min="2" max="2" width="12.26953125" style="170" customWidth="1"/>
    <col min="3" max="11" width="12.7265625" style="47" customWidth="1"/>
    <col min="12" max="12" width="12.7265625" customWidth="1"/>
    <col min="13" max="18" width="12.7265625" style="47" customWidth="1"/>
    <col min="19" max="19" width="22.54296875" style="47" customWidth="1"/>
    <col min="20" max="16384" width="11.453125" style="47"/>
  </cols>
  <sheetData>
    <row r="1" spans="1:18" s="39" customFormat="1" ht="20.149999999999999" customHeight="1" x14ac:dyDescent="0.3">
      <c r="A1" s="474" t="s">
        <v>103</v>
      </c>
      <c r="B1" s="475"/>
      <c r="C1" s="478" t="s">
        <v>255</v>
      </c>
      <c r="D1" s="476" t="s">
        <v>254</v>
      </c>
      <c r="E1" s="476" t="s">
        <v>290</v>
      </c>
      <c r="F1" s="476" t="s">
        <v>260</v>
      </c>
      <c r="G1" s="476" t="s">
        <v>96</v>
      </c>
      <c r="H1" s="476" t="s">
        <v>256</v>
      </c>
      <c r="I1" s="476" t="s">
        <v>97</v>
      </c>
      <c r="J1" s="476" t="s">
        <v>257</v>
      </c>
      <c r="K1" s="476" t="s">
        <v>258</v>
      </c>
      <c r="L1" s="476" t="s">
        <v>98</v>
      </c>
      <c r="M1" s="476" t="s">
        <v>99</v>
      </c>
      <c r="N1" s="476" t="s">
        <v>261</v>
      </c>
      <c r="O1" s="476" t="s">
        <v>100</v>
      </c>
      <c r="P1" s="476" t="s">
        <v>259</v>
      </c>
      <c r="Q1" s="476" t="s">
        <v>101</v>
      </c>
      <c r="R1" s="480" t="s">
        <v>262</v>
      </c>
    </row>
    <row r="2" spans="1:18" s="39" customFormat="1" ht="20.149999999999999" customHeight="1" x14ac:dyDescent="0.3">
      <c r="A2" s="474"/>
      <c r="B2" s="475"/>
      <c r="C2" s="479"/>
      <c r="D2" s="477"/>
      <c r="E2" s="477"/>
      <c r="F2" s="477"/>
      <c r="G2" s="477"/>
      <c r="H2" s="477"/>
      <c r="I2" s="477"/>
      <c r="J2" s="477"/>
      <c r="K2" s="477"/>
      <c r="L2" s="477"/>
      <c r="M2" s="477"/>
      <c r="N2" s="477"/>
      <c r="O2" s="477"/>
      <c r="P2" s="477"/>
      <c r="Q2" s="477"/>
      <c r="R2" s="481"/>
    </row>
    <row r="3" spans="1:18" ht="20.149999999999999" customHeight="1" x14ac:dyDescent="0.25">
      <c r="A3" s="474"/>
      <c r="B3" s="475"/>
      <c r="C3" s="42" t="s">
        <v>106</v>
      </c>
      <c r="D3" s="44" t="s">
        <v>110</v>
      </c>
      <c r="E3" s="44">
        <v>124</v>
      </c>
      <c r="F3" s="43" t="s">
        <v>117</v>
      </c>
      <c r="G3" s="43" t="s">
        <v>107</v>
      </c>
      <c r="H3" s="43">
        <v>160</v>
      </c>
      <c r="I3" s="43" t="s">
        <v>108</v>
      </c>
      <c r="J3" s="43" t="s">
        <v>109</v>
      </c>
      <c r="K3" s="95"/>
      <c r="L3" s="44" t="s">
        <v>111</v>
      </c>
      <c r="M3" s="43" t="s">
        <v>112</v>
      </c>
      <c r="N3" s="43" t="s">
        <v>113</v>
      </c>
      <c r="O3" s="43" t="s">
        <v>114</v>
      </c>
      <c r="P3" s="43" t="s">
        <v>115</v>
      </c>
      <c r="Q3" s="44" t="s">
        <v>116</v>
      </c>
      <c r="R3" s="45" t="s">
        <v>118</v>
      </c>
    </row>
    <row r="4" spans="1:18" ht="20.149999999999999" customHeight="1" thickBot="1" x14ac:dyDescent="0.3">
      <c r="A4" s="48" t="s">
        <v>120</v>
      </c>
      <c r="B4" s="168" t="s">
        <v>121</v>
      </c>
      <c r="C4" s="171" t="s">
        <v>122</v>
      </c>
      <c r="D4" s="166" t="s">
        <v>126</v>
      </c>
      <c r="E4" s="166" t="s">
        <v>291</v>
      </c>
      <c r="F4" s="174" t="s">
        <v>133</v>
      </c>
      <c r="G4" s="174" t="s">
        <v>123</v>
      </c>
      <c r="H4" s="166" t="s">
        <v>167</v>
      </c>
      <c r="I4" s="166" t="s">
        <v>124</v>
      </c>
      <c r="J4" s="174" t="s">
        <v>125</v>
      </c>
      <c r="K4" s="173" t="s">
        <v>165</v>
      </c>
      <c r="L4" s="166" t="s">
        <v>127</v>
      </c>
      <c r="M4" s="166" t="s">
        <v>128</v>
      </c>
      <c r="N4" s="166" t="s">
        <v>129</v>
      </c>
      <c r="O4" s="166" t="s">
        <v>130</v>
      </c>
      <c r="P4" s="166" t="s">
        <v>131</v>
      </c>
      <c r="Q4" s="166" t="s">
        <v>132</v>
      </c>
      <c r="R4" s="175" t="s">
        <v>134</v>
      </c>
    </row>
    <row r="5" spans="1:18" ht="14.5" hidden="1" thickBot="1" x14ac:dyDescent="0.3">
      <c r="A5" s="207"/>
      <c r="B5" s="169"/>
      <c r="C5" s="201"/>
      <c r="D5" s="202"/>
      <c r="E5" s="202"/>
      <c r="F5" s="202"/>
      <c r="G5" s="202"/>
      <c r="H5" s="202"/>
      <c r="I5" s="202"/>
      <c r="J5" s="202"/>
      <c r="K5" s="202"/>
      <c r="L5" s="202"/>
      <c r="M5" s="202"/>
      <c r="N5" s="202"/>
      <c r="O5" s="202"/>
      <c r="P5" s="202"/>
      <c r="Q5" s="202"/>
      <c r="R5" s="202"/>
    </row>
    <row r="6" spans="1:18" s="197" customFormat="1" ht="13" hidden="1" thickBot="1" x14ac:dyDescent="0.3">
      <c r="A6" s="200"/>
      <c r="B6" s="198"/>
      <c r="C6" s="199"/>
      <c r="D6" s="199"/>
      <c r="E6" s="199"/>
      <c r="F6" s="199"/>
      <c r="G6" s="199"/>
      <c r="H6" s="199"/>
      <c r="I6" s="199"/>
      <c r="J6" s="199"/>
      <c r="K6" s="199"/>
      <c r="L6" s="199"/>
      <c r="M6" s="199"/>
      <c r="N6" s="199"/>
      <c r="O6" s="199"/>
      <c r="P6" s="199"/>
      <c r="Q6" s="199"/>
      <c r="R6" s="199"/>
    </row>
    <row r="7" spans="1:18" s="197" customFormat="1" ht="24" hidden="1" customHeight="1" thickBot="1" x14ac:dyDescent="0.3">
      <c r="A7" s="200"/>
      <c r="B7" s="198"/>
      <c r="C7" s="276" t="s">
        <v>122</v>
      </c>
      <c r="D7" s="276" t="s">
        <v>126</v>
      </c>
      <c r="E7" s="276" t="s">
        <v>291</v>
      </c>
      <c r="F7" s="276" t="s">
        <v>133</v>
      </c>
      <c r="G7" s="276" t="s">
        <v>123</v>
      </c>
      <c r="H7" s="276" t="s">
        <v>167</v>
      </c>
      <c r="I7" s="276" t="s">
        <v>124</v>
      </c>
      <c r="J7" s="276" t="s">
        <v>125</v>
      </c>
      <c r="K7" s="276" t="s">
        <v>165</v>
      </c>
      <c r="L7" s="276" t="s">
        <v>127</v>
      </c>
      <c r="M7" s="276" t="s">
        <v>128</v>
      </c>
      <c r="N7" s="276" t="s">
        <v>129</v>
      </c>
      <c r="O7" s="276" t="s">
        <v>130</v>
      </c>
      <c r="P7" s="276" t="s">
        <v>131</v>
      </c>
      <c r="Q7" s="276" t="s">
        <v>132</v>
      </c>
      <c r="R7" s="276" t="s">
        <v>134</v>
      </c>
    </row>
    <row r="8" spans="1:18" s="281" customFormat="1" ht="25" customHeight="1" x14ac:dyDescent="0.25">
      <c r="A8" s="279" t="s">
        <v>294</v>
      </c>
      <c r="B8" s="280"/>
      <c r="C8" s="284">
        <v>21</v>
      </c>
      <c r="D8" s="285">
        <v>21</v>
      </c>
      <c r="E8" s="285">
        <v>11.1</v>
      </c>
      <c r="F8" s="285">
        <v>6.5</v>
      </c>
      <c r="G8" s="285">
        <v>6.5</v>
      </c>
      <c r="H8" s="285">
        <v>6.5</v>
      </c>
      <c r="I8" s="285">
        <v>6.5</v>
      </c>
      <c r="J8" s="285">
        <v>6.5</v>
      </c>
      <c r="K8" s="285">
        <v>6.5</v>
      </c>
      <c r="L8" s="285">
        <v>6.5</v>
      </c>
      <c r="M8" s="285">
        <v>6.5</v>
      </c>
      <c r="N8" s="285">
        <v>6.5</v>
      </c>
      <c r="O8" s="285">
        <v>6.5</v>
      </c>
      <c r="P8" s="285">
        <v>6.5</v>
      </c>
      <c r="Q8" s="285">
        <v>6.5</v>
      </c>
      <c r="R8" s="285">
        <v>6.5</v>
      </c>
    </row>
    <row r="9" spans="1:18" ht="25" customHeight="1" x14ac:dyDescent="0.25">
      <c r="A9" s="277" t="s">
        <v>295</v>
      </c>
      <c r="B9" s="282" t="s">
        <v>329</v>
      </c>
      <c r="C9" s="286">
        <v>64.849999999999994</v>
      </c>
      <c r="D9" s="286">
        <v>64.849999999999994</v>
      </c>
      <c r="E9" s="287">
        <v>48.7</v>
      </c>
      <c r="F9" s="287">
        <v>48.7</v>
      </c>
      <c r="G9" s="287">
        <v>48.7</v>
      </c>
      <c r="H9" s="287">
        <v>48.7</v>
      </c>
      <c r="I9" s="287">
        <v>48.7</v>
      </c>
      <c r="J9" s="287">
        <v>48.7</v>
      </c>
      <c r="K9" s="287">
        <v>48.7</v>
      </c>
      <c r="L9" s="287">
        <v>48.7</v>
      </c>
      <c r="M9" s="287">
        <v>48.7</v>
      </c>
      <c r="N9" s="287">
        <v>48.7</v>
      </c>
      <c r="O9" s="287">
        <v>48.7</v>
      </c>
      <c r="P9" s="287">
        <v>48.7</v>
      </c>
      <c r="Q9" s="287">
        <v>48.7</v>
      </c>
      <c r="R9" s="287">
        <v>48.7</v>
      </c>
    </row>
    <row r="10" spans="1:18" ht="25" customHeight="1" thickBot="1" x14ac:dyDescent="0.3">
      <c r="A10" s="278" t="s">
        <v>295</v>
      </c>
      <c r="B10" s="283" t="s">
        <v>330</v>
      </c>
      <c r="C10" s="288">
        <v>64.849999999999994</v>
      </c>
      <c r="D10" s="288">
        <v>64.849999999999994</v>
      </c>
      <c r="E10" s="288">
        <v>64.849999999999994</v>
      </c>
      <c r="F10" s="288">
        <v>64.849999999999994</v>
      </c>
      <c r="G10" s="288">
        <v>64.849999999999994</v>
      </c>
      <c r="H10" s="288">
        <v>64.849999999999994</v>
      </c>
      <c r="I10" s="288">
        <v>64.849999999999994</v>
      </c>
      <c r="J10" s="288">
        <v>64.849999999999994</v>
      </c>
      <c r="K10" s="288">
        <v>64.849999999999994</v>
      </c>
      <c r="L10" s="288">
        <v>64.849999999999994</v>
      </c>
      <c r="M10" s="288">
        <v>64.849999999999994</v>
      </c>
      <c r="N10" s="288">
        <v>64.849999999999994</v>
      </c>
      <c r="O10" s="288">
        <v>64.849999999999994</v>
      </c>
      <c r="P10" s="288">
        <v>64.849999999999994</v>
      </c>
      <c r="Q10" s="288">
        <v>64.849999999999994</v>
      </c>
      <c r="R10" s="288">
        <v>64.849999999999994</v>
      </c>
    </row>
  </sheetData>
  <mergeCells count="19">
    <mergeCell ref="R1:R2"/>
    <mergeCell ref="A2:B2"/>
    <mergeCell ref="H1:H2"/>
    <mergeCell ref="I1:I2"/>
    <mergeCell ref="J1:J2"/>
    <mergeCell ref="K1:K2"/>
    <mergeCell ref="L1:L2"/>
    <mergeCell ref="M1:M2"/>
    <mergeCell ref="A1:B1"/>
    <mergeCell ref="C1:C2"/>
    <mergeCell ref="D1:D2"/>
    <mergeCell ref="E1:E2"/>
    <mergeCell ref="F1:F2"/>
    <mergeCell ref="G1:G2"/>
    <mergeCell ref="A3:B3"/>
    <mergeCell ref="N1:N2"/>
    <mergeCell ref="O1:O2"/>
    <mergeCell ref="P1:P2"/>
    <mergeCell ref="Q1:Q2"/>
  </mergeCells>
  <pageMargins left="0.25" right="0.25" top="0.75" bottom="0.75" header="0.3" footer="0.3"/>
  <pageSetup paperSize="9"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retour_annexes">
                <anchor moveWithCells="1" sizeWithCells="1">
                  <from>
                    <xdr:col>0</xdr:col>
                    <xdr:colOff>260350</xdr:colOff>
                    <xdr:row>1</xdr:row>
                    <xdr:rowOff>57150</xdr:rowOff>
                  </from>
                  <to>
                    <xdr:col>1</xdr:col>
                    <xdr:colOff>876300</xdr:colOff>
                    <xdr:row>2</xdr:row>
                    <xdr:rowOff>190500</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63ADD-3F3D-4CA2-95FC-5D7163F23487}">
  <sheetPr codeName="Feuil9">
    <pageSetUpPr fitToPage="1"/>
  </sheetPr>
  <dimension ref="A1:T94"/>
  <sheetViews>
    <sheetView showGridLines="0" defaultGridColor="0" topLeftCell="A48" colorId="8" zoomScale="110" zoomScaleNormal="110" workbookViewId="0">
      <selection activeCell="E2" sqref="E2"/>
    </sheetView>
  </sheetViews>
  <sheetFormatPr baseColWidth="10" defaultColWidth="11.453125" defaultRowHeight="15" customHeight="1" x14ac:dyDescent="0.25"/>
  <cols>
    <col min="1" max="1" width="50.7265625" style="138" customWidth="1"/>
    <col min="2" max="2" width="20.7265625" style="138" customWidth="1"/>
    <col min="3" max="3" width="50.7265625" style="108" customWidth="1"/>
    <col min="4" max="4" width="20.7265625" style="108" customWidth="1"/>
    <col min="5" max="5" width="50.7265625" style="109" customWidth="1"/>
    <col min="6" max="6" width="20.7265625" style="108" customWidth="1"/>
    <col min="7" max="16384" width="11.453125" style="109"/>
  </cols>
  <sheetData>
    <row r="1" spans="1:18" s="149" customFormat="1" ht="21.75" customHeight="1" x14ac:dyDescent="0.25">
      <c r="A1" s="150" t="s">
        <v>220</v>
      </c>
      <c r="B1" s="150"/>
      <c r="C1" s="151" t="s">
        <v>217</v>
      </c>
      <c r="D1" s="151"/>
      <c r="E1" s="152" t="s">
        <v>221</v>
      </c>
      <c r="F1" s="151"/>
    </row>
    <row r="2" spans="1:18" ht="15" customHeight="1" x14ac:dyDescent="0.25">
      <c r="A2" s="139"/>
      <c r="B2" s="139"/>
      <c r="C2" s="123"/>
      <c r="D2" s="123"/>
      <c r="E2" s="124"/>
      <c r="F2" s="123"/>
      <c r="G2" s="111"/>
      <c r="H2" s="111"/>
      <c r="I2" s="111"/>
      <c r="J2" s="111"/>
      <c r="K2" s="111"/>
      <c r="L2" s="111"/>
      <c r="M2" s="111"/>
      <c r="N2" s="111"/>
      <c r="O2" s="111"/>
      <c r="P2" s="111"/>
      <c r="Q2" s="111"/>
      <c r="R2" s="111"/>
    </row>
    <row r="3" spans="1:18" ht="15" customHeight="1" x14ac:dyDescent="0.25">
      <c r="A3" s="140" t="str">
        <f>IF(Cotation!$BH$1="FR",Textes!C3,Textes!E3)</f>
        <v>COTATION EXPORT AERIENNE</v>
      </c>
      <c r="B3" s="140"/>
      <c r="C3" s="125" t="s">
        <v>239</v>
      </c>
      <c r="D3" s="125"/>
      <c r="E3" s="126" t="s">
        <v>240</v>
      </c>
      <c r="F3" s="125"/>
      <c r="G3" s="111"/>
      <c r="H3" s="111"/>
      <c r="I3" s="111"/>
      <c r="J3" s="111"/>
      <c r="K3" s="111"/>
      <c r="L3" s="111"/>
      <c r="M3" s="111"/>
      <c r="N3" s="111"/>
      <c r="O3" s="111"/>
      <c r="P3" s="111"/>
      <c r="Q3" s="111"/>
      <c r="R3" s="111"/>
    </row>
    <row r="4" spans="1:18" ht="15" customHeight="1" x14ac:dyDescent="0.25">
      <c r="A4" s="140" t="str">
        <f>IF(Cotation!$BH$1="FR",Textes!C4,Textes!E4)</f>
        <v>Cotation n° (à rappeler)</v>
      </c>
      <c r="B4" s="140"/>
      <c r="C4" s="125" t="s">
        <v>212</v>
      </c>
      <c r="D4" s="125"/>
      <c r="E4" s="126" t="s">
        <v>170</v>
      </c>
      <c r="F4" s="125"/>
      <c r="G4" s="111"/>
      <c r="H4" s="111"/>
      <c r="I4" s="111"/>
      <c r="J4" s="111"/>
      <c r="K4" s="111"/>
      <c r="L4" s="111"/>
      <c r="M4" s="111"/>
      <c r="N4" s="111"/>
      <c r="O4" s="111"/>
      <c r="P4" s="111"/>
      <c r="Q4" s="111"/>
      <c r="R4" s="111"/>
    </row>
    <row r="5" spans="1:18" ht="15" customHeight="1" x14ac:dyDescent="0.25">
      <c r="A5" s="140" t="str">
        <f>IF(Cotation!$BH$1="FR",Textes!C5,Textes!E5)</f>
        <v>du</v>
      </c>
      <c r="B5" s="140"/>
      <c r="C5" s="125" t="s">
        <v>0</v>
      </c>
      <c r="D5" s="125"/>
      <c r="E5" s="126" t="s">
        <v>222</v>
      </c>
      <c r="F5" s="125"/>
      <c r="G5" s="111"/>
      <c r="H5" s="111"/>
      <c r="I5" s="111"/>
      <c r="J5" s="111"/>
      <c r="K5" s="111"/>
      <c r="L5" s="111"/>
      <c r="M5" s="111"/>
      <c r="N5" s="111"/>
      <c r="O5" s="111"/>
      <c r="P5" s="111"/>
      <c r="Q5" s="111"/>
      <c r="R5" s="111"/>
    </row>
    <row r="6" spans="1:18" ht="15" customHeight="1" x14ac:dyDescent="0.25">
      <c r="A6" s="140" t="str">
        <f>IF(Cotation!$BH$1="FR",Textes!C6,Textes!E6)</f>
        <v>Par</v>
      </c>
      <c r="B6" s="140"/>
      <c r="C6" s="125" t="s">
        <v>214</v>
      </c>
      <c r="D6" s="125"/>
      <c r="E6" s="126" t="s">
        <v>325</v>
      </c>
      <c r="F6" s="125"/>
      <c r="G6" s="111"/>
      <c r="H6" s="111"/>
      <c r="I6" s="111"/>
      <c r="J6" s="110"/>
      <c r="K6" s="110"/>
      <c r="L6" s="110"/>
      <c r="M6" s="110"/>
      <c r="N6" s="110"/>
      <c r="O6" s="110"/>
      <c r="P6" s="110"/>
      <c r="Q6" s="110"/>
      <c r="R6" s="110"/>
    </row>
    <row r="7" spans="1:18" ht="15" customHeight="1" x14ac:dyDescent="0.25">
      <c r="A7" s="139" t="str">
        <f>IF(Cotation!$BH$1="FR",Textes!C7,Textes!E7)</f>
        <v>Votre référence :</v>
      </c>
      <c r="B7" s="139"/>
      <c r="C7" s="123" t="s">
        <v>3</v>
      </c>
      <c r="D7" s="123"/>
      <c r="E7" s="124" t="s">
        <v>171</v>
      </c>
      <c r="F7" s="123"/>
      <c r="G7" s="111"/>
      <c r="H7" s="111"/>
      <c r="I7" s="111"/>
      <c r="J7" s="110"/>
      <c r="K7" s="110"/>
      <c r="L7" s="110"/>
      <c r="M7" s="110"/>
      <c r="N7" s="110"/>
      <c r="O7" s="110"/>
      <c r="P7" s="110"/>
      <c r="Q7" s="110"/>
      <c r="R7" s="110"/>
    </row>
    <row r="8" spans="1:18" ht="15" customHeight="1" x14ac:dyDescent="0.25">
      <c r="A8" s="140" t="str">
        <f>IF(Cotation!$BH$1="FR",Textes!C8,Textes!E8)</f>
        <v>Validité de la cotation :</v>
      </c>
      <c r="B8" s="140"/>
      <c r="C8" s="125" t="s">
        <v>205</v>
      </c>
      <c r="D8" s="125"/>
      <c r="E8" s="126" t="s">
        <v>223</v>
      </c>
      <c r="F8" s="125"/>
      <c r="G8" s="111"/>
      <c r="H8" s="111"/>
      <c r="I8" s="111"/>
      <c r="J8" s="110"/>
      <c r="K8" s="110"/>
      <c r="L8" s="110"/>
      <c r="M8" s="110"/>
      <c r="N8" s="110"/>
      <c r="O8" s="110"/>
      <c r="P8" s="110"/>
      <c r="Q8" s="110"/>
      <c r="R8" s="110"/>
    </row>
    <row r="9" spans="1:18" ht="15" customHeight="1" x14ac:dyDescent="0.25">
      <c r="A9" s="140" t="str">
        <f>IF(Cotation!$BH$1="FR",Textes!C9,Textes!E9)</f>
        <v>Société :</v>
      </c>
      <c r="B9" s="140"/>
      <c r="C9" s="125" t="s">
        <v>1</v>
      </c>
      <c r="D9" s="125"/>
      <c r="E9" s="126" t="s">
        <v>184</v>
      </c>
      <c r="F9" s="125"/>
      <c r="G9" s="111"/>
      <c r="H9" s="111"/>
      <c r="I9" s="111"/>
      <c r="J9" s="110"/>
      <c r="K9" s="110"/>
      <c r="L9" s="110"/>
      <c r="M9" s="110"/>
      <c r="N9" s="110"/>
      <c r="O9" s="110"/>
      <c r="P9" s="110"/>
      <c r="Q9" s="110"/>
      <c r="R9" s="110"/>
    </row>
    <row r="10" spans="1:18" ht="15" customHeight="1" x14ac:dyDescent="0.25">
      <c r="A10" s="140" t="str">
        <f>IF(Cotation!$BH$1="FR",Textes!C10,Textes!E10)</f>
        <v>A l'attention de :</v>
      </c>
      <c r="B10" s="140"/>
      <c r="C10" s="125" t="s">
        <v>2</v>
      </c>
      <c r="D10" s="125"/>
      <c r="E10" s="126" t="s">
        <v>279</v>
      </c>
      <c r="F10" s="125"/>
      <c r="G10" s="111"/>
      <c r="H10" s="111"/>
      <c r="I10" s="111"/>
      <c r="J10" s="110"/>
      <c r="K10" s="110"/>
      <c r="L10" s="110"/>
      <c r="M10" s="110"/>
      <c r="N10" s="110"/>
      <c r="O10" s="110"/>
      <c r="P10" s="110"/>
      <c r="Q10" s="110"/>
      <c r="R10" s="110"/>
    </row>
    <row r="11" spans="1:18" ht="15" customHeight="1" x14ac:dyDescent="0.25">
      <c r="A11" s="142" t="str">
        <f>IF(Cotation!$BH$1="FR",Textes!C11,Textes!E11)</f>
        <v>Nous faisons suite à votre demande et vous prions de trouver ci-après notre meilleure estimation concernant l'expédition reprise ci-dessous :</v>
      </c>
      <c r="B11" s="142"/>
      <c r="C11" s="129" t="s">
        <v>213</v>
      </c>
      <c r="D11" s="129"/>
      <c r="E11" s="130" t="s">
        <v>172</v>
      </c>
      <c r="F11" s="129"/>
      <c r="G11" s="111"/>
      <c r="H11" s="111"/>
      <c r="I11" s="111"/>
      <c r="J11" s="110"/>
      <c r="K11" s="110"/>
      <c r="L11" s="110"/>
      <c r="M11" s="110"/>
      <c r="N11" s="110"/>
      <c r="O11" s="110"/>
      <c r="P11" s="110"/>
      <c r="Q11" s="110"/>
      <c r="R11" s="110"/>
    </row>
    <row r="12" spans="1:18" ht="15" customHeight="1" x14ac:dyDescent="0.25">
      <c r="A12" s="140" t="str">
        <f>IF(Cotation!$BH$1="FR",Textes!C12,Textes!E12)</f>
        <v>Au départ de :</v>
      </c>
      <c r="B12" s="139"/>
      <c r="C12" s="123" t="s">
        <v>280</v>
      </c>
      <c r="D12" s="123"/>
      <c r="E12" s="124" t="s">
        <v>281</v>
      </c>
      <c r="F12" s="123"/>
      <c r="G12" s="111"/>
      <c r="H12" s="111"/>
      <c r="I12" s="111"/>
      <c r="J12" s="110"/>
      <c r="K12" s="110"/>
      <c r="L12" s="110"/>
      <c r="M12" s="110"/>
      <c r="N12" s="110"/>
      <c r="O12" s="110"/>
      <c r="P12" s="110"/>
      <c r="Q12" s="110"/>
      <c r="R12" s="110"/>
    </row>
    <row r="13" spans="1:18" ht="15" customHeight="1" x14ac:dyDescent="0.25">
      <c r="A13" s="140" t="str">
        <f>IF(Cotation!$BH$1="FR",Textes!C13,Textes!E13)</f>
        <v>A destination de :</v>
      </c>
      <c r="B13" s="140"/>
      <c r="C13" s="125" t="s">
        <v>282</v>
      </c>
      <c r="D13" s="125"/>
      <c r="E13" s="126" t="s">
        <v>283</v>
      </c>
      <c r="F13" s="125"/>
      <c r="G13" s="111"/>
      <c r="H13" s="111"/>
      <c r="I13" s="111"/>
      <c r="J13" s="110"/>
      <c r="K13" s="110"/>
      <c r="L13" s="110"/>
      <c r="M13" s="110"/>
      <c r="N13" s="110"/>
      <c r="O13" s="110"/>
      <c r="P13" s="110"/>
      <c r="Q13" s="110"/>
      <c r="R13" s="110"/>
    </row>
    <row r="14" spans="1:18" ht="15" customHeight="1" x14ac:dyDescent="0.25">
      <c r="A14" s="140" t="str">
        <f>IF(Cotation!$BH$1="FR",Textes!C14,Textes!E14)</f>
        <v>Taux de change du jour : 1 EUR =</v>
      </c>
      <c r="B14" s="140"/>
      <c r="C14" s="125" t="s">
        <v>287</v>
      </c>
      <c r="D14" s="125"/>
      <c r="E14" s="126" t="s">
        <v>288</v>
      </c>
      <c r="F14" s="125"/>
      <c r="G14" s="111"/>
      <c r="H14" s="111"/>
      <c r="I14" s="111"/>
      <c r="J14" s="110"/>
      <c r="K14" s="110"/>
      <c r="L14" s="110"/>
      <c r="M14" s="110"/>
      <c r="N14" s="110"/>
      <c r="O14" s="110"/>
      <c r="P14" s="110"/>
      <c r="Q14" s="110"/>
      <c r="R14" s="110"/>
    </row>
    <row r="15" spans="1:18" ht="15" customHeight="1" x14ac:dyDescent="0.25">
      <c r="A15" s="140" t="str">
        <f>IF(Cotation!$BH$1="FR",Textes!C15,Textes!E15)</f>
        <v>Nombre de colis :</v>
      </c>
      <c r="B15" s="140"/>
      <c r="C15" s="125" t="s">
        <v>4</v>
      </c>
      <c r="D15" s="125"/>
      <c r="E15" s="126" t="s">
        <v>173</v>
      </c>
      <c r="F15" s="125"/>
      <c r="G15" s="111"/>
      <c r="H15" s="111"/>
      <c r="I15" s="111"/>
      <c r="J15" s="110"/>
      <c r="K15" s="110"/>
      <c r="L15" s="110"/>
      <c r="M15" s="110"/>
      <c r="N15" s="110"/>
      <c r="O15" s="110"/>
      <c r="P15" s="110"/>
      <c r="Q15" s="110"/>
      <c r="R15" s="110"/>
    </row>
    <row r="16" spans="1:18" ht="15" customHeight="1" x14ac:dyDescent="0.25">
      <c r="A16" s="140" t="str">
        <f>IF(Cotation!$BH$1="FR",Textes!C16,Textes!E16)</f>
        <v>Poids brut total :</v>
      </c>
      <c r="B16" s="140"/>
      <c r="C16" s="125" t="s">
        <v>5</v>
      </c>
      <c r="D16" s="125"/>
      <c r="E16" s="126" t="s">
        <v>174</v>
      </c>
      <c r="F16" s="125"/>
      <c r="G16" s="111"/>
      <c r="H16" s="111"/>
      <c r="I16" s="111"/>
      <c r="J16" s="110"/>
      <c r="K16" s="110"/>
      <c r="L16" s="110"/>
      <c r="M16" s="110"/>
      <c r="N16" s="110"/>
      <c r="O16" s="110"/>
      <c r="P16" s="110"/>
      <c r="Q16" s="110"/>
      <c r="R16" s="110"/>
    </row>
    <row r="17" spans="1:20" ht="15" customHeight="1" x14ac:dyDescent="0.25">
      <c r="A17" s="140" t="str">
        <f>IF(Cotation!$BH$1="FR",Textes!C17,Textes!E17)</f>
        <v>Dimensions :</v>
      </c>
      <c r="B17" s="140"/>
      <c r="C17" s="125" t="s">
        <v>6</v>
      </c>
      <c r="D17" s="125"/>
      <c r="E17" s="126" t="s">
        <v>6</v>
      </c>
      <c r="F17" s="125"/>
      <c r="G17" s="111"/>
      <c r="H17" s="111"/>
      <c r="I17" s="111"/>
      <c r="J17" s="110"/>
      <c r="K17" s="110"/>
      <c r="L17" s="110"/>
      <c r="M17" s="110"/>
      <c r="N17" s="110"/>
      <c r="O17" s="110"/>
      <c r="P17" s="110"/>
      <c r="Q17" s="110"/>
      <c r="R17" s="110"/>
    </row>
    <row r="18" spans="1:20" ht="15" customHeight="1" x14ac:dyDescent="0.25">
      <c r="A18" s="140" t="str">
        <f>IF(Cotation!$BH$1="FR",Textes!C18,Textes!E18)</f>
        <v>Volume total :</v>
      </c>
      <c r="B18" s="140"/>
      <c r="C18" s="125" t="s">
        <v>7</v>
      </c>
      <c r="D18" s="125"/>
      <c r="E18" s="126" t="s">
        <v>175</v>
      </c>
      <c r="F18" s="125"/>
      <c r="G18" s="111"/>
      <c r="H18" s="111"/>
      <c r="I18" s="111"/>
      <c r="J18" s="110"/>
      <c r="K18" s="110"/>
      <c r="L18" s="110"/>
      <c r="M18" s="110"/>
      <c r="N18" s="110"/>
      <c r="O18" s="110"/>
      <c r="P18" s="110"/>
      <c r="Q18" s="110"/>
      <c r="R18" s="110"/>
    </row>
    <row r="19" spans="1:20" ht="15" customHeight="1" x14ac:dyDescent="0.25">
      <c r="A19" s="140" t="str">
        <f>IF(Cotation!$BH$1="FR",Textes!C19,Textes!E19)</f>
        <v>Poids taxable :</v>
      </c>
      <c r="B19" s="140"/>
      <c r="C19" s="125" t="s">
        <v>8</v>
      </c>
      <c r="D19" s="125"/>
      <c r="E19" s="126" t="s">
        <v>202</v>
      </c>
      <c r="F19" s="125"/>
      <c r="G19" s="111"/>
      <c r="H19" s="111"/>
      <c r="I19" s="111"/>
      <c r="J19" s="110"/>
      <c r="K19" s="110"/>
      <c r="L19" s="110"/>
      <c r="M19" s="110"/>
      <c r="N19" s="110"/>
      <c r="O19" s="110"/>
      <c r="P19" s="110"/>
      <c r="Q19" s="110"/>
      <c r="R19" s="110"/>
    </row>
    <row r="20" spans="1:20" ht="15" customHeight="1" x14ac:dyDescent="0.25">
      <c r="A20" s="140" t="str">
        <f>IF(Cotation!$BH$1="FR",Textes!C20,Textes!E20)</f>
        <v>Produits réglementés/dangereux :</v>
      </c>
      <c r="B20" s="140"/>
      <c r="C20" s="125" t="s">
        <v>9</v>
      </c>
      <c r="D20" s="125"/>
      <c r="E20" s="126" t="s">
        <v>178</v>
      </c>
      <c r="F20" s="125"/>
      <c r="G20" s="111"/>
      <c r="H20" s="111"/>
      <c r="I20" s="111"/>
      <c r="J20" s="110"/>
      <c r="K20" s="110"/>
      <c r="L20" s="110"/>
      <c r="M20" s="110"/>
      <c r="N20" s="110"/>
      <c r="O20" s="110"/>
      <c r="P20" s="110"/>
      <c r="Q20" s="110"/>
      <c r="R20" s="110"/>
    </row>
    <row r="21" spans="1:20" ht="15" customHeight="1" x14ac:dyDescent="0.25">
      <c r="A21" s="140" t="str">
        <f>IF(Cotation!$BH$1="FR",Textes!C21,Textes!E21)</f>
        <v>Détails DGX :</v>
      </c>
      <c r="B21" s="140"/>
      <c r="C21" s="125" t="s">
        <v>237</v>
      </c>
      <c r="D21" s="125"/>
      <c r="E21" s="126" t="s">
        <v>238</v>
      </c>
      <c r="F21" s="125"/>
      <c r="G21" s="111"/>
      <c r="H21" s="111"/>
      <c r="I21" s="111"/>
      <c r="J21" s="110"/>
      <c r="K21" s="110"/>
      <c r="L21" s="110"/>
      <c r="M21" s="110"/>
      <c r="N21" s="110"/>
      <c r="O21" s="110"/>
      <c r="P21" s="110"/>
      <c r="Q21" s="110"/>
      <c r="R21" s="110"/>
    </row>
    <row r="22" spans="1:20" ht="15" customHeight="1" x14ac:dyDescent="0.25">
      <c r="A22" s="140" t="str">
        <f>IF(Cotation!$BH$1="FR",Textes!C22,Textes!E22)</f>
        <v>Autres éléments particuliers :</v>
      </c>
      <c r="B22" s="140"/>
      <c r="C22" s="125" t="s">
        <v>286</v>
      </c>
      <c r="D22" s="125"/>
      <c r="E22" s="126" t="s">
        <v>179</v>
      </c>
      <c r="F22" s="125"/>
      <c r="G22" s="111"/>
      <c r="H22" s="111"/>
      <c r="I22" s="111"/>
      <c r="J22" s="110"/>
      <c r="K22" s="110"/>
      <c r="L22" s="110"/>
      <c r="M22" s="110"/>
      <c r="N22" s="110"/>
      <c r="O22" s="110"/>
      <c r="P22" s="110"/>
      <c r="Q22" s="110"/>
      <c r="R22" s="110"/>
    </row>
    <row r="23" spans="1:20" ht="15" customHeight="1" x14ac:dyDescent="0.25">
      <c r="A23" s="140" t="str">
        <f>IF(Cotation!$BH$1="FR",Textes!C23,Textes!E23)</f>
        <v>Livraison :</v>
      </c>
      <c r="B23" s="140"/>
      <c r="C23" s="125" t="s">
        <v>208</v>
      </c>
      <c r="D23" s="125"/>
      <c r="E23" s="126" t="s">
        <v>12</v>
      </c>
      <c r="F23" s="125"/>
      <c r="G23" s="111"/>
      <c r="H23" s="111"/>
      <c r="I23" s="111"/>
      <c r="J23" s="110"/>
      <c r="K23" s="110"/>
      <c r="L23" s="110"/>
      <c r="M23" s="110"/>
      <c r="N23" s="110"/>
      <c r="O23" s="110"/>
      <c r="P23" s="110"/>
      <c r="Q23" s="110"/>
      <c r="R23" s="110"/>
    </row>
    <row r="24" spans="1:20" ht="15" customHeight="1" x14ac:dyDescent="0.25">
      <c r="A24" s="140" t="str">
        <f>IF(Cotation!$BH$1="FR",Textes!C24,Textes!E24)</f>
        <v>Incoterm :</v>
      </c>
      <c r="B24" s="140"/>
      <c r="C24" s="125" t="s">
        <v>13</v>
      </c>
      <c r="D24" s="125"/>
      <c r="E24" s="126" t="s">
        <v>13</v>
      </c>
      <c r="F24" s="125"/>
      <c r="G24" s="111"/>
      <c r="H24" s="111"/>
      <c r="I24" s="111"/>
      <c r="J24" s="110"/>
      <c r="K24" s="110"/>
      <c r="L24" s="110"/>
      <c r="M24" s="110"/>
      <c r="N24" s="110"/>
      <c r="O24" s="110"/>
      <c r="P24" s="110"/>
      <c r="Q24" s="110"/>
      <c r="R24" s="110"/>
    </row>
    <row r="25" spans="1:20" ht="15" customHeight="1" x14ac:dyDescent="0.25">
      <c r="A25" s="140" t="str">
        <f>IF(Cotation!$BH$1="FR",Textes!C25,Textes!E25)</f>
        <v>Nature de la marchandise :</v>
      </c>
      <c r="B25" s="140"/>
      <c r="C25" s="125" t="s">
        <v>14</v>
      </c>
      <c r="D25" s="125"/>
      <c r="E25" s="126" t="s">
        <v>176</v>
      </c>
      <c r="F25" s="125"/>
      <c r="G25" s="111"/>
      <c r="H25" s="111"/>
      <c r="I25" s="111"/>
      <c r="J25" s="111"/>
      <c r="K25" s="111"/>
      <c r="L25" s="111"/>
      <c r="M25" s="111"/>
      <c r="N25" s="111"/>
      <c r="O25" s="111"/>
      <c r="P25" s="111"/>
      <c r="Q25" s="111"/>
      <c r="R25" s="111"/>
    </row>
    <row r="26" spans="1:20" ht="15" customHeight="1" x14ac:dyDescent="0.25">
      <c r="A26" s="140" t="str">
        <f>IF(Cotation!$BH$1="FR",Textes!C26,Textes!E26)</f>
        <v>OUI</v>
      </c>
      <c r="B26" s="140" t="str">
        <f>IF(Cotation!$BH$1="FR",Textes!D26,Textes!F26)</f>
        <v>NON</v>
      </c>
      <c r="C26" s="125" t="s">
        <v>233</v>
      </c>
      <c r="D26" s="125" t="s">
        <v>234</v>
      </c>
      <c r="E26" s="126" t="s">
        <v>235</v>
      </c>
      <c r="F26" s="125" t="s">
        <v>236</v>
      </c>
      <c r="G26" s="111"/>
      <c r="H26" s="111"/>
      <c r="I26" s="111"/>
      <c r="J26" s="111"/>
      <c r="K26" s="111"/>
      <c r="L26" s="111"/>
      <c r="M26" s="111"/>
      <c r="N26" s="111"/>
      <c r="O26" s="111"/>
      <c r="P26" s="111"/>
      <c r="Q26" s="111"/>
      <c r="R26" s="111"/>
    </row>
    <row r="27" spans="1:20" s="108" customFormat="1" ht="15" customHeight="1" x14ac:dyDescent="0.25">
      <c r="A27" s="142" t="str">
        <f>IF(Cotation!$BH$1="FR",Textes!C27,Textes!E27)</f>
        <v>Payant pour :</v>
      </c>
      <c r="B27" s="142"/>
      <c r="C27" s="129" t="s">
        <v>15</v>
      </c>
      <c r="D27" s="129"/>
      <c r="E27" s="130" t="s">
        <v>177</v>
      </c>
      <c r="F27" s="129"/>
      <c r="G27" s="115"/>
      <c r="H27" s="115"/>
      <c r="I27" s="115"/>
      <c r="J27" s="115"/>
      <c r="K27" s="115"/>
      <c r="L27" s="115"/>
      <c r="M27" s="115"/>
      <c r="N27" s="115"/>
      <c r="O27" s="115"/>
      <c r="P27" s="115"/>
      <c r="Q27" s="115"/>
      <c r="R27" s="115"/>
      <c r="S27" s="115"/>
      <c r="T27" s="115"/>
    </row>
    <row r="28" spans="1:20" s="108" customFormat="1" ht="15" customHeight="1" x14ac:dyDescent="0.25">
      <c r="A28" s="139" t="str">
        <f>IF(Cotation!$BH$1="FR",Textes!C28,Textes!E28)</f>
        <v>Détail de la cotation :</v>
      </c>
      <c r="B28" s="139"/>
      <c r="C28" s="123" t="s">
        <v>16</v>
      </c>
      <c r="D28" s="123"/>
      <c r="E28" s="123" t="s">
        <v>209</v>
      </c>
      <c r="F28" s="123"/>
      <c r="G28" s="115"/>
      <c r="H28" s="115"/>
      <c r="I28" s="115"/>
      <c r="J28" s="115"/>
      <c r="K28" s="115"/>
      <c r="L28" s="115"/>
      <c r="M28" s="115"/>
      <c r="N28" s="115"/>
      <c r="O28" s="115"/>
      <c r="P28" s="115"/>
      <c r="Q28" s="115"/>
      <c r="R28" s="115"/>
      <c r="S28" s="115"/>
      <c r="T28" s="115"/>
    </row>
    <row r="29" spans="1:20" s="108" customFormat="1" ht="15" customHeight="1" x14ac:dyDescent="0.25">
      <c r="A29" s="143" t="str">
        <f>IF(Cotation!$BH$1="FR",Textes!C29,Textes!E29)</f>
        <v xml:space="preserve">Aéroport de départ : </v>
      </c>
      <c r="B29" s="143"/>
      <c r="C29" s="131" t="s">
        <v>206</v>
      </c>
      <c r="D29" s="131"/>
      <c r="E29" s="131" t="s">
        <v>210</v>
      </c>
      <c r="F29" s="131"/>
      <c r="G29" s="115"/>
      <c r="H29" s="115"/>
      <c r="I29" s="115"/>
      <c r="J29" s="115"/>
      <c r="K29" s="115"/>
      <c r="L29" s="115"/>
      <c r="M29" s="115"/>
      <c r="N29" s="115"/>
      <c r="O29" s="115"/>
      <c r="P29" s="115"/>
      <c r="Q29" s="115"/>
      <c r="R29" s="115"/>
      <c r="S29" s="115"/>
      <c r="T29" s="115"/>
    </row>
    <row r="30" spans="1:20" s="108" customFormat="1" ht="15" customHeight="1" x14ac:dyDescent="0.25">
      <c r="A30" s="143" t="str">
        <f>IF(Cotation!$BH$1="FR",Textes!C30,Textes!E30)</f>
        <v>Aéroport d'arrivée :</v>
      </c>
      <c r="B30" s="143"/>
      <c r="C30" s="131" t="s">
        <v>207</v>
      </c>
      <c r="D30" s="131"/>
      <c r="E30" s="131" t="s">
        <v>211</v>
      </c>
      <c r="F30" s="131"/>
      <c r="G30" s="115"/>
      <c r="H30" s="115"/>
      <c r="I30" s="115"/>
      <c r="J30" s="115"/>
      <c r="K30" s="115"/>
      <c r="L30" s="115"/>
      <c r="M30" s="115"/>
      <c r="N30" s="115"/>
      <c r="O30" s="115"/>
      <c r="P30" s="115"/>
      <c r="Q30" s="115"/>
      <c r="R30" s="115"/>
      <c r="S30" s="115"/>
      <c r="T30" s="115"/>
    </row>
    <row r="31" spans="1:20" ht="15" customHeight="1" x14ac:dyDescent="0.25">
      <c r="A31" s="140" t="str">
        <f>IF(Cotation!$BH$1="FR",Textes!C31,Textes!E31)</f>
        <v>FRAIS AU DEPART</v>
      </c>
      <c r="B31" s="140"/>
      <c r="C31" s="125" t="s">
        <v>17</v>
      </c>
      <c r="D31" s="125"/>
      <c r="E31" s="126" t="s">
        <v>180</v>
      </c>
      <c r="F31" s="125"/>
      <c r="G31" s="111"/>
      <c r="H31" s="111"/>
      <c r="I31" s="111"/>
      <c r="J31" s="111"/>
      <c r="K31" s="111"/>
      <c r="L31" s="111"/>
      <c r="M31" s="111"/>
      <c r="N31" s="111"/>
      <c r="O31" s="111"/>
      <c r="P31" s="111"/>
      <c r="Q31" s="111"/>
      <c r="R31" s="111"/>
    </row>
    <row r="32" spans="1:20" ht="15" customHeight="1" x14ac:dyDescent="0.25">
      <c r="A32" s="140" t="str">
        <f>IF(Cotation!$BH$1="FR",Textes!C32,Textes!E32)</f>
        <v>Préacheminement :</v>
      </c>
      <c r="B32" s="140"/>
      <c r="C32" s="125" t="s">
        <v>331</v>
      </c>
      <c r="D32" s="125"/>
      <c r="E32" s="126" t="s">
        <v>334</v>
      </c>
      <c r="F32" s="125"/>
      <c r="G32" s="111"/>
      <c r="H32" s="111"/>
      <c r="I32" s="111"/>
      <c r="J32" s="111"/>
      <c r="K32" s="111"/>
      <c r="L32" s="111"/>
      <c r="M32" s="111"/>
      <c r="N32" s="111"/>
      <c r="O32" s="111"/>
      <c r="P32" s="111"/>
      <c r="Q32" s="111"/>
      <c r="R32" s="111"/>
    </row>
    <row r="33" spans="1:18" ht="15" customHeight="1" x14ac:dyDescent="0.25">
      <c r="A33" s="141" t="str">
        <f>IF(Cotation!$BH$1="FR",Textes!C33,Textes!E33)</f>
        <v xml:space="preserve">Taxe gasoil en sus : </v>
      </c>
      <c r="B33" s="141"/>
      <c r="C33" s="127" t="s">
        <v>89</v>
      </c>
      <c r="D33" s="127"/>
      <c r="E33" s="128" t="s">
        <v>181</v>
      </c>
      <c r="F33" s="127"/>
      <c r="G33" s="111"/>
      <c r="H33" s="111"/>
      <c r="I33" s="111"/>
      <c r="J33" s="111"/>
      <c r="K33" s="111"/>
      <c r="L33" s="111"/>
      <c r="M33" s="111"/>
      <c r="N33" s="111"/>
      <c r="O33" s="111"/>
      <c r="P33" s="111"/>
      <c r="Q33" s="111"/>
      <c r="R33" s="111"/>
    </row>
    <row r="34" spans="1:18" ht="15" customHeight="1" x14ac:dyDescent="0.25">
      <c r="A34" s="140" t="str">
        <f>IF(Cotation!$BH$1="FR",Textes!C34,Textes!E34)</f>
        <v>Manutention :</v>
      </c>
      <c r="B34" s="140"/>
      <c r="C34" s="125" t="s">
        <v>74</v>
      </c>
      <c r="D34" s="125"/>
      <c r="E34" s="126" t="s">
        <v>182</v>
      </c>
      <c r="F34" s="125"/>
      <c r="G34" s="111"/>
      <c r="H34" s="111"/>
      <c r="I34" s="111"/>
      <c r="J34" s="111"/>
      <c r="K34" s="111"/>
      <c r="L34" s="111"/>
      <c r="M34" s="111"/>
      <c r="N34" s="111"/>
      <c r="O34" s="111"/>
      <c r="P34" s="111"/>
      <c r="Q34" s="111"/>
      <c r="R34" s="111"/>
    </row>
    <row r="35" spans="1:18" ht="15" customHeight="1" x14ac:dyDescent="0.25">
      <c r="A35" s="140" t="str">
        <f>IF(Cotation!$BH$1="FR",Textes!C35,Textes!E35)</f>
        <v>Mise à  FOB :</v>
      </c>
      <c r="B35" s="140"/>
      <c r="C35" s="125" t="s">
        <v>75</v>
      </c>
      <c r="D35" s="125"/>
      <c r="E35" s="126" t="s">
        <v>277</v>
      </c>
      <c r="F35" s="125"/>
      <c r="G35" s="111"/>
      <c r="H35" s="111"/>
      <c r="I35" s="111"/>
      <c r="J35" s="111"/>
      <c r="K35" s="111"/>
      <c r="L35" s="111"/>
      <c r="M35" s="111"/>
      <c r="N35" s="111"/>
      <c r="O35" s="111"/>
      <c r="P35" s="111"/>
      <c r="Q35" s="111"/>
      <c r="R35" s="111"/>
    </row>
    <row r="36" spans="1:18" ht="15" customHeight="1" x14ac:dyDescent="0.25">
      <c r="A36" s="140" t="str">
        <f>IF(Cotation!$BH$1="FR",Textes!C36,Textes!E36)</f>
        <v>FRET AERIEN</v>
      </c>
      <c r="B36" s="140"/>
      <c r="C36" s="125" t="s">
        <v>18</v>
      </c>
      <c r="D36" s="125"/>
      <c r="E36" s="126" t="s">
        <v>183</v>
      </c>
      <c r="F36" s="125"/>
      <c r="G36" s="111"/>
      <c r="H36" s="111"/>
      <c r="I36" s="111"/>
      <c r="J36" s="111"/>
      <c r="K36" s="111"/>
      <c r="L36" s="111"/>
      <c r="M36" s="111"/>
      <c r="N36" s="111"/>
      <c r="O36" s="111"/>
      <c r="P36" s="111"/>
      <c r="Q36" s="111"/>
      <c r="R36" s="111"/>
    </row>
    <row r="37" spans="1:18" ht="15" customHeight="1" x14ac:dyDescent="0.25">
      <c r="A37" s="140" t="str">
        <f>IF(Cotation!$BH$1="FR",Textes!C37,Textes!E37)</f>
        <v>Compagnie :</v>
      </c>
      <c r="B37" s="140"/>
      <c r="C37" s="125" t="s">
        <v>77</v>
      </c>
      <c r="D37" s="125"/>
      <c r="E37" s="126" t="s">
        <v>184</v>
      </c>
      <c r="F37" s="125"/>
      <c r="G37" s="111"/>
      <c r="H37" s="111"/>
      <c r="I37" s="111"/>
      <c r="J37" s="111"/>
      <c r="K37" s="111"/>
      <c r="L37" s="111"/>
      <c r="M37" s="111"/>
      <c r="N37" s="111"/>
      <c r="O37" s="111"/>
      <c r="P37" s="111"/>
      <c r="Q37" s="111"/>
      <c r="R37" s="111"/>
    </row>
    <row r="38" spans="1:18" ht="15" customHeight="1" x14ac:dyDescent="0.25">
      <c r="A38" s="140" t="str">
        <f>IF(Cotation!$BH$1="FR",Textes!C38,Textes!E38)</f>
        <v>Minimum de taxation :</v>
      </c>
      <c r="B38" s="140"/>
      <c r="C38" s="125" t="s">
        <v>78</v>
      </c>
      <c r="D38" s="125"/>
      <c r="E38" s="126" t="s">
        <v>186</v>
      </c>
      <c r="F38" s="125"/>
      <c r="G38" s="111"/>
      <c r="H38" s="111"/>
      <c r="I38" s="111"/>
      <c r="J38" s="111"/>
      <c r="K38" s="111"/>
      <c r="L38" s="111"/>
      <c r="M38" s="111"/>
      <c r="N38" s="111"/>
      <c r="O38" s="111"/>
      <c r="P38" s="111"/>
      <c r="Q38" s="111"/>
      <c r="R38" s="111"/>
    </row>
    <row r="39" spans="1:18" ht="15" customHeight="1" x14ac:dyDescent="0.25">
      <c r="A39" s="140" t="str">
        <f>IF(Cotation!$BH$1="FR",Textes!C39,Textes!E39)</f>
        <v>Sur base poids taxable de :</v>
      </c>
      <c r="B39" s="140"/>
      <c r="C39" s="125" t="s">
        <v>19</v>
      </c>
      <c r="D39" s="125"/>
      <c r="E39" s="126" t="s">
        <v>187</v>
      </c>
      <c r="F39" s="125"/>
      <c r="G39" s="111"/>
      <c r="H39" s="111"/>
      <c r="I39" s="111"/>
      <c r="J39" s="111"/>
      <c r="K39" s="111"/>
      <c r="L39" s="111"/>
      <c r="M39" s="111"/>
      <c r="N39" s="111"/>
      <c r="O39" s="111"/>
      <c r="P39" s="111"/>
      <c r="Q39" s="111"/>
      <c r="R39" s="111"/>
    </row>
    <row r="40" spans="1:18" ht="15" customHeight="1" x14ac:dyDescent="0.25">
      <c r="A40" s="140" t="str">
        <f>IF(Cotation!$BH$1="FR",Textes!C40,Textes!E40)</f>
        <v>Prix au Kg</v>
      </c>
      <c r="B40" s="140"/>
      <c r="C40" s="125" t="s">
        <v>20</v>
      </c>
      <c r="D40" s="125"/>
      <c r="E40" s="126" t="s">
        <v>185</v>
      </c>
      <c r="F40" s="125"/>
      <c r="G40" s="111"/>
      <c r="H40" s="111"/>
      <c r="I40" s="111"/>
      <c r="J40" s="111"/>
      <c r="K40" s="111"/>
      <c r="L40" s="111"/>
      <c r="M40" s="111"/>
      <c r="N40" s="111"/>
      <c r="O40" s="111"/>
      <c r="P40" s="111"/>
      <c r="Q40" s="111"/>
      <c r="R40" s="111"/>
    </row>
    <row r="41" spans="1:18" ht="15" customHeight="1" x14ac:dyDescent="0.25">
      <c r="A41" s="140" t="str">
        <f>IF(Cotation!$BH$1="FR",Textes!C41,Textes!E41)</f>
        <v>DANGEREUX</v>
      </c>
      <c r="B41" s="140"/>
      <c r="C41" s="125" t="s">
        <v>93</v>
      </c>
      <c r="D41" s="125"/>
      <c r="E41" s="126" t="s">
        <v>188</v>
      </c>
      <c r="F41" s="125"/>
      <c r="G41" s="111"/>
      <c r="H41" s="111"/>
      <c r="I41" s="111"/>
      <c r="J41" s="111"/>
      <c r="K41" s="111"/>
      <c r="L41" s="111"/>
      <c r="M41" s="111"/>
      <c r="N41" s="111"/>
      <c r="O41" s="111"/>
      <c r="P41" s="111"/>
      <c r="Q41" s="111"/>
      <c r="R41" s="111"/>
    </row>
    <row r="42" spans="1:18" ht="15" customHeight="1" x14ac:dyDescent="0.25">
      <c r="A42" s="140" t="str">
        <f>IF(Cotation!$BH$1="FR",Textes!C42,Textes!E42)</f>
        <v>Taxe sur produits dangereux :</v>
      </c>
      <c r="B42" s="140"/>
      <c r="C42" s="125" t="s">
        <v>278</v>
      </c>
      <c r="D42" s="125"/>
      <c r="E42" s="126" t="s">
        <v>189</v>
      </c>
      <c r="F42" s="125"/>
      <c r="G42" s="111"/>
      <c r="H42" s="111"/>
      <c r="I42" s="111"/>
      <c r="J42" s="111"/>
      <c r="K42" s="111"/>
      <c r="L42" s="111"/>
      <c r="M42" s="111"/>
      <c r="N42" s="111"/>
      <c r="O42" s="111"/>
      <c r="P42" s="111"/>
      <c r="Q42" s="111"/>
      <c r="R42" s="111"/>
    </row>
    <row r="43" spans="1:18" ht="15" customHeight="1" x14ac:dyDescent="0.25">
      <c r="A43" s="140" t="str">
        <f>IF(Cotation!$BH$1="FR",Textes!C43,Textes!E43)</f>
        <v xml:space="preserve">Etablissement déclaration DG : </v>
      </c>
      <c r="B43" s="140"/>
      <c r="C43" s="125" t="s">
        <v>90</v>
      </c>
      <c r="D43" s="125"/>
      <c r="E43" s="126" t="s">
        <v>190</v>
      </c>
      <c r="F43" s="125"/>
      <c r="G43" s="111"/>
      <c r="H43" s="111"/>
      <c r="I43" s="111"/>
      <c r="J43" s="111"/>
      <c r="K43" s="111"/>
      <c r="L43" s="111"/>
      <c r="M43" s="111"/>
      <c r="N43" s="111"/>
      <c r="O43" s="111"/>
      <c r="P43" s="111"/>
      <c r="Q43" s="111"/>
      <c r="R43" s="111"/>
    </row>
    <row r="44" spans="1:18" ht="15" customHeight="1" x14ac:dyDescent="0.25">
      <c r="A44" s="140" t="str">
        <f>IF(Cotation!$BH$1="FR",Textes!C44,Textes!E44)</f>
        <v>Etiquettage DG :</v>
      </c>
      <c r="B44" s="140"/>
      <c r="C44" s="125" t="s">
        <v>95</v>
      </c>
      <c r="D44" s="125"/>
      <c r="E44" s="126" t="s">
        <v>193</v>
      </c>
      <c r="F44" s="125"/>
      <c r="G44" s="111"/>
      <c r="H44" s="111"/>
      <c r="I44" s="111"/>
      <c r="J44" s="111"/>
      <c r="K44" s="111"/>
      <c r="L44" s="111"/>
      <c r="M44" s="111"/>
      <c r="N44" s="111"/>
      <c r="O44" s="111"/>
      <c r="P44" s="111"/>
      <c r="Q44" s="111"/>
      <c r="R44" s="111"/>
    </row>
    <row r="45" spans="1:18" ht="15" customHeight="1" x14ac:dyDescent="0.25">
      <c r="A45" s="140" t="str">
        <f>IF(Cotation!$BH$1="FR",Textes!C45,Textes!E45)</f>
        <v>Par vos soins</v>
      </c>
      <c r="B45" s="140"/>
      <c r="C45" s="125" t="s">
        <v>91</v>
      </c>
      <c r="D45" s="125"/>
      <c r="E45" s="126" t="s">
        <v>191</v>
      </c>
      <c r="F45" s="125"/>
      <c r="G45" s="111"/>
      <c r="H45" s="111"/>
      <c r="I45" s="111"/>
      <c r="J45" s="111"/>
      <c r="K45" s="111"/>
      <c r="L45" s="111"/>
      <c r="M45" s="111"/>
      <c r="N45" s="111"/>
      <c r="O45" s="111"/>
      <c r="P45" s="111"/>
      <c r="Q45" s="111"/>
      <c r="R45" s="111"/>
    </row>
    <row r="46" spans="1:18" ht="15" customHeight="1" x14ac:dyDescent="0.25">
      <c r="A46" s="140" t="str">
        <f>IF(Cotation!$BH$1="FR",Textes!C46,Textes!E46)</f>
        <v>Par Safram</v>
      </c>
      <c r="B46" s="140"/>
      <c r="C46" s="125" t="s">
        <v>92</v>
      </c>
      <c r="D46" s="125"/>
      <c r="E46" s="126" t="s">
        <v>192</v>
      </c>
      <c r="F46" s="125"/>
      <c r="G46" s="111"/>
      <c r="H46" s="111"/>
      <c r="I46" s="111"/>
      <c r="J46" s="111"/>
      <c r="K46" s="111"/>
      <c r="L46" s="111"/>
      <c r="M46" s="111"/>
      <c r="N46" s="111"/>
      <c r="O46" s="111"/>
      <c r="P46" s="111"/>
      <c r="Q46" s="111"/>
      <c r="R46" s="111"/>
    </row>
    <row r="47" spans="1:18" ht="15" customHeight="1" x14ac:dyDescent="0.25">
      <c r="A47" s="140" t="str">
        <f>IF(Cotation!$BH$1="FR",Textes!C47,Textes!E47)</f>
        <v>ASSURANCE</v>
      </c>
      <c r="B47" s="140"/>
      <c r="C47" s="125" t="s">
        <v>94</v>
      </c>
      <c r="D47" s="125"/>
      <c r="E47" s="126" t="s">
        <v>194</v>
      </c>
      <c r="F47" s="125"/>
      <c r="G47" s="111"/>
      <c r="H47" s="111"/>
      <c r="I47" s="111"/>
      <c r="J47" s="111"/>
      <c r="K47" s="111"/>
      <c r="L47" s="111"/>
      <c r="M47" s="111"/>
      <c r="N47" s="111"/>
      <c r="O47" s="111"/>
      <c r="P47" s="111"/>
      <c r="Q47" s="111"/>
      <c r="R47" s="111"/>
    </row>
    <row r="48" spans="1:18" ht="15" customHeight="1" x14ac:dyDescent="0.25">
      <c r="A48" s="140" t="str">
        <f>IF(Cotation!$BH$1="FR",Textes!C48,Textes!E48)</f>
        <v>Assurance, frais de gestion* :</v>
      </c>
      <c r="B48" s="140"/>
      <c r="C48" s="125" t="s">
        <v>79</v>
      </c>
      <c r="D48" s="125"/>
      <c r="E48" s="126" t="s">
        <v>225</v>
      </c>
      <c r="F48" s="125"/>
      <c r="G48" s="111"/>
      <c r="H48" s="111"/>
      <c r="I48" s="111"/>
      <c r="J48" s="111"/>
      <c r="K48" s="111"/>
      <c r="L48" s="111"/>
      <c r="M48" s="111"/>
      <c r="N48" s="111"/>
      <c r="O48" s="111"/>
      <c r="P48" s="111"/>
      <c r="Q48" s="111"/>
      <c r="R48" s="111"/>
    </row>
    <row r="49" spans="1:18" ht="15" customHeight="1" x14ac:dyDescent="0.25">
      <c r="A49" s="140" t="str">
        <f>IF(Cotation!$BH$1="FR",Textes!C49,Textes!E49)</f>
        <v>Valeur marchandise :</v>
      </c>
      <c r="B49" s="140"/>
      <c r="C49" s="125" t="s">
        <v>332</v>
      </c>
      <c r="D49" s="125"/>
      <c r="E49" s="126" t="s">
        <v>333</v>
      </c>
      <c r="F49" s="125"/>
      <c r="G49" s="111"/>
      <c r="H49" s="111"/>
      <c r="I49" s="111"/>
      <c r="J49" s="111"/>
      <c r="K49" s="111"/>
      <c r="L49" s="111"/>
      <c r="M49" s="111"/>
      <c r="N49" s="111"/>
      <c r="O49" s="111"/>
      <c r="P49" s="111"/>
      <c r="Q49" s="111"/>
      <c r="R49" s="111"/>
    </row>
    <row r="50" spans="1:18" ht="15" customHeight="1" x14ac:dyDescent="0.25">
      <c r="A50" s="140" t="str">
        <f>IF(Cotation!$BH$1="FR",Textes!C50,Textes!E50)</f>
        <v>Taux :</v>
      </c>
      <c r="B50" s="140"/>
      <c r="C50" s="125" t="s">
        <v>25</v>
      </c>
      <c r="D50" s="125"/>
      <c r="E50" s="126" t="s">
        <v>25</v>
      </c>
      <c r="F50" s="125"/>
      <c r="G50" s="111"/>
      <c r="H50" s="111"/>
      <c r="I50" s="111"/>
      <c r="J50" s="111"/>
      <c r="K50" s="111"/>
      <c r="L50" s="111"/>
      <c r="M50" s="111"/>
      <c r="N50" s="111"/>
      <c r="O50" s="111"/>
      <c r="P50" s="111"/>
      <c r="Q50" s="111"/>
      <c r="R50" s="111"/>
    </row>
    <row r="51" spans="1:18" ht="15" customHeight="1" x14ac:dyDescent="0.25">
      <c r="A51" s="140" t="str">
        <f>IF(Cotation!$BH$1="FR",Textes!C51,Textes!E51)</f>
        <v>AUTRES FRAIS</v>
      </c>
      <c r="B51" s="140"/>
      <c r="C51" s="125" t="s">
        <v>22</v>
      </c>
      <c r="D51" s="125"/>
      <c r="E51" s="126" t="s">
        <v>195</v>
      </c>
      <c r="F51" s="125"/>
      <c r="G51" s="111"/>
      <c r="H51" s="111"/>
      <c r="I51" s="111"/>
      <c r="J51" s="111"/>
      <c r="K51" s="111"/>
      <c r="L51" s="111"/>
      <c r="M51" s="111"/>
      <c r="N51" s="111"/>
      <c r="O51" s="111"/>
      <c r="P51" s="111"/>
      <c r="Q51" s="111"/>
      <c r="R51" s="111"/>
    </row>
    <row r="52" spans="1:18" ht="15" customHeight="1" x14ac:dyDescent="0.25">
      <c r="A52" s="140" t="str">
        <f>IF(Cotation!$BH$1="FR",Textes!C52,Textes!E52)</f>
        <v>Taxe LTA :</v>
      </c>
      <c r="B52" s="140"/>
      <c r="C52" s="125" t="s">
        <v>23</v>
      </c>
      <c r="D52" s="125"/>
      <c r="E52" s="126" t="s">
        <v>196</v>
      </c>
      <c r="F52" s="125"/>
      <c r="G52" s="116"/>
      <c r="H52" s="111"/>
      <c r="I52" s="111"/>
      <c r="J52" s="111"/>
      <c r="K52" s="111"/>
      <c r="L52" s="111"/>
      <c r="M52" s="111"/>
      <c r="N52" s="111"/>
      <c r="O52" s="111"/>
      <c r="P52" s="111"/>
      <c r="Q52" s="111"/>
      <c r="R52" s="111"/>
    </row>
    <row r="53" spans="1:18" ht="15" customHeight="1" x14ac:dyDescent="0.25">
      <c r="A53" s="140" t="str">
        <f>IF(Cotation!$BH$1="FR",Textes!C53,Textes!E53)</f>
        <v>Taxe de sûreté :</v>
      </c>
      <c r="B53" s="140"/>
      <c r="C53" s="125" t="s">
        <v>24</v>
      </c>
      <c r="D53" s="125"/>
      <c r="E53" s="126" t="s">
        <v>197</v>
      </c>
      <c r="F53" s="125"/>
      <c r="G53" s="111"/>
      <c r="H53" s="111"/>
      <c r="I53" s="111"/>
      <c r="J53" s="111"/>
      <c r="K53" s="111"/>
      <c r="L53" s="111"/>
      <c r="M53" s="111"/>
      <c r="N53" s="111"/>
      <c r="O53" s="111"/>
      <c r="P53" s="111"/>
      <c r="Q53" s="111"/>
      <c r="R53" s="111"/>
    </row>
    <row r="54" spans="1:18" ht="15" customHeight="1" x14ac:dyDescent="0.25">
      <c r="A54" s="140" t="str">
        <f>IF(Cotation!$BH$1="FR",Textes!C54,Textes!E54)</f>
        <v>Insurance &amp; Risk Charges (IRC):</v>
      </c>
      <c r="B54" s="140"/>
      <c r="C54" s="125" t="s">
        <v>54</v>
      </c>
      <c r="D54" s="125"/>
      <c r="E54" s="126" t="s">
        <v>54</v>
      </c>
      <c r="F54" s="125"/>
      <c r="G54" s="111"/>
      <c r="H54" s="111"/>
      <c r="I54" s="111"/>
      <c r="J54" s="111"/>
      <c r="K54" s="111"/>
      <c r="L54" s="111"/>
      <c r="M54" s="111"/>
      <c r="N54" s="111"/>
      <c r="O54" s="111"/>
      <c r="P54" s="111"/>
      <c r="Q54" s="111"/>
      <c r="R54" s="111"/>
    </row>
    <row r="55" spans="1:18" ht="15" customHeight="1" x14ac:dyDescent="0.25">
      <c r="A55" s="140" t="str">
        <f>IF(Cotation!$BH$1="FR",Textes!C55,Textes!E55)</f>
        <v>Surcharge Fuel :</v>
      </c>
      <c r="B55" s="140"/>
      <c r="C55" s="125" t="s">
        <v>76</v>
      </c>
      <c r="D55" s="125"/>
      <c r="E55" s="126" t="s">
        <v>198</v>
      </c>
      <c r="F55" s="125"/>
      <c r="G55" s="116"/>
      <c r="H55" s="111"/>
      <c r="I55" s="111"/>
      <c r="J55" s="111"/>
      <c r="K55" s="111"/>
      <c r="L55" s="111"/>
      <c r="M55" s="111"/>
      <c r="N55" s="111"/>
      <c r="O55" s="111"/>
      <c r="P55" s="111"/>
      <c r="Q55" s="111"/>
      <c r="R55" s="111"/>
    </row>
    <row r="56" spans="1:18" ht="15" customHeight="1" x14ac:dyDescent="0.25">
      <c r="A56" s="140" t="str">
        <f>IF(Cotation!$BH$1="FR",Textes!C56,Textes!E56)</f>
        <v>Frais de sécurisation  
(RAS Cargo ou Brigade Cynotechnique)</v>
      </c>
      <c r="B56" s="140"/>
      <c r="C56" s="125" t="s">
        <v>83</v>
      </c>
      <c r="D56" s="125"/>
      <c r="E56" s="126" t="s">
        <v>199</v>
      </c>
      <c r="F56" s="125"/>
      <c r="G56" s="111"/>
      <c r="H56" s="111"/>
      <c r="I56" s="111"/>
      <c r="J56" s="111"/>
      <c r="K56" s="111"/>
      <c r="L56" s="111"/>
      <c r="M56" s="111"/>
      <c r="N56" s="111"/>
      <c r="O56" s="111"/>
      <c r="P56" s="111"/>
      <c r="Q56" s="111"/>
      <c r="R56" s="111"/>
    </row>
    <row r="57" spans="1:18" ht="15" customHeight="1" x14ac:dyDescent="0.25">
      <c r="A57" s="140" t="str">
        <f>IF(Cotation!$BH$1="FR",Textes!C57,Textes!E57)</f>
        <v>Frais d'apurement ECS</v>
      </c>
      <c r="B57" s="140"/>
      <c r="C57" s="125" t="s">
        <v>84</v>
      </c>
      <c r="D57" s="125"/>
      <c r="E57" s="126" t="s">
        <v>250</v>
      </c>
      <c r="F57" s="125"/>
      <c r="G57" s="111"/>
      <c r="H57" s="111"/>
      <c r="I57" s="111"/>
      <c r="J57" s="111"/>
      <c r="K57" s="111"/>
      <c r="L57" s="111"/>
      <c r="M57" s="111"/>
      <c r="N57" s="111"/>
      <c r="O57" s="111"/>
      <c r="P57" s="111"/>
      <c r="Q57" s="111"/>
      <c r="R57" s="111"/>
    </row>
    <row r="58" spans="1:18" ht="15" customHeight="1" x14ac:dyDescent="0.25">
      <c r="A58" s="140" t="str">
        <f>IF(Cotation!$BH$1="FR",Textes!C58,Textes!E58)</f>
        <v>Frais arrivée et livraison DAP (**) :</v>
      </c>
      <c r="B58" s="140"/>
      <c r="C58" s="125" t="s">
        <v>284</v>
      </c>
      <c r="D58" s="125"/>
      <c r="E58" s="126" t="s">
        <v>285</v>
      </c>
      <c r="F58" s="125"/>
      <c r="G58" s="111"/>
      <c r="H58" s="111"/>
      <c r="I58" s="111"/>
      <c r="J58" s="111"/>
      <c r="K58" s="111"/>
      <c r="L58" s="111"/>
      <c r="M58" s="111"/>
      <c r="N58" s="111"/>
      <c r="O58" s="111"/>
      <c r="P58" s="111"/>
      <c r="Q58" s="111"/>
      <c r="R58" s="111"/>
    </row>
    <row r="59" spans="1:18" ht="15" customHeight="1" x14ac:dyDescent="0.25">
      <c r="A59" s="140" t="str">
        <f>IF(Cotation!$BH$1="FR",Textes!C59,Textes!E59)</f>
        <v>DESTINATION</v>
      </c>
      <c r="B59" s="140"/>
      <c r="C59" s="125" t="s">
        <v>232</v>
      </c>
      <c r="D59" s="125"/>
      <c r="E59" s="126" t="s">
        <v>232</v>
      </c>
      <c r="F59" s="125"/>
      <c r="G59" s="111"/>
      <c r="H59" s="111"/>
      <c r="I59" s="111"/>
      <c r="J59" s="111"/>
      <c r="K59" s="111"/>
      <c r="L59" s="111"/>
      <c r="M59" s="111"/>
      <c r="N59" s="111"/>
      <c r="O59" s="111"/>
      <c r="P59" s="111"/>
      <c r="Q59" s="111"/>
      <c r="R59" s="111"/>
    </row>
    <row r="60" spans="1:18" ht="15" customHeight="1" x14ac:dyDescent="0.25">
      <c r="A60" s="142" t="str">
        <f>IF(Cotation!$BH$1="FR",Textes!C60,Textes!E60)</f>
        <v>Frais aériens annexes :</v>
      </c>
      <c r="B60" s="142"/>
      <c r="C60" s="129" t="s">
        <v>231</v>
      </c>
      <c r="D60" s="129"/>
      <c r="E60" s="130" t="s">
        <v>230</v>
      </c>
      <c r="F60" s="129"/>
      <c r="G60" s="111"/>
      <c r="H60" s="111"/>
      <c r="I60" s="111"/>
      <c r="J60" s="111"/>
      <c r="K60" s="111"/>
      <c r="L60" s="111"/>
      <c r="M60" s="111"/>
      <c r="N60" s="111"/>
      <c r="O60" s="111"/>
      <c r="P60" s="111"/>
      <c r="Q60" s="111"/>
      <c r="R60" s="111"/>
    </row>
    <row r="61" spans="1:18" ht="15" customHeight="1" x14ac:dyDescent="0.25">
      <c r="A61" s="139" t="str">
        <f>IF(Cotation!$BH$1="FR",Textes!C61,Textes!E61)</f>
        <v>INFORMATIONS COMPLEMENTAIRES :</v>
      </c>
      <c r="B61" s="139"/>
      <c r="C61" s="123" t="s">
        <v>29</v>
      </c>
      <c r="D61" s="123"/>
      <c r="E61" s="124" t="s">
        <v>200</v>
      </c>
      <c r="F61" s="123"/>
      <c r="G61" s="111"/>
      <c r="H61" s="111"/>
      <c r="I61" s="111"/>
      <c r="J61" s="111"/>
      <c r="K61" s="111"/>
      <c r="L61" s="111"/>
      <c r="M61" s="111"/>
      <c r="N61" s="111"/>
      <c r="O61" s="111"/>
      <c r="P61" s="111"/>
      <c r="Q61" s="111"/>
      <c r="R61" s="111"/>
    </row>
    <row r="62" spans="1:18" ht="15" customHeight="1" x14ac:dyDescent="0.25">
      <c r="A62" s="144" t="str">
        <f>IF(Cotation!$BH$1="FR",Textes!C62,Textes!E62)</f>
        <v>Tarif standard non prioritaire - sous réserve de capacité compagnie</v>
      </c>
      <c r="B62" s="144"/>
      <c r="C62" s="132" t="s">
        <v>203</v>
      </c>
      <c r="D62" s="132"/>
      <c r="E62" s="133" t="s">
        <v>215</v>
      </c>
      <c r="F62" s="132"/>
      <c r="G62" s="111"/>
      <c r="H62" s="111"/>
      <c r="I62" s="111"/>
      <c r="J62" s="111"/>
      <c r="K62" s="111"/>
      <c r="L62" s="111"/>
      <c r="M62" s="111"/>
      <c r="N62" s="111"/>
      <c r="O62" s="111"/>
      <c r="P62" s="111"/>
      <c r="Q62" s="111"/>
      <c r="R62" s="111"/>
    </row>
    <row r="63" spans="1:18" ht="15" customHeight="1" x14ac:dyDescent="0.25">
      <c r="A63" s="144" t="str">
        <f>IF(Cotation!$BH$1="FR",Textes!C63,Textes!E63)</f>
        <v>(**) Soumis à variation du taux de change EUR/USD. Montant actualisable au moment du départ.</v>
      </c>
      <c r="B63" s="144"/>
      <c r="C63" s="132" t="s">
        <v>226</v>
      </c>
      <c r="D63" s="132"/>
      <c r="E63" s="133" t="s">
        <v>227</v>
      </c>
      <c r="F63" s="132"/>
      <c r="G63" s="111"/>
      <c r="H63" s="111"/>
      <c r="I63" s="111"/>
      <c r="J63" s="111"/>
      <c r="K63" s="111"/>
      <c r="L63" s="111"/>
      <c r="M63" s="111"/>
      <c r="N63" s="111"/>
      <c r="O63" s="111"/>
      <c r="P63" s="111"/>
      <c r="Q63" s="111"/>
      <c r="R63" s="111"/>
    </row>
    <row r="64" spans="1:18" ht="39" customHeight="1" x14ac:dyDescent="0.25">
      <c r="A64" s="157" t="str">
        <f>IF(Cotation!$BH$1="FR",Textes!C64,Textes!E64)</f>
        <v>"En raison de la situation géopolitique actuelle, toutes les compagnies se réservent le droit de modifier leurs prix sans préavis ou d'annuler leur vols à tout moment. Safram ne pourra être tenu pour responsable des frais engendrés par ces modifications/annulations."</v>
      </c>
      <c r="B64" s="157"/>
      <c r="C64" s="153" t="s">
        <v>204</v>
      </c>
      <c r="D64" s="153"/>
      <c r="E64" s="154" t="s">
        <v>201</v>
      </c>
      <c r="F64" s="153"/>
      <c r="G64" s="111"/>
      <c r="H64" s="111"/>
      <c r="I64" s="111"/>
      <c r="J64" s="111"/>
      <c r="K64" s="111"/>
      <c r="L64" s="111"/>
      <c r="M64" s="111"/>
      <c r="N64" s="111"/>
      <c r="O64" s="111"/>
      <c r="P64" s="111"/>
      <c r="Q64" s="111"/>
      <c r="R64" s="111"/>
    </row>
    <row r="65" spans="1:18" ht="27.75" customHeight="1" x14ac:dyDescent="0.25">
      <c r="A65" s="145" t="str">
        <f>IF(Cotation!$BH$1="FR",Textes!C65,Textes!E65)</f>
        <v>(*) Ordre d'assurance à nous confirmer par écrit. Cette cotation est soumise aux conditions générales de vente disponibles sur simple demande.</v>
      </c>
      <c r="B65" s="145"/>
      <c r="C65" s="155" t="s">
        <v>228</v>
      </c>
      <c r="D65" s="155"/>
      <c r="E65" s="156" t="s">
        <v>229</v>
      </c>
      <c r="F65" s="155"/>
      <c r="G65" s="111"/>
      <c r="H65" s="111"/>
      <c r="I65" s="111"/>
      <c r="J65" s="111"/>
      <c r="K65" s="111"/>
      <c r="L65" s="111"/>
      <c r="M65" s="111"/>
      <c r="N65" s="111"/>
      <c r="O65" s="111"/>
      <c r="P65" s="111"/>
      <c r="Q65" s="111"/>
      <c r="R65" s="111"/>
    </row>
    <row r="66" spans="1:18" ht="15" customHeight="1" x14ac:dyDescent="0.25">
      <c r="A66" s="146"/>
      <c r="B66" s="146"/>
      <c r="C66" s="115"/>
      <c r="D66" s="115"/>
      <c r="E66" s="117"/>
      <c r="F66" s="115"/>
      <c r="G66" s="111"/>
      <c r="H66" s="111"/>
      <c r="I66" s="111"/>
      <c r="J66" s="111"/>
      <c r="K66" s="111"/>
      <c r="L66" s="111"/>
      <c r="M66" s="111"/>
      <c r="N66" s="111"/>
      <c r="O66" s="111"/>
      <c r="P66" s="111"/>
      <c r="Q66" s="111"/>
      <c r="R66" s="111"/>
    </row>
    <row r="67" spans="1:18" ht="15" customHeight="1" x14ac:dyDescent="0.25">
      <c r="A67" s="146"/>
      <c r="B67" s="146"/>
      <c r="C67" s="115"/>
      <c r="D67" s="115"/>
      <c r="E67" s="118"/>
      <c r="F67" s="115"/>
      <c r="G67" s="111"/>
      <c r="H67" s="111"/>
      <c r="I67" s="111"/>
      <c r="J67" s="111"/>
      <c r="K67" s="111"/>
      <c r="L67" s="111"/>
      <c r="M67" s="111"/>
      <c r="N67" s="111"/>
      <c r="O67" s="111"/>
      <c r="P67" s="111"/>
      <c r="Q67" s="111"/>
      <c r="R67" s="111"/>
    </row>
    <row r="68" spans="1:18" ht="15" customHeight="1" x14ac:dyDescent="0.25">
      <c r="A68" s="146"/>
      <c r="B68" s="146"/>
      <c r="C68" s="115"/>
      <c r="D68" s="115"/>
      <c r="E68" s="119"/>
      <c r="F68" s="115"/>
      <c r="G68" s="111"/>
      <c r="H68" s="111"/>
      <c r="I68" s="111"/>
      <c r="J68" s="111"/>
      <c r="K68" s="111"/>
      <c r="L68" s="111"/>
      <c r="M68" s="111"/>
      <c r="N68" s="111"/>
      <c r="O68" s="111"/>
      <c r="P68" s="111"/>
      <c r="Q68" s="111"/>
      <c r="R68" s="111"/>
    </row>
    <row r="69" spans="1:18" ht="15" customHeight="1" x14ac:dyDescent="0.25">
      <c r="A69" s="146"/>
      <c r="B69" s="146"/>
      <c r="C69" s="115"/>
      <c r="D69" s="115"/>
      <c r="E69" s="119"/>
      <c r="F69" s="115"/>
      <c r="G69" s="111"/>
      <c r="H69" s="111"/>
      <c r="I69" s="111"/>
      <c r="J69" s="111"/>
      <c r="K69" s="111"/>
      <c r="L69" s="111"/>
      <c r="M69" s="111"/>
      <c r="N69" s="111"/>
      <c r="O69" s="111"/>
      <c r="P69" s="111"/>
      <c r="Q69" s="111"/>
      <c r="R69" s="111"/>
    </row>
    <row r="70" spans="1:18" ht="15" customHeight="1" x14ac:dyDescent="0.25">
      <c r="A70" s="146"/>
      <c r="B70" s="146"/>
      <c r="C70" s="115"/>
      <c r="D70" s="115"/>
      <c r="E70" s="113"/>
      <c r="F70" s="115"/>
      <c r="G70" s="111"/>
      <c r="H70" s="111"/>
      <c r="I70" s="111"/>
      <c r="J70" s="111"/>
      <c r="K70" s="111"/>
      <c r="L70" s="111"/>
      <c r="M70" s="111"/>
      <c r="N70" s="111"/>
      <c r="O70" s="111"/>
      <c r="P70" s="111"/>
      <c r="Q70" s="111"/>
      <c r="R70" s="111"/>
    </row>
    <row r="71" spans="1:18" ht="15" customHeight="1" x14ac:dyDescent="0.25">
      <c r="A71" s="147"/>
      <c r="B71" s="147"/>
      <c r="C71" s="120"/>
      <c r="D71" s="120"/>
      <c r="E71" s="111"/>
      <c r="F71" s="120"/>
      <c r="G71" s="111"/>
      <c r="H71" s="111"/>
      <c r="I71" s="111"/>
      <c r="J71" s="111"/>
      <c r="K71" s="111"/>
      <c r="L71" s="111"/>
      <c r="M71" s="111"/>
      <c r="N71" s="111"/>
      <c r="O71" s="111"/>
      <c r="P71" s="111"/>
      <c r="Q71" s="111"/>
      <c r="R71" s="111"/>
    </row>
    <row r="72" spans="1:18" ht="15" customHeight="1" x14ac:dyDescent="0.25">
      <c r="A72" s="148"/>
      <c r="B72" s="148"/>
      <c r="C72" s="121"/>
      <c r="D72" s="121"/>
      <c r="E72" s="111"/>
      <c r="F72" s="121"/>
      <c r="G72" s="111"/>
      <c r="H72" s="111"/>
      <c r="I72" s="111"/>
      <c r="J72" s="111"/>
      <c r="K72" s="111"/>
      <c r="L72" s="111"/>
      <c r="M72" s="111"/>
      <c r="N72" s="111"/>
      <c r="O72" s="111"/>
      <c r="P72" s="111"/>
      <c r="Q72" s="111"/>
      <c r="R72" s="111"/>
    </row>
    <row r="73" spans="1:18" ht="15" customHeight="1" x14ac:dyDescent="0.25">
      <c r="A73" s="148"/>
      <c r="B73" s="148"/>
      <c r="C73" s="121"/>
      <c r="D73" s="121"/>
      <c r="E73" s="111"/>
      <c r="F73" s="121"/>
      <c r="G73" s="111"/>
      <c r="H73" s="111"/>
      <c r="I73" s="111"/>
      <c r="J73" s="111"/>
      <c r="K73" s="111"/>
      <c r="L73" s="111"/>
      <c r="M73" s="111"/>
      <c r="N73" s="111"/>
      <c r="O73" s="111"/>
      <c r="P73" s="111"/>
      <c r="Q73" s="111"/>
      <c r="R73" s="111"/>
    </row>
    <row r="74" spans="1:18" ht="15" customHeight="1" x14ac:dyDescent="0.25">
      <c r="A74" s="146"/>
      <c r="B74" s="146"/>
      <c r="C74" s="115"/>
      <c r="D74" s="115"/>
      <c r="E74" s="111"/>
      <c r="F74" s="115"/>
      <c r="G74" s="111"/>
      <c r="H74" s="111"/>
      <c r="I74" s="111"/>
      <c r="J74" s="111"/>
      <c r="K74" s="111"/>
      <c r="L74" s="111"/>
      <c r="M74" s="111"/>
      <c r="N74" s="111"/>
      <c r="O74" s="111"/>
      <c r="P74" s="111"/>
      <c r="Q74" s="111"/>
      <c r="R74" s="111"/>
    </row>
    <row r="75" spans="1:18" ht="15" customHeight="1" x14ac:dyDescent="0.25">
      <c r="A75" s="146"/>
      <c r="B75" s="146"/>
      <c r="C75" s="115"/>
      <c r="D75" s="115"/>
      <c r="E75" s="122"/>
      <c r="F75" s="115"/>
      <c r="G75" s="111"/>
      <c r="H75" s="111"/>
      <c r="I75" s="111"/>
      <c r="J75" s="111"/>
      <c r="K75" s="111"/>
      <c r="L75" s="111"/>
      <c r="M75" s="111"/>
      <c r="N75" s="111"/>
      <c r="O75" s="111"/>
      <c r="P75" s="111"/>
      <c r="Q75" s="111"/>
      <c r="R75" s="111"/>
    </row>
    <row r="76" spans="1:18" ht="15" customHeight="1" x14ac:dyDescent="0.25">
      <c r="A76" s="146"/>
      <c r="B76" s="146"/>
      <c r="C76" s="115"/>
      <c r="D76" s="115"/>
      <c r="E76" s="111"/>
      <c r="F76" s="115"/>
      <c r="G76" s="111"/>
      <c r="H76" s="111"/>
      <c r="I76" s="111"/>
      <c r="J76" s="111"/>
      <c r="K76" s="111"/>
      <c r="L76" s="111"/>
      <c r="M76" s="111"/>
      <c r="N76" s="111"/>
      <c r="O76" s="111"/>
      <c r="P76" s="111"/>
      <c r="Q76" s="111"/>
      <c r="R76" s="111"/>
    </row>
    <row r="77" spans="1:18" ht="15" customHeight="1" x14ac:dyDescent="0.25">
      <c r="A77" s="146"/>
      <c r="B77" s="146"/>
      <c r="C77" s="115"/>
      <c r="D77" s="115"/>
      <c r="E77" s="111"/>
      <c r="F77" s="115"/>
      <c r="G77" s="111"/>
      <c r="H77" s="111"/>
      <c r="I77" s="111"/>
      <c r="J77" s="111"/>
      <c r="K77" s="111"/>
      <c r="L77" s="111"/>
      <c r="M77" s="111"/>
      <c r="N77" s="111"/>
      <c r="O77" s="111"/>
      <c r="P77" s="111"/>
      <c r="Q77" s="111"/>
      <c r="R77" s="111"/>
    </row>
    <row r="78" spans="1:18" ht="15" customHeight="1" x14ac:dyDescent="0.25">
      <c r="A78" s="146"/>
      <c r="B78" s="146"/>
      <c r="C78" s="115"/>
      <c r="D78" s="115"/>
      <c r="E78" s="111"/>
      <c r="F78" s="115"/>
      <c r="G78" s="111"/>
      <c r="H78" s="111"/>
      <c r="I78" s="111"/>
      <c r="J78" s="111"/>
      <c r="K78" s="111"/>
      <c r="L78" s="111"/>
      <c r="M78" s="111"/>
      <c r="N78" s="111"/>
      <c r="O78" s="111"/>
      <c r="P78" s="111"/>
      <c r="Q78" s="111"/>
      <c r="R78" s="111"/>
    </row>
    <row r="79" spans="1:18" ht="15" customHeight="1" x14ac:dyDescent="0.25">
      <c r="A79" s="146"/>
      <c r="B79" s="146"/>
      <c r="C79" s="115"/>
      <c r="D79" s="115"/>
      <c r="E79" s="111"/>
      <c r="F79" s="115"/>
      <c r="G79" s="111"/>
      <c r="H79" s="111"/>
      <c r="I79" s="111"/>
      <c r="J79" s="111"/>
      <c r="K79" s="111"/>
      <c r="L79" s="111"/>
      <c r="M79" s="111"/>
      <c r="N79" s="111"/>
      <c r="O79" s="111"/>
      <c r="P79" s="111"/>
      <c r="Q79" s="111"/>
      <c r="R79" s="111"/>
    </row>
    <row r="80" spans="1:18" ht="15" customHeight="1" x14ac:dyDescent="0.25">
      <c r="A80" s="146"/>
      <c r="B80" s="146"/>
      <c r="C80" s="115"/>
      <c r="D80" s="115"/>
      <c r="E80" s="111"/>
      <c r="F80" s="115"/>
      <c r="G80" s="111"/>
      <c r="H80" s="111"/>
      <c r="I80" s="111"/>
      <c r="J80" s="111"/>
      <c r="K80" s="111"/>
      <c r="L80" s="111"/>
      <c r="M80" s="111"/>
      <c r="N80" s="111"/>
      <c r="O80" s="111"/>
      <c r="P80" s="111"/>
      <c r="Q80" s="111"/>
      <c r="R80" s="111"/>
    </row>
    <row r="81" spans="1:18" ht="15" customHeight="1" x14ac:dyDescent="0.25">
      <c r="A81" s="146"/>
      <c r="B81" s="146"/>
      <c r="C81" s="115"/>
      <c r="D81" s="115"/>
      <c r="E81" s="111"/>
      <c r="F81" s="115"/>
      <c r="G81" s="111"/>
      <c r="H81" s="111"/>
      <c r="I81" s="111"/>
      <c r="J81" s="111"/>
      <c r="K81" s="111"/>
      <c r="L81" s="111"/>
      <c r="M81" s="111"/>
      <c r="N81" s="111"/>
      <c r="O81" s="111"/>
      <c r="P81" s="111"/>
      <c r="Q81" s="111"/>
      <c r="R81" s="111"/>
    </row>
    <row r="82" spans="1:18" ht="15" customHeight="1" x14ac:dyDescent="0.25">
      <c r="A82" s="146"/>
      <c r="B82" s="146"/>
      <c r="C82" s="115"/>
      <c r="D82" s="115"/>
      <c r="E82" s="111"/>
      <c r="F82" s="115"/>
      <c r="G82" s="111"/>
      <c r="H82" s="111"/>
      <c r="I82" s="111"/>
      <c r="J82" s="111"/>
      <c r="K82" s="111"/>
      <c r="L82" s="111"/>
      <c r="M82" s="111"/>
      <c r="N82" s="111"/>
      <c r="O82" s="111"/>
      <c r="P82" s="111"/>
      <c r="Q82" s="111"/>
      <c r="R82" s="111"/>
    </row>
    <row r="83" spans="1:18" ht="15" customHeight="1" x14ac:dyDescent="0.25">
      <c r="A83" s="146"/>
      <c r="B83" s="146"/>
      <c r="C83" s="115"/>
      <c r="D83" s="115"/>
      <c r="E83" s="111"/>
      <c r="F83" s="115"/>
      <c r="G83" s="111"/>
      <c r="H83" s="111"/>
      <c r="I83" s="111"/>
      <c r="J83" s="111"/>
      <c r="K83" s="111"/>
      <c r="L83" s="111"/>
      <c r="M83" s="111"/>
      <c r="N83" s="111"/>
      <c r="O83" s="111"/>
      <c r="P83" s="111"/>
      <c r="Q83" s="111"/>
      <c r="R83" s="111"/>
    </row>
    <row r="84" spans="1:18" ht="15" customHeight="1" x14ac:dyDescent="0.25">
      <c r="A84" s="146"/>
      <c r="B84" s="146"/>
      <c r="C84" s="115"/>
      <c r="D84" s="115"/>
      <c r="E84" s="111"/>
      <c r="F84" s="115"/>
      <c r="G84" s="111"/>
      <c r="H84" s="111"/>
      <c r="I84" s="111"/>
      <c r="J84" s="111"/>
      <c r="K84" s="111"/>
      <c r="L84" s="111"/>
      <c r="M84" s="111"/>
      <c r="N84" s="111"/>
      <c r="O84" s="111"/>
      <c r="P84" s="111"/>
      <c r="Q84" s="111"/>
      <c r="R84" s="111"/>
    </row>
    <row r="85" spans="1:18" ht="15" customHeight="1" x14ac:dyDescent="0.25">
      <c r="A85" s="146"/>
      <c r="B85" s="146"/>
      <c r="C85" s="115"/>
      <c r="D85" s="115"/>
      <c r="E85" s="111"/>
      <c r="F85" s="115"/>
      <c r="G85" s="111"/>
      <c r="H85" s="111"/>
      <c r="I85" s="111"/>
      <c r="J85" s="111"/>
      <c r="K85" s="111"/>
      <c r="L85" s="111"/>
      <c r="M85" s="111"/>
      <c r="N85" s="111"/>
      <c r="O85" s="111"/>
      <c r="P85" s="111"/>
      <c r="Q85" s="111"/>
      <c r="R85" s="111"/>
    </row>
    <row r="86" spans="1:18" ht="15" customHeight="1" x14ac:dyDescent="0.25">
      <c r="A86" s="146"/>
      <c r="B86" s="146"/>
      <c r="C86" s="115"/>
      <c r="D86" s="115"/>
      <c r="E86" s="111"/>
      <c r="F86" s="115"/>
      <c r="G86" s="111"/>
      <c r="H86" s="111"/>
      <c r="I86" s="111"/>
      <c r="J86" s="111"/>
      <c r="K86" s="111"/>
      <c r="L86" s="111"/>
      <c r="M86" s="111"/>
      <c r="N86" s="111"/>
      <c r="O86" s="111"/>
      <c r="P86" s="111"/>
      <c r="Q86" s="111"/>
      <c r="R86" s="111"/>
    </row>
    <row r="87" spans="1:18" ht="15" customHeight="1" x14ac:dyDescent="0.25">
      <c r="A87" s="146"/>
      <c r="B87" s="146"/>
      <c r="C87" s="115"/>
      <c r="D87" s="115"/>
      <c r="E87" s="111"/>
      <c r="F87" s="115"/>
      <c r="G87" s="111"/>
      <c r="H87" s="111"/>
      <c r="I87" s="111"/>
      <c r="J87" s="111"/>
      <c r="K87" s="111"/>
      <c r="L87" s="111"/>
      <c r="M87" s="111"/>
      <c r="N87" s="111"/>
      <c r="O87" s="111"/>
      <c r="P87" s="111"/>
      <c r="Q87" s="111"/>
      <c r="R87" s="111"/>
    </row>
    <row r="88" spans="1:18" ht="15" customHeight="1" x14ac:dyDescent="0.25">
      <c r="A88" s="146"/>
      <c r="B88" s="146"/>
      <c r="C88" s="115"/>
      <c r="D88" s="115"/>
      <c r="E88" s="111"/>
      <c r="F88" s="115"/>
      <c r="G88" s="111"/>
      <c r="H88" s="111"/>
      <c r="I88" s="111"/>
      <c r="J88" s="111"/>
      <c r="K88" s="111"/>
      <c r="L88" s="111"/>
      <c r="M88" s="111"/>
      <c r="N88" s="111"/>
      <c r="O88" s="111"/>
      <c r="P88" s="111"/>
      <c r="Q88" s="111"/>
      <c r="R88" s="111"/>
    </row>
    <row r="89" spans="1:18" ht="15" customHeight="1" x14ac:dyDescent="0.25">
      <c r="A89" s="146"/>
      <c r="B89" s="146"/>
      <c r="C89" s="115"/>
      <c r="D89" s="115"/>
      <c r="E89" s="111"/>
      <c r="F89" s="115"/>
      <c r="G89" s="111"/>
      <c r="H89" s="111"/>
      <c r="I89" s="111"/>
      <c r="J89" s="111"/>
      <c r="K89" s="111"/>
      <c r="L89" s="111"/>
      <c r="M89" s="111"/>
      <c r="N89" s="111"/>
      <c r="O89" s="111"/>
      <c r="P89" s="111"/>
      <c r="Q89" s="111"/>
      <c r="R89" s="111"/>
    </row>
    <row r="90" spans="1:18" ht="15" customHeight="1" x14ac:dyDescent="0.25">
      <c r="A90" s="146"/>
      <c r="B90" s="146"/>
      <c r="C90" s="115"/>
      <c r="D90" s="115"/>
      <c r="E90" s="111"/>
      <c r="F90" s="115"/>
      <c r="G90" s="111"/>
      <c r="H90" s="111"/>
      <c r="I90" s="111"/>
      <c r="J90" s="111"/>
      <c r="K90" s="111"/>
      <c r="L90" s="111"/>
      <c r="M90" s="111"/>
      <c r="N90" s="111"/>
      <c r="O90" s="111"/>
      <c r="P90" s="111"/>
      <c r="Q90" s="111"/>
      <c r="R90" s="111"/>
    </row>
    <row r="91" spans="1:18" ht="15" customHeight="1" x14ac:dyDescent="0.25">
      <c r="E91" s="111"/>
      <c r="G91" s="111"/>
      <c r="H91" s="111"/>
      <c r="I91" s="111"/>
      <c r="J91" s="111"/>
      <c r="K91" s="111"/>
      <c r="L91" s="111"/>
      <c r="M91" s="111"/>
      <c r="N91" s="111"/>
      <c r="O91" s="111"/>
      <c r="P91" s="111"/>
      <c r="Q91" s="111"/>
      <c r="R91" s="111"/>
    </row>
    <row r="92" spans="1:18" ht="15" customHeight="1" x14ac:dyDescent="0.25">
      <c r="E92" s="111"/>
      <c r="G92" s="111"/>
      <c r="H92" s="111"/>
      <c r="I92" s="111"/>
      <c r="J92" s="111"/>
      <c r="K92" s="111"/>
      <c r="L92" s="111"/>
      <c r="M92" s="111"/>
      <c r="N92" s="111"/>
      <c r="O92" s="111"/>
      <c r="P92" s="111"/>
      <c r="Q92" s="111"/>
      <c r="R92" s="111"/>
    </row>
    <row r="93" spans="1:18" ht="15" customHeight="1" x14ac:dyDescent="0.25">
      <c r="E93" s="111"/>
      <c r="G93" s="111"/>
      <c r="H93" s="111"/>
      <c r="I93" s="111"/>
      <c r="J93" s="111"/>
      <c r="K93" s="111"/>
      <c r="L93" s="111"/>
      <c r="M93" s="111"/>
      <c r="N93" s="111"/>
      <c r="O93" s="111"/>
      <c r="P93" s="111"/>
      <c r="Q93" s="111"/>
      <c r="R93" s="111"/>
    </row>
    <row r="94" spans="1:18" ht="15" customHeight="1" x14ac:dyDescent="0.25">
      <c r="E94" s="111"/>
      <c r="G94" s="111"/>
      <c r="H94" s="111"/>
      <c r="I94" s="111"/>
      <c r="J94" s="111"/>
      <c r="K94" s="111"/>
      <c r="L94" s="111"/>
      <c r="M94" s="111"/>
      <c r="N94" s="111"/>
      <c r="O94" s="111"/>
      <c r="P94" s="111"/>
      <c r="Q94" s="111"/>
      <c r="R94" s="111"/>
    </row>
  </sheetData>
  <printOptions horizontalCentered="1"/>
  <pageMargins left="0.39370078740157483" right="0.39370078740157483" top="0.39370078740157483" bottom="0.39370078740157483" header="0.19685039370078741" footer="0.19685039370078741"/>
  <pageSetup paperSize="9" scale="95" orientation="portrait" horizontalDpi="300" verticalDpi="300" r:id="rId1"/>
  <headerFooter alignWithMargins="0">
    <oddFooter>&amp;L&amp;8Ordre d'assurance à nous confirmer par écrit.
Cette cotation est soumise aux conditions générales de vente disponibles sur simple demande.</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10" r:id="rId4" name="Group Box 10">
              <controlPr defaultSize="0" autoFill="0" autoPict="0">
                <anchor moveWithCells="1">
                  <from>
                    <xdr:col>5</xdr:col>
                    <xdr:colOff>0</xdr:colOff>
                    <xdr:row>40</xdr:row>
                    <xdr:rowOff>146050</xdr:rowOff>
                  </from>
                  <to>
                    <xdr:col>7</xdr:col>
                    <xdr:colOff>222250</xdr:colOff>
                    <xdr:row>42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7D9C4-033A-4DC1-947C-ECB97DA6FE57}">
  <sheetPr codeName="Feuil11">
    <pageSetUpPr fitToPage="1"/>
  </sheetPr>
  <dimension ref="A1:P87"/>
  <sheetViews>
    <sheetView showGridLines="0" defaultGridColor="0" colorId="8" zoomScale="110" zoomScaleNormal="110" workbookViewId="0">
      <selection activeCell="A20" sqref="A20:H20"/>
    </sheetView>
  </sheetViews>
  <sheetFormatPr baseColWidth="10" defaultColWidth="11.453125" defaultRowHeight="15" customHeight="1" x14ac:dyDescent="0.25"/>
  <cols>
    <col min="1" max="1" width="15" style="108" customWidth="1"/>
    <col min="2" max="16384" width="11.453125" style="109"/>
  </cols>
  <sheetData>
    <row r="1" spans="1:14" ht="15" customHeight="1" x14ac:dyDescent="0.25">
      <c r="A1" s="134" t="s">
        <v>218</v>
      </c>
      <c r="B1" s="111"/>
      <c r="C1" s="111"/>
      <c r="D1" s="111"/>
      <c r="E1" s="111"/>
      <c r="F1" s="111"/>
      <c r="G1" s="111"/>
      <c r="H1" s="111"/>
      <c r="I1" s="111"/>
      <c r="J1" s="111"/>
      <c r="K1" s="111"/>
      <c r="L1" s="111"/>
      <c r="M1" s="111"/>
      <c r="N1" s="111"/>
    </row>
    <row r="2" spans="1:14" ht="15" customHeight="1" x14ac:dyDescent="0.25">
      <c r="A2" s="135" t="s">
        <v>166</v>
      </c>
      <c r="B2" s="101"/>
      <c r="C2" s="101"/>
      <c r="D2" s="101"/>
      <c r="E2" s="101"/>
      <c r="F2" s="101"/>
      <c r="G2" s="101"/>
      <c r="H2" s="101"/>
      <c r="I2" s="101"/>
      <c r="J2" s="111"/>
      <c r="K2" s="111"/>
      <c r="L2" s="111"/>
      <c r="M2" s="111"/>
      <c r="N2" s="111"/>
    </row>
    <row r="3" spans="1:14" ht="15" customHeight="1" x14ac:dyDescent="0.25">
      <c r="A3" s="135" t="s">
        <v>44</v>
      </c>
      <c r="B3" s="101"/>
      <c r="C3" s="101"/>
      <c r="D3" s="101"/>
      <c r="E3" s="101"/>
      <c r="F3" s="101"/>
      <c r="G3" s="101"/>
      <c r="H3" s="101"/>
      <c r="I3" s="101"/>
      <c r="J3" s="111"/>
      <c r="K3" s="111"/>
      <c r="L3" s="111"/>
      <c r="M3" s="111"/>
      <c r="N3" s="111"/>
    </row>
    <row r="4" spans="1:14" ht="15" customHeight="1" x14ac:dyDescent="0.25">
      <c r="A4" s="135" t="s">
        <v>39</v>
      </c>
      <c r="B4" s="101"/>
      <c r="C4" s="101"/>
      <c r="D4" s="101"/>
      <c r="E4" s="101"/>
      <c r="F4" s="101"/>
      <c r="G4" s="101"/>
      <c r="H4" s="101"/>
      <c r="I4" s="101"/>
      <c r="J4" s="110"/>
      <c r="K4" s="110"/>
      <c r="L4" s="110"/>
      <c r="M4" s="110"/>
      <c r="N4" s="110"/>
    </row>
    <row r="5" spans="1:14" ht="15" customHeight="1" x14ac:dyDescent="0.25">
      <c r="A5" s="135" t="s">
        <v>163</v>
      </c>
      <c r="B5" s="101"/>
      <c r="C5" s="101"/>
      <c r="D5" s="101"/>
      <c r="E5" s="101"/>
      <c r="F5" s="101"/>
      <c r="G5" s="101"/>
      <c r="H5" s="101"/>
      <c r="I5" s="101"/>
      <c r="J5" s="110"/>
      <c r="K5" s="110"/>
      <c r="L5" s="110"/>
      <c r="M5" s="110"/>
      <c r="N5" s="110"/>
    </row>
    <row r="6" spans="1:14" ht="15" customHeight="1" x14ac:dyDescent="0.25">
      <c r="A6" s="135" t="s">
        <v>162</v>
      </c>
      <c r="B6" s="101"/>
      <c r="C6" s="101"/>
      <c r="D6" s="101"/>
      <c r="E6" s="101"/>
      <c r="F6" s="101"/>
      <c r="G6" s="101"/>
      <c r="H6" s="101"/>
      <c r="I6" s="101"/>
      <c r="J6" s="110"/>
      <c r="K6" s="110"/>
      <c r="L6" s="110"/>
      <c r="M6" s="110"/>
      <c r="N6" s="110"/>
    </row>
    <row r="7" spans="1:14" ht="15" customHeight="1" x14ac:dyDescent="0.25">
      <c r="A7" s="135" t="s">
        <v>164</v>
      </c>
      <c r="B7" s="101"/>
      <c r="C7" s="101"/>
      <c r="D7" s="101"/>
      <c r="E7" s="101"/>
      <c r="F7" s="101"/>
      <c r="G7" s="101"/>
      <c r="H7" s="101"/>
      <c r="I7" s="101"/>
      <c r="J7" s="110"/>
      <c r="K7" s="110"/>
      <c r="L7" s="110"/>
      <c r="M7" s="110"/>
      <c r="N7" s="110"/>
    </row>
    <row r="8" spans="1:14" ht="15" customHeight="1" x14ac:dyDescent="0.25">
      <c r="A8" s="135" t="s">
        <v>80</v>
      </c>
      <c r="B8" s="101"/>
      <c r="C8" s="101"/>
      <c r="D8" s="101"/>
      <c r="E8" s="101"/>
      <c r="F8" s="101"/>
      <c r="G8" s="101"/>
      <c r="H8" s="101"/>
      <c r="I8" s="101"/>
      <c r="J8" s="110"/>
      <c r="K8" s="110"/>
      <c r="L8" s="110"/>
      <c r="M8" s="110"/>
      <c r="N8" s="110"/>
    </row>
    <row r="9" spans="1:14" ht="15" customHeight="1" x14ac:dyDescent="0.25">
      <c r="A9" s="136" t="s">
        <v>42</v>
      </c>
      <c r="B9" s="101"/>
      <c r="C9" s="101"/>
      <c r="D9" s="101"/>
      <c r="E9" s="101"/>
      <c r="F9" s="101"/>
      <c r="G9" s="101"/>
      <c r="H9" s="101"/>
      <c r="I9" s="101"/>
      <c r="J9" s="110"/>
      <c r="K9" s="110"/>
      <c r="L9" s="110"/>
      <c r="M9" s="110"/>
      <c r="N9" s="110"/>
    </row>
    <row r="10" spans="1:14" ht="15" customHeight="1" x14ac:dyDescent="0.25">
      <c r="A10" s="134" t="s">
        <v>219</v>
      </c>
      <c r="B10" s="101"/>
      <c r="C10" s="101"/>
      <c r="D10" s="101"/>
      <c r="E10" s="101"/>
      <c r="F10" s="101"/>
      <c r="G10" s="101"/>
      <c r="H10" s="101"/>
      <c r="I10" s="101"/>
      <c r="J10" s="110"/>
      <c r="K10" s="110"/>
      <c r="L10" s="110"/>
      <c r="M10" s="110"/>
      <c r="N10" s="110"/>
    </row>
    <row r="11" spans="1:14" ht="15" customHeight="1" x14ac:dyDescent="0.25">
      <c r="A11" s="482" t="str">
        <f ca="1">TEXT(Cotation!$AD$5,"aaaammjj")&amp;"-"&amp;$A$12</f>
        <v>20231017-N</v>
      </c>
      <c r="B11" s="483"/>
      <c r="C11" s="483"/>
      <c r="D11" s="483"/>
      <c r="E11" s="483"/>
      <c r="F11" s="483"/>
      <c r="G11" s="483"/>
      <c r="H11" s="483"/>
      <c r="I11" s="483"/>
      <c r="J11" s="483"/>
      <c r="K11" s="110"/>
      <c r="L11" s="110"/>
      <c r="M11" s="110"/>
      <c r="N11" s="110"/>
    </row>
    <row r="12" spans="1:14" ht="15" customHeight="1" x14ac:dyDescent="0.25">
      <c r="A12" s="137" t="str">
        <f>IF(Cotation!AQ5=A15,"N",IF(Cotation!AQ5=A16,"M","R"))</f>
        <v>N</v>
      </c>
      <c r="B12" s="101"/>
      <c r="C12" s="101"/>
      <c r="D12" s="101"/>
      <c r="E12" s="101"/>
      <c r="F12" s="101"/>
      <c r="G12" s="101"/>
      <c r="H12" s="101"/>
      <c r="I12" s="101"/>
      <c r="J12" s="110"/>
      <c r="K12" s="110"/>
      <c r="L12" s="110"/>
      <c r="M12" s="110"/>
      <c r="N12" s="110"/>
    </row>
    <row r="13" spans="1:14" ht="15" customHeight="1" x14ac:dyDescent="0.25">
      <c r="A13" s="482" t="s">
        <v>349</v>
      </c>
      <c r="B13" s="483"/>
      <c r="C13" s="483"/>
      <c r="D13" s="483"/>
      <c r="E13" s="483"/>
      <c r="F13" s="483"/>
      <c r="G13" s="483"/>
      <c r="H13" s="483"/>
      <c r="I13" s="483"/>
      <c r="J13" s="483"/>
      <c r="K13" s="110"/>
      <c r="L13" s="110"/>
      <c r="M13" s="110"/>
      <c r="N13" s="110"/>
    </row>
    <row r="14" spans="1:14" ht="15" customHeight="1" x14ac:dyDescent="0.25">
      <c r="A14" s="134" t="s">
        <v>214</v>
      </c>
      <c r="B14" s="101"/>
      <c r="C14" s="101"/>
      <c r="D14" s="101"/>
      <c r="E14" s="101"/>
      <c r="F14" s="101"/>
      <c r="G14" s="101"/>
      <c r="H14" s="101"/>
      <c r="I14" s="101"/>
      <c r="J14" s="110"/>
      <c r="K14" s="110"/>
      <c r="L14" s="110"/>
      <c r="M14" s="110"/>
      <c r="N14" s="110"/>
    </row>
    <row r="15" spans="1:14" ht="15" customHeight="1" x14ac:dyDescent="0.25">
      <c r="A15" s="136" t="s">
        <v>350</v>
      </c>
      <c r="B15" s="101"/>
      <c r="C15" s="101"/>
      <c r="D15" s="101"/>
      <c r="E15" s="101"/>
      <c r="F15" s="101"/>
      <c r="G15" s="101"/>
      <c r="H15" s="101"/>
      <c r="I15" s="101"/>
      <c r="J15" s="110"/>
      <c r="K15" s="110"/>
      <c r="L15" s="110"/>
      <c r="M15" s="110"/>
      <c r="N15" s="110"/>
    </row>
    <row r="16" spans="1:14" ht="15" customHeight="1" x14ac:dyDescent="0.25">
      <c r="A16" s="135" t="s">
        <v>351</v>
      </c>
      <c r="B16" s="101"/>
      <c r="C16" s="101"/>
      <c r="D16" s="101"/>
      <c r="E16" s="101"/>
      <c r="F16" s="101"/>
      <c r="G16" s="101"/>
      <c r="H16" s="101"/>
      <c r="I16" s="101"/>
      <c r="J16" s="110"/>
      <c r="K16" s="110"/>
      <c r="L16" s="110"/>
      <c r="M16" s="110"/>
      <c r="N16" s="110"/>
    </row>
    <row r="17" spans="1:16" ht="15" customHeight="1" x14ac:dyDescent="0.25">
      <c r="A17" s="135" t="s">
        <v>352</v>
      </c>
      <c r="B17" s="96"/>
      <c r="C17" s="96"/>
      <c r="D17" s="96"/>
      <c r="E17" s="96"/>
      <c r="F17" s="96"/>
      <c r="G17" s="96"/>
      <c r="H17" s="96"/>
      <c r="I17" s="96"/>
      <c r="J17" s="110"/>
      <c r="K17" s="110"/>
      <c r="L17" s="110"/>
      <c r="M17" s="110"/>
      <c r="N17" s="110"/>
    </row>
    <row r="18" spans="1:16" ht="15" customHeight="1" x14ac:dyDescent="0.25">
      <c r="A18" s="125"/>
      <c r="B18" s="111"/>
      <c r="C18" s="111"/>
      <c r="D18" s="111"/>
      <c r="E18" s="111"/>
      <c r="F18" s="110"/>
      <c r="G18" s="110"/>
      <c r="H18" s="110"/>
      <c r="I18" s="110"/>
      <c r="J18" s="110"/>
      <c r="K18" s="110"/>
      <c r="L18" s="110"/>
      <c r="M18" s="110"/>
      <c r="N18" s="110"/>
    </row>
    <row r="19" spans="1:16" ht="15" customHeight="1" x14ac:dyDescent="0.25">
      <c r="A19" s="125"/>
      <c r="B19" s="114"/>
      <c r="C19" s="111"/>
      <c r="D19" s="111"/>
      <c r="E19" s="111"/>
      <c r="F19" s="110"/>
      <c r="G19" s="110"/>
      <c r="H19" s="110"/>
      <c r="I19" s="110"/>
      <c r="J19" s="110"/>
      <c r="K19" s="110"/>
      <c r="L19" s="110"/>
      <c r="M19" s="110"/>
      <c r="N19" s="110"/>
    </row>
    <row r="20" spans="1:16" s="292" customFormat="1" ht="15" customHeight="1" x14ac:dyDescent="0.25">
      <c r="A20" s="309"/>
      <c r="B20" s="293"/>
      <c r="C20" s="293"/>
      <c r="D20" s="293"/>
      <c r="E20" s="293"/>
      <c r="F20" s="293"/>
      <c r="G20" s="293"/>
      <c r="H20" s="294"/>
      <c r="I20" s="110"/>
      <c r="J20" s="110"/>
      <c r="K20" s="110"/>
      <c r="L20" s="110"/>
      <c r="M20" s="110"/>
      <c r="N20" s="110"/>
      <c r="O20" s="109"/>
      <c r="P20" s="109"/>
    </row>
    <row r="21" spans="1:16" s="108" customFormat="1" ht="15" customHeight="1" x14ac:dyDescent="0.25">
      <c r="A21" s="115"/>
      <c r="B21" s="115"/>
      <c r="C21" s="115"/>
      <c r="D21" s="115"/>
      <c r="E21" s="115"/>
      <c r="F21" s="115"/>
      <c r="G21" s="115"/>
      <c r="H21" s="115"/>
      <c r="I21" s="110"/>
      <c r="J21" s="110"/>
      <c r="K21" s="110"/>
      <c r="L21" s="110"/>
      <c r="M21" s="110"/>
      <c r="N21" s="110"/>
      <c r="O21" s="109"/>
      <c r="P21" s="109"/>
    </row>
    <row r="22" spans="1:16" s="108" customFormat="1" ht="15" customHeight="1" x14ac:dyDescent="0.25">
      <c r="A22" s="115"/>
      <c r="B22" s="115"/>
      <c r="C22" s="115"/>
      <c r="D22" s="115"/>
      <c r="E22" s="115"/>
      <c r="F22" s="115"/>
      <c r="G22" s="115"/>
      <c r="H22" s="115"/>
      <c r="I22" s="110"/>
      <c r="J22" s="110"/>
      <c r="K22" s="110"/>
      <c r="L22" s="110"/>
      <c r="M22" s="110"/>
      <c r="N22" s="110"/>
      <c r="O22" s="109"/>
      <c r="P22" s="109"/>
    </row>
    <row r="23" spans="1:16" s="108" customFormat="1" ht="15" customHeight="1" x14ac:dyDescent="0.25">
      <c r="A23" s="115"/>
      <c r="B23" s="115"/>
      <c r="C23" s="115"/>
      <c r="D23" s="115"/>
      <c r="E23" s="115"/>
      <c r="F23" s="115"/>
      <c r="G23" s="115"/>
      <c r="H23" s="115"/>
      <c r="I23" s="110"/>
      <c r="J23" s="110"/>
      <c r="K23" s="110"/>
      <c r="L23" s="110"/>
      <c r="M23" s="110"/>
      <c r="N23" s="110"/>
      <c r="O23" s="109"/>
      <c r="P23" s="109"/>
    </row>
    <row r="24" spans="1:16" s="108" customFormat="1" ht="15" customHeight="1" x14ac:dyDescent="0.25">
      <c r="A24" s="115"/>
      <c r="B24" s="115"/>
      <c r="C24" s="115"/>
      <c r="D24" s="115"/>
      <c r="E24" s="115"/>
      <c r="F24" s="115"/>
      <c r="G24" s="115"/>
      <c r="H24" s="115"/>
      <c r="I24" s="115"/>
      <c r="J24" s="115"/>
      <c r="K24" s="115"/>
      <c r="L24" s="115"/>
      <c r="M24" s="115"/>
      <c r="N24" s="115"/>
      <c r="O24" s="109"/>
      <c r="P24" s="109"/>
    </row>
    <row r="25" spans="1:16" ht="15" customHeight="1" x14ac:dyDescent="0.25">
      <c r="A25" s="115"/>
      <c r="B25" s="111"/>
      <c r="C25" s="111"/>
      <c r="D25" s="111"/>
      <c r="E25" s="111"/>
      <c r="F25" s="111"/>
      <c r="G25" s="111"/>
      <c r="H25" s="111"/>
      <c r="I25" s="111"/>
      <c r="J25" s="111"/>
      <c r="K25" s="111"/>
      <c r="L25" s="111"/>
      <c r="M25" s="111"/>
      <c r="N25" s="111"/>
    </row>
    <row r="26" spans="1:16" ht="15" customHeight="1" x14ac:dyDescent="0.25">
      <c r="A26" s="115"/>
      <c r="B26" s="111"/>
      <c r="C26" s="111"/>
      <c r="D26" s="111"/>
      <c r="E26" s="111"/>
      <c r="F26" s="111"/>
      <c r="G26" s="111"/>
      <c r="H26" s="111"/>
      <c r="I26" s="111"/>
      <c r="J26" s="111"/>
      <c r="K26" s="111"/>
      <c r="L26" s="111"/>
      <c r="M26" s="111"/>
      <c r="N26" s="111"/>
    </row>
    <row r="27" spans="1:16" ht="15" customHeight="1" x14ac:dyDescent="0.25">
      <c r="A27" s="115"/>
      <c r="B27" s="111"/>
      <c r="C27" s="111"/>
      <c r="D27" s="111"/>
      <c r="E27" s="111"/>
      <c r="F27" s="111"/>
      <c r="G27" s="111"/>
      <c r="H27" s="111"/>
      <c r="I27" s="111"/>
      <c r="J27" s="111"/>
      <c r="K27" s="111"/>
      <c r="L27" s="111"/>
      <c r="M27" s="111"/>
      <c r="N27" s="111"/>
    </row>
    <row r="28" spans="1:16" ht="15" customHeight="1" x14ac:dyDescent="0.25">
      <c r="A28" s="115"/>
      <c r="B28" s="111"/>
      <c r="C28" s="111"/>
      <c r="D28" s="111"/>
      <c r="E28" s="111"/>
      <c r="F28" s="111"/>
      <c r="G28" s="111"/>
      <c r="H28" s="111"/>
      <c r="I28" s="111"/>
      <c r="J28" s="111"/>
      <c r="K28" s="111"/>
      <c r="L28" s="111"/>
      <c r="M28" s="111"/>
      <c r="N28" s="111"/>
    </row>
    <row r="29" spans="1:16" ht="15" customHeight="1" x14ac:dyDescent="0.25">
      <c r="A29" s="115"/>
      <c r="B29" s="111"/>
      <c r="C29" s="111"/>
      <c r="D29" s="111"/>
      <c r="E29" s="111"/>
      <c r="F29" s="111"/>
      <c r="G29" s="111"/>
      <c r="H29" s="111"/>
      <c r="I29" s="111"/>
      <c r="J29" s="111"/>
      <c r="K29" s="111"/>
      <c r="L29" s="111"/>
      <c r="M29" s="111"/>
      <c r="N29" s="111"/>
    </row>
    <row r="30" spans="1:16" ht="15" customHeight="1" x14ac:dyDescent="0.25">
      <c r="A30" s="115"/>
      <c r="B30" s="111"/>
      <c r="C30" s="111"/>
      <c r="D30" s="111"/>
      <c r="E30" s="111"/>
      <c r="F30" s="111"/>
      <c r="G30" s="111"/>
      <c r="H30" s="111"/>
      <c r="I30" s="111"/>
      <c r="J30" s="111"/>
      <c r="K30" s="111"/>
      <c r="L30" s="111"/>
      <c r="M30" s="111"/>
      <c r="N30" s="111"/>
    </row>
    <row r="31" spans="1:16" ht="15" customHeight="1" x14ac:dyDescent="0.25">
      <c r="A31" s="115"/>
      <c r="B31" s="111"/>
      <c r="C31" s="111"/>
      <c r="D31" s="111"/>
      <c r="E31" s="111"/>
      <c r="F31" s="111"/>
      <c r="G31" s="111"/>
      <c r="H31" s="111"/>
      <c r="I31" s="111"/>
      <c r="J31" s="111"/>
      <c r="K31" s="111"/>
      <c r="L31" s="111"/>
      <c r="M31" s="111"/>
      <c r="N31" s="111"/>
    </row>
    <row r="32" spans="1:16" ht="15" customHeight="1" x14ac:dyDescent="0.25">
      <c r="A32" s="115"/>
      <c r="B32" s="111"/>
      <c r="C32" s="111"/>
      <c r="D32" s="111"/>
      <c r="E32" s="111"/>
      <c r="F32" s="111"/>
      <c r="G32" s="111"/>
      <c r="H32" s="111"/>
      <c r="I32" s="111"/>
      <c r="J32" s="111"/>
      <c r="K32" s="111"/>
      <c r="L32" s="111"/>
      <c r="M32" s="111"/>
      <c r="N32" s="111"/>
    </row>
    <row r="33" spans="1:14" ht="15" customHeight="1" x14ac:dyDescent="0.25">
      <c r="A33" s="115"/>
      <c r="B33" s="111"/>
      <c r="C33" s="111"/>
      <c r="D33" s="111"/>
      <c r="E33" s="111"/>
      <c r="F33" s="111"/>
      <c r="G33" s="111"/>
      <c r="H33" s="111"/>
      <c r="I33" s="111"/>
      <c r="J33" s="111"/>
      <c r="K33" s="111"/>
      <c r="L33" s="111"/>
      <c r="M33" s="111"/>
      <c r="N33" s="111"/>
    </row>
    <row r="34" spans="1:14" ht="15" customHeight="1" x14ac:dyDescent="0.25">
      <c r="A34" s="115"/>
      <c r="B34" s="111"/>
      <c r="C34" s="111"/>
      <c r="D34" s="111"/>
      <c r="E34" s="111"/>
      <c r="F34" s="111"/>
      <c r="G34" s="111"/>
      <c r="H34" s="111"/>
      <c r="I34" s="111"/>
      <c r="J34" s="111"/>
      <c r="K34" s="111"/>
      <c r="L34" s="111"/>
      <c r="M34" s="111"/>
      <c r="N34" s="111"/>
    </row>
    <row r="35" spans="1:14" ht="15" customHeight="1" x14ac:dyDescent="0.25">
      <c r="A35" s="115"/>
      <c r="B35" s="111"/>
      <c r="C35" s="111"/>
      <c r="D35" s="111"/>
      <c r="E35" s="111"/>
      <c r="F35" s="111"/>
      <c r="G35" s="111"/>
      <c r="H35" s="111"/>
      <c r="I35" s="111"/>
      <c r="J35" s="111"/>
      <c r="K35" s="111"/>
      <c r="L35" s="111"/>
      <c r="M35" s="111"/>
      <c r="N35" s="111"/>
    </row>
    <row r="36" spans="1:14" ht="15" customHeight="1" x14ac:dyDescent="0.25">
      <c r="A36" s="115"/>
      <c r="B36" s="111"/>
      <c r="C36" s="111"/>
      <c r="D36" s="111"/>
      <c r="E36" s="111"/>
      <c r="F36" s="111"/>
      <c r="G36" s="111"/>
      <c r="H36" s="111"/>
      <c r="I36" s="111"/>
      <c r="J36" s="111"/>
      <c r="K36" s="111"/>
      <c r="L36" s="111"/>
      <c r="M36" s="111"/>
      <c r="N36" s="111"/>
    </row>
    <row r="37" spans="1:14" ht="15" customHeight="1" x14ac:dyDescent="0.25">
      <c r="A37" s="115"/>
      <c r="B37" s="111"/>
      <c r="C37" s="111"/>
      <c r="D37" s="111"/>
      <c r="E37" s="111"/>
      <c r="F37" s="111"/>
      <c r="G37" s="111"/>
      <c r="H37" s="111"/>
      <c r="I37" s="111"/>
      <c r="J37" s="111"/>
      <c r="K37" s="111"/>
      <c r="L37" s="111"/>
      <c r="M37" s="111"/>
      <c r="N37" s="111"/>
    </row>
    <row r="38" spans="1:14" ht="15" customHeight="1" x14ac:dyDescent="0.25">
      <c r="A38" s="115"/>
      <c r="B38" s="111"/>
      <c r="C38" s="111"/>
      <c r="D38" s="111"/>
      <c r="E38" s="111"/>
      <c r="F38" s="111"/>
      <c r="G38" s="111"/>
      <c r="H38" s="111"/>
      <c r="I38" s="111"/>
      <c r="J38" s="111"/>
      <c r="K38" s="111"/>
      <c r="L38" s="111"/>
      <c r="M38" s="111"/>
      <c r="N38" s="111"/>
    </row>
    <row r="39" spans="1:14" ht="15" customHeight="1" x14ac:dyDescent="0.25">
      <c r="A39" s="115"/>
      <c r="B39" s="111"/>
      <c r="C39" s="111"/>
      <c r="D39" s="111"/>
      <c r="E39" s="111"/>
      <c r="F39" s="111"/>
      <c r="G39" s="111"/>
      <c r="H39" s="111"/>
      <c r="I39" s="111"/>
      <c r="J39" s="111"/>
      <c r="K39" s="111"/>
      <c r="L39" s="111"/>
      <c r="M39" s="111"/>
      <c r="N39" s="111"/>
    </row>
    <row r="40" spans="1:14" ht="15" customHeight="1" x14ac:dyDescent="0.25">
      <c r="A40" s="115"/>
      <c r="B40" s="111"/>
      <c r="C40" s="111"/>
      <c r="D40" s="111"/>
      <c r="E40" s="111"/>
      <c r="F40" s="111"/>
      <c r="G40" s="111"/>
      <c r="H40" s="111"/>
      <c r="I40" s="111"/>
      <c r="J40" s="111"/>
      <c r="K40" s="111"/>
      <c r="L40" s="111"/>
      <c r="M40" s="111"/>
      <c r="N40" s="111"/>
    </row>
    <row r="41" spans="1:14" ht="15" customHeight="1" x14ac:dyDescent="0.25">
      <c r="A41" s="115"/>
      <c r="B41" s="111"/>
      <c r="C41" s="111"/>
      <c r="D41" s="111"/>
      <c r="E41" s="111"/>
      <c r="F41" s="111"/>
      <c r="G41" s="111"/>
      <c r="H41" s="111"/>
      <c r="I41" s="111"/>
      <c r="J41" s="111"/>
      <c r="K41" s="111"/>
      <c r="L41" s="111"/>
      <c r="M41" s="111"/>
      <c r="N41" s="111"/>
    </row>
    <row r="42" spans="1:14" ht="15" customHeight="1" x14ac:dyDescent="0.25">
      <c r="A42" s="115"/>
      <c r="B42" s="111"/>
      <c r="C42" s="111"/>
      <c r="D42" s="111"/>
      <c r="E42" s="111"/>
      <c r="F42" s="111"/>
      <c r="G42" s="111"/>
      <c r="H42" s="111"/>
      <c r="I42" s="111"/>
      <c r="J42" s="111"/>
      <c r="K42" s="111"/>
      <c r="L42" s="111"/>
      <c r="M42" s="111"/>
      <c r="N42" s="111"/>
    </row>
    <row r="43" spans="1:14" ht="15" customHeight="1" x14ac:dyDescent="0.25">
      <c r="A43" s="115"/>
      <c r="B43" s="111"/>
      <c r="C43" s="111"/>
      <c r="D43" s="111"/>
      <c r="E43" s="111"/>
      <c r="F43" s="111"/>
      <c r="G43" s="111"/>
      <c r="H43" s="111"/>
      <c r="I43" s="111"/>
      <c r="J43" s="111"/>
      <c r="K43" s="111"/>
      <c r="L43" s="111"/>
      <c r="M43" s="111"/>
      <c r="N43" s="111"/>
    </row>
    <row r="44" spans="1:14" ht="15" customHeight="1" x14ac:dyDescent="0.25">
      <c r="A44" s="115"/>
      <c r="B44" s="111"/>
      <c r="C44" s="111"/>
      <c r="D44" s="111"/>
      <c r="E44" s="111"/>
      <c r="F44" s="111"/>
      <c r="G44" s="111"/>
      <c r="H44" s="111"/>
      <c r="I44" s="111"/>
      <c r="J44" s="111"/>
      <c r="K44" s="111"/>
      <c r="L44" s="111"/>
      <c r="M44" s="111"/>
      <c r="N44" s="111"/>
    </row>
    <row r="45" spans="1:14" ht="15" customHeight="1" x14ac:dyDescent="0.25">
      <c r="A45" s="115"/>
      <c r="B45" s="111"/>
      <c r="C45" s="111"/>
      <c r="D45" s="111"/>
      <c r="E45" s="111"/>
      <c r="F45" s="111"/>
      <c r="G45" s="111"/>
      <c r="H45" s="111"/>
      <c r="I45" s="111"/>
      <c r="J45" s="111"/>
      <c r="K45" s="111"/>
      <c r="L45" s="111"/>
      <c r="M45" s="111"/>
      <c r="N45" s="111"/>
    </row>
    <row r="46" spans="1:14" ht="15" customHeight="1" x14ac:dyDescent="0.25">
      <c r="A46" s="115"/>
      <c r="B46" s="111"/>
      <c r="C46" s="116"/>
      <c r="D46" s="111"/>
      <c r="E46" s="111"/>
      <c r="F46" s="111"/>
      <c r="G46" s="111"/>
      <c r="H46" s="111"/>
      <c r="I46" s="111"/>
      <c r="J46" s="111"/>
      <c r="K46" s="111"/>
      <c r="L46" s="111"/>
      <c r="M46" s="111"/>
      <c r="N46" s="111"/>
    </row>
    <row r="47" spans="1:14" ht="15" customHeight="1" x14ac:dyDescent="0.25">
      <c r="A47" s="115"/>
      <c r="B47" s="111"/>
      <c r="C47" s="111"/>
      <c r="D47" s="111"/>
      <c r="E47" s="111"/>
      <c r="F47" s="111"/>
      <c r="G47" s="111"/>
      <c r="H47" s="111"/>
      <c r="I47" s="111"/>
      <c r="J47" s="111"/>
      <c r="K47" s="111"/>
      <c r="L47" s="111"/>
      <c r="M47" s="111"/>
      <c r="N47" s="111"/>
    </row>
    <row r="48" spans="1:14" ht="15" customHeight="1" x14ac:dyDescent="0.25">
      <c r="A48" s="115"/>
      <c r="B48" s="111"/>
      <c r="C48" s="111"/>
      <c r="D48" s="111"/>
      <c r="E48" s="111"/>
      <c r="F48" s="111"/>
      <c r="G48" s="111"/>
      <c r="H48" s="111"/>
      <c r="I48" s="111"/>
      <c r="J48" s="111"/>
      <c r="K48" s="111"/>
      <c r="L48" s="111"/>
      <c r="M48" s="111"/>
      <c r="N48" s="111"/>
    </row>
    <row r="49" spans="1:14" ht="15" customHeight="1" x14ac:dyDescent="0.25">
      <c r="A49" s="115"/>
      <c r="B49" s="111"/>
      <c r="C49" s="116"/>
      <c r="D49" s="111"/>
      <c r="E49" s="111"/>
      <c r="F49" s="111"/>
      <c r="G49" s="111"/>
      <c r="H49" s="111"/>
      <c r="I49" s="111"/>
      <c r="J49" s="111"/>
      <c r="K49" s="111"/>
      <c r="L49" s="111"/>
      <c r="M49" s="111"/>
      <c r="N49" s="111"/>
    </row>
    <row r="50" spans="1:14" ht="15" customHeight="1" x14ac:dyDescent="0.25">
      <c r="A50" s="115"/>
      <c r="B50" s="111"/>
      <c r="C50" s="111"/>
      <c r="D50" s="111"/>
      <c r="E50" s="111"/>
      <c r="F50" s="111"/>
      <c r="G50" s="111"/>
      <c r="H50" s="111"/>
      <c r="I50" s="111"/>
      <c r="J50" s="111"/>
      <c r="K50" s="111"/>
      <c r="L50" s="111"/>
      <c r="M50" s="111"/>
      <c r="N50" s="111"/>
    </row>
    <row r="51" spans="1:14" ht="15" customHeight="1" x14ac:dyDescent="0.25">
      <c r="A51" s="115"/>
      <c r="B51" s="111"/>
      <c r="C51" s="111"/>
      <c r="D51" s="111"/>
      <c r="E51" s="111"/>
      <c r="F51" s="111"/>
      <c r="G51" s="111"/>
      <c r="H51" s="111"/>
      <c r="I51" s="111"/>
      <c r="J51" s="111"/>
      <c r="K51" s="111"/>
      <c r="L51" s="111"/>
      <c r="M51" s="111"/>
      <c r="N51" s="111"/>
    </row>
    <row r="52" spans="1:14" ht="15" customHeight="1" x14ac:dyDescent="0.25">
      <c r="A52" s="115"/>
      <c r="B52" s="111"/>
      <c r="C52" s="111"/>
      <c r="D52" s="111"/>
      <c r="E52" s="111"/>
      <c r="F52" s="111"/>
      <c r="G52" s="111"/>
      <c r="H52" s="111"/>
      <c r="I52" s="111"/>
      <c r="J52" s="111"/>
      <c r="K52" s="111"/>
      <c r="L52" s="111"/>
      <c r="M52" s="111"/>
      <c r="N52" s="111"/>
    </row>
    <row r="53" spans="1:14" ht="15" customHeight="1" x14ac:dyDescent="0.25">
      <c r="A53" s="115"/>
      <c r="B53" s="111"/>
      <c r="C53" s="111"/>
      <c r="D53" s="111"/>
      <c r="E53" s="111"/>
      <c r="F53" s="111"/>
      <c r="G53" s="111"/>
      <c r="H53" s="111"/>
      <c r="I53" s="111"/>
      <c r="J53" s="111"/>
      <c r="K53" s="111"/>
      <c r="L53" s="111"/>
      <c r="M53" s="111"/>
      <c r="N53" s="111"/>
    </row>
    <row r="54" spans="1:14" ht="15" customHeight="1" x14ac:dyDescent="0.25">
      <c r="A54" s="115"/>
      <c r="B54" s="111"/>
      <c r="C54" s="111"/>
      <c r="D54" s="111"/>
      <c r="E54" s="111"/>
      <c r="F54" s="111"/>
      <c r="G54" s="111"/>
      <c r="H54" s="111"/>
      <c r="I54" s="111"/>
      <c r="J54" s="111"/>
      <c r="K54" s="111"/>
      <c r="L54" s="111"/>
      <c r="M54" s="111"/>
      <c r="N54" s="111"/>
    </row>
    <row r="55" spans="1:14" ht="15" customHeight="1" x14ac:dyDescent="0.25">
      <c r="A55" s="115"/>
      <c r="B55" s="111"/>
      <c r="C55" s="111"/>
      <c r="D55" s="111"/>
      <c r="E55" s="111"/>
      <c r="F55" s="111"/>
      <c r="G55" s="111"/>
      <c r="H55" s="111"/>
      <c r="I55" s="111"/>
      <c r="J55" s="111"/>
      <c r="K55" s="111"/>
      <c r="L55" s="111"/>
      <c r="M55" s="111"/>
      <c r="N55" s="111"/>
    </row>
    <row r="56" spans="1:14" ht="15" customHeight="1" x14ac:dyDescent="0.25">
      <c r="A56" s="115"/>
      <c r="B56" s="111"/>
      <c r="C56" s="111"/>
      <c r="D56" s="111"/>
      <c r="E56" s="111"/>
      <c r="F56" s="111"/>
      <c r="G56" s="111"/>
      <c r="H56" s="111"/>
      <c r="I56" s="111"/>
      <c r="J56" s="111"/>
      <c r="K56" s="111"/>
      <c r="L56" s="111"/>
      <c r="M56" s="111"/>
      <c r="N56" s="111"/>
    </row>
    <row r="57" spans="1:14" ht="39" customHeight="1" x14ac:dyDescent="0.25">
      <c r="A57" s="115"/>
      <c r="B57" s="111"/>
      <c r="C57" s="111"/>
      <c r="D57" s="111"/>
      <c r="E57" s="111"/>
      <c r="F57" s="111"/>
      <c r="G57" s="111"/>
      <c r="H57" s="111"/>
      <c r="I57" s="111"/>
      <c r="J57" s="111"/>
      <c r="K57" s="111"/>
      <c r="L57" s="111"/>
      <c r="M57" s="111"/>
      <c r="N57" s="111"/>
    </row>
    <row r="58" spans="1:14" ht="15" customHeight="1" x14ac:dyDescent="0.25">
      <c r="A58" s="115"/>
      <c r="B58" s="111"/>
      <c r="C58" s="111"/>
      <c r="D58" s="111"/>
      <c r="E58" s="111"/>
      <c r="F58" s="111"/>
      <c r="G58" s="111"/>
      <c r="H58" s="111"/>
      <c r="I58" s="111"/>
      <c r="J58" s="111"/>
      <c r="K58" s="111"/>
      <c r="L58" s="111"/>
      <c r="M58" s="111"/>
      <c r="N58" s="111"/>
    </row>
    <row r="59" spans="1:14" ht="15" customHeight="1" x14ac:dyDescent="0.25">
      <c r="A59" s="115"/>
      <c r="B59" s="111"/>
      <c r="C59" s="111"/>
      <c r="D59" s="111"/>
      <c r="E59" s="111"/>
      <c r="F59" s="111"/>
      <c r="G59" s="111"/>
      <c r="H59" s="111"/>
      <c r="I59" s="111"/>
      <c r="J59" s="111"/>
      <c r="K59" s="111"/>
      <c r="L59" s="111"/>
      <c r="M59" s="111"/>
      <c r="N59" s="111"/>
    </row>
    <row r="60" spans="1:14" ht="15" customHeight="1" x14ac:dyDescent="0.25">
      <c r="A60" s="115"/>
      <c r="B60" s="111"/>
      <c r="C60" s="111"/>
      <c r="D60" s="111"/>
      <c r="E60" s="111"/>
      <c r="F60" s="111"/>
      <c r="G60" s="111"/>
      <c r="H60" s="111"/>
      <c r="I60" s="111"/>
      <c r="J60" s="111"/>
      <c r="K60" s="111"/>
      <c r="L60" s="111"/>
      <c r="M60" s="111"/>
      <c r="N60" s="111"/>
    </row>
    <row r="61" spans="1:14" ht="15" customHeight="1" x14ac:dyDescent="0.25">
      <c r="A61" s="115"/>
      <c r="B61" s="111"/>
      <c r="C61" s="111"/>
      <c r="D61" s="111"/>
      <c r="E61" s="111"/>
      <c r="F61" s="111"/>
      <c r="G61" s="111"/>
      <c r="H61" s="111"/>
      <c r="I61" s="111"/>
      <c r="J61" s="111"/>
      <c r="K61" s="111"/>
      <c r="L61" s="111"/>
      <c r="M61" s="111"/>
      <c r="N61" s="111"/>
    </row>
    <row r="62" spans="1:14" ht="15" customHeight="1" x14ac:dyDescent="0.25">
      <c r="A62" s="115"/>
      <c r="B62" s="111"/>
      <c r="C62" s="111"/>
      <c r="D62" s="111"/>
      <c r="E62" s="111"/>
      <c r="F62" s="111"/>
      <c r="G62" s="111"/>
      <c r="H62" s="111"/>
      <c r="I62" s="111"/>
      <c r="J62" s="111"/>
      <c r="K62" s="111"/>
      <c r="L62" s="111"/>
      <c r="M62" s="111"/>
      <c r="N62" s="111"/>
    </row>
    <row r="63" spans="1:14" ht="15" customHeight="1" x14ac:dyDescent="0.25">
      <c r="A63" s="120"/>
      <c r="B63" s="111"/>
      <c r="C63" s="111"/>
      <c r="D63" s="111"/>
      <c r="E63" s="111"/>
      <c r="F63" s="111"/>
      <c r="G63" s="111"/>
      <c r="H63" s="111"/>
      <c r="I63" s="111"/>
      <c r="J63" s="111"/>
      <c r="K63" s="111"/>
      <c r="L63" s="111"/>
      <c r="M63" s="111"/>
      <c r="N63" s="111"/>
    </row>
    <row r="64" spans="1:14" ht="15" customHeight="1" x14ac:dyDescent="0.25">
      <c r="A64" s="121"/>
      <c r="B64" s="111"/>
      <c r="C64" s="111"/>
      <c r="D64" s="111"/>
      <c r="E64" s="111"/>
      <c r="F64" s="111"/>
      <c r="G64" s="111"/>
      <c r="H64" s="111"/>
      <c r="I64" s="111"/>
      <c r="J64" s="111"/>
      <c r="K64" s="111"/>
      <c r="L64" s="111"/>
      <c r="M64" s="111"/>
      <c r="N64" s="111"/>
    </row>
    <row r="65" spans="1:14" ht="15" customHeight="1" x14ac:dyDescent="0.25">
      <c r="A65" s="121"/>
      <c r="B65" s="111"/>
      <c r="C65" s="111"/>
      <c r="D65" s="111"/>
      <c r="E65" s="111"/>
      <c r="F65" s="111"/>
      <c r="G65" s="111"/>
      <c r="H65" s="111"/>
      <c r="I65" s="111"/>
      <c r="J65" s="111"/>
      <c r="K65" s="111"/>
      <c r="L65" s="111"/>
      <c r="M65" s="111"/>
      <c r="N65" s="111"/>
    </row>
    <row r="66" spans="1:14" ht="15" customHeight="1" x14ac:dyDescent="0.25">
      <c r="A66" s="115"/>
      <c r="B66" s="111"/>
      <c r="C66" s="111"/>
      <c r="D66" s="111"/>
      <c r="E66" s="111"/>
      <c r="F66" s="111"/>
      <c r="G66" s="111"/>
      <c r="H66" s="111"/>
      <c r="I66" s="111"/>
      <c r="J66" s="111"/>
      <c r="K66" s="111"/>
      <c r="L66" s="111"/>
      <c r="M66" s="111"/>
      <c r="N66" s="111"/>
    </row>
    <row r="67" spans="1:14" ht="15" customHeight="1" x14ac:dyDescent="0.25">
      <c r="A67" s="115"/>
      <c r="B67" s="111"/>
      <c r="C67" s="111"/>
      <c r="D67" s="111"/>
      <c r="E67" s="111"/>
      <c r="F67" s="111"/>
      <c r="G67" s="111"/>
      <c r="H67" s="111"/>
      <c r="I67" s="111"/>
      <c r="J67" s="111"/>
      <c r="K67" s="111"/>
      <c r="L67" s="111"/>
      <c r="M67" s="111"/>
      <c r="N67" s="111"/>
    </row>
    <row r="68" spans="1:14" ht="15" customHeight="1" x14ac:dyDescent="0.25">
      <c r="A68" s="115"/>
      <c r="B68" s="111"/>
      <c r="C68" s="111"/>
      <c r="D68" s="111"/>
      <c r="E68" s="111"/>
      <c r="F68" s="111"/>
      <c r="G68" s="111"/>
      <c r="H68" s="111"/>
      <c r="I68" s="111"/>
      <c r="J68" s="111"/>
      <c r="K68" s="111"/>
      <c r="L68" s="111"/>
      <c r="M68" s="111"/>
      <c r="N68" s="111"/>
    </row>
    <row r="69" spans="1:14" ht="15" customHeight="1" x14ac:dyDescent="0.25">
      <c r="A69" s="115"/>
      <c r="B69" s="111"/>
      <c r="C69" s="111"/>
      <c r="D69" s="111"/>
      <c r="E69" s="111"/>
      <c r="F69" s="111"/>
      <c r="G69" s="111"/>
      <c r="H69" s="111"/>
      <c r="I69" s="111"/>
      <c r="J69" s="111"/>
      <c r="K69" s="111"/>
      <c r="L69" s="111"/>
      <c r="M69" s="111"/>
      <c r="N69" s="111"/>
    </row>
    <row r="70" spans="1:14" ht="15" customHeight="1" x14ac:dyDescent="0.25">
      <c r="A70" s="115"/>
      <c r="B70" s="111"/>
      <c r="C70" s="111"/>
      <c r="D70" s="111"/>
      <c r="E70" s="111"/>
      <c r="F70" s="111"/>
      <c r="G70" s="111"/>
      <c r="H70" s="111"/>
      <c r="I70" s="111"/>
      <c r="J70" s="111"/>
      <c r="K70" s="111"/>
      <c r="L70" s="111"/>
      <c r="M70" s="111"/>
      <c r="N70" s="111"/>
    </row>
    <row r="71" spans="1:14" ht="15" customHeight="1" x14ac:dyDescent="0.25">
      <c r="A71" s="115"/>
      <c r="B71" s="111"/>
      <c r="C71" s="111"/>
      <c r="D71" s="111"/>
      <c r="E71" s="111"/>
      <c r="F71" s="111"/>
      <c r="G71" s="111"/>
      <c r="H71" s="111"/>
      <c r="I71" s="111"/>
      <c r="J71" s="111"/>
      <c r="K71" s="111"/>
      <c r="L71" s="111"/>
      <c r="M71" s="111"/>
      <c r="N71" s="111"/>
    </row>
    <row r="72" spans="1:14" ht="15" customHeight="1" x14ac:dyDescent="0.25">
      <c r="A72" s="115"/>
      <c r="B72" s="111"/>
      <c r="C72" s="111"/>
      <c r="D72" s="111"/>
      <c r="E72" s="111"/>
      <c r="F72" s="111"/>
      <c r="G72" s="111"/>
      <c r="H72" s="111"/>
      <c r="I72" s="111"/>
      <c r="J72" s="111"/>
      <c r="K72" s="111"/>
      <c r="L72" s="111"/>
      <c r="M72" s="111"/>
      <c r="N72" s="111"/>
    </row>
    <row r="73" spans="1:14" ht="15" customHeight="1" x14ac:dyDescent="0.25">
      <c r="A73" s="115"/>
      <c r="B73" s="111"/>
      <c r="C73" s="111"/>
      <c r="D73" s="111"/>
      <c r="E73" s="111"/>
      <c r="F73" s="111"/>
      <c r="G73" s="111"/>
      <c r="H73" s="111"/>
      <c r="I73" s="111"/>
      <c r="J73" s="111"/>
      <c r="K73" s="111"/>
      <c r="L73" s="111"/>
      <c r="M73" s="111"/>
      <c r="N73" s="111"/>
    </row>
    <row r="74" spans="1:14" ht="15" customHeight="1" x14ac:dyDescent="0.25">
      <c r="A74" s="115"/>
      <c r="B74" s="111"/>
      <c r="C74" s="111"/>
      <c r="D74" s="111"/>
      <c r="E74" s="111"/>
      <c r="F74" s="111"/>
      <c r="G74" s="111"/>
      <c r="H74" s="111"/>
      <c r="I74" s="111"/>
      <c r="J74" s="111"/>
      <c r="K74" s="111"/>
      <c r="L74" s="111"/>
      <c r="M74" s="111"/>
      <c r="N74" s="111"/>
    </row>
    <row r="75" spans="1:14" ht="15" customHeight="1" x14ac:dyDescent="0.25">
      <c r="A75" s="115"/>
      <c r="B75" s="111"/>
      <c r="C75" s="111"/>
      <c r="D75" s="111"/>
      <c r="E75" s="111"/>
      <c r="F75" s="111"/>
      <c r="G75" s="111"/>
      <c r="H75" s="111"/>
      <c r="I75" s="111"/>
      <c r="J75" s="111"/>
      <c r="K75" s="111"/>
      <c r="L75" s="111"/>
      <c r="M75" s="111"/>
      <c r="N75" s="111"/>
    </row>
    <row r="76" spans="1:14" ht="15" customHeight="1" x14ac:dyDescent="0.25">
      <c r="A76" s="115"/>
      <c r="B76" s="111"/>
      <c r="C76" s="111"/>
      <c r="D76" s="111"/>
      <c r="E76" s="111"/>
      <c r="F76" s="111"/>
      <c r="G76" s="111"/>
      <c r="H76" s="111"/>
      <c r="I76" s="111"/>
      <c r="J76" s="111"/>
      <c r="K76" s="111"/>
      <c r="L76" s="111"/>
      <c r="M76" s="111"/>
      <c r="N76" s="111"/>
    </row>
    <row r="77" spans="1:14" ht="15" customHeight="1" x14ac:dyDescent="0.25">
      <c r="A77" s="115"/>
      <c r="B77" s="111"/>
      <c r="C77" s="111"/>
      <c r="D77" s="111"/>
      <c r="E77" s="111"/>
      <c r="F77" s="111"/>
      <c r="G77" s="111"/>
      <c r="H77" s="111"/>
      <c r="I77" s="111"/>
      <c r="J77" s="111"/>
      <c r="K77" s="111"/>
      <c r="L77" s="111"/>
      <c r="M77" s="111"/>
      <c r="N77" s="111"/>
    </row>
    <row r="78" spans="1:14" ht="15" customHeight="1" x14ac:dyDescent="0.25">
      <c r="A78" s="115"/>
      <c r="B78" s="111"/>
      <c r="C78" s="111"/>
      <c r="D78" s="111"/>
      <c r="E78" s="111"/>
      <c r="F78" s="111"/>
      <c r="G78" s="111"/>
      <c r="H78" s="111"/>
      <c r="I78" s="111"/>
      <c r="J78" s="111"/>
      <c r="K78" s="111"/>
      <c r="L78" s="111"/>
      <c r="M78" s="111"/>
      <c r="N78" s="111"/>
    </row>
    <row r="79" spans="1:14" ht="15" customHeight="1" x14ac:dyDescent="0.25">
      <c r="A79" s="115"/>
      <c r="B79" s="111"/>
      <c r="C79" s="111"/>
      <c r="D79" s="111"/>
      <c r="E79" s="111"/>
      <c r="F79" s="111"/>
      <c r="G79" s="111"/>
      <c r="H79" s="111"/>
      <c r="I79" s="111"/>
      <c r="J79" s="111"/>
      <c r="K79" s="111"/>
      <c r="L79" s="111"/>
      <c r="M79" s="111"/>
      <c r="N79" s="111"/>
    </row>
    <row r="80" spans="1:14" ht="15" customHeight="1" x14ac:dyDescent="0.25">
      <c r="A80" s="115"/>
      <c r="B80" s="111"/>
      <c r="C80" s="111"/>
      <c r="D80" s="111"/>
      <c r="E80" s="111"/>
      <c r="F80" s="111"/>
      <c r="G80" s="111"/>
      <c r="H80" s="111"/>
      <c r="I80" s="111"/>
      <c r="J80" s="111"/>
      <c r="K80" s="111"/>
      <c r="L80" s="111"/>
      <c r="M80" s="111"/>
      <c r="N80" s="111"/>
    </row>
    <row r="81" spans="1:14" ht="15" customHeight="1" x14ac:dyDescent="0.25">
      <c r="A81" s="115"/>
      <c r="B81" s="111"/>
      <c r="C81" s="111"/>
      <c r="D81" s="111"/>
      <c r="E81" s="111"/>
      <c r="F81" s="111"/>
      <c r="G81" s="111"/>
      <c r="H81" s="111"/>
      <c r="I81" s="111"/>
      <c r="J81" s="111"/>
      <c r="K81" s="111"/>
      <c r="L81" s="111"/>
      <c r="M81" s="111"/>
      <c r="N81" s="111"/>
    </row>
    <row r="82" spans="1:14" ht="15" customHeight="1" x14ac:dyDescent="0.25">
      <c r="A82" s="115"/>
      <c r="B82" s="111"/>
      <c r="C82" s="111"/>
      <c r="D82" s="111"/>
      <c r="E82" s="111"/>
      <c r="F82" s="111"/>
      <c r="G82" s="111"/>
      <c r="H82" s="111"/>
      <c r="I82" s="111"/>
      <c r="J82" s="111"/>
      <c r="K82" s="111"/>
      <c r="L82" s="111"/>
      <c r="M82" s="111"/>
      <c r="N82" s="111"/>
    </row>
    <row r="83" spans="1:14" ht="15" customHeight="1" x14ac:dyDescent="0.25">
      <c r="B83" s="111"/>
      <c r="C83" s="111"/>
      <c r="D83" s="111"/>
      <c r="E83" s="111"/>
      <c r="F83" s="111"/>
      <c r="G83" s="111"/>
      <c r="H83" s="111"/>
      <c r="I83" s="111"/>
      <c r="J83" s="111"/>
      <c r="K83" s="111"/>
      <c r="L83" s="111"/>
      <c r="M83" s="111"/>
      <c r="N83" s="111"/>
    </row>
    <row r="84" spans="1:14" ht="15" customHeight="1" x14ac:dyDescent="0.25">
      <c r="B84" s="111"/>
      <c r="C84" s="111"/>
      <c r="D84" s="111"/>
      <c r="E84" s="111"/>
      <c r="F84" s="111"/>
      <c r="G84" s="111"/>
      <c r="H84" s="111"/>
      <c r="I84" s="111"/>
      <c r="J84" s="111"/>
      <c r="K84" s="111"/>
      <c r="L84" s="111"/>
      <c r="M84" s="111"/>
      <c r="N84" s="111"/>
    </row>
    <row r="85" spans="1:14" ht="15" customHeight="1" x14ac:dyDescent="0.25">
      <c r="B85" s="111"/>
      <c r="C85" s="111"/>
      <c r="D85" s="111"/>
      <c r="E85" s="111"/>
      <c r="F85" s="111"/>
      <c r="G85" s="111"/>
      <c r="H85" s="111"/>
      <c r="I85" s="111"/>
      <c r="J85" s="111"/>
      <c r="K85" s="111"/>
      <c r="L85" s="111"/>
      <c r="M85" s="111"/>
      <c r="N85" s="111"/>
    </row>
    <row r="86" spans="1:14" ht="15" customHeight="1" x14ac:dyDescent="0.25">
      <c r="B86" s="111"/>
      <c r="C86" s="111"/>
      <c r="D86" s="111"/>
      <c r="E86" s="111"/>
      <c r="F86" s="111"/>
      <c r="G86" s="111"/>
      <c r="H86" s="111"/>
      <c r="I86" s="111"/>
      <c r="J86" s="111"/>
      <c r="K86" s="111"/>
      <c r="L86" s="111"/>
      <c r="M86" s="111"/>
      <c r="N86" s="111"/>
    </row>
    <row r="87" spans="1:14" ht="15" customHeight="1" x14ac:dyDescent="0.25">
      <c r="E87" s="109" t="s">
        <v>337</v>
      </c>
      <c r="G87" s="109">
        <v>285.83600000000001</v>
      </c>
      <c r="H87" s="109" t="s">
        <v>73</v>
      </c>
    </row>
  </sheetData>
  <mergeCells count="2">
    <mergeCell ref="A11:J11"/>
    <mergeCell ref="A13:J13"/>
  </mergeCells>
  <printOptions horizontalCentered="1"/>
  <pageMargins left="0.39370078740157483" right="0.39370078740157483" top="0.39370078740157483" bottom="0.39370078740157483" header="0.19685039370078741" footer="0.19685039370078741"/>
  <pageSetup paperSize="9" scale="95" orientation="portrait" horizontalDpi="300" verticalDpi="300" r:id="rId1"/>
  <headerFooter alignWithMargins="0">
    <oddFooter>&amp;L&amp;8Ordre d'assurance à nous confirmer par écrit.
Cette cotation est soumise aux conditions générales de vente disponibles sur simple demande.</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Group Box 1">
              <controlPr defaultSize="0" autoFill="0" autoPict="0">
                <anchor moveWithCells="1">
                  <from>
                    <xdr:col>1</xdr:col>
                    <xdr:colOff>0</xdr:colOff>
                    <xdr:row>34</xdr:row>
                    <xdr:rowOff>146050</xdr:rowOff>
                  </from>
                  <to>
                    <xdr:col>4</xdr:col>
                    <xdr:colOff>38100</xdr:colOff>
                    <xdr:row>36</xdr:row>
                    <xdr:rowOff>31750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dimension ref="A1:W26"/>
  <sheetViews>
    <sheetView zoomScale="75" workbookViewId="0">
      <selection activeCell="S19" sqref="S19"/>
    </sheetView>
  </sheetViews>
  <sheetFormatPr baseColWidth="10" defaultRowHeight="12.5" x14ac:dyDescent="0.25"/>
  <cols>
    <col min="1" max="2" width="3.1796875" customWidth="1"/>
    <col min="3" max="3" width="18.26953125" customWidth="1"/>
    <col min="4" max="4" width="2.26953125" customWidth="1"/>
    <col min="5" max="5" width="12.54296875" customWidth="1"/>
    <col min="6" max="6" width="2.26953125" customWidth="1"/>
    <col min="7" max="7" width="10.54296875" bestFit="1" customWidth="1"/>
    <col min="8" max="8" width="9.81640625" bestFit="1" customWidth="1"/>
    <col min="9" max="9" width="6" style="3" customWidth="1"/>
    <col min="10" max="10" width="7.54296875" bestFit="1" customWidth="1"/>
    <col min="11" max="11" width="7.54296875" customWidth="1"/>
    <col min="12" max="12" width="7.54296875" bestFit="1" customWidth="1"/>
    <col min="13" max="13" width="7.54296875" customWidth="1"/>
  </cols>
  <sheetData>
    <row r="1" spans="1:23" ht="12.75" customHeight="1" x14ac:dyDescent="0.25">
      <c r="N1" s="25" t="s">
        <v>59</v>
      </c>
      <c r="O1" s="27">
        <f>Cotation!K16</f>
        <v>0</v>
      </c>
    </row>
    <row r="2" spans="1:23" ht="14.25" customHeight="1" x14ac:dyDescent="0.3">
      <c r="A2" s="6">
        <v>2</v>
      </c>
      <c r="B2" s="22"/>
      <c r="C2" s="1" t="s">
        <v>31</v>
      </c>
      <c r="D2" s="5">
        <v>9</v>
      </c>
      <c r="E2" s="1" t="s">
        <v>39</v>
      </c>
      <c r="F2" s="6">
        <v>4</v>
      </c>
      <c r="G2" s="33"/>
      <c r="H2" s="7" t="e">
        <f>ROUND(#REF!,0)</f>
        <v>#REF!</v>
      </c>
      <c r="I2" s="8"/>
      <c r="J2" s="9" t="s">
        <v>51</v>
      </c>
      <c r="K2" s="9" t="s">
        <v>52</v>
      </c>
      <c r="L2" s="9" t="s">
        <v>53</v>
      </c>
      <c r="M2" s="15"/>
      <c r="N2" s="26" t="s">
        <v>58</v>
      </c>
      <c r="O2" s="25">
        <f>P16</f>
        <v>1</v>
      </c>
      <c r="P2" s="25"/>
      <c r="Q2" s="25"/>
      <c r="R2" s="484" t="s">
        <v>58</v>
      </c>
      <c r="S2" s="484"/>
      <c r="T2" s="484"/>
      <c r="U2" s="484"/>
      <c r="V2" s="484"/>
      <c r="W2" s="25"/>
    </row>
    <row r="3" spans="1:23" ht="14" x14ac:dyDescent="0.3">
      <c r="B3" s="10"/>
      <c r="C3" s="2" t="s">
        <v>32</v>
      </c>
      <c r="D3" s="10"/>
      <c r="E3" s="2" t="s">
        <v>40</v>
      </c>
      <c r="F3" s="10"/>
      <c r="G3" s="10"/>
      <c r="H3" s="10" t="s">
        <v>68</v>
      </c>
      <c r="I3" s="6" t="b">
        <v>0</v>
      </c>
      <c r="J3" s="7">
        <f>Cotation!AI32</f>
        <v>96.036000000000001</v>
      </c>
      <c r="K3" s="7">
        <f>Cotation!AI33*Cotation!AI31</f>
        <v>0</v>
      </c>
      <c r="L3" s="7">
        <f>IF(K3&gt;J3,Cotation!AI33*Cotation!AI31,J3)</f>
        <v>96.036000000000001</v>
      </c>
      <c r="M3" s="8"/>
      <c r="O3" s="25"/>
      <c r="P3" s="28" t="s">
        <v>60</v>
      </c>
      <c r="Q3" s="28" t="s">
        <v>61</v>
      </c>
      <c r="R3" s="28">
        <v>1</v>
      </c>
      <c r="S3" s="28">
        <v>2</v>
      </c>
      <c r="T3" s="28">
        <v>3</v>
      </c>
      <c r="U3" s="28">
        <v>4</v>
      </c>
      <c r="V3" s="28">
        <v>5</v>
      </c>
      <c r="W3" s="25"/>
    </row>
    <row r="4" spans="1:23" ht="14" x14ac:dyDescent="0.3">
      <c r="B4" s="10"/>
      <c r="C4" s="2" t="s">
        <v>33</v>
      </c>
      <c r="D4" s="10"/>
      <c r="E4" s="2" t="s">
        <v>41</v>
      </c>
      <c r="F4" s="10"/>
      <c r="G4" s="10" t="s">
        <v>72</v>
      </c>
      <c r="H4" s="6" t="b">
        <v>1</v>
      </c>
      <c r="I4" s="8"/>
      <c r="J4" s="7">
        <f>Cotation!AI32</f>
        <v>96.036000000000001</v>
      </c>
      <c r="K4" s="7" t="e">
        <f>Cotation!AI33*Cotation!#REF!</f>
        <v>#REF!</v>
      </c>
      <c r="L4" s="7" t="e">
        <f>IF(K4&gt;J4,Cotation!AI33*Cotation!#REF!,J4)</f>
        <v>#REF!</v>
      </c>
      <c r="M4" s="8"/>
      <c r="O4" s="25">
        <f t="shared" ref="O4:O13" si="0">IF(AND($O$1&gt;P4,$O$1&lt;=Q4)=TRUE,1,0)</f>
        <v>0</v>
      </c>
      <c r="P4" s="25">
        <v>0</v>
      </c>
      <c r="Q4" s="25">
        <v>50</v>
      </c>
      <c r="R4" s="25">
        <v>18.248147363318022</v>
      </c>
      <c r="S4" s="25">
        <v>40.578117163167704</v>
      </c>
      <c r="T4" s="25">
        <v>56.665299707145444</v>
      </c>
      <c r="U4" s="25">
        <v>84.997949560718155</v>
      </c>
      <c r="V4" s="25">
        <v>119.57338667016282</v>
      </c>
      <c r="W4" s="25">
        <f>HLOOKUP($O$2,$R$3:$V$13,2,FALSE)*O4</f>
        <v>0</v>
      </c>
    </row>
    <row r="5" spans="1:23" ht="14" x14ac:dyDescent="0.3">
      <c r="B5" s="10"/>
      <c r="C5" s="2" t="s">
        <v>34</v>
      </c>
      <c r="D5" s="10"/>
      <c r="E5" s="2" t="s">
        <v>80</v>
      </c>
      <c r="F5" s="10"/>
      <c r="G5" s="10"/>
      <c r="H5" s="10"/>
      <c r="I5" s="8"/>
      <c r="J5" s="7">
        <f>Cotation!AI32</f>
        <v>96.036000000000001</v>
      </c>
      <c r="K5" s="7" t="e">
        <f>Cotation!AI33*Cotation!#REF!</f>
        <v>#REF!</v>
      </c>
      <c r="L5" s="7" t="e">
        <f>IF(K5&gt;J5,Cotation!AI33*Cotation!#REF!,J5)</f>
        <v>#REF!</v>
      </c>
      <c r="M5" s="8"/>
      <c r="O5" s="25">
        <f t="shared" si="0"/>
        <v>0</v>
      </c>
      <c r="P5" s="25">
        <v>50</v>
      </c>
      <c r="Q5" s="25">
        <v>100</v>
      </c>
      <c r="R5" s="25">
        <v>25.451363427785662</v>
      </c>
      <c r="S5" s="25">
        <v>47.781333227635344</v>
      </c>
      <c r="T5" s="25">
        <v>63.868515771613083</v>
      </c>
      <c r="U5" s="25">
        <v>92.201165625185794</v>
      </c>
      <c r="V5" s="25">
        <v>126.77660273463046</v>
      </c>
      <c r="W5" s="25">
        <f>HLOOKUP($O$2,$R$3:$V$13,3,FALSE)*O5</f>
        <v>0</v>
      </c>
    </row>
    <row r="6" spans="1:23" ht="14" x14ac:dyDescent="0.3">
      <c r="B6" s="10"/>
      <c r="C6" s="2" t="s">
        <v>35</v>
      </c>
      <c r="D6" s="10"/>
      <c r="E6" s="2" t="s">
        <v>42</v>
      </c>
      <c r="F6" s="10"/>
      <c r="G6" s="10" t="s">
        <v>71</v>
      </c>
      <c r="H6" s="6" t="b">
        <v>0</v>
      </c>
      <c r="I6" s="8"/>
      <c r="J6" s="10"/>
      <c r="K6" s="10"/>
      <c r="L6" s="10"/>
      <c r="M6" s="10"/>
      <c r="O6" s="25">
        <f t="shared" si="0"/>
        <v>0</v>
      </c>
      <c r="P6" s="25">
        <v>100</v>
      </c>
      <c r="Q6" s="25">
        <v>150</v>
      </c>
      <c r="R6" s="25">
        <v>32.174365087955458</v>
      </c>
      <c r="S6" s="25">
        <v>54.504334887805143</v>
      </c>
      <c r="T6" s="25">
        <v>70.591517431782876</v>
      </c>
      <c r="U6" s="25">
        <v>98.924167285355608</v>
      </c>
      <c r="V6" s="25">
        <v>133.49960439480026</v>
      </c>
      <c r="W6" s="25">
        <f>HLOOKUP($O$2,$R$3:$V$13,4,FALSE)*O6</f>
        <v>0</v>
      </c>
    </row>
    <row r="7" spans="1:23" ht="14" x14ac:dyDescent="0.3">
      <c r="A7" s="10"/>
      <c r="B7" s="10"/>
      <c r="C7" s="2" t="s">
        <v>36</v>
      </c>
      <c r="D7" s="10"/>
      <c r="E7" s="2" t="s">
        <v>43</v>
      </c>
      <c r="F7" s="10"/>
      <c r="G7" s="10"/>
      <c r="H7" s="10"/>
      <c r="I7" s="8"/>
      <c r="J7" s="9" t="s">
        <v>26</v>
      </c>
      <c r="K7" s="7" t="e">
        <f>Cotation!AS26+Cotation!AS28+Cotation!AS29+Cotation!#REF!+Cotation!BF32+Cotation!#REF!+Cotation!AS35+Cotation!#REF!+Cotation!AS43+Cotation!AS46+Cotation!AS44+Cotation!AS45</f>
        <v>#REF!</v>
      </c>
      <c r="L7" s="10"/>
      <c r="M7" s="10"/>
      <c r="O7" s="25">
        <f t="shared" si="0"/>
        <v>0</v>
      </c>
      <c r="P7" s="25">
        <v>150</v>
      </c>
      <c r="Q7" s="25">
        <v>200</v>
      </c>
      <c r="R7" s="25">
        <v>40.818224365316631</v>
      </c>
      <c r="S7" s="25">
        <v>63.148194165166309</v>
      </c>
      <c r="T7" s="25">
        <v>79.235376709144049</v>
      </c>
      <c r="U7" s="25">
        <v>107.56802656271675</v>
      </c>
      <c r="V7" s="25">
        <v>142.14346367216146</v>
      </c>
      <c r="W7" s="25">
        <f>HLOOKUP($O$2,$R$3:$V$13,5,FALSE)*O7</f>
        <v>0</v>
      </c>
    </row>
    <row r="8" spans="1:23" ht="14" x14ac:dyDescent="0.3">
      <c r="A8" s="10"/>
      <c r="B8" s="10"/>
      <c r="C8" s="2" t="s">
        <v>37</v>
      </c>
      <c r="D8" s="10"/>
      <c r="E8" s="2" t="s">
        <v>44</v>
      </c>
      <c r="F8" s="10"/>
      <c r="G8" s="10"/>
      <c r="H8" s="7">
        <f>Cotation!K16*Cotation!AA28</f>
        <v>0</v>
      </c>
      <c r="I8" s="11">
        <f>IF(H8&lt;85,85,H8)</f>
        <v>85</v>
      </c>
      <c r="J8" s="9" t="s">
        <v>27</v>
      </c>
      <c r="K8" s="7" t="e">
        <f>Cotation!AS26+Cotation!AS28+Cotation!AS29+Cotation!#REF!+Cotation!#REF!+Cotation!#REF!+Cotation!AS35+Cotation!#REF!+Cotation!AS43+Cotation!AS46+Cotation!AS44+Cotation!AS45</f>
        <v>#REF!</v>
      </c>
      <c r="L8" s="10"/>
      <c r="M8" s="10"/>
      <c r="O8" s="25">
        <f t="shared" si="0"/>
        <v>0</v>
      </c>
      <c r="P8" s="25">
        <v>200</v>
      </c>
      <c r="Q8" s="25">
        <v>250</v>
      </c>
      <c r="R8" s="25">
        <v>47.781333227635344</v>
      </c>
      <c r="S8" s="25">
        <v>70.111303027485036</v>
      </c>
      <c r="T8" s="25">
        <v>86.198485571462754</v>
      </c>
      <c r="U8" s="25">
        <v>114.5311354250355</v>
      </c>
      <c r="V8" s="25">
        <v>149.10657253448014</v>
      </c>
      <c r="W8" s="25">
        <f>HLOOKUP($O$2,$R$3:$V$13,6,FALSE)*O8</f>
        <v>0</v>
      </c>
    </row>
    <row r="9" spans="1:23" ht="14" x14ac:dyDescent="0.3">
      <c r="A9" s="10"/>
      <c r="B9" s="10"/>
      <c r="C9" s="2" t="s">
        <v>38</v>
      </c>
      <c r="D9" s="10"/>
      <c r="E9" s="4"/>
      <c r="G9" s="31" t="s">
        <v>70</v>
      </c>
      <c r="H9" s="6" t="b">
        <v>0</v>
      </c>
      <c r="I9" s="11">
        <f>IF(H9,I8,0)</f>
        <v>0</v>
      </c>
      <c r="J9" s="12" t="s">
        <v>28</v>
      </c>
      <c r="K9" s="7" t="e">
        <f>Cotation!AS26+Cotation!AS28+Cotation!AS29+Cotation!#REF!+Cotation!#REF!+Cotation!#REF!+Cotation!AS35+Cotation!#REF!+Cotation!AS43+Cotation!AS46+Cotation!AS44+Cotation!AS45</f>
        <v>#REF!</v>
      </c>
      <c r="L9" s="10"/>
      <c r="M9" s="10"/>
      <c r="O9" s="25">
        <f t="shared" si="0"/>
        <v>0</v>
      </c>
      <c r="P9" s="25">
        <v>250</v>
      </c>
      <c r="Q9" s="25">
        <v>300</v>
      </c>
      <c r="R9" s="25">
        <v>56.425192504996517</v>
      </c>
      <c r="S9" s="25">
        <v>78.755162304846195</v>
      </c>
      <c r="T9" s="25">
        <v>94.842344848823927</v>
      </c>
      <c r="U9" s="25">
        <v>123.17499470239665</v>
      </c>
      <c r="V9" s="25">
        <v>157.75043181184134</v>
      </c>
      <c r="W9" s="25">
        <f>HLOOKUP($O$2,$R$3:$V$13,7,FALSE)*O9</f>
        <v>0</v>
      </c>
    </row>
    <row r="10" spans="1:23" x14ac:dyDescent="0.25">
      <c r="A10" s="10"/>
      <c r="B10" s="10"/>
      <c r="C10" s="13" t="s">
        <v>30</v>
      </c>
      <c r="D10" s="10"/>
      <c r="E10" s="10"/>
      <c r="G10" s="31"/>
      <c r="H10" s="10"/>
      <c r="I10" s="8"/>
      <c r="J10" s="10"/>
      <c r="K10" s="10"/>
      <c r="L10" s="10"/>
      <c r="M10" s="10"/>
      <c r="O10" s="25">
        <f t="shared" si="0"/>
        <v>0</v>
      </c>
      <c r="P10" s="25">
        <v>300</v>
      </c>
      <c r="Q10" s="25">
        <v>350</v>
      </c>
      <c r="R10" s="25">
        <v>64.82894458020877</v>
      </c>
      <c r="S10" s="25">
        <v>87.158914380058434</v>
      </c>
      <c r="T10" s="25">
        <v>103.24609692403618</v>
      </c>
      <c r="U10" s="25">
        <v>131.5787467776089</v>
      </c>
      <c r="V10" s="25">
        <v>166.15418388705359</v>
      </c>
      <c r="W10" s="25">
        <f>HLOOKUP($O$2,$R$3:$V$13,8,FALSE)*O10</f>
        <v>0</v>
      </c>
    </row>
    <row r="11" spans="1:23" ht="14" x14ac:dyDescent="0.3">
      <c r="A11" s="10"/>
      <c r="B11" s="10"/>
      <c r="C11" s="1" t="s">
        <v>45</v>
      </c>
      <c r="D11" s="6">
        <v>2</v>
      </c>
      <c r="G11" s="31" t="s">
        <v>69</v>
      </c>
      <c r="H11" s="6" t="b">
        <v>1</v>
      </c>
      <c r="I11" s="8"/>
      <c r="J11" s="10"/>
      <c r="K11" s="10"/>
      <c r="L11" s="10"/>
      <c r="M11" s="10"/>
      <c r="O11" s="25">
        <f t="shared" si="0"/>
        <v>0</v>
      </c>
      <c r="P11" s="25">
        <v>350</v>
      </c>
      <c r="Q11" s="25">
        <v>400</v>
      </c>
      <c r="R11" s="25">
        <v>72.992589453272089</v>
      </c>
      <c r="S11" s="25">
        <v>95.322559253121796</v>
      </c>
      <c r="T11" s="25">
        <v>111.4097417970995</v>
      </c>
      <c r="U11" s="25">
        <v>139.74239165067223</v>
      </c>
      <c r="V11" s="25">
        <v>174.31782876011687</v>
      </c>
      <c r="W11" s="25">
        <f>HLOOKUP($O$2,$R$3:$V$13,9,FALSE)*O11</f>
        <v>0</v>
      </c>
    </row>
    <row r="12" spans="1:23" ht="14" x14ac:dyDescent="0.3">
      <c r="A12" s="10"/>
      <c r="B12" s="10"/>
      <c r="C12" s="4" t="s">
        <v>46</v>
      </c>
      <c r="D12" s="10"/>
      <c r="E12" s="10"/>
      <c r="G12" s="31"/>
      <c r="H12" s="10"/>
      <c r="I12" s="8"/>
      <c r="J12" s="10"/>
      <c r="K12" s="10"/>
      <c r="L12" s="10"/>
      <c r="M12" s="10"/>
      <c r="O12" s="25">
        <f t="shared" si="0"/>
        <v>0</v>
      </c>
      <c r="P12" s="25">
        <v>400</v>
      </c>
      <c r="Q12" s="25">
        <v>450</v>
      </c>
      <c r="R12" s="25">
        <v>80.195805517739728</v>
      </c>
      <c r="S12" s="25">
        <v>102.52577531758944</v>
      </c>
      <c r="T12" s="25">
        <v>118.61295786156715</v>
      </c>
      <c r="U12" s="25">
        <v>146.94560771513989</v>
      </c>
      <c r="V12" s="25">
        <v>181.52104482458452</v>
      </c>
      <c r="W12" s="25">
        <f>HLOOKUP($O$2,$R$3:$V$13,10,FALSE)*O12</f>
        <v>0</v>
      </c>
    </row>
    <row r="13" spans="1:23" x14ac:dyDescent="0.25">
      <c r="A13" s="10"/>
      <c r="B13" s="10"/>
      <c r="C13" s="10"/>
      <c r="D13" s="10"/>
      <c r="G13" s="31" t="s">
        <v>67</v>
      </c>
      <c r="H13" s="6" t="b">
        <v>1</v>
      </c>
      <c r="I13" s="8"/>
      <c r="J13" s="10"/>
      <c r="K13" s="10"/>
      <c r="L13" s="10"/>
      <c r="M13" s="10"/>
      <c r="O13" s="25">
        <f t="shared" si="0"/>
        <v>0</v>
      </c>
      <c r="P13" s="25">
        <v>450</v>
      </c>
      <c r="Q13" s="25">
        <v>500</v>
      </c>
      <c r="R13" s="25">
        <v>87.158914380058434</v>
      </c>
      <c r="S13" s="25">
        <v>109.48888417990814</v>
      </c>
      <c r="T13" s="25">
        <v>125.57606672388586</v>
      </c>
      <c r="U13" s="25">
        <v>153.90871657745856</v>
      </c>
      <c r="V13" s="25">
        <v>188.48415368690326</v>
      </c>
      <c r="W13" s="25">
        <f>HLOOKUP($O$2,$R$3:$V$13,11,FALSE)*O13</f>
        <v>0</v>
      </c>
    </row>
    <row r="14" spans="1:23" ht="14" x14ac:dyDescent="0.3">
      <c r="A14" s="10"/>
      <c r="B14" s="10"/>
      <c r="C14" s="1" t="s">
        <v>73</v>
      </c>
      <c r="D14" s="6">
        <v>3</v>
      </c>
      <c r="E14" s="10"/>
      <c r="G14" s="31"/>
      <c r="H14" s="10"/>
      <c r="I14" s="8"/>
      <c r="J14" s="10"/>
      <c r="K14" s="10"/>
      <c r="L14" s="10"/>
      <c r="M14" s="10"/>
      <c r="O14" s="25"/>
      <c r="P14" s="25"/>
      <c r="Q14" s="25"/>
      <c r="R14" s="25"/>
      <c r="S14" s="25"/>
      <c r="T14" s="25"/>
      <c r="U14" s="25"/>
      <c r="V14" s="25"/>
      <c r="W14" s="29">
        <f>IF(ISNA(ROUND(SUM(W4:W13),2))=TRUE,0,ROUND(SUM(W4:W13),2))</f>
        <v>0</v>
      </c>
    </row>
    <row r="15" spans="1:23" ht="14" x14ac:dyDescent="0.3">
      <c r="A15" s="10"/>
      <c r="B15" s="10"/>
      <c r="C15" s="2" t="s">
        <v>47</v>
      </c>
      <c r="D15" s="10"/>
      <c r="G15" s="31"/>
      <c r="H15" s="7" t="e">
        <f>(SUM(Cotation!AS26,Cotation!AS28,Cotation!AS29,Cotation!#REF!,Cotation!BF32,Cotation!#REF!,Cotation!AS35,Cotation!AS43,Cotation!AS44,Cotation!AS45,Cotation!AS46,Cotation!#REF!)*Cotation!#REF!*1.1)</f>
        <v>#REF!</v>
      </c>
      <c r="I15" s="7" t="e">
        <f>IF(H15&lt;13,13,H15)</f>
        <v>#REF!</v>
      </c>
      <c r="J15" s="10"/>
      <c r="K15" s="10"/>
      <c r="L15" s="10"/>
      <c r="M15" s="10"/>
    </row>
    <row r="16" spans="1:23" ht="14" x14ac:dyDescent="0.3">
      <c r="A16" s="10"/>
      <c r="B16" s="10"/>
      <c r="C16" s="2" t="s">
        <v>48</v>
      </c>
      <c r="D16" s="10"/>
      <c r="G16" s="31" t="s">
        <v>55</v>
      </c>
      <c r="H16" s="6" t="b">
        <v>0</v>
      </c>
      <c r="I16" s="7">
        <f>IF(H16=TRUE,I15,0)</f>
        <v>0</v>
      </c>
      <c r="J16" s="10"/>
      <c r="K16" s="10"/>
      <c r="L16" s="10"/>
      <c r="M16" s="10"/>
      <c r="O16" s="23" t="s">
        <v>62</v>
      </c>
      <c r="P16" s="30">
        <v>1</v>
      </c>
    </row>
    <row r="17" spans="1:15" ht="14" x14ac:dyDescent="0.3">
      <c r="B17" s="10"/>
      <c r="C17" s="2" t="s">
        <v>49</v>
      </c>
      <c r="D17" s="10"/>
      <c r="E17" s="10"/>
      <c r="G17" s="31"/>
      <c r="H17" s="10"/>
      <c r="I17" s="8"/>
      <c r="J17" s="10"/>
      <c r="K17" s="10"/>
      <c r="L17" s="10"/>
      <c r="M17" s="10"/>
      <c r="O17" s="14" t="s">
        <v>63</v>
      </c>
    </row>
    <row r="18" spans="1:15" ht="14" x14ac:dyDescent="0.3">
      <c r="A18" s="10"/>
      <c r="B18" s="10"/>
      <c r="C18" s="2" t="s">
        <v>50</v>
      </c>
      <c r="D18" s="10"/>
      <c r="G18" s="31" t="s">
        <v>56</v>
      </c>
      <c r="H18" s="6">
        <f>IF(Cotation!K16*0.12&lt;19,19,IF(Cotation!K16*0.12&gt;304,304,Cotation!K16*0.12))</f>
        <v>19</v>
      </c>
      <c r="I18" s="8"/>
      <c r="J18" s="10"/>
      <c r="K18" s="10"/>
      <c r="L18" s="10"/>
      <c r="M18" s="10"/>
      <c r="O18" s="14" t="s">
        <v>64</v>
      </c>
    </row>
    <row r="19" spans="1:15" ht="14" x14ac:dyDescent="0.3">
      <c r="A19" s="10"/>
      <c r="B19" s="10"/>
      <c r="C19" s="4" t="s">
        <v>30</v>
      </c>
      <c r="D19" s="10"/>
      <c r="E19" s="10"/>
      <c r="G19" s="31"/>
      <c r="H19" s="6"/>
      <c r="I19" s="8"/>
      <c r="J19" s="10"/>
      <c r="K19" s="10"/>
      <c r="L19" s="10"/>
      <c r="M19" s="10"/>
      <c r="O19" s="14" t="s">
        <v>65</v>
      </c>
    </row>
    <row r="20" spans="1:15" x14ac:dyDescent="0.25">
      <c r="G20" s="32"/>
      <c r="O20" s="14" t="s">
        <v>66</v>
      </c>
    </row>
    <row r="21" spans="1:15" x14ac:dyDescent="0.25">
      <c r="A21" s="10"/>
      <c r="G21" s="32" t="s">
        <v>57</v>
      </c>
      <c r="H21" s="25">
        <f>Cotation!K16*0.15</f>
        <v>0</v>
      </c>
      <c r="O21" s="24" t="s">
        <v>30</v>
      </c>
    </row>
    <row r="22" spans="1:15" x14ac:dyDescent="0.25">
      <c r="A22" s="10"/>
    </row>
    <row r="23" spans="1:15" x14ac:dyDescent="0.25">
      <c r="A23" s="10"/>
      <c r="G23" t="s">
        <v>81</v>
      </c>
      <c r="H23" s="6" t="b">
        <v>0</v>
      </c>
      <c r="I23">
        <f>IF(K26*0.117&lt;38,38,IF(K26*0.117&gt;525,525,K26*0.117))</f>
        <v>38</v>
      </c>
    </row>
    <row r="25" spans="1:15" x14ac:dyDescent="0.25">
      <c r="A25" s="10"/>
    </row>
    <row r="26" spans="1:15" x14ac:dyDescent="0.25">
      <c r="G26" s="36" t="s">
        <v>82</v>
      </c>
      <c r="H26" s="6" t="b">
        <v>0</v>
      </c>
    </row>
  </sheetData>
  <mergeCells count="1">
    <mergeCell ref="R2:V2"/>
  </mergeCells>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Cotation</vt:lpstr>
      <vt:lpstr>Cubage</vt:lpstr>
      <vt:lpstr>Frais annexes</vt:lpstr>
      <vt:lpstr>Frais annexes simplifiés</vt:lpstr>
      <vt:lpstr>Textes</vt:lpstr>
      <vt:lpstr>Données</vt:lpstr>
      <vt:lpstr>Calculs</vt:lpstr>
      <vt:lpstr>Cotation!Zone_d_impression</vt:lpstr>
      <vt:lpstr>Cubage!Zone_d_impression</vt:lpstr>
      <vt:lpstr>Données!Zone_d_impression</vt:lpstr>
      <vt:lpstr>Textes!Zone_d_impression</vt:lpstr>
    </vt:vector>
  </TitlesOfParts>
  <Company>setcargo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Maryline Raczka</dc:creator>
  <cp:lastModifiedBy>Maryline Raczka</cp:lastModifiedBy>
  <cp:lastPrinted>2023-07-31T07:48:25Z</cp:lastPrinted>
  <dcterms:created xsi:type="dcterms:W3CDTF">1999-10-20T16:56:39Z</dcterms:created>
  <dcterms:modified xsi:type="dcterms:W3CDTF">2023-10-17T04:59:55Z</dcterms:modified>
</cp:coreProperties>
</file>