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dministrateur\Downloads\"/>
    </mc:Choice>
  </mc:AlternateContent>
  <xr:revisionPtr revIDLastSave="0" documentId="13_ncr:1_{D3A76985-9705-4E36-A2FF-389836C932EC}" xr6:coauthVersionLast="45" xr6:coauthVersionMax="47" xr10:uidLastSave="{00000000-0000-0000-0000-000000000000}"/>
  <bookViews>
    <workbookView xWindow="-120" yWindow="-120" windowWidth="20730" windowHeight="11310" xr2:uid="{CAF65BD3-CDEB-4358-9A86-F029F7322F42}"/>
  </bookViews>
  <sheets>
    <sheet name="Porte arrière Sandwich" sheetId="1" r:id="rId1"/>
  </sheets>
  <externalReferences>
    <externalReference r:id="rId2"/>
    <externalReference r:id="rId3"/>
  </externalReferences>
  <definedNames>
    <definedName name="airline">'[1]NE PAS TOUCHER'!$M$1:$M$4</definedName>
    <definedName name="charnieres">'[2]NE PAS TOUCHER'!$A$11:$A$14</definedName>
    <definedName name="epaisseur_panneaux">'[2]NE PAS TOUCHER'!$C$2:$C$3</definedName>
    <definedName name="Etat">'[2]NE PAS TOUCHER'!$A$2:$A$4</definedName>
    <definedName name="fermetures">'[2]NE PAS TOUCHER'!$B$11:$B$19</definedName>
    <definedName name="liaison_arr">'[1]NE PAS TOUCHER'!$E$7:$E$11</definedName>
    <definedName name="Liaison_avant">'[1]NE PAS TOUCHER'!$E$1:$E$5</definedName>
    <definedName name="Marqueveh">'[1]NE PAS TOUCHER'!$O$6:$O$21</definedName>
    <definedName name="nb_fermetures">'[2]NE PAS TOUCHER'!$B$2:$B$3</definedName>
    <definedName name="oui_non">'[2]NE PAS TOUCHER'!$C$10:$C$11</definedName>
    <definedName name="remplissage_panneaux">'[2]NE PAS TOUCHER'!$D$2:$D$4</definedName>
    <definedName name="ridelles">'[1]NE PAS TOUCHER'!$H$1:$H$4</definedName>
    <definedName name="Segment_supplémentaire">'[2]NE PAS TOUCHER'!$G$2:$G$3</definedName>
    <definedName name="tubes_fenetre">'[1]NE PAS TOUCHER'!$K$1:$K$2</definedName>
    <definedName name="type_poches">'[2]NE PAS TOUCHER'!$E$2:$E$3</definedName>
    <definedName name="type_revetement">'[2]NE PAS TOUCHER'!$F$2:$F$4</definedName>
    <definedName name="type_soudure">'[2]NE PAS TOUCHER'!$D$10:$D$11</definedName>
    <definedName name="typologie">'[1]NE PAS TOUCHER'!$H$7:$H$9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23" i="1" l="1"/>
  <c r="F307" i="1"/>
  <c r="A331" i="1" l="1"/>
  <c r="F330" i="1"/>
  <c r="F329" i="1"/>
  <c r="K328" i="1"/>
  <c r="F328" i="1"/>
  <c r="K327" i="1"/>
  <c r="F327" i="1"/>
  <c r="F326" i="1"/>
  <c r="F325" i="1"/>
  <c r="F324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A302" i="1"/>
  <c r="L301" i="1"/>
  <c r="K301" i="1"/>
  <c r="G301" i="1"/>
  <c r="D301" i="1"/>
  <c r="B301" i="1"/>
  <c r="C301" i="1" s="1"/>
  <c r="I301" i="1" s="1"/>
  <c r="L300" i="1"/>
  <c r="K300" i="1"/>
  <c r="G300" i="1"/>
  <c r="D300" i="1"/>
  <c r="B300" i="1"/>
  <c r="C300" i="1" s="1"/>
  <c r="I300" i="1" s="1"/>
  <c r="L299" i="1"/>
  <c r="K299" i="1"/>
  <c r="G299" i="1"/>
  <c r="D299" i="1"/>
  <c r="B299" i="1"/>
  <c r="C299" i="1" s="1"/>
  <c r="I299" i="1" s="1"/>
  <c r="L298" i="1"/>
  <c r="K298" i="1"/>
  <c r="G298" i="1"/>
  <c r="D298" i="1"/>
  <c r="B298" i="1"/>
  <c r="C298" i="1" s="1"/>
  <c r="I298" i="1" s="1"/>
  <c r="L297" i="1"/>
  <c r="K297" i="1"/>
  <c r="G297" i="1"/>
  <c r="D297" i="1"/>
  <c r="B297" i="1"/>
  <c r="C297" i="1" s="1"/>
  <c r="I297" i="1" s="1"/>
  <c r="L296" i="1"/>
  <c r="K296" i="1"/>
  <c r="G296" i="1"/>
  <c r="D296" i="1"/>
  <c r="B296" i="1"/>
  <c r="C296" i="1" s="1"/>
  <c r="I296" i="1" s="1"/>
  <c r="A293" i="1"/>
  <c r="L292" i="1"/>
  <c r="K292" i="1"/>
  <c r="G292" i="1"/>
  <c r="D292" i="1"/>
  <c r="B292" i="1"/>
  <c r="C292" i="1" s="1"/>
  <c r="I292" i="1" s="1"/>
  <c r="L291" i="1"/>
  <c r="K291" i="1"/>
  <c r="G291" i="1"/>
  <c r="D291" i="1"/>
  <c r="B291" i="1"/>
  <c r="C291" i="1" s="1"/>
  <c r="I291" i="1" s="1"/>
  <c r="L290" i="1"/>
  <c r="K290" i="1"/>
  <c r="G290" i="1"/>
  <c r="D290" i="1"/>
  <c r="B290" i="1"/>
  <c r="C290" i="1" s="1"/>
  <c r="I290" i="1" s="1"/>
  <c r="L289" i="1"/>
  <c r="K289" i="1"/>
  <c r="G289" i="1"/>
  <c r="D289" i="1"/>
  <c r="B289" i="1"/>
  <c r="C289" i="1" s="1"/>
  <c r="I289" i="1" s="1"/>
  <c r="L288" i="1"/>
  <c r="K288" i="1"/>
  <c r="G288" i="1"/>
  <c r="D288" i="1"/>
  <c r="B288" i="1"/>
  <c r="C288" i="1" s="1"/>
  <c r="I288" i="1" s="1"/>
  <c r="L287" i="1"/>
  <c r="K287" i="1"/>
  <c r="G287" i="1"/>
  <c r="D287" i="1"/>
  <c r="B287" i="1"/>
  <c r="C287" i="1" s="1"/>
  <c r="I287" i="1" s="1"/>
  <c r="L286" i="1"/>
  <c r="K286" i="1"/>
  <c r="G286" i="1"/>
  <c r="D286" i="1"/>
  <c r="B286" i="1"/>
  <c r="C286" i="1" s="1"/>
  <c r="I286" i="1" s="1"/>
  <c r="L285" i="1"/>
  <c r="K285" i="1"/>
  <c r="G285" i="1"/>
  <c r="D285" i="1"/>
  <c r="B285" i="1"/>
  <c r="C285" i="1" s="1"/>
  <c r="I285" i="1" s="1"/>
  <c r="L284" i="1"/>
  <c r="K284" i="1"/>
  <c r="G284" i="1"/>
  <c r="D284" i="1"/>
  <c r="B284" i="1"/>
  <c r="C284" i="1" s="1"/>
  <c r="I284" i="1" s="1"/>
  <c r="L283" i="1"/>
  <c r="K283" i="1"/>
  <c r="G283" i="1"/>
  <c r="D283" i="1"/>
  <c r="B283" i="1"/>
  <c r="C283" i="1" s="1"/>
  <c r="I283" i="1" s="1"/>
  <c r="L282" i="1"/>
  <c r="K282" i="1"/>
  <c r="G282" i="1"/>
  <c r="D282" i="1"/>
  <c r="B282" i="1"/>
  <c r="C282" i="1" s="1"/>
  <c r="I282" i="1" s="1"/>
  <c r="L281" i="1"/>
  <c r="K281" i="1"/>
  <c r="G281" i="1"/>
  <c r="D281" i="1"/>
  <c r="B281" i="1"/>
  <c r="C281" i="1" s="1"/>
  <c r="I281" i="1" s="1"/>
  <c r="L280" i="1"/>
  <c r="K280" i="1"/>
  <c r="G280" i="1"/>
  <c r="D280" i="1"/>
  <c r="B280" i="1"/>
  <c r="C280" i="1" s="1"/>
  <c r="I280" i="1" s="1"/>
  <c r="L279" i="1"/>
  <c r="K279" i="1"/>
  <c r="G279" i="1"/>
  <c r="D279" i="1"/>
  <c r="B279" i="1"/>
  <c r="C279" i="1" s="1"/>
  <c r="I279" i="1" s="1"/>
  <c r="L278" i="1"/>
  <c r="K278" i="1"/>
  <c r="G278" i="1"/>
  <c r="D278" i="1"/>
  <c r="B278" i="1"/>
  <c r="C278" i="1" s="1"/>
  <c r="I278" i="1" s="1"/>
  <c r="L277" i="1"/>
  <c r="K277" i="1"/>
  <c r="G277" i="1"/>
  <c r="D277" i="1"/>
  <c r="B277" i="1"/>
  <c r="C277" i="1" s="1"/>
  <c r="I277" i="1" s="1"/>
  <c r="L276" i="1"/>
  <c r="K276" i="1"/>
  <c r="G276" i="1"/>
  <c r="D276" i="1"/>
  <c r="B276" i="1"/>
  <c r="C276" i="1" s="1"/>
  <c r="I276" i="1" s="1"/>
  <c r="L275" i="1"/>
  <c r="K275" i="1"/>
  <c r="G275" i="1"/>
  <c r="D275" i="1"/>
  <c r="B275" i="1"/>
  <c r="C275" i="1" s="1"/>
  <c r="I275" i="1" s="1"/>
  <c r="L274" i="1"/>
  <c r="K274" i="1"/>
  <c r="G274" i="1"/>
  <c r="D274" i="1"/>
  <c r="B274" i="1"/>
  <c r="C274" i="1" s="1"/>
  <c r="I274" i="1" s="1"/>
  <c r="L273" i="1"/>
  <c r="K273" i="1"/>
  <c r="G273" i="1"/>
  <c r="D273" i="1"/>
  <c r="B273" i="1"/>
  <c r="C273" i="1" s="1"/>
  <c r="I273" i="1" s="1"/>
  <c r="L272" i="1"/>
  <c r="K272" i="1"/>
  <c r="G272" i="1"/>
  <c r="D272" i="1"/>
  <c r="B272" i="1"/>
  <c r="C272" i="1" s="1"/>
  <c r="I272" i="1" s="1"/>
  <c r="L271" i="1"/>
  <c r="K271" i="1"/>
  <c r="G271" i="1"/>
  <c r="D271" i="1"/>
  <c r="B271" i="1"/>
  <c r="C271" i="1" s="1"/>
  <c r="I271" i="1" s="1"/>
  <c r="L270" i="1"/>
  <c r="K270" i="1"/>
  <c r="G270" i="1"/>
  <c r="D270" i="1"/>
  <c r="B270" i="1"/>
  <c r="C270" i="1" s="1"/>
  <c r="I270" i="1" s="1"/>
  <c r="L269" i="1"/>
  <c r="K269" i="1"/>
  <c r="G269" i="1"/>
  <c r="D269" i="1"/>
  <c r="B269" i="1"/>
  <c r="C269" i="1" s="1"/>
  <c r="I269" i="1" s="1"/>
  <c r="L268" i="1"/>
  <c r="K268" i="1"/>
  <c r="G268" i="1"/>
  <c r="D268" i="1"/>
  <c r="B268" i="1"/>
  <c r="C268" i="1" s="1"/>
  <c r="I268" i="1" s="1"/>
  <c r="L267" i="1"/>
  <c r="K267" i="1"/>
  <c r="G267" i="1"/>
  <c r="D267" i="1"/>
  <c r="B267" i="1"/>
  <c r="C267" i="1" s="1"/>
  <c r="I267" i="1" s="1"/>
  <c r="A264" i="1"/>
  <c r="B263" i="1"/>
  <c r="C263" i="1" s="1"/>
  <c r="E262" i="1"/>
  <c r="A260" i="1"/>
  <c r="E259" i="1"/>
  <c r="D259" i="1"/>
  <c r="L258" i="1"/>
  <c r="K258" i="1"/>
  <c r="G258" i="1"/>
  <c r="D258" i="1"/>
  <c r="L257" i="1"/>
  <c r="K257" i="1"/>
  <c r="G257" i="1"/>
  <c r="D257" i="1"/>
  <c r="A254" i="1"/>
  <c r="E253" i="1"/>
  <c r="D253" i="1"/>
  <c r="L252" i="1"/>
  <c r="K252" i="1"/>
  <c r="G252" i="1"/>
  <c r="D252" i="1"/>
  <c r="L251" i="1"/>
  <c r="K251" i="1"/>
  <c r="G251" i="1"/>
  <c r="D251" i="1"/>
  <c r="A248" i="1"/>
  <c r="L247" i="1"/>
  <c r="K247" i="1"/>
  <c r="G247" i="1"/>
  <c r="D247" i="1"/>
  <c r="B247" i="1"/>
  <c r="C247" i="1" s="1"/>
  <c r="L246" i="1"/>
  <c r="K246" i="1"/>
  <c r="G246" i="1"/>
  <c r="D246" i="1"/>
  <c r="B246" i="1"/>
  <c r="C246" i="1" s="1"/>
  <c r="L245" i="1"/>
  <c r="K245" i="1"/>
  <c r="G245" i="1"/>
  <c r="D245" i="1"/>
  <c r="B245" i="1"/>
  <c r="C245" i="1" s="1"/>
  <c r="L244" i="1"/>
  <c r="K244" i="1"/>
  <c r="G244" i="1"/>
  <c r="D244" i="1"/>
  <c r="B244" i="1"/>
  <c r="C244" i="1" s="1"/>
  <c r="L243" i="1"/>
  <c r="K243" i="1"/>
  <c r="G243" i="1"/>
  <c r="D243" i="1"/>
  <c r="B243" i="1"/>
  <c r="C243" i="1" s="1"/>
  <c r="L242" i="1"/>
  <c r="K242" i="1"/>
  <c r="G242" i="1"/>
  <c r="D242" i="1"/>
  <c r="B242" i="1"/>
  <c r="C242" i="1" s="1"/>
  <c r="L241" i="1"/>
  <c r="K241" i="1"/>
  <c r="G241" i="1"/>
  <c r="D241" i="1"/>
  <c r="B241" i="1"/>
  <c r="C241" i="1" s="1"/>
  <c r="L240" i="1"/>
  <c r="K240" i="1"/>
  <c r="G240" i="1"/>
  <c r="D240" i="1"/>
  <c r="B240" i="1"/>
  <c r="C240" i="1" s="1"/>
  <c r="L239" i="1"/>
  <c r="K239" i="1"/>
  <c r="G239" i="1"/>
  <c r="D239" i="1"/>
  <c r="B239" i="1"/>
  <c r="C239" i="1" s="1"/>
  <c r="L238" i="1"/>
  <c r="K238" i="1"/>
  <c r="G238" i="1"/>
  <c r="D238" i="1"/>
  <c r="B238" i="1"/>
  <c r="C238" i="1" s="1"/>
  <c r="L237" i="1"/>
  <c r="K237" i="1"/>
  <c r="G237" i="1"/>
  <c r="D237" i="1"/>
  <c r="B237" i="1"/>
  <c r="C237" i="1" s="1"/>
  <c r="L236" i="1"/>
  <c r="K236" i="1"/>
  <c r="G236" i="1"/>
  <c r="D236" i="1"/>
  <c r="B236" i="1"/>
  <c r="C236" i="1" s="1"/>
  <c r="L235" i="1"/>
  <c r="K235" i="1"/>
  <c r="G235" i="1"/>
  <c r="D235" i="1"/>
  <c r="B235" i="1"/>
  <c r="C235" i="1" s="1"/>
  <c r="L234" i="1"/>
  <c r="K234" i="1"/>
  <c r="G234" i="1"/>
  <c r="D234" i="1"/>
  <c r="B234" i="1"/>
  <c r="C234" i="1" s="1"/>
  <c r="E233" i="1"/>
  <c r="D233" i="1" s="1"/>
  <c r="B233" i="1"/>
  <c r="C233" i="1" s="1"/>
  <c r="L232" i="1"/>
  <c r="K232" i="1"/>
  <c r="G232" i="1"/>
  <c r="D232" i="1"/>
  <c r="B232" i="1"/>
  <c r="C232" i="1" s="1"/>
  <c r="L231" i="1"/>
  <c r="K231" i="1"/>
  <c r="G231" i="1"/>
  <c r="D231" i="1"/>
  <c r="B231" i="1"/>
  <c r="C231" i="1" s="1"/>
  <c r="L230" i="1"/>
  <c r="K230" i="1"/>
  <c r="G230" i="1"/>
  <c r="D230" i="1"/>
  <c r="B230" i="1"/>
  <c r="C230" i="1" s="1"/>
  <c r="B229" i="1"/>
  <c r="C229" i="1" s="1"/>
  <c r="A226" i="1"/>
  <c r="L225" i="1"/>
  <c r="K225" i="1"/>
  <c r="G225" i="1"/>
  <c r="D225" i="1"/>
  <c r="B225" i="1"/>
  <c r="C225" i="1" s="1"/>
  <c r="L224" i="1"/>
  <c r="K224" i="1"/>
  <c r="G224" i="1"/>
  <c r="D224" i="1"/>
  <c r="B224" i="1"/>
  <c r="C224" i="1" s="1"/>
  <c r="L223" i="1"/>
  <c r="K223" i="1"/>
  <c r="G223" i="1"/>
  <c r="D223" i="1"/>
  <c r="B223" i="1"/>
  <c r="C223" i="1" s="1"/>
  <c r="L222" i="1"/>
  <c r="K222" i="1"/>
  <c r="G222" i="1"/>
  <c r="D222" i="1"/>
  <c r="B222" i="1"/>
  <c r="C222" i="1" s="1"/>
  <c r="L221" i="1"/>
  <c r="K221" i="1"/>
  <c r="G221" i="1"/>
  <c r="D221" i="1"/>
  <c r="B221" i="1"/>
  <c r="C221" i="1" s="1"/>
  <c r="L220" i="1"/>
  <c r="K220" i="1"/>
  <c r="G220" i="1"/>
  <c r="D220" i="1"/>
  <c r="B220" i="1"/>
  <c r="C220" i="1" s="1"/>
  <c r="L219" i="1"/>
  <c r="K219" i="1"/>
  <c r="G219" i="1"/>
  <c r="D219" i="1"/>
  <c r="B219" i="1"/>
  <c r="C219" i="1" s="1"/>
  <c r="L218" i="1"/>
  <c r="K218" i="1"/>
  <c r="G218" i="1"/>
  <c r="D218" i="1"/>
  <c r="B218" i="1"/>
  <c r="C218" i="1" s="1"/>
  <c r="L217" i="1"/>
  <c r="K217" i="1"/>
  <c r="G217" i="1"/>
  <c r="D217" i="1"/>
  <c r="B217" i="1"/>
  <c r="C217" i="1" s="1"/>
  <c r="L216" i="1"/>
  <c r="K216" i="1"/>
  <c r="G216" i="1"/>
  <c r="D216" i="1"/>
  <c r="B216" i="1"/>
  <c r="C216" i="1" s="1"/>
  <c r="L215" i="1"/>
  <c r="K215" i="1"/>
  <c r="G215" i="1"/>
  <c r="D215" i="1"/>
  <c r="B215" i="1"/>
  <c r="C215" i="1" s="1"/>
  <c r="L214" i="1"/>
  <c r="K214" i="1"/>
  <c r="G214" i="1"/>
  <c r="D214" i="1"/>
  <c r="B214" i="1"/>
  <c r="C214" i="1" s="1"/>
  <c r="E213" i="1"/>
  <c r="D213" i="1" s="1"/>
  <c r="B213" i="1"/>
  <c r="C213" i="1" s="1"/>
  <c r="L212" i="1"/>
  <c r="K212" i="1"/>
  <c r="G212" i="1"/>
  <c r="D212" i="1"/>
  <c r="B212" i="1"/>
  <c r="C212" i="1" s="1"/>
  <c r="L211" i="1"/>
  <c r="K211" i="1"/>
  <c r="G211" i="1"/>
  <c r="D211" i="1"/>
  <c r="B211" i="1"/>
  <c r="C211" i="1" s="1"/>
  <c r="L210" i="1"/>
  <c r="K210" i="1"/>
  <c r="G210" i="1"/>
  <c r="D210" i="1"/>
  <c r="B210" i="1"/>
  <c r="C210" i="1" s="1"/>
  <c r="B209" i="1"/>
  <c r="C209" i="1" s="1"/>
  <c r="A206" i="1"/>
  <c r="L205" i="1"/>
  <c r="K205" i="1"/>
  <c r="G205" i="1"/>
  <c r="D205" i="1"/>
  <c r="B205" i="1"/>
  <c r="C205" i="1" s="1"/>
  <c r="L204" i="1"/>
  <c r="K204" i="1"/>
  <c r="G204" i="1"/>
  <c r="D204" i="1"/>
  <c r="B204" i="1"/>
  <c r="C204" i="1" s="1"/>
  <c r="L203" i="1"/>
  <c r="K203" i="1"/>
  <c r="G203" i="1"/>
  <c r="D203" i="1"/>
  <c r="B203" i="1"/>
  <c r="C203" i="1" s="1"/>
  <c r="L202" i="1"/>
  <c r="K202" i="1"/>
  <c r="G202" i="1"/>
  <c r="D202" i="1"/>
  <c r="B202" i="1"/>
  <c r="C202" i="1" s="1"/>
  <c r="L201" i="1"/>
  <c r="K201" i="1"/>
  <c r="G201" i="1"/>
  <c r="D201" i="1"/>
  <c r="B201" i="1"/>
  <c r="C201" i="1" s="1"/>
  <c r="L200" i="1"/>
  <c r="K200" i="1"/>
  <c r="G200" i="1"/>
  <c r="D200" i="1"/>
  <c r="B200" i="1"/>
  <c r="C200" i="1" s="1"/>
  <c r="L199" i="1"/>
  <c r="K199" i="1"/>
  <c r="G199" i="1"/>
  <c r="D199" i="1"/>
  <c r="B199" i="1"/>
  <c r="C199" i="1" s="1"/>
  <c r="L198" i="1"/>
  <c r="K198" i="1"/>
  <c r="G198" i="1"/>
  <c r="D198" i="1"/>
  <c r="B198" i="1"/>
  <c r="C198" i="1" s="1"/>
  <c r="L197" i="1"/>
  <c r="K197" i="1"/>
  <c r="G197" i="1"/>
  <c r="D197" i="1"/>
  <c r="B197" i="1"/>
  <c r="C197" i="1" s="1"/>
  <c r="L196" i="1"/>
  <c r="K196" i="1"/>
  <c r="G196" i="1"/>
  <c r="D196" i="1"/>
  <c r="B196" i="1"/>
  <c r="C196" i="1" s="1"/>
  <c r="B195" i="1"/>
  <c r="C195" i="1" s="1"/>
  <c r="L194" i="1"/>
  <c r="K194" i="1"/>
  <c r="G194" i="1"/>
  <c r="D194" i="1"/>
  <c r="B194" i="1"/>
  <c r="C194" i="1" s="1"/>
  <c r="L193" i="1"/>
  <c r="K193" i="1"/>
  <c r="G193" i="1"/>
  <c r="D193" i="1"/>
  <c r="B193" i="1"/>
  <c r="C193" i="1" s="1"/>
  <c r="L192" i="1"/>
  <c r="K192" i="1"/>
  <c r="G192" i="1"/>
  <c r="D192" i="1"/>
  <c r="B192" i="1"/>
  <c r="C192" i="1" s="1"/>
  <c r="B191" i="1"/>
  <c r="C191" i="1" s="1"/>
  <c r="A188" i="1"/>
  <c r="L187" i="1"/>
  <c r="K187" i="1"/>
  <c r="G187" i="1"/>
  <c r="D187" i="1"/>
  <c r="B187" i="1"/>
  <c r="C187" i="1" s="1"/>
  <c r="L186" i="1"/>
  <c r="K186" i="1"/>
  <c r="G186" i="1"/>
  <c r="D186" i="1"/>
  <c r="B186" i="1"/>
  <c r="C186" i="1" s="1"/>
  <c r="L185" i="1"/>
  <c r="K185" i="1"/>
  <c r="G185" i="1"/>
  <c r="D185" i="1"/>
  <c r="B185" i="1"/>
  <c r="C185" i="1" s="1"/>
  <c r="L184" i="1"/>
  <c r="K184" i="1"/>
  <c r="G184" i="1"/>
  <c r="D184" i="1"/>
  <c r="B184" i="1"/>
  <c r="C184" i="1" s="1"/>
  <c r="L183" i="1"/>
  <c r="K183" i="1"/>
  <c r="G183" i="1"/>
  <c r="D183" i="1"/>
  <c r="B183" i="1"/>
  <c r="C183" i="1" s="1"/>
  <c r="L182" i="1"/>
  <c r="K182" i="1"/>
  <c r="G182" i="1"/>
  <c r="D182" i="1"/>
  <c r="B182" i="1"/>
  <c r="C182" i="1" s="1"/>
  <c r="L181" i="1"/>
  <c r="K181" i="1"/>
  <c r="G181" i="1"/>
  <c r="D181" i="1"/>
  <c r="B181" i="1"/>
  <c r="C181" i="1" s="1"/>
  <c r="L180" i="1"/>
  <c r="K180" i="1"/>
  <c r="G180" i="1"/>
  <c r="D180" i="1"/>
  <c r="B180" i="1"/>
  <c r="C180" i="1" s="1"/>
  <c r="L179" i="1"/>
  <c r="K179" i="1"/>
  <c r="G179" i="1"/>
  <c r="D179" i="1"/>
  <c r="B179" i="1"/>
  <c r="C179" i="1" s="1"/>
  <c r="B178" i="1"/>
  <c r="C178" i="1" s="1"/>
  <c r="L177" i="1"/>
  <c r="K177" i="1"/>
  <c r="G177" i="1"/>
  <c r="D177" i="1"/>
  <c r="B177" i="1"/>
  <c r="C177" i="1" s="1"/>
  <c r="L176" i="1"/>
  <c r="K176" i="1"/>
  <c r="G176" i="1"/>
  <c r="D176" i="1"/>
  <c r="B176" i="1"/>
  <c r="C176" i="1" s="1"/>
  <c r="L175" i="1"/>
  <c r="K175" i="1"/>
  <c r="G175" i="1"/>
  <c r="D175" i="1"/>
  <c r="B175" i="1"/>
  <c r="C175" i="1" s="1"/>
  <c r="B174" i="1"/>
  <c r="C174" i="1" s="1"/>
  <c r="A171" i="1"/>
  <c r="L170" i="1"/>
  <c r="K170" i="1"/>
  <c r="G170" i="1"/>
  <c r="D170" i="1"/>
  <c r="B170" i="1"/>
  <c r="C170" i="1" s="1"/>
  <c r="L169" i="1"/>
  <c r="K169" i="1"/>
  <c r="G169" i="1"/>
  <c r="D169" i="1"/>
  <c r="B169" i="1"/>
  <c r="C169" i="1" s="1"/>
  <c r="L168" i="1"/>
  <c r="K168" i="1"/>
  <c r="G168" i="1"/>
  <c r="D168" i="1"/>
  <c r="B168" i="1"/>
  <c r="C168" i="1" s="1"/>
  <c r="L167" i="1"/>
  <c r="K167" i="1"/>
  <c r="G167" i="1"/>
  <c r="D167" i="1"/>
  <c r="B167" i="1"/>
  <c r="C167" i="1" s="1"/>
  <c r="L166" i="1"/>
  <c r="K166" i="1"/>
  <c r="G166" i="1"/>
  <c r="D166" i="1"/>
  <c r="B166" i="1"/>
  <c r="C166" i="1" s="1"/>
  <c r="L165" i="1"/>
  <c r="K165" i="1"/>
  <c r="G165" i="1"/>
  <c r="D165" i="1"/>
  <c r="B165" i="1"/>
  <c r="C165" i="1" s="1"/>
  <c r="L164" i="1"/>
  <c r="K164" i="1"/>
  <c r="G164" i="1"/>
  <c r="D164" i="1"/>
  <c r="B164" i="1"/>
  <c r="C164" i="1" s="1"/>
  <c r="L163" i="1"/>
  <c r="K163" i="1"/>
  <c r="G163" i="1"/>
  <c r="D163" i="1"/>
  <c r="B163" i="1"/>
  <c r="C163" i="1" s="1"/>
  <c r="L162" i="1"/>
  <c r="K162" i="1"/>
  <c r="G162" i="1"/>
  <c r="D162" i="1"/>
  <c r="B162" i="1"/>
  <c r="C162" i="1" s="1"/>
  <c r="L161" i="1"/>
  <c r="K161" i="1"/>
  <c r="G161" i="1"/>
  <c r="D161" i="1"/>
  <c r="B161" i="1"/>
  <c r="C161" i="1" s="1"/>
  <c r="L160" i="1"/>
  <c r="K160" i="1"/>
  <c r="G160" i="1"/>
  <c r="D160" i="1"/>
  <c r="B160" i="1"/>
  <c r="C160" i="1" s="1"/>
  <c r="L159" i="1"/>
  <c r="K159" i="1"/>
  <c r="G159" i="1"/>
  <c r="D159" i="1"/>
  <c r="B159" i="1"/>
  <c r="C159" i="1" s="1"/>
  <c r="E158" i="1"/>
  <c r="D158" i="1"/>
  <c r="B158" i="1"/>
  <c r="C158" i="1" s="1"/>
  <c r="L157" i="1"/>
  <c r="K157" i="1"/>
  <c r="G157" i="1"/>
  <c r="D157" i="1"/>
  <c r="B157" i="1"/>
  <c r="C157" i="1" s="1"/>
  <c r="L156" i="1"/>
  <c r="K156" i="1"/>
  <c r="G156" i="1"/>
  <c r="D156" i="1"/>
  <c r="B156" i="1"/>
  <c r="C156" i="1" s="1"/>
  <c r="L155" i="1"/>
  <c r="K155" i="1"/>
  <c r="G155" i="1"/>
  <c r="D155" i="1"/>
  <c r="B155" i="1"/>
  <c r="C155" i="1" s="1"/>
  <c r="B154" i="1"/>
  <c r="C154" i="1" s="1"/>
  <c r="A151" i="1"/>
  <c r="L150" i="1"/>
  <c r="K150" i="1"/>
  <c r="G150" i="1"/>
  <c r="D150" i="1"/>
  <c r="B150" i="1"/>
  <c r="C150" i="1" s="1"/>
  <c r="L149" i="1"/>
  <c r="K149" i="1"/>
  <c r="G149" i="1"/>
  <c r="D149" i="1"/>
  <c r="B149" i="1"/>
  <c r="C149" i="1" s="1"/>
  <c r="L148" i="1"/>
  <c r="K148" i="1"/>
  <c r="G148" i="1"/>
  <c r="D148" i="1"/>
  <c r="B148" i="1"/>
  <c r="C148" i="1" s="1"/>
  <c r="L147" i="1"/>
  <c r="K147" i="1"/>
  <c r="G147" i="1"/>
  <c r="D147" i="1"/>
  <c r="B147" i="1"/>
  <c r="C147" i="1" s="1"/>
  <c r="L146" i="1"/>
  <c r="K146" i="1"/>
  <c r="G146" i="1"/>
  <c r="D146" i="1"/>
  <c r="B146" i="1"/>
  <c r="C146" i="1" s="1"/>
  <c r="L145" i="1"/>
  <c r="K145" i="1"/>
  <c r="G145" i="1"/>
  <c r="D145" i="1"/>
  <c r="B145" i="1"/>
  <c r="C145" i="1" s="1"/>
  <c r="L144" i="1"/>
  <c r="K144" i="1"/>
  <c r="G144" i="1"/>
  <c r="D144" i="1"/>
  <c r="B144" i="1"/>
  <c r="C144" i="1" s="1"/>
  <c r="L143" i="1"/>
  <c r="K143" i="1"/>
  <c r="G143" i="1"/>
  <c r="D143" i="1"/>
  <c r="B143" i="1"/>
  <c r="C143" i="1" s="1"/>
  <c r="L142" i="1"/>
  <c r="K142" i="1"/>
  <c r="G142" i="1"/>
  <c r="D142" i="1"/>
  <c r="B142" i="1"/>
  <c r="C142" i="1" s="1"/>
  <c r="L141" i="1"/>
  <c r="K141" i="1"/>
  <c r="G141" i="1"/>
  <c r="D141" i="1"/>
  <c r="B141" i="1"/>
  <c r="C141" i="1" s="1"/>
  <c r="E140" i="1"/>
  <c r="D140" i="1" s="1"/>
  <c r="B140" i="1"/>
  <c r="C140" i="1" s="1"/>
  <c r="L139" i="1"/>
  <c r="K139" i="1"/>
  <c r="G139" i="1"/>
  <c r="D139" i="1"/>
  <c r="B139" i="1"/>
  <c r="C139" i="1" s="1"/>
  <c r="L138" i="1"/>
  <c r="K138" i="1"/>
  <c r="G138" i="1"/>
  <c r="D138" i="1"/>
  <c r="B138" i="1"/>
  <c r="C138" i="1" s="1"/>
  <c r="L137" i="1"/>
  <c r="K137" i="1"/>
  <c r="G137" i="1"/>
  <c r="D137" i="1"/>
  <c r="B137" i="1"/>
  <c r="C137" i="1" s="1"/>
  <c r="B136" i="1"/>
  <c r="C136" i="1" s="1"/>
  <c r="A133" i="1"/>
  <c r="L132" i="1"/>
  <c r="K132" i="1"/>
  <c r="G132" i="1"/>
  <c r="D132" i="1"/>
  <c r="B132" i="1"/>
  <c r="C132" i="1" s="1"/>
  <c r="I132" i="1" s="1"/>
  <c r="L131" i="1"/>
  <c r="K131" i="1"/>
  <c r="G131" i="1"/>
  <c r="D131" i="1"/>
  <c r="B131" i="1"/>
  <c r="C131" i="1" s="1"/>
  <c r="I131" i="1" s="1"/>
  <c r="L130" i="1"/>
  <c r="K130" i="1"/>
  <c r="G130" i="1"/>
  <c r="D130" i="1"/>
  <c r="B130" i="1"/>
  <c r="C130" i="1" s="1"/>
  <c r="I130" i="1" s="1"/>
  <c r="L129" i="1"/>
  <c r="K129" i="1"/>
  <c r="G129" i="1"/>
  <c r="D129" i="1"/>
  <c r="B129" i="1"/>
  <c r="C129" i="1" s="1"/>
  <c r="I129" i="1" s="1"/>
  <c r="L128" i="1"/>
  <c r="K128" i="1"/>
  <c r="G128" i="1"/>
  <c r="D128" i="1"/>
  <c r="B128" i="1"/>
  <c r="C128" i="1" s="1"/>
  <c r="I128" i="1" s="1"/>
  <c r="L127" i="1"/>
  <c r="K127" i="1"/>
  <c r="G127" i="1"/>
  <c r="D127" i="1"/>
  <c r="B127" i="1"/>
  <c r="C127" i="1" s="1"/>
  <c r="I127" i="1" s="1"/>
  <c r="L126" i="1"/>
  <c r="K126" i="1"/>
  <c r="G126" i="1"/>
  <c r="D126" i="1"/>
  <c r="B126" i="1"/>
  <c r="C126" i="1" s="1"/>
  <c r="I126" i="1" s="1"/>
  <c r="B125" i="1"/>
  <c r="C125" i="1" s="1"/>
  <c r="A122" i="1"/>
  <c r="L121" i="1"/>
  <c r="K121" i="1"/>
  <c r="G121" i="1"/>
  <c r="D121" i="1"/>
  <c r="B121" i="1"/>
  <c r="C121" i="1" s="1"/>
  <c r="I121" i="1" s="1"/>
  <c r="L120" i="1"/>
  <c r="K120" i="1"/>
  <c r="G120" i="1"/>
  <c r="D120" i="1"/>
  <c r="B120" i="1"/>
  <c r="C120" i="1" s="1"/>
  <c r="I120" i="1" s="1"/>
  <c r="L119" i="1"/>
  <c r="K119" i="1"/>
  <c r="G119" i="1"/>
  <c r="D119" i="1"/>
  <c r="B119" i="1"/>
  <c r="C119" i="1" s="1"/>
  <c r="I119" i="1" s="1"/>
  <c r="L118" i="1"/>
  <c r="K118" i="1"/>
  <c r="G118" i="1"/>
  <c r="D118" i="1"/>
  <c r="B118" i="1"/>
  <c r="C118" i="1" s="1"/>
  <c r="I118" i="1" s="1"/>
  <c r="L117" i="1"/>
  <c r="K117" i="1"/>
  <c r="G117" i="1"/>
  <c r="D117" i="1"/>
  <c r="B117" i="1"/>
  <c r="C117" i="1" s="1"/>
  <c r="I117" i="1" s="1"/>
  <c r="L116" i="1"/>
  <c r="K116" i="1"/>
  <c r="G116" i="1"/>
  <c r="D116" i="1"/>
  <c r="B116" i="1"/>
  <c r="C116" i="1" s="1"/>
  <c r="I116" i="1" s="1"/>
  <c r="L115" i="1"/>
  <c r="K115" i="1"/>
  <c r="G115" i="1"/>
  <c r="D115" i="1"/>
  <c r="B115" i="1"/>
  <c r="C115" i="1" s="1"/>
  <c r="I115" i="1" s="1"/>
  <c r="B114" i="1"/>
  <c r="C114" i="1" s="1"/>
  <c r="A111" i="1"/>
  <c r="L110" i="1"/>
  <c r="K110" i="1"/>
  <c r="G110" i="1"/>
  <c r="D110" i="1"/>
  <c r="B110" i="1"/>
  <c r="C110" i="1" s="1"/>
  <c r="I110" i="1" s="1"/>
  <c r="L109" i="1"/>
  <c r="K109" i="1"/>
  <c r="G109" i="1"/>
  <c r="D109" i="1"/>
  <c r="B109" i="1"/>
  <c r="C109" i="1" s="1"/>
  <c r="I109" i="1" s="1"/>
  <c r="L108" i="1"/>
  <c r="K108" i="1"/>
  <c r="G108" i="1"/>
  <c r="D108" i="1"/>
  <c r="B108" i="1"/>
  <c r="C108" i="1" s="1"/>
  <c r="I108" i="1" s="1"/>
  <c r="L107" i="1"/>
  <c r="K107" i="1"/>
  <c r="G107" i="1"/>
  <c r="D107" i="1"/>
  <c r="B107" i="1"/>
  <c r="C107" i="1" s="1"/>
  <c r="I107" i="1" s="1"/>
  <c r="L106" i="1"/>
  <c r="K106" i="1"/>
  <c r="G106" i="1"/>
  <c r="D106" i="1"/>
  <c r="B106" i="1"/>
  <c r="C106" i="1" s="1"/>
  <c r="I106" i="1" s="1"/>
  <c r="L105" i="1"/>
  <c r="K105" i="1"/>
  <c r="G105" i="1"/>
  <c r="D105" i="1"/>
  <c r="B105" i="1"/>
  <c r="C105" i="1" s="1"/>
  <c r="I105" i="1" s="1"/>
  <c r="L104" i="1"/>
  <c r="K104" i="1"/>
  <c r="G104" i="1"/>
  <c r="D104" i="1"/>
  <c r="B104" i="1"/>
  <c r="C104" i="1" s="1"/>
  <c r="I104" i="1" s="1"/>
  <c r="B103" i="1"/>
  <c r="C103" i="1" s="1"/>
  <c r="A100" i="1"/>
  <c r="L99" i="1"/>
  <c r="K99" i="1"/>
  <c r="G99" i="1"/>
  <c r="D99" i="1"/>
  <c r="B99" i="1"/>
  <c r="C99" i="1" s="1"/>
  <c r="L98" i="1"/>
  <c r="K98" i="1"/>
  <c r="G98" i="1"/>
  <c r="D98" i="1"/>
  <c r="B98" i="1"/>
  <c r="C98" i="1" s="1"/>
  <c r="L97" i="1"/>
  <c r="K97" i="1"/>
  <c r="G97" i="1"/>
  <c r="D97" i="1"/>
  <c r="B97" i="1"/>
  <c r="C97" i="1" s="1"/>
  <c r="L96" i="1"/>
  <c r="K96" i="1"/>
  <c r="G96" i="1"/>
  <c r="D96" i="1"/>
  <c r="B96" i="1"/>
  <c r="C96" i="1" s="1"/>
  <c r="L95" i="1"/>
  <c r="K95" i="1"/>
  <c r="G95" i="1"/>
  <c r="D95" i="1"/>
  <c r="B95" i="1"/>
  <c r="C95" i="1" s="1"/>
  <c r="L94" i="1"/>
  <c r="K94" i="1"/>
  <c r="G94" i="1"/>
  <c r="F94" i="1"/>
  <c r="D94" i="1"/>
  <c r="B94" i="1"/>
  <c r="C94" i="1" s="1"/>
  <c r="I94" i="1" s="1"/>
  <c r="L93" i="1"/>
  <c r="K93" i="1"/>
  <c r="G93" i="1"/>
  <c r="D93" i="1"/>
  <c r="B93" i="1"/>
  <c r="C93" i="1" s="1"/>
  <c r="L92" i="1"/>
  <c r="K92" i="1"/>
  <c r="G92" i="1"/>
  <c r="D92" i="1"/>
  <c r="B92" i="1"/>
  <c r="C92" i="1" s="1"/>
  <c r="I92" i="1" s="1"/>
  <c r="L91" i="1"/>
  <c r="K91" i="1"/>
  <c r="G91" i="1"/>
  <c r="D91" i="1"/>
  <c r="B91" i="1"/>
  <c r="C91" i="1" s="1"/>
  <c r="L90" i="1"/>
  <c r="K90" i="1"/>
  <c r="G90" i="1"/>
  <c r="D90" i="1"/>
  <c r="B90" i="1"/>
  <c r="C90" i="1" s="1"/>
  <c r="L89" i="1"/>
  <c r="K89" i="1"/>
  <c r="G89" i="1"/>
  <c r="D89" i="1"/>
  <c r="B89" i="1"/>
  <c r="C89" i="1" s="1"/>
  <c r="L88" i="1"/>
  <c r="K88" i="1"/>
  <c r="G88" i="1"/>
  <c r="D88" i="1"/>
  <c r="B88" i="1"/>
  <c r="C88" i="1" s="1"/>
  <c r="L87" i="1"/>
  <c r="K87" i="1"/>
  <c r="G87" i="1"/>
  <c r="D87" i="1"/>
  <c r="B87" i="1"/>
  <c r="C87" i="1" s="1"/>
  <c r="A84" i="1"/>
  <c r="L83" i="1"/>
  <c r="K83" i="1"/>
  <c r="G83" i="1"/>
  <c r="D83" i="1"/>
  <c r="B83" i="1"/>
  <c r="C83" i="1" s="1"/>
  <c r="L82" i="1"/>
  <c r="K82" i="1"/>
  <c r="G82" i="1"/>
  <c r="D82" i="1"/>
  <c r="B82" i="1"/>
  <c r="C82" i="1" s="1"/>
  <c r="L81" i="1"/>
  <c r="K81" i="1"/>
  <c r="G81" i="1"/>
  <c r="D81" i="1"/>
  <c r="B81" i="1"/>
  <c r="C81" i="1" s="1"/>
  <c r="I81" i="1" s="1"/>
  <c r="L80" i="1"/>
  <c r="K80" i="1"/>
  <c r="G80" i="1"/>
  <c r="D80" i="1"/>
  <c r="B80" i="1"/>
  <c r="C80" i="1" s="1"/>
  <c r="L79" i="1"/>
  <c r="K79" i="1"/>
  <c r="G79" i="1"/>
  <c r="D79" i="1"/>
  <c r="B79" i="1"/>
  <c r="C79" i="1" s="1"/>
  <c r="L78" i="1"/>
  <c r="K78" i="1"/>
  <c r="G78" i="1"/>
  <c r="D78" i="1"/>
  <c r="E195" i="1" s="1"/>
  <c r="B78" i="1"/>
  <c r="C78" i="1" s="1"/>
  <c r="L77" i="1"/>
  <c r="K77" i="1"/>
  <c r="G77" i="1"/>
  <c r="F77" i="1"/>
  <c r="D77" i="1"/>
  <c r="L76" i="1"/>
  <c r="K76" i="1"/>
  <c r="G76" i="1"/>
  <c r="D76" i="1"/>
  <c r="B76" i="1"/>
  <c r="C76" i="1" s="1"/>
  <c r="B75" i="1"/>
  <c r="C75" i="1" s="1"/>
  <c r="L74" i="1"/>
  <c r="K74" i="1"/>
  <c r="G74" i="1"/>
  <c r="D74" i="1"/>
  <c r="B74" i="1"/>
  <c r="C74" i="1" s="1"/>
  <c r="L73" i="1"/>
  <c r="K73" i="1"/>
  <c r="G73" i="1"/>
  <c r="D73" i="1"/>
  <c r="B73" i="1"/>
  <c r="C73" i="1" s="1"/>
  <c r="I73" i="1" s="1"/>
  <c r="L72" i="1"/>
  <c r="K72" i="1"/>
  <c r="G72" i="1"/>
  <c r="D72" i="1"/>
  <c r="B72" i="1"/>
  <c r="C72" i="1" s="1"/>
  <c r="L71" i="1"/>
  <c r="K71" i="1"/>
  <c r="G71" i="1"/>
  <c r="D71" i="1"/>
  <c r="B71" i="1"/>
  <c r="C71" i="1" s="1"/>
  <c r="L70" i="1"/>
  <c r="K70" i="1"/>
  <c r="G70" i="1"/>
  <c r="D70" i="1"/>
  <c r="B70" i="1"/>
  <c r="C70" i="1" s="1"/>
  <c r="L69" i="1"/>
  <c r="K69" i="1"/>
  <c r="G69" i="1"/>
  <c r="D69" i="1"/>
  <c r="B69" i="1"/>
  <c r="C69" i="1" s="1"/>
  <c r="L68" i="1"/>
  <c r="K68" i="1"/>
  <c r="G68" i="1"/>
  <c r="D68" i="1"/>
  <c r="B68" i="1"/>
  <c r="C68" i="1" s="1"/>
  <c r="L67" i="1"/>
  <c r="K67" i="1"/>
  <c r="G67" i="1"/>
  <c r="D67" i="1"/>
  <c r="B67" i="1"/>
  <c r="C67" i="1" s="1"/>
  <c r="L66" i="1"/>
  <c r="K66" i="1"/>
  <c r="G66" i="1"/>
  <c r="D66" i="1"/>
  <c r="B66" i="1"/>
  <c r="C66" i="1" s="1"/>
  <c r="A63" i="1"/>
  <c r="L62" i="1"/>
  <c r="K62" i="1"/>
  <c r="G62" i="1"/>
  <c r="D62" i="1"/>
  <c r="B62" i="1"/>
  <c r="C62" i="1" s="1"/>
  <c r="I62" i="1" s="1"/>
  <c r="L61" i="1"/>
  <c r="K61" i="1"/>
  <c r="G61" i="1"/>
  <c r="D61" i="1"/>
  <c r="E178" i="1" s="1"/>
  <c r="B61" i="1"/>
  <c r="C61" i="1" s="1"/>
  <c r="L60" i="1"/>
  <c r="K60" i="1"/>
  <c r="G60" i="1"/>
  <c r="D60" i="1"/>
  <c r="B60" i="1"/>
  <c r="C60" i="1" s="1"/>
  <c r="L59" i="1"/>
  <c r="K59" i="1"/>
  <c r="G59" i="1"/>
  <c r="F59" i="1"/>
  <c r="D59" i="1"/>
  <c r="B59" i="1"/>
  <c r="C59" i="1" s="1"/>
  <c r="I59" i="1" s="1"/>
  <c r="L58" i="1"/>
  <c r="K58" i="1"/>
  <c r="G58" i="1"/>
  <c r="D58" i="1"/>
  <c r="B58" i="1"/>
  <c r="C58" i="1" s="1"/>
  <c r="I58" i="1" s="1"/>
  <c r="L57" i="1"/>
  <c r="K57" i="1"/>
  <c r="G57" i="1"/>
  <c r="D57" i="1"/>
  <c r="B57" i="1"/>
  <c r="C57" i="1" s="1"/>
  <c r="I57" i="1" s="1"/>
  <c r="L56" i="1"/>
  <c r="K56" i="1"/>
  <c r="G56" i="1"/>
  <c r="D56" i="1"/>
  <c r="B56" i="1"/>
  <c r="C56" i="1" s="1"/>
  <c r="I56" i="1" s="1"/>
  <c r="L55" i="1"/>
  <c r="K55" i="1"/>
  <c r="G55" i="1"/>
  <c r="D55" i="1"/>
  <c r="B55" i="1"/>
  <c r="C55" i="1" s="1"/>
  <c r="I55" i="1" s="1"/>
  <c r="L54" i="1"/>
  <c r="K54" i="1"/>
  <c r="G54" i="1"/>
  <c r="D54" i="1"/>
  <c r="B54" i="1"/>
  <c r="C54" i="1" s="1"/>
  <c r="I54" i="1" s="1"/>
  <c r="L53" i="1"/>
  <c r="K53" i="1"/>
  <c r="G53" i="1"/>
  <c r="D53" i="1"/>
  <c r="B53" i="1"/>
  <c r="C53" i="1" s="1"/>
  <c r="I53" i="1" s="1"/>
  <c r="L52" i="1"/>
  <c r="K52" i="1"/>
  <c r="G52" i="1"/>
  <c r="D52" i="1"/>
  <c r="B52" i="1"/>
  <c r="C52" i="1" s="1"/>
  <c r="I52" i="1" s="1"/>
  <c r="L51" i="1"/>
  <c r="K51" i="1"/>
  <c r="G51" i="1"/>
  <c r="D51" i="1"/>
  <c r="B51" i="1"/>
  <c r="C51" i="1" s="1"/>
  <c r="I51" i="1" s="1"/>
  <c r="L50" i="1"/>
  <c r="K50" i="1"/>
  <c r="G50" i="1"/>
  <c r="D50" i="1"/>
  <c r="B50" i="1"/>
  <c r="C50" i="1" s="1"/>
  <c r="I50" i="1" s="1"/>
  <c r="L49" i="1"/>
  <c r="K49" i="1"/>
  <c r="G49" i="1"/>
  <c r="D49" i="1"/>
  <c r="B49" i="1"/>
  <c r="C49" i="1" s="1"/>
  <c r="I49" i="1" s="1"/>
  <c r="L48" i="1"/>
  <c r="K48" i="1"/>
  <c r="G48" i="1"/>
  <c r="D48" i="1"/>
  <c r="B48" i="1"/>
  <c r="C48" i="1" s="1"/>
  <c r="I48" i="1" s="1"/>
  <c r="L47" i="1"/>
  <c r="K47" i="1"/>
  <c r="G47" i="1"/>
  <c r="D47" i="1"/>
  <c r="B47" i="1"/>
  <c r="C47" i="1" s="1"/>
  <c r="E46" i="1"/>
  <c r="D46" i="1"/>
  <c r="B46" i="1"/>
  <c r="C46" i="1" s="1"/>
  <c r="E45" i="1"/>
  <c r="D45" i="1"/>
  <c r="B45" i="1"/>
  <c r="C45" i="1" s="1"/>
  <c r="E44" i="1"/>
  <c r="D44" i="1"/>
  <c r="B44" i="1"/>
  <c r="C44" i="1" s="1"/>
  <c r="A41" i="1"/>
  <c r="F40" i="1"/>
  <c r="E40" i="1"/>
  <c r="D40" i="1"/>
  <c r="B40" i="1"/>
  <c r="C40" i="1" s="1"/>
  <c r="F39" i="1"/>
  <c r="E39" i="1"/>
  <c r="D39" i="1"/>
  <c r="B39" i="1"/>
  <c r="C39" i="1" s="1"/>
  <c r="E38" i="1"/>
  <c r="D38" i="1"/>
  <c r="B38" i="1"/>
  <c r="C38" i="1" s="1"/>
  <c r="E37" i="1"/>
  <c r="D37" i="1"/>
  <c r="B37" i="1"/>
  <c r="C37" i="1" s="1"/>
  <c r="E36" i="1"/>
  <c r="D36" i="1"/>
  <c r="B36" i="1"/>
  <c r="C36" i="1" s="1"/>
  <c r="A33" i="1"/>
  <c r="F32" i="1"/>
  <c r="E32" i="1"/>
  <c r="D32" i="1"/>
  <c r="B32" i="1"/>
  <c r="C32" i="1" s="1"/>
  <c r="E31" i="1"/>
  <c r="D31" i="1"/>
  <c r="B31" i="1"/>
  <c r="C31" i="1" s="1"/>
  <c r="E30" i="1"/>
  <c r="D30" i="1"/>
  <c r="B30" i="1"/>
  <c r="C30" i="1" s="1"/>
  <c r="E29" i="1"/>
  <c r="D29" i="1"/>
  <c r="B29" i="1"/>
  <c r="C29" i="1" s="1"/>
  <c r="D26" i="1"/>
  <c r="J20" i="1"/>
  <c r="J17" i="1"/>
  <c r="F6" i="1"/>
  <c r="I302" i="1" l="1"/>
  <c r="I293" i="1"/>
  <c r="E229" i="1"/>
  <c r="E209" i="1"/>
  <c r="E191" i="1"/>
  <c r="E174" i="1"/>
  <c r="E154" i="1"/>
  <c r="E136" i="1"/>
  <c r="F125" i="1"/>
  <c r="I125" i="1" s="1"/>
  <c r="I133" i="1" s="1"/>
  <c r="E125" i="1"/>
  <c r="F114" i="1"/>
  <c r="I114" i="1" s="1"/>
  <c r="I122" i="1" s="1"/>
  <c r="E114" i="1"/>
  <c r="F103" i="1"/>
  <c r="I103" i="1" s="1"/>
  <c r="I111" i="1" s="1"/>
  <c r="E103" i="1"/>
  <c r="F96" i="1"/>
  <c r="F79" i="1"/>
  <c r="E75" i="1"/>
  <c r="F61" i="1"/>
  <c r="F46" i="1"/>
  <c r="F45" i="1"/>
  <c r="F44" i="1"/>
  <c r="F38" i="1"/>
  <c r="F37" i="1"/>
  <c r="F36" i="1"/>
  <c r="F31" i="1"/>
  <c r="F30" i="1"/>
  <c r="F29" i="1"/>
  <c r="H6" i="1"/>
  <c r="L29" i="1"/>
  <c r="K29" i="1"/>
  <c r="G29" i="1"/>
  <c r="I29" i="1" s="1"/>
  <c r="L30" i="1"/>
  <c r="K30" i="1"/>
  <c r="G30" i="1"/>
  <c r="I30" i="1" s="1"/>
  <c r="L31" i="1"/>
  <c r="K31" i="1"/>
  <c r="G31" i="1"/>
  <c r="I31" i="1" s="1"/>
  <c r="L32" i="1"/>
  <c r="K32" i="1"/>
  <c r="G32" i="1"/>
  <c r="I32" i="1" s="1"/>
  <c r="L36" i="1"/>
  <c r="K36" i="1"/>
  <c r="G36" i="1"/>
  <c r="I36" i="1" s="1"/>
  <c r="L37" i="1"/>
  <c r="K37" i="1"/>
  <c r="G37" i="1"/>
  <c r="I37" i="1" s="1"/>
  <c r="M37" i="1" s="1"/>
  <c r="L38" i="1"/>
  <c r="K38" i="1"/>
  <c r="G38" i="1"/>
  <c r="I38" i="1" s="1"/>
  <c r="M38" i="1" s="1"/>
  <c r="L39" i="1"/>
  <c r="K39" i="1"/>
  <c r="G39" i="1"/>
  <c r="I39" i="1" s="1"/>
  <c r="M39" i="1" s="1"/>
  <c r="L40" i="1"/>
  <c r="K40" i="1"/>
  <c r="G40" i="1"/>
  <c r="I40" i="1" s="1"/>
  <c r="M40" i="1" s="1"/>
  <c r="L44" i="1"/>
  <c r="K44" i="1"/>
  <c r="G44" i="1"/>
  <c r="L45" i="1"/>
  <c r="K45" i="1"/>
  <c r="G45" i="1"/>
  <c r="L46" i="1"/>
  <c r="K46" i="1"/>
  <c r="G46" i="1"/>
  <c r="M48" i="1"/>
  <c r="M49" i="1"/>
  <c r="M50" i="1"/>
  <c r="M51" i="1"/>
  <c r="M52" i="1"/>
  <c r="M53" i="1"/>
  <c r="M54" i="1"/>
  <c r="M55" i="1"/>
  <c r="M56" i="1"/>
  <c r="M57" i="1"/>
  <c r="M58" i="1"/>
  <c r="M59" i="1"/>
  <c r="I61" i="1"/>
  <c r="L178" i="1"/>
  <c r="K178" i="1"/>
  <c r="G178" i="1"/>
  <c r="I178" i="1" s="1"/>
  <c r="D178" i="1"/>
  <c r="M61" i="1"/>
  <c r="M62" i="1"/>
  <c r="M67" i="1"/>
  <c r="I67" i="1"/>
  <c r="M68" i="1"/>
  <c r="I68" i="1"/>
  <c r="M69" i="1"/>
  <c r="I69" i="1"/>
  <c r="M70" i="1"/>
  <c r="I70" i="1"/>
  <c r="M71" i="1"/>
  <c r="I71" i="1"/>
  <c r="M72" i="1"/>
  <c r="I72" i="1"/>
  <c r="M73" i="1"/>
  <c r="M74" i="1"/>
  <c r="I74" i="1"/>
  <c r="M76" i="1"/>
  <c r="I76" i="1"/>
  <c r="L195" i="1"/>
  <c r="K195" i="1"/>
  <c r="G195" i="1"/>
  <c r="I195" i="1" s="1"/>
  <c r="D195" i="1"/>
  <c r="I79" i="1"/>
  <c r="M79" i="1"/>
  <c r="M80" i="1"/>
  <c r="I80" i="1"/>
  <c r="M81" i="1"/>
  <c r="M82" i="1"/>
  <c r="I82" i="1"/>
  <c r="M83" i="1"/>
  <c r="I83" i="1"/>
  <c r="M88" i="1"/>
  <c r="I88" i="1"/>
  <c r="M89" i="1"/>
  <c r="I89" i="1"/>
  <c r="M90" i="1"/>
  <c r="I90" i="1"/>
  <c r="M91" i="1"/>
  <c r="I91" i="1"/>
  <c r="M92" i="1"/>
  <c r="M93" i="1"/>
  <c r="I93" i="1"/>
  <c r="M94" i="1"/>
  <c r="I96" i="1"/>
  <c r="M96" i="1"/>
  <c r="M97" i="1"/>
  <c r="I97" i="1"/>
  <c r="M98" i="1"/>
  <c r="I98" i="1"/>
  <c r="M99" i="1"/>
  <c r="I99" i="1"/>
  <c r="M104" i="1"/>
  <c r="M105" i="1"/>
  <c r="M106" i="1"/>
  <c r="M107" i="1"/>
  <c r="M108" i="1"/>
  <c r="M109" i="1"/>
  <c r="M110" i="1"/>
  <c r="M115" i="1"/>
  <c r="M116" i="1"/>
  <c r="M117" i="1"/>
  <c r="M118" i="1"/>
  <c r="M119" i="1"/>
  <c r="M120" i="1"/>
  <c r="M121" i="1"/>
  <c r="M126" i="1"/>
  <c r="M127" i="1"/>
  <c r="M128" i="1"/>
  <c r="M129" i="1"/>
  <c r="M130" i="1"/>
  <c r="M131" i="1"/>
  <c r="M132" i="1"/>
  <c r="I137" i="1"/>
  <c r="M137" i="1"/>
  <c r="I138" i="1"/>
  <c r="M138" i="1"/>
  <c r="I139" i="1"/>
  <c r="M139" i="1"/>
  <c r="L140" i="1"/>
  <c r="K140" i="1"/>
  <c r="G140" i="1"/>
  <c r="I140" i="1" s="1"/>
  <c r="I141" i="1"/>
  <c r="M141" i="1"/>
  <c r="I142" i="1"/>
  <c r="M142" i="1"/>
  <c r="I143" i="1"/>
  <c r="M143" i="1"/>
  <c r="I144" i="1"/>
  <c r="M144" i="1"/>
  <c r="I145" i="1"/>
  <c r="M145" i="1"/>
  <c r="I146" i="1"/>
  <c r="M146" i="1"/>
  <c r="I147" i="1"/>
  <c r="M147" i="1"/>
  <c r="I148" i="1"/>
  <c r="M148" i="1"/>
  <c r="I149" i="1"/>
  <c r="M149" i="1"/>
  <c r="I150" i="1"/>
  <c r="M150" i="1"/>
  <c r="I155" i="1"/>
  <c r="M155" i="1"/>
  <c r="I156" i="1"/>
  <c r="M156" i="1"/>
  <c r="I157" i="1"/>
  <c r="M157" i="1"/>
  <c r="L158" i="1"/>
  <c r="K158" i="1"/>
  <c r="G158" i="1"/>
  <c r="I158" i="1" s="1"/>
  <c r="I159" i="1"/>
  <c r="M159" i="1"/>
  <c r="I160" i="1"/>
  <c r="M160" i="1"/>
  <c r="I161" i="1"/>
  <c r="M161" i="1"/>
  <c r="I162" i="1"/>
  <c r="M162" i="1"/>
  <c r="I163" i="1"/>
  <c r="M163" i="1"/>
  <c r="I164" i="1"/>
  <c r="M164" i="1"/>
  <c r="I165" i="1"/>
  <c r="M165" i="1"/>
  <c r="I166" i="1"/>
  <c r="M166" i="1"/>
  <c r="I167" i="1"/>
  <c r="M167" i="1"/>
  <c r="I168" i="1"/>
  <c r="M168" i="1"/>
  <c r="I169" i="1"/>
  <c r="M169" i="1"/>
  <c r="I170" i="1"/>
  <c r="M170" i="1"/>
  <c r="I175" i="1"/>
  <c r="M175" i="1"/>
  <c r="I176" i="1"/>
  <c r="M176" i="1"/>
  <c r="I177" i="1"/>
  <c r="M177" i="1"/>
  <c r="I179" i="1"/>
  <c r="M179" i="1"/>
  <c r="I180" i="1"/>
  <c r="M180" i="1"/>
  <c r="I181" i="1"/>
  <c r="M181" i="1"/>
  <c r="I182" i="1"/>
  <c r="M182" i="1"/>
  <c r="I183" i="1"/>
  <c r="M183" i="1"/>
  <c r="I184" i="1"/>
  <c r="M184" i="1"/>
  <c r="I185" i="1"/>
  <c r="M185" i="1"/>
  <c r="I186" i="1"/>
  <c r="M186" i="1"/>
  <c r="I187" i="1"/>
  <c r="M187" i="1"/>
  <c r="I192" i="1"/>
  <c r="M192" i="1"/>
  <c r="I193" i="1"/>
  <c r="M193" i="1"/>
  <c r="I194" i="1"/>
  <c r="M194" i="1"/>
  <c r="I196" i="1"/>
  <c r="M196" i="1"/>
  <c r="I197" i="1"/>
  <c r="M197" i="1"/>
  <c r="I198" i="1"/>
  <c r="M198" i="1"/>
  <c r="I199" i="1"/>
  <c r="M199" i="1"/>
  <c r="I200" i="1"/>
  <c r="M200" i="1"/>
  <c r="I201" i="1"/>
  <c r="M201" i="1"/>
  <c r="I202" i="1"/>
  <c r="M202" i="1"/>
  <c r="I203" i="1"/>
  <c r="M203" i="1"/>
  <c r="I204" i="1"/>
  <c r="M204" i="1"/>
  <c r="I205" i="1"/>
  <c r="M205" i="1"/>
  <c r="I210" i="1"/>
  <c r="M210" i="1"/>
  <c r="I211" i="1"/>
  <c r="M211" i="1"/>
  <c r="I212" i="1"/>
  <c r="M212" i="1"/>
  <c r="L213" i="1"/>
  <c r="K213" i="1"/>
  <c r="G213" i="1"/>
  <c r="I213" i="1" s="1"/>
  <c r="I214" i="1"/>
  <c r="M214" i="1"/>
  <c r="I215" i="1"/>
  <c r="M215" i="1"/>
  <c r="I216" i="1"/>
  <c r="M216" i="1"/>
  <c r="I217" i="1"/>
  <c r="M217" i="1"/>
  <c r="I218" i="1"/>
  <c r="M218" i="1"/>
  <c r="I219" i="1"/>
  <c r="M219" i="1"/>
  <c r="I220" i="1"/>
  <c r="M220" i="1"/>
  <c r="I221" i="1"/>
  <c r="M221" i="1"/>
  <c r="I222" i="1"/>
  <c r="M222" i="1"/>
  <c r="I223" i="1"/>
  <c r="M223" i="1"/>
  <c r="I224" i="1"/>
  <c r="M224" i="1"/>
  <c r="I225" i="1"/>
  <c r="M225" i="1"/>
  <c r="I230" i="1"/>
  <c r="M230" i="1"/>
  <c r="I231" i="1"/>
  <c r="M231" i="1"/>
  <c r="I232" i="1"/>
  <c r="M232" i="1"/>
  <c r="L233" i="1"/>
  <c r="K233" i="1"/>
  <c r="G233" i="1"/>
  <c r="I233" i="1" s="1"/>
  <c r="I234" i="1"/>
  <c r="M234" i="1"/>
  <c r="I235" i="1"/>
  <c r="M235" i="1"/>
  <c r="I236" i="1"/>
  <c r="M236" i="1"/>
  <c r="I237" i="1"/>
  <c r="M237" i="1"/>
  <c r="I238" i="1"/>
  <c r="M238" i="1"/>
  <c r="I239" i="1"/>
  <c r="M239" i="1"/>
  <c r="I240" i="1"/>
  <c r="M240" i="1"/>
  <c r="I241" i="1"/>
  <c r="M241" i="1"/>
  <c r="I242" i="1"/>
  <c r="M242" i="1"/>
  <c r="I243" i="1"/>
  <c r="M243" i="1"/>
  <c r="I244" i="1"/>
  <c r="M244" i="1"/>
  <c r="I245" i="1"/>
  <c r="M245" i="1"/>
  <c r="I246" i="1"/>
  <c r="M246" i="1"/>
  <c r="I247" i="1"/>
  <c r="M247" i="1"/>
  <c r="L253" i="1"/>
  <c r="K253" i="1"/>
  <c r="G253" i="1"/>
  <c r="L259" i="1"/>
  <c r="K259" i="1"/>
  <c r="G259" i="1"/>
  <c r="E263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6" i="1"/>
  <c r="M297" i="1"/>
  <c r="M298" i="1"/>
  <c r="M299" i="1"/>
  <c r="M300" i="1"/>
  <c r="M301" i="1"/>
  <c r="M307" i="1"/>
  <c r="L307" i="1"/>
  <c r="M308" i="1"/>
  <c r="L308" i="1"/>
  <c r="M309" i="1"/>
  <c r="L309" i="1"/>
  <c r="M310" i="1"/>
  <c r="L310" i="1"/>
  <c r="M311" i="1"/>
  <c r="L311" i="1"/>
  <c r="M312" i="1"/>
  <c r="L312" i="1"/>
  <c r="M313" i="1"/>
  <c r="L313" i="1"/>
  <c r="M314" i="1"/>
  <c r="L314" i="1"/>
  <c r="M315" i="1"/>
  <c r="L315" i="1"/>
  <c r="M316" i="1"/>
  <c r="L316" i="1"/>
  <c r="M317" i="1"/>
  <c r="L317" i="1"/>
  <c r="M318" i="1"/>
  <c r="L318" i="1"/>
  <c r="M319" i="1"/>
  <c r="L319" i="1"/>
  <c r="M320" i="1"/>
  <c r="L320" i="1"/>
  <c r="M321" i="1"/>
  <c r="L321" i="1"/>
  <c r="M322" i="1"/>
  <c r="L322" i="1"/>
  <c r="M323" i="1"/>
  <c r="L323" i="1"/>
  <c r="M324" i="1"/>
  <c r="L324" i="1"/>
  <c r="M325" i="1"/>
  <c r="L325" i="1"/>
  <c r="M326" i="1"/>
  <c r="L326" i="1"/>
  <c r="M327" i="1"/>
  <c r="L327" i="1"/>
  <c r="M328" i="1"/>
  <c r="L328" i="1"/>
  <c r="M329" i="1"/>
  <c r="L329" i="1"/>
  <c r="M330" i="1"/>
  <c r="L330" i="1"/>
  <c r="M331" i="1" l="1"/>
  <c r="L2" i="1" s="1"/>
  <c r="M302" i="1"/>
  <c r="M293" i="1"/>
  <c r="L263" i="1"/>
  <c r="K263" i="1"/>
  <c r="G263" i="1"/>
  <c r="I263" i="1" s="1"/>
  <c r="I264" i="1" s="1"/>
  <c r="D263" i="1"/>
  <c r="M233" i="1"/>
  <c r="M213" i="1"/>
  <c r="M158" i="1"/>
  <c r="M140" i="1"/>
  <c r="M195" i="1"/>
  <c r="M178" i="1"/>
  <c r="I41" i="1"/>
  <c r="M36" i="1"/>
  <c r="M41" i="1" s="1"/>
  <c r="M32" i="1"/>
  <c r="M31" i="1"/>
  <c r="M30" i="1"/>
  <c r="I33" i="1"/>
  <c r="M29" i="1"/>
  <c r="M33" i="1" s="1"/>
  <c r="B259" i="1"/>
  <c r="B253" i="1"/>
  <c r="C253" i="1" s="1"/>
  <c r="B252" i="1"/>
  <c r="C252" i="1" s="1"/>
  <c r="B251" i="1"/>
  <c r="C251" i="1" s="1"/>
  <c r="F87" i="1"/>
  <c r="I87" i="1" s="1"/>
  <c r="B77" i="1"/>
  <c r="C77" i="1" s="1"/>
  <c r="I77" i="1" s="1"/>
  <c r="M77" i="1" s="1"/>
  <c r="F66" i="1"/>
  <c r="I66" i="1" s="1"/>
  <c r="F47" i="1"/>
  <c r="I47" i="1" s="1"/>
  <c r="M47" i="1" s="1"/>
  <c r="N7" i="1" a="1"/>
  <c r="N7" i="1" s="1"/>
  <c r="N13" i="1" s="1"/>
  <c r="F95" i="1"/>
  <c r="I95" i="1" s="1"/>
  <c r="M95" i="1" s="1"/>
  <c r="F78" i="1"/>
  <c r="I78" i="1" s="1"/>
  <c r="M78" i="1" s="1"/>
  <c r="F60" i="1"/>
  <c r="I60" i="1" s="1"/>
  <c r="M60" i="1" s="1"/>
  <c r="I44" i="1"/>
  <c r="I45" i="1"/>
  <c r="M45" i="1" s="1"/>
  <c r="I46" i="1"/>
  <c r="M46" i="1" s="1"/>
  <c r="L75" i="1"/>
  <c r="K75" i="1"/>
  <c r="M75" i="1" s="1"/>
  <c r="G75" i="1"/>
  <c r="I75" i="1" s="1"/>
  <c r="D75" i="1"/>
  <c r="L103" i="1"/>
  <c r="K103" i="1"/>
  <c r="M103" i="1" s="1"/>
  <c r="M111" i="1" s="1"/>
  <c r="D103" i="1"/>
  <c r="L114" i="1"/>
  <c r="K114" i="1"/>
  <c r="M114" i="1" s="1"/>
  <c r="M122" i="1" s="1"/>
  <c r="D114" i="1"/>
  <c r="L125" i="1"/>
  <c r="K125" i="1"/>
  <c r="M125" i="1" s="1"/>
  <c r="M133" i="1" s="1"/>
  <c r="D125" i="1"/>
  <c r="L136" i="1"/>
  <c r="K136" i="1"/>
  <c r="G136" i="1"/>
  <c r="I136" i="1" s="1"/>
  <c r="I151" i="1" s="1"/>
  <c r="D136" i="1"/>
  <c r="L154" i="1"/>
  <c r="K154" i="1"/>
  <c r="G154" i="1"/>
  <c r="I154" i="1" s="1"/>
  <c r="I171" i="1" s="1"/>
  <c r="D154" i="1"/>
  <c r="L174" i="1"/>
  <c r="K174" i="1"/>
  <c r="G174" i="1"/>
  <c r="I174" i="1" s="1"/>
  <c r="I188" i="1" s="1"/>
  <c r="D174" i="1"/>
  <c r="L191" i="1"/>
  <c r="K191" i="1"/>
  <c r="G191" i="1"/>
  <c r="I191" i="1" s="1"/>
  <c r="I206" i="1" s="1"/>
  <c r="D191" i="1"/>
  <c r="L209" i="1"/>
  <c r="K209" i="1"/>
  <c r="G209" i="1"/>
  <c r="I209" i="1" s="1"/>
  <c r="I226" i="1" s="1"/>
  <c r="D209" i="1"/>
  <c r="L229" i="1"/>
  <c r="K229" i="1"/>
  <c r="G229" i="1"/>
  <c r="I229" i="1" s="1"/>
  <c r="I248" i="1" s="1"/>
  <c r="D229" i="1"/>
  <c r="M229" i="1" l="1"/>
  <c r="M248" i="1" s="1"/>
  <c r="M209" i="1"/>
  <c r="M226" i="1" s="1"/>
  <c r="M191" i="1"/>
  <c r="M206" i="1" s="1"/>
  <c r="M174" i="1"/>
  <c r="M188" i="1" s="1"/>
  <c r="M154" i="1"/>
  <c r="M171" i="1" s="1"/>
  <c r="M136" i="1"/>
  <c r="M151" i="1" s="1"/>
  <c r="I63" i="1"/>
  <c r="M44" i="1"/>
  <c r="M63" i="1" s="1"/>
  <c r="I84" i="1"/>
  <c r="M66" i="1"/>
  <c r="M84" i="1" s="1"/>
  <c r="I100" i="1"/>
  <c r="M87" i="1"/>
  <c r="M100" i="1" s="1"/>
  <c r="I251" i="1"/>
  <c r="M251" i="1"/>
  <c r="I252" i="1"/>
  <c r="M252" i="1"/>
  <c r="I253" i="1"/>
  <c r="M253" i="1"/>
  <c r="C259" i="1"/>
  <c r="B258" i="1"/>
  <c r="C258" i="1" s="1"/>
  <c r="B257" i="1"/>
  <c r="C257" i="1" s="1"/>
  <c r="M263" i="1"/>
  <c r="M264" i="1" s="1"/>
  <c r="I257" i="1" l="1"/>
  <c r="M257" i="1"/>
  <c r="I258" i="1"/>
  <c r="M258" i="1"/>
  <c r="I259" i="1"/>
  <c r="M259" i="1"/>
  <c r="M254" i="1"/>
  <c r="I254" i="1"/>
  <c r="M260" i="1" l="1"/>
  <c r="L1" i="1" s="1"/>
  <c r="L3" i="1" s="1"/>
  <c r="I260" i="1"/>
  <c r="N1" i="1" s="1"/>
  <c r="Q3" i="1" l="1"/>
  <c r="N3" i="1"/>
  <c r="Q2" i="1"/>
  <c r="S2" i="1" l="1"/>
  <c r="R2" i="1"/>
  <c r="Q4" i="1"/>
  <c r="S3" i="1"/>
  <c r="R3" i="1"/>
  <c r="S4" i="1" l="1"/>
  <c r="R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Noto Caroline</author>
  </authors>
  <commentList>
    <comment ref="F19" authorId="0" shapeId="0" xr:uid="{23AE6E68-D2A8-4BBA-BA9A-9DEF7467E9DA}">
      <text>
        <r>
          <rPr>
            <b/>
            <sz val="9"/>
            <color indexed="81"/>
            <rFont val="Tahoma"/>
            <family val="2"/>
          </rPr>
          <t>Noto Caroline:</t>
        </r>
        <r>
          <rPr>
            <sz val="9"/>
            <color indexed="81"/>
            <rFont val="Tahoma"/>
            <family val="2"/>
          </rPr>
          <t xml:space="preserve">
les valeurs par défaut sont "non" si non rempli
</t>
        </r>
      </text>
    </comment>
    <comment ref="F21" authorId="0" shapeId="0" xr:uid="{9A681A22-EDD6-4F2F-8D92-9F34A4B1CF5F}">
      <text>
        <r>
          <rPr>
            <b/>
            <sz val="9"/>
            <color indexed="81"/>
            <rFont val="Tahoma"/>
            <family val="2"/>
          </rPr>
          <t>Noto Caroline:</t>
        </r>
        <r>
          <rPr>
            <sz val="9"/>
            <color indexed="81"/>
            <rFont val="Tahoma"/>
            <family val="2"/>
          </rPr>
          <t xml:space="preserve">
les valeurs par défaut sont "non" si non rempli
</t>
        </r>
      </text>
    </comment>
    <comment ref="F23" authorId="0" shapeId="0" xr:uid="{4E64D9E1-95A2-412B-A426-50D3838DF928}">
      <text>
        <r>
          <rPr>
            <b/>
            <sz val="9"/>
            <color indexed="81"/>
            <rFont val="Tahoma"/>
            <family val="2"/>
          </rPr>
          <t>Noto Caroline:</t>
        </r>
        <r>
          <rPr>
            <sz val="9"/>
            <color indexed="81"/>
            <rFont val="Tahoma"/>
            <family val="2"/>
          </rPr>
          <t xml:space="preserve">
les valeurs par défaut sont "non" si non rempli
</t>
        </r>
      </text>
    </comment>
  </commentList>
</comments>
</file>

<file path=xl/sharedStrings.xml><?xml version="1.0" encoding="utf-8"?>
<sst xmlns="http://schemas.openxmlformats.org/spreadsheetml/2006/main" count="787" uniqueCount="182">
  <si>
    <t>Formulaire de commande de portes - Classique - arrière</t>
  </si>
  <si>
    <t>Coût Matière</t>
  </si>
  <si>
    <t>Poids total</t>
  </si>
  <si>
    <t>Prix de vente BRUT</t>
  </si>
  <si>
    <t>Marge</t>
  </si>
  <si>
    <t>Unitairement</t>
  </si>
  <si>
    <t>Coût MOD</t>
  </si>
  <si>
    <t>SUI-CHF</t>
  </si>
  <si>
    <t>Date</t>
  </si>
  <si>
    <t>Références</t>
  </si>
  <si>
    <t>Coût TOTAL</t>
  </si>
  <si>
    <t>EXP-EUR</t>
  </si>
  <si>
    <t>Client</t>
  </si>
  <si>
    <t>Quantité</t>
  </si>
  <si>
    <t>EXP-CHF</t>
  </si>
  <si>
    <t>Hauteur cadre arrière</t>
  </si>
  <si>
    <t>Ht = (en mm)</t>
  </si>
  <si>
    <t>Segments</t>
  </si>
  <si>
    <t>numéro article à commander</t>
  </si>
  <si>
    <t>Largeur exterieure du véhicule</t>
  </si>
  <si>
    <t>BA = (en mm)</t>
  </si>
  <si>
    <t>Souhait de segments supplémentaires</t>
  </si>
  <si>
    <t>Entre Axe segments</t>
  </si>
  <si>
    <t>A= (en mm)</t>
  </si>
  <si>
    <t>Nb de segments supplémentaire</t>
  </si>
  <si>
    <t>Exprimé par porte</t>
  </si>
  <si>
    <t>Doit il être créé?</t>
  </si>
  <si>
    <t>Nombre de vantaux</t>
  </si>
  <si>
    <t>Exécution</t>
  </si>
  <si>
    <t>Sandwich</t>
  </si>
  <si>
    <t>Nombre de fermetures</t>
  </si>
  <si>
    <t>Revêtement</t>
  </si>
  <si>
    <t>Brut</t>
  </si>
  <si>
    <t>Etat</t>
  </si>
  <si>
    <t>Montée</t>
  </si>
  <si>
    <t>type de poches</t>
  </si>
  <si>
    <t>poches à souder</t>
  </si>
  <si>
    <t>Epaisseur des panneaux</t>
  </si>
  <si>
    <t>Linteau contact</t>
  </si>
  <si>
    <t>non</t>
  </si>
  <si>
    <t>Charnières</t>
  </si>
  <si>
    <t>Std</t>
  </si>
  <si>
    <t>Montage des joints</t>
  </si>
  <si>
    <t xml:space="preserve">oui </t>
  </si>
  <si>
    <t>Fermetures</t>
  </si>
  <si>
    <t>Encastrée - MRF</t>
  </si>
  <si>
    <t>Soudure de la porte</t>
  </si>
  <si>
    <t>Type de soudure</t>
  </si>
  <si>
    <t>Angles uniquement</t>
  </si>
  <si>
    <t>Qté</t>
  </si>
  <si>
    <r>
      <rPr>
        <b/>
        <sz val="11"/>
        <color theme="1"/>
        <rFont val="Calibri"/>
        <family val="2"/>
        <scheme val="minor"/>
      </rPr>
      <t>Qte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tot</t>
    </r>
  </si>
  <si>
    <t>Désignation</t>
  </si>
  <si>
    <t>N° article</t>
  </si>
  <si>
    <t>L</t>
  </si>
  <si>
    <t>Poids</t>
  </si>
  <si>
    <t>unité de poids</t>
  </si>
  <si>
    <t>Coût unitaire</t>
  </si>
  <si>
    <t>unité du coût</t>
  </si>
  <si>
    <t>coût total</t>
  </si>
  <si>
    <t>Bordure std</t>
  </si>
  <si>
    <t>kg/m</t>
  </si>
  <si>
    <t>kg</t>
  </si>
  <si>
    <t>Bordure    contact</t>
  </si>
  <si>
    <t>Base     snap lock</t>
  </si>
  <si>
    <t>5 432 319</t>
  </si>
  <si>
    <t>2 019 006</t>
  </si>
  <si>
    <t>kg/pce</t>
  </si>
  <si>
    <t>2 029 139</t>
  </si>
  <si>
    <t>2 019 233</t>
  </si>
  <si>
    <t>2 019 232</t>
  </si>
  <si>
    <t>2 015 106</t>
  </si>
  <si>
    <t>1 059 059.126</t>
  </si>
  <si>
    <t>2 219 501</t>
  </si>
  <si>
    <t>2 219 330</t>
  </si>
  <si>
    <t>2 219 530.101</t>
  </si>
  <si>
    <t>2 049 112</t>
  </si>
  <si>
    <t>2 049 109</t>
  </si>
  <si>
    <t>5 432 324</t>
  </si>
  <si>
    <t>2 019 286</t>
  </si>
  <si>
    <t>Base     sandwich</t>
  </si>
  <si>
    <t>Base     Kit</t>
  </si>
  <si>
    <t>Fermetures Boxer 2</t>
  </si>
  <si>
    <t>2 119 030</t>
  </si>
  <si>
    <t>2 019 699</t>
  </si>
  <si>
    <t>2 119 036</t>
  </si>
  <si>
    <t>2 019 234.1</t>
  </si>
  <si>
    <t>2 019 236.1</t>
  </si>
  <si>
    <t>1 059 059.122</t>
  </si>
  <si>
    <t>Fermetures Boxer 3</t>
  </si>
  <si>
    <t>2 119 040</t>
  </si>
  <si>
    <t>2 119 041</t>
  </si>
  <si>
    <t>2 019 336</t>
  </si>
  <si>
    <t>Fermetures Boxer 2 Inox</t>
  </si>
  <si>
    <t>2 119 080</t>
  </si>
  <si>
    <t>2 019 701</t>
  </si>
  <si>
    <t>2 119 086</t>
  </si>
  <si>
    <t>Fermetures encastrées 2 Fermetures - PL</t>
  </si>
  <si>
    <t>2 024 130</t>
  </si>
  <si>
    <t>2 024 132</t>
  </si>
  <si>
    <t>2 024 134</t>
  </si>
  <si>
    <t>2 024 135</t>
  </si>
  <si>
    <t>1 059 059.108</t>
  </si>
  <si>
    <t>2 029 409</t>
  </si>
  <si>
    <t>2 019 237</t>
  </si>
  <si>
    <t>2 029 410</t>
  </si>
  <si>
    <t>Fermetures encastrées 4 fermetures - PL</t>
  </si>
  <si>
    <t>2 024 131</t>
  </si>
  <si>
    <t>2 024 133</t>
  </si>
  <si>
    <t>Fermetures encastrées 2 Fermetures - MRF</t>
  </si>
  <si>
    <t>2 024 164</t>
  </si>
  <si>
    <t>2 024 172</t>
  </si>
  <si>
    <t>2 024 174</t>
  </si>
  <si>
    <t>2 024 153</t>
  </si>
  <si>
    <t>Fermetures encastrées 4 fermetures - MRF</t>
  </si>
  <si>
    <t>2 024 173</t>
  </si>
  <si>
    <t>Fermetures encastrées 2 Fermetures - FU</t>
  </si>
  <si>
    <t>2 024 110</t>
  </si>
  <si>
    <t>2 024 113</t>
  </si>
  <si>
    <t>2 029 401</t>
  </si>
  <si>
    <t>2 029 402</t>
  </si>
  <si>
    <t>2 029 408</t>
  </si>
  <si>
    <t>2 029 021</t>
  </si>
  <si>
    <t>Fermetures encastrées 4 fermetures - FU</t>
  </si>
  <si>
    <t>2 029 403</t>
  </si>
  <si>
    <t>2 029 020</t>
  </si>
  <si>
    <t>Segment Charnières simple</t>
  </si>
  <si>
    <t>2 049 113</t>
  </si>
  <si>
    <t>2 049 114</t>
  </si>
  <si>
    <t>Segment Charnières Harmonica</t>
  </si>
  <si>
    <t>2 049 213</t>
  </si>
  <si>
    <t>2 049 214</t>
  </si>
  <si>
    <t>Poches à visser</t>
  </si>
  <si>
    <t>2 119 066.2</t>
  </si>
  <si>
    <t>2 019 661.1</t>
  </si>
  <si>
    <t>2 119 202</t>
  </si>
  <si>
    <t>2 119 201</t>
  </si>
  <si>
    <t>2 019 691</t>
  </si>
  <si>
    <t>2 019 713</t>
  </si>
  <si>
    <t>2 110 001</t>
  </si>
  <si>
    <t>2 119 043</t>
  </si>
  <si>
    <t>2 119 044</t>
  </si>
  <si>
    <t>2 119 207</t>
  </si>
  <si>
    <t>2 119 208</t>
  </si>
  <si>
    <t>2 019 662</t>
  </si>
  <si>
    <t>2 019 711</t>
  </si>
  <si>
    <t>2 119 067</t>
  </si>
  <si>
    <t>2 019 712</t>
  </si>
  <si>
    <t>Poches à souder</t>
  </si>
  <si>
    <t>Activité</t>
  </si>
  <si>
    <t>Poste de travail</t>
  </si>
  <si>
    <t>Description</t>
  </si>
  <si>
    <t>Actif</t>
  </si>
  <si>
    <t>TMEO</t>
  </si>
  <si>
    <t>TMO</t>
  </si>
  <si>
    <t>TOTAL</t>
  </si>
  <si>
    <t>Sandwich - 2F ou 4 F / 2V ou 4V</t>
  </si>
  <si>
    <t>Scier</t>
  </si>
  <si>
    <t>Sciage alu porte</t>
  </si>
  <si>
    <t>2V</t>
  </si>
  <si>
    <t>4V</t>
  </si>
  <si>
    <t>Sciage alu profil de remplissage</t>
  </si>
  <si>
    <t>Percer</t>
  </si>
  <si>
    <t>Fraisage Elumatec</t>
  </si>
  <si>
    <t>2F</t>
  </si>
  <si>
    <t>4F - 4V</t>
  </si>
  <si>
    <t>4F-2V</t>
  </si>
  <si>
    <t>2F - si supp segment</t>
  </si>
  <si>
    <t>4F-4V - si supp segment</t>
  </si>
  <si>
    <t>4F-2V - si supp segment</t>
  </si>
  <si>
    <t>Scier*Percer</t>
  </si>
  <si>
    <t>Haas</t>
  </si>
  <si>
    <t>4F</t>
  </si>
  <si>
    <t>Debitage panneau</t>
  </si>
  <si>
    <t>Assembler</t>
  </si>
  <si>
    <t>Montage Portes</t>
  </si>
  <si>
    <t>2F - encastrée</t>
  </si>
  <si>
    <t>4F - encastrée</t>
  </si>
  <si>
    <t>4F-4V</t>
  </si>
  <si>
    <t>Joints - 4V</t>
  </si>
  <si>
    <t>Joints</t>
  </si>
  <si>
    <t>Souder coins</t>
  </si>
  <si>
    <t>Souder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</si>
</sst>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#,##0.00\ [$CHF-100C]"/>
    <numFmt numFmtId="165" formatCode="_-* #,##0.00\ _€_-;\-* #,##0.00\ _€_-;_-* &quot;-&quot;??\ _€_-;_-@_-"/>
    <numFmt numFmtId="166" formatCode="0.0%"/>
    <numFmt numFmtId="167" formatCode="0.0"/>
    <numFmt numFmtId="168" formatCode="0.000"/>
    <numFmt numFmtId="169" formatCode="#,##0.0\ [$CHF]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0.49998474074526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theme="4" tint="0.3999755851924192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5" fillId="0" borderId="0"/>
  </cellStyleXfs>
  <cellXfs count="153">
    <xf numFmtId="0" fontId="0" fillId="0" borderId="0" xfId="0"/>
    <xf numFmtId="0" fontId="3" fillId="0" borderId="0" xfId="0" applyFont="1"/>
    <xf numFmtId="0" fontId="5" fillId="0" borderId="0" xfId="0" applyFont="1"/>
    <xf numFmtId="164" fontId="5" fillId="2" borderId="0" xfId="0" applyNumberFormat="1" applyFont="1" applyFill="1"/>
    <xf numFmtId="164" fontId="5" fillId="0" borderId="0" xfId="0" applyNumberFormat="1" applyFont="1"/>
    <xf numFmtId="165" fontId="5" fillId="2" borderId="0" xfId="0" applyNumberFormat="1" applyFont="1" applyFill="1"/>
    <xf numFmtId="0" fontId="4" fillId="0" borderId="0" xfId="0" applyFont="1" applyProtection="1">
      <protection locked="0"/>
    </xf>
    <xf numFmtId="0" fontId="0" fillId="0" borderId="0" xfId="0" applyProtection="1">
      <protection locked="0"/>
    </xf>
    <xf numFmtId="43" fontId="5" fillId="2" borderId="0" xfId="1" applyFont="1" applyFill="1"/>
    <xf numFmtId="166" fontId="5" fillId="0" borderId="0" xfId="2" applyNumberFormat="1" applyFont="1" applyFill="1"/>
    <xf numFmtId="43" fontId="5" fillId="0" borderId="0" xfId="1" applyFont="1" applyFill="1"/>
    <xf numFmtId="0" fontId="0" fillId="3" borderId="0" xfId="0" applyFill="1" applyProtection="1">
      <protection locked="0"/>
    </xf>
    <xf numFmtId="164" fontId="5" fillId="2" borderId="1" xfId="0" applyNumberFormat="1" applyFont="1" applyFill="1" applyBorder="1"/>
    <xf numFmtId="0" fontId="0" fillId="2" borderId="0" xfId="0" applyFill="1" applyProtection="1">
      <protection locked="0"/>
    </xf>
    <xf numFmtId="164" fontId="3" fillId="0" borderId="0" xfId="0" applyNumberFormat="1" applyFont="1"/>
    <xf numFmtId="164" fontId="6" fillId="0" borderId="0" xfId="0" applyNumberFormat="1" applyFont="1"/>
    <xf numFmtId="164" fontId="7" fillId="0" borderId="0" xfId="0" applyNumberFormat="1" applyFont="1"/>
    <xf numFmtId="0" fontId="3" fillId="0" borderId="0" xfId="0" applyFont="1" applyProtection="1">
      <protection locked="0"/>
    </xf>
    <xf numFmtId="164" fontId="0" fillId="0" borderId="0" xfId="0" applyNumberFormat="1"/>
    <xf numFmtId="0" fontId="8" fillId="0" borderId="0" xfId="0" applyFont="1"/>
    <xf numFmtId="0" fontId="0" fillId="0" borderId="0" xfId="1" applyNumberFormat="1" applyFont="1"/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 wrapText="1"/>
    </xf>
    <xf numFmtId="0" fontId="0" fillId="0" borderId="11" xfId="0" applyBorder="1" applyAlignment="1">
      <alignment horizontal="center" vertical="center" textRotation="90"/>
    </xf>
    <xf numFmtId="0" fontId="0" fillId="0" borderId="12" xfId="0" applyBorder="1" applyAlignment="1">
      <alignment horizontal="center"/>
    </xf>
    <xf numFmtId="0" fontId="2" fillId="0" borderId="3" xfId="0" applyFont="1" applyBorder="1"/>
    <xf numFmtId="0" fontId="0" fillId="0" borderId="3" xfId="0" applyBorder="1" applyAlignment="1">
      <alignment horizontal="center"/>
    </xf>
    <xf numFmtId="0" fontId="12" fillId="4" borderId="3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0" fillId="4" borderId="4" xfId="0" applyFill="1" applyBorder="1"/>
    <xf numFmtId="0" fontId="0" fillId="0" borderId="3" xfId="0" applyBorder="1"/>
    <xf numFmtId="164" fontId="0" fillId="0" borderId="4" xfId="0" applyNumberFormat="1" applyBorder="1"/>
    <xf numFmtId="0" fontId="0" fillId="0" borderId="14" xfId="0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0" borderId="16" xfId="3" applyFont="1" applyBorder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167" fontId="0" fillId="5" borderId="0" xfId="0" applyNumberFormat="1" applyFill="1" applyAlignment="1">
      <alignment horizontal="center"/>
    </xf>
    <xf numFmtId="0" fontId="0" fillId="4" borderId="6" xfId="0" applyFill="1" applyBorder="1" applyAlignment="1">
      <alignment horizontal="center"/>
    </xf>
    <xf numFmtId="2" fontId="0" fillId="0" borderId="0" xfId="0" applyNumberFormat="1"/>
    <xf numFmtId="164" fontId="0" fillId="0" borderId="6" xfId="0" applyNumberFormat="1" applyBorder="1"/>
    <xf numFmtId="43" fontId="0" fillId="0" borderId="0" xfId="1" applyFont="1"/>
    <xf numFmtId="0" fontId="0" fillId="7" borderId="16" xfId="3" applyFont="1" applyFill="1" applyBorder="1"/>
    <xf numFmtId="0" fontId="0" fillId="0" borderId="18" xfId="0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0" borderId="8" xfId="0" applyBorder="1"/>
    <xf numFmtId="0" fontId="0" fillId="7" borderId="20" xfId="3" applyFont="1" applyFill="1" applyBorder="1"/>
    <xf numFmtId="0" fontId="0" fillId="0" borderId="8" xfId="0" applyBorder="1" applyAlignment="1">
      <alignment horizontal="center"/>
    </xf>
    <xf numFmtId="0" fontId="0" fillId="4" borderId="8" xfId="0" applyFill="1" applyBorder="1"/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2" fontId="0" fillId="0" borderId="8" xfId="0" applyNumberFormat="1" applyBorder="1"/>
    <xf numFmtId="0" fontId="0" fillId="0" borderId="0" xfId="3" applyFont="1"/>
    <xf numFmtId="43" fontId="0" fillId="0" borderId="1" xfId="1" applyFont="1" applyBorder="1" applyProtection="1"/>
    <xf numFmtId="164" fontId="0" fillId="0" borderId="1" xfId="0" applyNumberFormat="1" applyBorder="1"/>
    <xf numFmtId="43" fontId="0" fillId="0" borderId="0" xfId="1" applyFont="1" applyFill="1"/>
    <xf numFmtId="0" fontId="0" fillId="0" borderId="0" xfId="0" applyAlignment="1">
      <alignment horizontal="center" textRotation="90"/>
    </xf>
    <xf numFmtId="167" fontId="0" fillId="0" borderId="0" xfId="0" applyNumberFormat="1" applyAlignment="1">
      <alignment horizontal="center"/>
    </xf>
    <xf numFmtId="164" fontId="0" fillId="0" borderId="9" xfId="0" applyNumberFormat="1" applyBorder="1"/>
    <xf numFmtId="43" fontId="0" fillId="0" borderId="0" xfId="1" applyFont="1" applyBorder="1" applyProtection="1"/>
    <xf numFmtId="168" fontId="0" fillId="0" borderId="0" xfId="0" applyNumberFormat="1" applyAlignment="1">
      <alignment horizontal="center"/>
    </xf>
    <xf numFmtId="167" fontId="0" fillId="5" borderId="8" xfId="0" applyNumberFormat="1" applyFill="1" applyBorder="1" applyAlignment="1">
      <alignment horizontal="center"/>
    </xf>
    <xf numFmtId="0" fontId="0" fillId="7" borderId="25" xfId="3" applyFont="1" applyFill="1" applyBorder="1"/>
    <xf numFmtId="0" fontId="0" fillId="6" borderId="0" xfId="0" applyFill="1" applyAlignment="1">
      <alignment horizontal="center"/>
    </xf>
    <xf numFmtId="0" fontId="0" fillId="7" borderId="0" xfId="3" applyFont="1" applyFill="1"/>
    <xf numFmtId="0" fontId="0" fillId="7" borderId="27" xfId="3" applyFont="1" applyFill="1" applyBorder="1"/>
    <xf numFmtId="0" fontId="0" fillId="0" borderId="20" xfId="3" applyFont="1" applyBorder="1"/>
    <xf numFmtId="43" fontId="0" fillId="0" borderId="0" xfId="1" applyFont="1" applyFill="1" applyBorder="1" applyProtection="1"/>
    <xf numFmtId="43" fontId="0" fillId="0" borderId="0" xfId="1" applyFont="1" applyFill="1" applyBorder="1"/>
    <xf numFmtId="0" fontId="0" fillId="0" borderId="28" xfId="0" applyBorder="1" applyAlignment="1">
      <alignment horizontal="center" vertical="center" textRotation="90"/>
    </xf>
    <xf numFmtId="0" fontId="0" fillId="0" borderId="2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wrapText="1"/>
    </xf>
    <xf numFmtId="0" fontId="0" fillId="0" borderId="2" xfId="0" applyBorder="1" applyAlignment="1">
      <alignment horizontal="center"/>
    </xf>
    <xf numFmtId="43" fontId="0" fillId="0" borderId="3" xfId="1" applyFont="1" applyFill="1" applyBorder="1" applyProtection="1"/>
    <xf numFmtId="0" fontId="0" fillId="7" borderId="31" xfId="3" applyFont="1" applyFill="1" applyBorder="1"/>
    <xf numFmtId="43" fontId="0" fillId="0" borderId="32" xfId="1" applyFont="1" applyBorder="1" applyProtection="1"/>
    <xf numFmtId="164" fontId="0" fillId="0" borderId="32" xfId="0" applyNumberFormat="1" applyBorder="1"/>
    <xf numFmtId="3" fontId="0" fillId="7" borderId="16" xfId="3" applyNumberFormat="1" applyFont="1" applyFill="1" applyBorder="1"/>
    <xf numFmtId="0" fontId="5" fillId="0" borderId="3" xfId="0" applyFont="1" applyBorder="1" applyAlignment="1">
      <alignment horizontal="left"/>
    </xf>
    <xf numFmtId="0" fontId="0" fillId="8" borderId="0" xfId="0" applyFill="1"/>
    <xf numFmtId="0" fontId="0" fillId="9" borderId="0" xfId="0" applyFill="1"/>
    <xf numFmtId="0" fontId="0" fillId="11" borderId="0" xfId="0" applyFill="1"/>
    <xf numFmtId="0" fontId="0" fillId="10" borderId="0" xfId="0" applyFill="1"/>
    <xf numFmtId="0" fontId="0" fillId="10" borderId="8" xfId="0" applyFill="1" applyBorder="1"/>
    <xf numFmtId="0" fontId="0" fillId="0" borderId="8" xfId="3" applyFont="1" applyBorder="1"/>
    <xf numFmtId="0" fontId="0" fillId="0" borderId="25" xfId="3" applyFont="1" applyBorder="1"/>
    <xf numFmtId="0" fontId="0" fillId="0" borderId="27" xfId="3" applyFont="1" applyBorder="1"/>
    <xf numFmtId="0" fontId="0" fillId="12" borderId="0" xfId="0" applyFill="1"/>
    <xf numFmtId="164" fontId="0" fillId="12" borderId="0" xfId="0" applyNumberFormat="1" applyFill="1"/>
    <xf numFmtId="43" fontId="0" fillId="12" borderId="0" xfId="1" applyFont="1" applyFill="1"/>
    <xf numFmtId="0" fontId="0" fillId="11" borderId="3" xfId="0" applyFill="1" applyBorder="1"/>
    <xf numFmtId="169" fontId="0" fillId="0" borderId="0" xfId="0" applyNumberFormat="1"/>
    <xf numFmtId="0" fontId="0" fillId="0" borderId="0" xfId="0" applyAlignment="1">
      <alignment horizontal="left"/>
    </xf>
    <xf numFmtId="0" fontId="0" fillId="11" borderId="8" xfId="0" applyFill="1" applyBorder="1"/>
    <xf numFmtId="0" fontId="11" fillId="0" borderId="0" xfId="0" applyFont="1" applyAlignment="1">
      <alignment horizontal="center" vertical="center"/>
    </xf>
    <xf numFmtId="0" fontId="0" fillId="0" borderId="2" xfId="0" applyBorder="1" applyAlignment="1">
      <alignment horizontal="center" textRotation="90"/>
    </xf>
    <xf numFmtId="0" fontId="0" fillId="0" borderId="5" xfId="0" applyBorder="1" applyAlignment="1">
      <alignment horizontal="center" textRotation="90"/>
    </xf>
    <xf numFmtId="0" fontId="0" fillId="0" borderId="7" xfId="0" applyBorder="1" applyAlignment="1">
      <alignment horizontal="center" textRotation="90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0" xfId="0" applyBorder="1" applyAlignment="1">
      <alignment horizontal="center" textRotation="90" wrapText="1"/>
    </xf>
    <xf numFmtId="0" fontId="0" fillId="0" borderId="24" xfId="0" applyBorder="1" applyAlignment="1">
      <alignment horizontal="center" textRotation="90" wrapText="1"/>
    </xf>
    <xf numFmtId="0" fontId="0" fillId="0" borderId="10" xfId="0" applyBorder="1" applyAlignment="1">
      <alignment horizontal="center" textRotation="90"/>
    </xf>
    <xf numFmtId="0" fontId="0" fillId="0" borderId="13" xfId="0" applyBorder="1" applyAlignment="1">
      <alignment horizontal="center" textRotation="90"/>
    </xf>
    <xf numFmtId="0" fontId="0" fillId="0" borderId="24" xfId="0" applyBorder="1" applyAlignment="1">
      <alignment horizontal="center" textRotation="90"/>
    </xf>
    <xf numFmtId="0" fontId="0" fillId="0" borderId="17" xfId="0" applyBorder="1" applyAlignment="1">
      <alignment horizontal="center" textRotation="90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0" borderId="13" xfId="0" applyBorder="1" applyAlignment="1">
      <alignment horizontal="center" textRotation="90" wrapText="1"/>
    </xf>
    <xf numFmtId="0" fontId="0" fillId="11" borderId="21" xfId="0" applyFill="1" applyBorder="1" applyAlignment="1">
      <alignment horizontal="center"/>
    </xf>
    <xf numFmtId="0" fontId="0" fillId="11" borderId="22" xfId="0" applyFill="1" applyBorder="1" applyAlignment="1">
      <alignment horizontal="center"/>
    </xf>
    <xf numFmtId="0" fontId="0" fillId="11" borderId="23" xfId="0" applyFill="1" applyBorder="1" applyAlignment="1">
      <alignment horizontal="center"/>
    </xf>
    <xf numFmtId="0" fontId="0" fillId="10" borderId="10" xfId="0" applyFill="1" applyBorder="1" applyAlignment="1">
      <alignment horizontal="center" textRotation="90"/>
    </xf>
    <xf numFmtId="0" fontId="0" fillId="10" borderId="13" xfId="0" applyFill="1" applyBorder="1" applyAlignment="1">
      <alignment horizontal="center" textRotation="90"/>
    </xf>
    <xf numFmtId="0" fontId="0" fillId="10" borderId="24" xfId="0" applyFill="1" applyBorder="1" applyAlignment="1">
      <alignment horizontal="center" textRotation="90"/>
    </xf>
    <xf numFmtId="0" fontId="0" fillId="10" borderId="21" xfId="0" applyFill="1" applyBorder="1" applyAlignment="1">
      <alignment horizontal="center"/>
    </xf>
    <xf numFmtId="0" fontId="0" fillId="10" borderId="22" xfId="0" applyFill="1" applyBorder="1" applyAlignment="1">
      <alignment horizontal="center"/>
    </xf>
    <xf numFmtId="0" fontId="0" fillId="10" borderId="23" xfId="0" applyFill="1" applyBorder="1" applyAlignment="1">
      <alignment horizontal="center"/>
    </xf>
    <xf numFmtId="0" fontId="0" fillId="8" borderId="28" xfId="0" applyFill="1" applyBorder="1" applyAlignment="1">
      <alignment horizontal="center" textRotation="90"/>
    </xf>
    <xf numFmtId="0" fontId="0" fillId="8" borderId="29" xfId="0" applyFill="1" applyBorder="1" applyAlignment="1">
      <alignment horizontal="center" textRotation="90"/>
    </xf>
    <xf numFmtId="0" fontId="0" fillId="8" borderId="30" xfId="0" applyFill="1" applyBorder="1" applyAlignment="1">
      <alignment horizontal="center" textRotation="90"/>
    </xf>
    <xf numFmtId="0" fontId="0" fillId="8" borderId="21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0" fillId="8" borderId="23" xfId="0" applyFill="1" applyBorder="1" applyAlignment="1">
      <alignment horizontal="center"/>
    </xf>
    <xf numFmtId="0" fontId="0" fillId="9" borderId="2" xfId="0" applyFill="1" applyBorder="1" applyAlignment="1">
      <alignment horizontal="center" textRotation="90"/>
    </xf>
    <xf numFmtId="0" fontId="0" fillId="9" borderId="5" xfId="0" applyFill="1" applyBorder="1" applyAlignment="1">
      <alignment horizontal="center" textRotation="90"/>
    </xf>
    <xf numFmtId="0" fontId="0" fillId="9" borderId="7" xfId="0" applyFill="1" applyBorder="1" applyAlignment="1">
      <alignment horizontal="center" textRotation="90"/>
    </xf>
    <xf numFmtId="0" fontId="0" fillId="9" borderId="21" xfId="0" applyFill="1" applyBorder="1" applyAlignment="1">
      <alignment horizontal="center"/>
    </xf>
    <xf numFmtId="0" fontId="0" fillId="9" borderId="22" xfId="0" applyFill="1" applyBorder="1" applyAlignment="1">
      <alignment horizontal="center"/>
    </xf>
    <xf numFmtId="0" fontId="0" fillId="9" borderId="23" xfId="0" applyFill="1" applyBorder="1" applyAlignment="1">
      <alignment horizontal="center"/>
    </xf>
    <xf numFmtId="0" fontId="0" fillId="0" borderId="26" xfId="0" applyBorder="1" applyAlignment="1">
      <alignment horizontal="center" textRotation="90"/>
    </xf>
    <xf numFmtId="0" fontId="4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0" fillId="4" borderId="0" xfId="0" applyFill="1" applyAlignment="1">
      <alignment horizontal="left"/>
    </xf>
  </cellXfs>
  <cellStyles count="5">
    <cellStyle name="Milliers" xfId="1" builtinId="3"/>
    <cellStyle name="Normal" xfId="0" builtinId="0"/>
    <cellStyle name="Normal 2" xfId="3" xr:uid="{829AC2DC-06DE-42F3-B3EE-8FC3417BBB16}"/>
    <cellStyle name="Normal 3" xfId="4" xr:uid="{85DEC854-7D7F-4EDC-A5B5-82A300E7632B}"/>
    <cellStyle name="Pourcentage" xfId="2" builtinId="5"/>
  </cellStyles>
  <dxfs count="2">
    <dxf>
      <fill>
        <patternFill>
          <fgColor theme="0" tint="-0.34998626667073579"/>
          <bgColor theme="0" tint="-0.24994659260841701"/>
        </patternFill>
      </fill>
    </dxf>
    <dxf>
      <font>
        <color theme="0"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D$9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4</xdr:row>
      <xdr:rowOff>19050</xdr:rowOff>
    </xdr:from>
    <xdr:to>
      <xdr:col>11</xdr:col>
      <xdr:colOff>9525</xdr:colOff>
      <xdr:row>11</xdr:row>
      <xdr:rowOff>9525</xdr:rowOff>
    </xdr:to>
    <xdr:sp macro="[2]!Macro1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249150" y="1133475"/>
          <a:ext cx="1600200" cy="1476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200"/>
            <a:t>Contrôle</a:t>
          </a:r>
          <a:r>
            <a:rPr lang="fr-CH" sz="1200" baseline="0"/>
            <a:t> de cohérence</a:t>
          </a:r>
          <a:endParaRPr lang="fr-CH" sz="1200"/>
        </a:p>
      </xdr:txBody>
    </xdr:sp>
    <xdr:clientData/>
  </xdr:twoCellAnchor>
  <xdr:twoCellAnchor>
    <xdr:from>
      <xdr:col>9</xdr:col>
      <xdr:colOff>19050</xdr:colOff>
      <xdr:row>12</xdr:row>
      <xdr:rowOff>0</xdr:rowOff>
    </xdr:from>
    <xdr:to>
      <xdr:col>11</xdr:col>
      <xdr:colOff>0</xdr:colOff>
      <xdr:row>14</xdr:row>
      <xdr:rowOff>180975</xdr:rowOff>
    </xdr:to>
    <xdr:sp macro="[2]!Macro2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2258675" y="2790825"/>
          <a:ext cx="1581150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Remise à 0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7</xdr:row>
          <xdr:rowOff>180975</xdr:rowOff>
        </xdr:from>
        <xdr:to>
          <xdr:col>2</xdr:col>
          <xdr:colOff>571500</xdr:colOff>
          <xdr:row>8</xdr:row>
          <xdr:rowOff>152400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AB_Enregistrements\04_Finances\2_Controle%20Gestion\Article\Mini%20kit\Masque%20de%20saisie%20Mini%20Kit%201%20V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AA_Documents\07_Marketing-Vente\3_Commande\Portes\portes-Classique%20-%20arriereV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izona"/>
      <sheetName val="feuille coupe"/>
      <sheetName val="formulaire"/>
      <sheetName val="DATA Brute"/>
      <sheetName val="NE PAS TOUCHER"/>
      <sheetName val="Dont touch"/>
    </sheetNames>
    <sheetDataSet>
      <sheetData sheetId="0"/>
      <sheetData sheetId="1"/>
      <sheetData sheetId="2"/>
      <sheetData sheetId="3"/>
      <sheetData sheetId="4">
        <row r="1">
          <cell r="E1" t="str">
            <v>Rien</v>
          </cell>
          <cell r="H1">
            <v>300</v>
          </cell>
          <cell r="K1" t="str">
            <v>50/25</v>
          </cell>
          <cell r="M1">
            <v>1</v>
          </cell>
        </row>
        <row r="2">
          <cell r="E2" t="str">
            <v>Standard PWP</v>
          </cell>
          <cell r="H2" t="str">
            <v>300 TIR</v>
          </cell>
          <cell r="K2" t="str">
            <v>25/25</v>
          </cell>
          <cell r="M2">
            <v>2</v>
          </cell>
        </row>
        <row r="3">
          <cell r="E3" t="str">
            <v>Perche</v>
          </cell>
          <cell r="H3">
            <v>400</v>
          </cell>
          <cell r="M3">
            <v>3</v>
          </cell>
        </row>
        <row r="4">
          <cell r="E4" t="str">
            <v>Montant Avant</v>
          </cell>
          <cell r="H4" t="str">
            <v>400 TIR</v>
          </cell>
          <cell r="M4">
            <v>4</v>
          </cell>
        </row>
        <row r="5">
          <cell r="E5" t="str">
            <v>Freymond- coins</v>
          </cell>
        </row>
        <row r="6">
          <cell r="O6" t="str">
            <v>Citroën</v>
          </cell>
        </row>
        <row r="7">
          <cell r="E7" t="str">
            <v>Rien</v>
          </cell>
          <cell r="H7" t="str">
            <v>Acier</v>
          </cell>
          <cell r="O7" t="str">
            <v>Fiat</v>
          </cell>
        </row>
        <row r="8">
          <cell r="E8" t="str">
            <v>Standard PWP</v>
          </cell>
          <cell r="H8" t="str">
            <v>Alu</v>
          </cell>
          <cell r="O8" t="str">
            <v>Ford</v>
          </cell>
        </row>
        <row r="9">
          <cell r="E9" t="str">
            <v>Perche</v>
          </cell>
          <cell r="H9" t="str">
            <v>Freymond</v>
          </cell>
          <cell r="O9" t="str">
            <v>Hyundai</v>
          </cell>
        </row>
        <row r="10">
          <cell r="E10" t="str">
            <v>Montant Arrière ridelle</v>
          </cell>
          <cell r="O10" t="str">
            <v>Iveco</v>
          </cell>
        </row>
        <row r="11">
          <cell r="E11" t="str">
            <v>Montant élévatrice</v>
          </cell>
          <cell r="O11" t="str">
            <v>Kia</v>
          </cell>
        </row>
        <row r="12">
          <cell r="O12" t="str">
            <v>MB</v>
          </cell>
        </row>
        <row r="13">
          <cell r="O13" t="str">
            <v>Mitsubischi</v>
          </cell>
        </row>
        <row r="14">
          <cell r="O14" t="str">
            <v>Nissan</v>
          </cell>
        </row>
        <row r="15">
          <cell r="O15" t="str">
            <v>Opel</v>
          </cell>
        </row>
        <row r="16">
          <cell r="O16" t="str">
            <v>Peugeot</v>
          </cell>
        </row>
        <row r="17">
          <cell r="O17" t="str">
            <v>Renault</v>
          </cell>
        </row>
        <row r="18">
          <cell r="O18" t="str">
            <v>Toyota</v>
          </cell>
        </row>
        <row r="19">
          <cell r="O19" t="str">
            <v>VW</v>
          </cell>
        </row>
        <row r="20">
          <cell r="O20" t="str">
            <v>Suzuki</v>
          </cell>
        </row>
        <row r="21">
          <cell r="O21" t="str">
            <v>Divers</v>
          </cell>
        </row>
      </sheetData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izona"/>
      <sheetName val="Porte classique arriere"/>
      <sheetName val="NE PAS TOUCHER"/>
      <sheetName val="Don't touch"/>
      <sheetName val="Porte arrière Sandwich"/>
      <sheetName val="Porte arrière Snap-Lock"/>
      <sheetName val="Porte arrière Kit"/>
      <sheetName val="DATA Brute"/>
      <sheetName val="portes-Classique - arriereV11"/>
    </sheetNames>
    <definedNames>
      <definedName name="Macro1"/>
      <definedName name="Macro2"/>
    </definedNames>
    <sheetDataSet>
      <sheetData sheetId="0"/>
      <sheetData sheetId="1"/>
      <sheetData sheetId="2">
        <row r="2">
          <cell r="A2" t="str">
            <v>Montée</v>
          </cell>
          <cell r="B2">
            <v>2</v>
          </cell>
          <cell r="C2">
            <v>25</v>
          </cell>
          <cell r="D2" t="str">
            <v>Snap-lock</v>
          </cell>
          <cell r="E2" t="str">
            <v>poches à visser</v>
          </cell>
          <cell r="F2" t="str">
            <v>Brut</v>
          </cell>
          <cell r="G2">
            <v>1</v>
          </cell>
        </row>
        <row r="3">
          <cell r="A3" t="str">
            <v>Kit</v>
          </cell>
          <cell r="B3">
            <v>4</v>
          </cell>
          <cell r="C3">
            <v>30</v>
          </cell>
          <cell r="D3" t="str">
            <v>Sandwich</v>
          </cell>
          <cell r="E3" t="str">
            <v>poches à souder</v>
          </cell>
          <cell r="F3" t="str">
            <v>Eloxé</v>
          </cell>
        </row>
        <row r="4">
          <cell r="A4" t="str">
            <v>Set</v>
          </cell>
          <cell r="D4" t="str">
            <v>Kit</v>
          </cell>
          <cell r="F4" t="str">
            <v>Thermolaqué - RAL 9010</v>
          </cell>
          <cell r="K4" t="str">
            <v>Nb de vantaux</v>
          </cell>
          <cell r="L4" t="str">
            <v>Panneaux</v>
          </cell>
          <cell r="M4" t="str">
            <v>Nb de fermetures</v>
          </cell>
          <cell r="N4" t="str">
            <v>type de fermetures</v>
          </cell>
          <cell r="O4" t="str">
            <v>poches</v>
          </cell>
          <cell r="P4" t="str">
            <v>execution</v>
          </cell>
          <cell r="Q4" t="str">
            <v>Ht</v>
          </cell>
          <cell r="R4" t="str">
            <v>segments</v>
          </cell>
          <cell r="S4" t="str">
            <v>contact</v>
          </cell>
          <cell r="T4" t="str">
            <v>existant ou pas?</v>
          </cell>
          <cell r="U4" t="str">
            <v>std</v>
          </cell>
          <cell r="V4" t="str">
            <v>existant ou pas?</v>
          </cell>
        </row>
        <row r="5">
          <cell r="K5">
            <v>2</v>
          </cell>
          <cell r="L5" t="str">
            <v>25mm</v>
          </cell>
          <cell r="M5">
            <v>2</v>
          </cell>
          <cell r="N5" t="str">
            <v>boxer</v>
          </cell>
          <cell r="O5" t="str">
            <v>poches à visser</v>
          </cell>
          <cell r="P5" t="str">
            <v>Snap-lock</v>
          </cell>
          <cell r="Q5">
            <v>1700</v>
          </cell>
          <cell r="R5">
            <v>3</v>
          </cell>
          <cell r="S5" t="str">
            <v>2 410 620.102</v>
          </cell>
          <cell r="T5" t="str">
            <v>non</v>
          </cell>
          <cell r="U5" t="str">
            <v>2 010 620.102</v>
          </cell>
          <cell r="V5" t="str">
            <v>non</v>
          </cell>
        </row>
        <row r="6">
          <cell r="K6">
            <v>2</v>
          </cell>
          <cell r="L6" t="str">
            <v>25mm</v>
          </cell>
          <cell r="M6">
            <v>2</v>
          </cell>
          <cell r="N6" t="str">
            <v>boxer</v>
          </cell>
          <cell r="O6" t="str">
            <v>poches à visser</v>
          </cell>
          <cell r="P6" t="str">
            <v>Snap-lock</v>
          </cell>
          <cell r="Q6">
            <v>2100</v>
          </cell>
          <cell r="R6">
            <v>4</v>
          </cell>
          <cell r="S6" t="str">
            <v>2 410 626.102</v>
          </cell>
          <cell r="T6" t="str">
            <v>non</v>
          </cell>
          <cell r="U6" t="str">
            <v>2 010 626.102</v>
          </cell>
          <cell r="V6" t="str">
            <v>non</v>
          </cell>
        </row>
        <row r="7">
          <cell r="K7">
            <v>2</v>
          </cell>
          <cell r="L7" t="str">
            <v>25mm</v>
          </cell>
          <cell r="M7">
            <v>2</v>
          </cell>
          <cell r="N7" t="str">
            <v>boxer</v>
          </cell>
          <cell r="O7" t="str">
            <v>poches à visser</v>
          </cell>
          <cell r="P7" t="str">
            <v>Snap-lock</v>
          </cell>
          <cell r="Q7">
            <v>2700</v>
          </cell>
          <cell r="R7">
            <v>5</v>
          </cell>
          <cell r="S7" t="str">
            <v>2 410 631.102</v>
          </cell>
          <cell r="T7" t="str">
            <v>non</v>
          </cell>
          <cell r="U7" t="str">
            <v>2 010 631.102</v>
          </cell>
          <cell r="V7" t="str">
            <v>non</v>
          </cell>
        </row>
        <row r="8">
          <cell r="K8">
            <v>2</v>
          </cell>
          <cell r="L8" t="str">
            <v>25mm</v>
          </cell>
          <cell r="M8">
            <v>2</v>
          </cell>
          <cell r="N8" t="str">
            <v>boxer</v>
          </cell>
          <cell r="O8" t="str">
            <v>poches à visser</v>
          </cell>
          <cell r="P8" t="str">
            <v>Sandwich</v>
          </cell>
          <cell r="Q8">
            <v>1700</v>
          </cell>
          <cell r="R8">
            <v>3</v>
          </cell>
          <cell r="S8" t="str">
            <v>2 410 620.202</v>
          </cell>
          <cell r="T8" t="str">
            <v>non</v>
          </cell>
          <cell r="U8" t="str">
            <v>2 010 620.202</v>
          </cell>
          <cell r="V8" t="str">
            <v>non</v>
          </cell>
        </row>
        <row r="9">
          <cell r="K9">
            <v>2</v>
          </cell>
          <cell r="L9" t="str">
            <v>25mm</v>
          </cell>
          <cell r="M9">
            <v>2</v>
          </cell>
          <cell r="N9" t="str">
            <v>boxer</v>
          </cell>
          <cell r="O9" t="str">
            <v>poches à visser</v>
          </cell>
          <cell r="P9" t="str">
            <v>Sandwich</v>
          </cell>
          <cell r="Q9">
            <v>2100</v>
          </cell>
          <cell r="R9">
            <v>4</v>
          </cell>
          <cell r="S9" t="str">
            <v>2 410 626.202</v>
          </cell>
          <cell r="T9" t="str">
            <v>non</v>
          </cell>
          <cell r="U9" t="str">
            <v>2 010 626.202</v>
          </cell>
          <cell r="V9" t="str">
            <v>non</v>
          </cell>
        </row>
        <row r="10">
          <cell r="C10" t="str">
            <v xml:space="preserve">oui </v>
          </cell>
          <cell r="D10" t="str">
            <v>Complet</v>
          </cell>
          <cell r="K10">
            <v>2</v>
          </cell>
          <cell r="L10" t="str">
            <v>25mm</v>
          </cell>
          <cell r="M10">
            <v>2</v>
          </cell>
          <cell r="N10" t="str">
            <v>boxer</v>
          </cell>
          <cell r="O10" t="str">
            <v>poches à visser</v>
          </cell>
          <cell r="P10" t="str">
            <v>Sandwich</v>
          </cell>
          <cell r="Q10">
            <v>2700</v>
          </cell>
          <cell r="R10">
            <v>5</v>
          </cell>
          <cell r="S10" t="str">
            <v>2 410 631.202</v>
          </cell>
          <cell r="T10" t="str">
            <v>non</v>
          </cell>
          <cell r="U10" t="str">
            <v>2 010 631.202</v>
          </cell>
          <cell r="V10" t="str">
            <v>non</v>
          </cell>
        </row>
        <row r="11">
          <cell r="A11" t="str">
            <v>Alu</v>
          </cell>
          <cell r="B11" t="str">
            <v>Boxer 2 - Std</v>
          </cell>
          <cell r="C11" t="str">
            <v>non</v>
          </cell>
          <cell r="D11" t="str">
            <v>Angles uniquement</v>
          </cell>
          <cell r="K11">
            <v>2</v>
          </cell>
          <cell r="L11" t="str">
            <v>25mm</v>
          </cell>
          <cell r="M11">
            <v>2</v>
          </cell>
          <cell r="N11" t="str">
            <v>boxer</v>
          </cell>
          <cell r="O11" t="str">
            <v>poches à visser</v>
          </cell>
          <cell r="P11" t="str">
            <v>Kit</v>
          </cell>
          <cell r="Q11">
            <v>1700</v>
          </cell>
          <cell r="R11">
            <v>3</v>
          </cell>
          <cell r="S11" t="str">
            <v>2 410 620.302</v>
          </cell>
          <cell r="T11" t="str">
            <v>non</v>
          </cell>
          <cell r="U11" t="str">
            <v>2 010 620.302</v>
          </cell>
          <cell r="V11" t="str">
            <v>non</v>
          </cell>
        </row>
        <row r="12">
          <cell r="A12" t="str">
            <v>Etrier</v>
          </cell>
          <cell r="B12" t="str">
            <v>Boxer 2 - Inox</v>
          </cell>
          <cell r="K12">
            <v>2</v>
          </cell>
          <cell r="L12" t="str">
            <v>25mm</v>
          </cell>
          <cell r="M12">
            <v>2</v>
          </cell>
          <cell r="N12" t="str">
            <v>boxer</v>
          </cell>
          <cell r="O12" t="str">
            <v>poches à visser</v>
          </cell>
          <cell r="P12" t="str">
            <v>Kit</v>
          </cell>
          <cell r="Q12">
            <v>2100</v>
          </cell>
          <cell r="R12">
            <v>4</v>
          </cell>
          <cell r="S12" t="str">
            <v>2 410 626.302</v>
          </cell>
          <cell r="T12" t="str">
            <v>non</v>
          </cell>
          <cell r="U12" t="str">
            <v>2 010 626.302</v>
          </cell>
          <cell r="V12" t="str">
            <v>non</v>
          </cell>
        </row>
        <row r="13">
          <cell r="A13" t="str">
            <v>Inox</v>
          </cell>
          <cell r="B13" t="str">
            <v>Boxer 3 - Std</v>
          </cell>
          <cell r="K13">
            <v>2</v>
          </cell>
          <cell r="L13" t="str">
            <v>25mm</v>
          </cell>
          <cell r="M13">
            <v>2</v>
          </cell>
          <cell r="N13" t="str">
            <v>boxer</v>
          </cell>
          <cell r="O13" t="str">
            <v>poches à visser</v>
          </cell>
          <cell r="P13" t="str">
            <v>Kit</v>
          </cell>
          <cell r="Q13">
            <v>2700</v>
          </cell>
          <cell r="R13">
            <v>5</v>
          </cell>
          <cell r="S13" t="str">
            <v>2 410 631.302</v>
          </cell>
          <cell r="T13" t="str">
            <v>non</v>
          </cell>
          <cell r="U13" t="str">
            <v>2 010 631.302</v>
          </cell>
          <cell r="V13" t="str">
            <v>non</v>
          </cell>
        </row>
        <row r="14">
          <cell r="A14" t="str">
            <v>Std</v>
          </cell>
          <cell r="B14" t="str">
            <v>Encastrée - FU</v>
          </cell>
          <cell r="K14">
            <v>2</v>
          </cell>
          <cell r="L14" t="str">
            <v>25mm</v>
          </cell>
          <cell r="M14">
            <v>2</v>
          </cell>
          <cell r="N14" t="str">
            <v>boxer</v>
          </cell>
          <cell r="O14" t="str">
            <v>poches à souder</v>
          </cell>
          <cell r="P14" t="str">
            <v>Snap-lock</v>
          </cell>
          <cell r="Q14">
            <v>1700</v>
          </cell>
          <cell r="R14">
            <v>3</v>
          </cell>
          <cell r="S14" t="str">
            <v>2 410 620.101</v>
          </cell>
          <cell r="T14" t="str">
            <v>non</v>
          </cell>
          <cell r="U14" t="str">
            <v>2 010 620.101</v>
          </cell>
          <cell r="V14" t="str">
            <v>non</v>
          </cell>
        </row>
        <row r="15">
          <cell r="B15" t="str">
            <v>Encastrée - FU - Inox</v>
          </cell>
          <cell r="K15">
            <v>2</v>
          </cell>
          <cell r="L15" t="str">
            <v>25mm</v>
          </cell>
          <cell r="M15">
            <v>2</v>
          </cell>
          <cell r="N15" t="str">
            <v>boxer</v>
          </cell>
          <cell r="O15" t="str">
            <v>poches à souder</v>
          </cell>
          <cell r="P15" t="str">
            <v>Snap-lock</v>
          </cell>
          <cell r="Q15">
            <v>2100</v>
          </cell>
          <cell r="R15">
            <v>4</v>
          </cell>
          <cell r="S15" t="str">
            <v>2 410 626.101</v>
          </cell>
          <cell r="T15" t="str">
            <v>non</v>
          </cell>
          <cell r="U15" t="str">
            <v>2 010 626.101</v>
          </cell>
          <cell r="V15" t="str">
            <v>non</v>
          </cell>
        </row>
        <row r="16">
          <cell r="B16" t="str">
            <v>Encastrée - MRF</v>
          </cell>
          <cell r="K16">
            <v>2</v>
          </cell>
          <cell r="L16" t="str">
            <v>25mm</v>
          </cell>
          <cell r="M16">
            <v>2</v>
          </cell>
          <cell r="N16" t="str">
            <v>boxer</v>
          </cell>
          <cell r="O16" t="str">
            <v>poches à souder</v>
          </cell>
          <cell r="P16" t="str">
            <v>Snap-lock</v>
          </cell>
          <cell r="Q16">
            <v>2700</v>
          </cell>
          <cell r="R16">
            <v>5</v>
          </cell>
          <cell r="S16" t="str">
            <v>2 410 631.101</v>
          </cell>
          <cell r="T16" t="str">
            <v>non</v>
          </cell>
          <cell r="U16" t="str">
            <v>2 010 631.101</v>
          </cell>
          <cell r="V16" t="str">
            <v>non</v>
          </cell>
        </row>
        <row r="17">
          <cell r="B17" t="str">
            <v>Encastrée - MRF - Inox</v>
          </cell>
          <cell r="K17">
            <v>2</v>
          </cell>
          <cell r="L17" t="str">
            <v>25mm</v>
          </cell>
          <cell r="M17">
            <v>2</v>
          </cell>
          <cell r="N17" t="str">
            <v>boxer</v>
          </cell>
          <cell r="O17" t="str">
            <v>poches à souder</v>
          </cell>
          <cell r="P17" t="str">
            <v>Sandwich</v>
          </cell>
          <cell r="Q17">
            <v>1700</v>
          </cell>
          <cell r="R17">
            <v>3</v>
          </cell>
          <cell r="S17" t="str">
            <v>2 410 620.201</v>
          </cell>
          <cell r="T17" t="str">
            <v>non</v>
          </cell>
          <cell r="U17" t="str">
            <v>2 010 620.201</v>
          </cell>
          <cell r="V17" t="str">
            <v>non</v>
          </cell>
        </row>
        <row r="18">
          <cell r="B18" t="str">
            <v>Encastrée - PL</v>
          </cell>
          <cell r="K18">
            <v>2</v>
          </cell>
          <cell r="L18" t="str">
            <v>25mm</v>
          </cell>
          <cell r="M18">
            <v>2</v>
          </cell>
          <cell r="N18" t="str">
            <v>boxer</v>
          </cell>
          <cell r="O18" t="str">
            <v>poches à souder</v>
          </cell>
          <cell r="P18" t="str">
            <v>Sandwich</v>
          </cell>
          <cell r="Q18">
            <v>2100</v>
          </cell>
          <cell r="R18">
            <v>4</v>
          </cell>
          <cell r="S18" t="str">
            <v>2 410 626.201</v>
          </cell>
          <cell r="T18" t="str">
            <v>non</v>
          </cell>
          <cell r="U18" t="str">
            <v>2 010 626.201</v>
          </cell>
          <cell r="V18" t="str">
            <v>non</v>
          </cell>
        </row>
        <row r="19">
          <cell r="B19" t="str">
            <v>Encastrée - Inox PL</v>
          </cell>
          <cell r="K19">
            <v>2</v>
          </cell>
          <cell r="L19" t="str">
            <v>25mm</v>
          </cell>
          <cell r="M19">
            <v>2</v>
          </cell>
          <cell r="N19" t="str">
            <v>boxer</v>
          </cell>
          <cell r="O19" t="str">
            <v>poches à souder</v>
          </cell>
          <cell r="P19" t="str">
            <v>Sandwich</v>
          </cell>
          <cell r="Q19">
            <v>2700</v>
          </cell>
          <cell r="R19">
            <v>5</v>
          </cell>
          <cell r="S19" t="str">
            <v>2 410 631.201</v>
          </cell>
          <cell r="T19" t="str">
            <v>non</v>
          </cell>
          <cell r="U19" t="str">
            <v>2 010 631.201</v>
          </cell>
          <cell r="V19" t="str">
            <v>non</v>
          </cell>
        </row>
        <row r="20">
          <cell r="K20">
            <v>2</v>
          </cell>
          <cell r="L20" t="str">
            <v>25mm</v>
          </cell>
          <cell r="M20">
            <v>2</v>
          </cell>
          <cell r="N20" t="str">
            <v>boxer</v>
          </cell>
          <cell r="O20" t="str">
            <v>poches à souder</v>
          </cell>
          <cell r="P20" t="str">
            <v>Kit</v>
          </cell>
          <cell r="Q20">
            <v>1700</v>
          </cell>
          <cell r="R20">
            <v>3</v>
          </cell>
          <cell r="S20" t="str">
            <v>2 410 620.301</v>
          </cell>
          <cell r="T20" t="str">
            <v>non</v>
          </cell>
          <cell r="U20" t="str">
            <v>2 010 620.301</v>
          </cell>
          <cell r="V20" t="str">
            <v>non</v>
          </cell>
        </row>
        <row r="21">
          <cell r="K21">
            <v>2</v>
          </cell>
          <cell r="L21" t="str">
            <v>25mm</v>
          </cell>
          <cell r="M21">
            <v>2</v>
          </cell>
          <cell r="N21" t="str">
            <v>boxer</v>
          </cell>
          <cell r="O21" t="str">
            <v>poches à souder</v>
          </cell>
          <cell r="P21" t="str">
            <v>Kit</v>
          </cell>
          <cell r="Q21">
            <v>2100</v>
          </cell>
          <cell r="R21">
            <v>4</v>
          </cell>
          <cell r="S21" t="str">
            <v>2 410 626.301</v>
          </cell>
          <cell r="T21" t="str">
            <v>non</v>
          </cell>
          <cell r="U21" t="str">
            <v>2 010 626.301</v>
          </cell>
          <cell r="V21" t="str">
            <v>non</v>
          </cell>
        </row>
        <row r="22">
          <cell r="K22">
            <v>2</v>
          </cell>
          <cell r="L22" t="str">
            <v>25mm</v>
          </cell>
          <cell r="M22">
            <v>2</v>
          </cell>
          <cell r="N22" t="str">
            <v>boxer</v>
          </cell>
          <cell r="O22" t="str">
            <v>poches à souder</v>
          </cell>
          <cell r="P22" t="str">
            <v>Kit</v>
          </cell>
          <cell r="Q22">
            <v>2700</v>
          </cell>
          <cell r="R22">
            <v>5</v>
          </cell>
          <cell r="S22" t="str">
            <v>2 410 631.301</v>
          </cell>
          <cell r="T22" t="str">
            <v>non</v>
          </cell>
          <cell r="U22" t="str">
            <v>2 010 631.301</v>
          </cell>
          <cell r="V22" t="str">
            <v>non</v>
          </cell>
        </row>
        <row r="23">
          <cell r="K23">
            <v>2</v>
          </cell>
          <cell r="L23" t="str">
            <v>25mm</v>
          </cell>
          <cell r="M23">
            <v>4</v>
          </cell>
          <cell r="N23" t="str">
            <v>boxer</v>
          </cell>
          <cell r="O23" t="str">
            <v>poches à visser</v>
          </cell>
          <cell r="P23" t="str">
            <v>Snap-lock</v>
          </cell>
          <cell r="Q23">
            <v>1700</v>
          </cell>
          <cell r="R23">
            <v>3</v>
          </cell>
          <cell r="S23" t="str">
            <v>2 410 720.102</v>
          </cell>
          <cell r="T23" t="str">
            <v>non</v>
          </cell>
          <cell r="U23" t="str">
            <v>2 010 720.102</v>
          </cell>
          <cell r="V23" t="str">
            <v>non</v>
          </cell>
        </row>
        <row r="24">
          <cell r="A24">
            <v>2100</v>
          </cell>
          <cell r="K24">
            <v>2</v>
          </cell>
          <cell r="L24" t="str">
            <v>25mm</v>
          </cell>
          <cell r="M24">
            <v>4</v>
          </cell>
          <cell r="N24" t="str">
            <v>boxer</v>
          </cell>
          <cell r="O24" t="str">
            <v>poches à visser</v>
          </cell>
          <cell r="P24" t="str">
            <v>Snap-lock</v>
          </cell>
          <cell r="Q24">
            <v>2100</v>
          </cell>
          <cell r="R24">
            <v>4</v>
          </cell>
          <cell r="S24" t="str">
            <v>2 410 726.102</v>
          </cell>
          <cell r="T24" t="str">
            <v>non</v>
          </cell>
          <cell r="U24" t="str">
            <v>2 010 726.102</v>
          </cell>
          <cell r="V24" t="str">
            <v>non</v>
          </cell>
        </row>
        <row r="25">
          <cell r="A25">
            <v>2700</v>
          </cell>
          <cell r="K25">
            <v>2</v>
          </cell>
          <cell r="L25" t="str">
            <v>25mm</v>
          </cell>
          <cell r="M25">
            <v>4</v>
          </cell>
          <cell r="N25" t="str">
            <v>boxer</v>
          </cell>
          <cell r="O25" t="str">
            <v>poches à visser</v>
          </cell>
          <cell r="P25" t="str">
            <v>Snap-lock</v>
          </cell>
          <cell r="Q25">
            <v>2700</v>
          </cell>
          <cell r="R25">
            <v>5</v>
          </cell>
          <cell r="S25" t="str">
            <v>2 410 731.102</v>
          </cell>
          <cell r="T25" t="str">
            <v>non</v>
          </cell>
          <cell r="U25" t="str">
            <v>2 010 731.102</v>
          </cell>
          <cell r="V25" t="str">
            <v>non</v>
          </cell>
        </row>
        <row r="26">
          <cell r="K26">
            <v>2</v>
          </cell>
          <cell r="L26" t="str">
            <v>25mm</v>
          </cell>
          <cell r="M26">
            <v>4</v>
          </cell>
          <cell r="N26" t="str">
            <v>boxer</v>
          </cell>
          <cell r="O26" t="str">
            <v>poches à visser</v>
          </cell>
          <cell r="P26" t="str">
            <v>Sandwich</v>
          </cell>
          <cell r="Q26">
            <v>1700</v>
          </cell>
          <cell r="R26">
            <v>3</v>
          </cell>
          <cell r="S26" t="str">
            <v>2 410 720.202</v>
          </cell>
          <cell r="T26" t="str">
            <v>non</v>
          </cell>
          <cell r="U26" t="str">
            <v>2 010 720.202</v>
          </cell>
          <cell r="V26" t="str">
            <v>non</v>
          </cell>
        </row>
        <row r="27">
          <cell r="C27">
            <v>3</v>
          </cell>
          <cell r="D27">
            <v>4</v>
          </cell>
          <cell r="E27">
            <v>5</v>
          </cell>
          <cell r="F27">
            <v>6</v>
          </cell>
          <cell r="G27">
            <v>7</v>
          </cell>
          <cell r="K27">
            <v>2</v>
          </cell>
          <cell r="L27" t="str">
            <v>25mm</v>
          </cell>
          <cell r="M27">
            <v>4</v>
          </cell>
          <cell r="N27" t="str">
            <v>boxer</v>
          </cell>
          <cell r="O27" t="str">
            <v>poches à visser</v>
          </cell>
          <cell r="P27" t="str">
            <v>Sandwich</v>
          </cell>
          <cell r="Q27">
            <v>2100</v>
          </cell>
          <cell r="R27">
            <v>4</v>
          </cell>
          <cell r="S27" t="str">
            <v>2 410 726.202</v>
          </cell>
          <cell r="T27" t="str">
            <v>non</v>
          </cell>
          <cell r="U27" t="str">
            <v>2 010 726.202</v>
          </cell>
          <cell r="V27" t="str">
            <v>non</v>
          </cell>
        </row>
        <row r="28">
          <cell r="A28" t="str">
            <v>Std</v>
          </cell>
          <cell r="C28" t="str">
            <v>2 045 103</v>
          </cell>
          <cell r="D28" t="str">
            <v>2 045 104</v>
          </cell>
          <cell r="E28" t="str">
            <v>2 045 105</v>
          </cell>
          <cell r="F28" t="str">
            <v>2 045 106</v>
          </cell>
          <cell r="K28">
            <v>2</v>
          </cell>
          <cell r="L28" t="str">
            <v>25mm</v>
          </cell>
          <cell r="M28">
            <v>4</v>
          </cell>
          <cell r="N28" t="str">
            <v>boxer</v>
          </cell>
          <cell r="O28" t="str">
            <v>poches à visser</v>
          </cell>
          <cell r="P28" t="str">
            <v>Sandwich</v>
          </cell>
          <cell r="Q28">
            <v>2700</v>
          </cell>
          <cell r="R28">
            <v>5</v>
          </cell>
          <cell r="S28" t="str">
            <v>2 410 731.202</v>
          </cell>
          <cell r="T28" t="str">
            <v>non</v>
          </cell>
          <cell r="U28" t="str">
            <v>2 010 731.202</v>
          </cell>
          <cell r="V28" t="str">
            <v>non</v>
          </cell>
        </row>
        <row r="29">
          <cell r="A29" t="str">
            <v>Inox</v>
          </cell>
          <cell r="C29" t="str">
            <v>2 045 113</v>
          </cell>
          <cell r="D29" t="str">
            <v>2 045 114</v>
          </cell>
          <cell r="E29" t="str">
            <v>2 045 115</v>
          </cell>
          <cell r="F29" t="str">
            <v>2 045 116</v>
          </cell>
          <cell r="K29">
            <v>2</v>
          </cell>
          <cell r="L29" t="str">
            <v>25mm</v>
          </cell>
          <cell r="M29">
            <v>4</v>
          </cell>
          <cell r="N29" t="str">
            <v>boxer</v>
          </cell>
          <cell r="O29" t="str">
            <v>poches à visser</v>
          </cell>
          <cell r="P29" t="str">
            <v>Kit</v>
          </cell>
          <cell r="Q29">
            <v>1700</v>
          </cell>
          <cell r="R29">
            <v>3</v>
          </cell>
          <cell r="S29" t="str">
            <v>2 410 720.302</v>
          </cell>
          <cell r="T29" t="str">
            <v>non</v>
          </cell>
          <cell r="U29" t="str">
            <v>2 010 720.302</v>
          </cell>
          <cell r="V29" t="str">
            <v>non</v>
          </cell>
        </row>
        <row r="30">
          <cell r="A30" t="str">
            <v>Etrier</v>
          </cell>
          <cell r="C30" t="str">
            <v>2 045 092</v>
          </cell>
          <cell r="D30" t="str">
            <v>2 045 092</v>
          </cell>
          <cell r="E30" t="str">
            <v>2 045 092</v>
          </cell>
          <cell r="F30" t="str">
            <v>2 045 092</v>
          </cell>
          <cell r="K30">
            <v>2</v>
          </cell>
          <cell r="L30" t="str">
            <v>25mm</v>
          </cell>
          <cell r="M30">
            <v>4</v>
          </cell>
          <cell r="N30" t="str">
            <v>boxer</v>
          </cell>
          <cell r="O30" t="str">
            <v>poches à visser</v>
          </cell>
          <cell r="P30" t="str">
            <v>Kit</v>
          </cell>
          <cell r="Q30">
            <v>2100</v>
          </cell>
          <cell r="R30">
            <v>4</v>
          </cell>
          <cell r="S30" t="str">
            <v>2 410 726.302</v>
          </cell>
          <cell r="T30" t="str">
            <v>non</v>
          </cell>
          <cell r="U30" t="str">
            <v>2 010 726.302</v>
          </cell>
          <cell r="V30" t="str">
            <v>non</v>
          </cell>
        </row>
        <row r="31">
          <cell r="A31" t="str">
            <v>Alu-Brut</v>
          </cell>
          <cell r="C31" t="str">
            <v>2 045 043</v>
          </cell>
          <cell r="D31" t="str">
            <v>2 045 044</v>
          </cell>
          <cell r="E31" t="str">
            <v>2 045 045</v>
          </cell>
          <cell r="F31" t="str">
            <v>2 045 056</v>
          </cell>
          <cell r="K31">
            <v>2</v>
          </cell>
          <cell r="L31" t="str">
            <v>25mm</v>
          </cell>
          <cell r="M31">
            <v>4</v>
          </cell>
          <cell r="N31" t="str">
            <v>boxer</v>
          </cell>
          <cell r="O31" t="str">
            <v>poches à visser</v>
          </cell>
          <cell r="P31" t="str">
            <v>Kit</v>
          </cell>
          <cell r="Q31">
            <v>2700</v>
          </cell>
          <cell r="R31">
            <v>5</v>
          </cell>
          <cell r="S31" t="str">
            <v>2 410 731.302</v>
          </cell>
          <cell r="T31" t="str">
            <v>non</v>
          </cell>
          <cell r="U31" t="str">
            <v>2 010 731.302</v>
          </cell>
          <cell r="V31" t="str">
            <v>non</v>
          </cell>
        </row>
        <row r="32">
          <cell r="A32" t="str">
            <v>Alu-Eloxé</v>
          </cell>
          <cell r="C32" t="str">
            <v>2 045 643</v>
          </cell>
          <cell r="D32" t="str">
            <v>2 045 644</v>
          </cell>
          <cell r="E32" t="str">
            <v>2 045 645</v>
          </cell>
          <cell r="F32" t="str">
            <v>2 045 656</v>
          </cell>
          <cell r="K32">
            <v>2</v>
          </cell>
          <cell r="L32" t="str">
            <v>25mm</v>
          </cell>
          <cell r="M32">
            <v>4</v>
          </cell>
          <cell r="N32" t="str">
            <v>boxer</v>
          </cell>
          <cell r="O32" t="str">
            <v>poches à souder</v>
          </cell>
          <cell r="P32" t="str">
            <v>Snap-lock</v>
          </cell>
          <cell r="Q32">
            <v>1700</v>
          </cell>
          <cell r="R32">
            <v>3</v>
          </cell>
          <cell r="S32" t="str">
            <v>2 410 720.101</v>
          </cell>
          <cell r="T32" t="str">
            <v>non</v>
          </cell>
          <cell r="U32" t="str">
            <v>2 010 720.101</v>
          </cell>
          <cell r="V32" t="str">
            <v>non</v>
          </cell>
        </row>
        <row r="33">
          <cell r="A33" t="str">
            <v>Alu-Thermolaqué - RAL 9010</v>
          </cell>
          <cell r="C33" t="str">
            <v>2 045 743</v>
          </cell>
          <cell r="D33" t="str">
            <v>2 045 744</v>
          </cell>
          <cell r="E33" t="str">
            <v>2 045 745</v>
          </cell>
          <cell r="F33" t="str">
            <v>2 045 756</v>
          </cell>
          <cell r="K33">
            <v>2</v>
          </cell>
          <cell r="L33" t="str">
            <v>25mm</v>
          </cell>
          <cell r="M33">
            <v>4</v>
          </cell>
          <cell r="N33" t="str">
            <v>boxer</v>
          </cell>
          <cell r="O33" t="str">
            <v>poches à souder</v>
          </cell>
          <cell r="P33" t="str">
            <v>Snap-lock</v>
          </cell>
          <cell r="Q33">
            <v>2100</v>
          </cell>
          <cell r="R33">
            <v>4</v>
          </cell>
          <cell r="S33" t="str">
            <v>2 410 726.101</v>
          </cell>
          <cell r="T33" t="str">
            <v>non</v>
          </cell>
          <cell r="U33" t="str">
            <v>2 010 726.101</v>
          </cell>
          <cell r="V33" t="str">
            <v>non</v>
          </cell>
        </row>
        <row r="34">
          <cell r="K34">
            <v>2</v>
          </cell>
          <cell r="L34" t="str">
            <v>25mm</v>
          </cell>
          <cell r="M34">
            <v>4</v>
          </cell>
          <cell r="N34" t="str">
            <v>boxer</v>
          </cell>
          <cell r="O34" t="str">
            <v>poches à souder</v>
          </cell>
          <cell r="P34" t="str">
            <v>Snap-lock</v>
          </cell>
          <cell r="Q34">
            <v>2700</v>
          </cell>
          <cell r="R34">
            <v>5</v>
          </cell>
          <cell r="S34" t="str">
            <v>2 410 731.101</v>
          </cell>
          <cell r="T34" t="str">
            <v>non</v>
          </cell>
          <cell r="U34" t="str">
            <v>2 010 731.101</v>
          </cell>
          <cell r="V34" t="str">
            <v>non</v>
          </cell>
        </row>
        <row r="35">
          <cell r="K35">
            <v>2</v>
          </cell>
          <cell r="L35" t="str">
            <v>25mm</v>
          </cell>
          <cell r="M35">
            <v>4</v>
          </cell>
          <cell r="N35" t="str">
            <v>boxer</v>
          </cell>
          <cell r="O35" t="str">
            <v>poches à souder</v>
          </cell>
          <cell r="P35" t="str">
            <v>Sandwich</v>
          </cell>
          <cell r="Q35">
            <v>1700</v>
          </cell>
          <cell r="R35">
            <v>3</v>
          </cell>
          <cell r="S35" t="str">
            <v>2 410 720.201</v>
          </cell>
          <cell r="T35" t="str">
            <v>non</v>
          </cell>
          <cell r="U35" t="str">
            <v>2 010 720.201</v>
          </cell>
          <cell r="V35" t="str">
            <v>non</v>
          </cell>
        </row>
        <row r="36">
          <cell r="A36" t="str">
            <v>Nb de segments</v>
          </cell>
          <cell r="B36" t="str">
            <v>Qte segment simple</v>
          </cell>
          <cell r="C36" t="str">
            <v>Qte segment double</v>
          </cell>
          <cell r="K36">
            <v>2</v>
          </cell>
          <cell r="L36" t="str">
            <v>25mm</v>
          </cell>
          <cell r="M36">
            <v>4</v>
          </cell>
          <cell r="N36" t="str">
            <v>boxer</v>
          </cell>
          <cell r="O36" t="str">
            <v>poches à souder</v>
          </cell>
          <cell r="P36" t="str">
            <v>Sandwich</v>
          </cell>
          <cell r="Q36">
            <v>2100</v>
          </cell>
          <cell r="R36">
            <v>4</v>
          </cell>
          <cell r="S36" t="str">
            <v>2 410 726.201</v>
          </cell>
          <cell r="T36" t="str">
            <v>non</v>
          </cell>
          <cell r="U36" t="str">
            <v>2 010 726.201</v>
          </cell>
          <cell r="V36" t="str">
            <v>non</v>
          </cell>
        </row>
        <row r="37">
          <cell r="A37">
            <v>3</v>
          </cell>
          <cell r="B37">
            <v>6</v>
          </cell>
          <cell r="C37">
            <v>6</v>
          </cell>
          <cell r="K37">
            <v>2</v>
          </cell>
          <cell r="L37" t="str">
            <v>25mm</v>
          </cell>
          <cell r="M37">
            <v>4</v>
          </cell>
          <cell r="N37" t="str">
            <v>boxer</v>
          </cell>
          <cell r="O37" t="str">
            <v>poches à souder</v>
          </cell>
          <cell r="P37" t="str">
            <v>Sandwich</v>
          </cell>
          <cell r="Q37">
            <v>2700</v>
          </cell>
          <cell r="R37">
            <v>5</v>
          </cell>
          <cell r="S37" t="str">
            <v>2 410 731.201</v>
          </cell>
          <cell r="T37" t="str">
            <v>non</v>
          </cell>
          <cell r="U37" t="str">
            <v>2 010 731.201</v>
          </cell>
          <cell r="V37" t="str">
            <v>non</v>
          </cell>
        </row>
        <row r="38">
          <cell r="A38">
            <v>4</v>
          </cell>
          <cell r="B38">
            <v>8</v>
          </cell>
          <cell r="C38">
            <v>8</v>
          </cell>
          <cell r="K38">
            <v>2</v>
          </cell>
          <cell r="L38" t="str">
            <v>25mm</v>
          </cell>
          <cell r="M38">
            <v>4</v>
          </cell>
          <cell r="N38" t="str">
            <v>boxer</v>
          </cell>
          <cell r="O38" t="str">
            <v>poches à souder</v>
          </cell>
          <cell r="P38" t="str">
            <v>Kit</v>
          </cell>
          <cell r="Q38">
            <v>1700</v>
          </cell>
          <cell r="R38">
            <v>3</v>
          </cell>
          <cell r="S38" t="str">
            <v>2 410 720.301</v>
          </cell>
          <cell r="T38" t="str">
            <v>non</v>
          </cell>
          <cell r="U38" t="str">
            <v>2 010 720.301</v>
          </cell>
          <cell r="V38" t="str">
            <v>non</v>
          </cell>
        </row>
        <row r="39">
          <cell r="A39">
            <v>5</v>
          </cell>
          <cell r="B39">
            <v>10</v>
          </cell>
          <cell r="C39">
            <v>10</v>
          </cell>
          <cell r="K39">
            <v>2</v>
          </cell>
          <cell r="L39" t="str">
            <v>25mm</v>
          </cell>
          <cell r="M39">
            <v>4</v>
          </cell>
          <cell r="N39" t="str">
            <v>boxer</v>
          </cell>
          <cell r="O39" t="str">
            <v>poches à souder</v>
          </cell>
          <cell r="P39" t="str">
            <v>Kit</v>
          </cell>
          <cell r="Q39">
            <v>2100</v>
          </cell>
          <cell r="R39">
            <v>4</v>
          </cell>
          <cell r="S39" t="str">
            <v>2 410 726.301</v>
          </cell>
          <cell r="T39" t="str">
            <v>non</v>
          </cell>
          <cell r="U39" t="str">
            <v>2 010 726.301</v>
          </cell>
          <cell r="V39" t="str">
            <v>non</v>
          </cell>
        </row>
        <row r="40">
          <cell r="A40">
            <v>6</v>
          </cell>
          <cell r="B40">
            <v>12</v>
          </cell>
          <cell r="C40">
            <v>12</v>
          </cell>
          <cell r="K40">
            <v>2</v>
          </cell>
          <cell r="L40" t="str">
            <v>25mm</v>
          </cell>
          <cell r="M40">
            <v>4</v>
          </cell>
          <cell r="N40" t="str">
            <v>boxer</v>
          </cell>
          <cell r="O40" t="str">
            <v>poches à souder</v>
          </cell>
          <cell r="P40" t="str">
            <v>Kit</v>
          </cell>
          <cell r="Q40">
            <v>2700</v>
          </cell>
          <cell r="R40">
            <v>5</v>
          </cell>
          <cell r="S40" t="str">
            <v>2 410 731.301</v>
          </cell>
          <cell r="T40" t="str">
            <v>non</v>
          </cell>
          <cell r="U40" t="str">
            <v>2 010 731.301</v>
          </cell>
          <cell r="V40" t="str">
            <v>non</v>
          </cell>
        </row>
        <row r="41">
          <cell r="A41">
            <v>7</v>
          </cell>
          <cell r="B41">
            <v>14</v>
          </cell>
          <cell r="C41">
            <v>14</v>
          </cell>
          <cell r="K41">
            <v>2</v>
          </cell>
          <cell r="L41" t="str">
            <v>25mm</v>
          </cell>
          <cell r="M41">
            <v>2</v>
          </cell>
          <cell r="N41" t="str">
            <v>Encastrée</v>
          </cell>
          <cell r="O41" t="str">
            <v>poches à visser</v>
          </cell>
          <cell r="P41" t="str">
            <v>Snap-lock</v>
          </cell>
          <cell r="Q41">
            <v>1700</v>
          </cell>
          <cell r="R41">
            <v>3</v>
          </cell>
          <cell r="S41" t="str">
            <v>2 416 620.102</v>
          </cell>
          <cell r="T41" t="str">
            <v>non</v>
          </cell>
          <cell r="U41" t="str">
            <v>2 016 620.102</v>
          </cell>
          <cell r="V41" t="str">
            <v>non</v>
          </cell>
        </row>
        <row r="42">
          <cell r="K42">
            <v>2</v>
          </cell>
          <cell r="L42" t="str">
            <v>25mm</v>
          </cell>
          <cell r="M42">
            <v>2</v>
          </cell>
          <cell r="N42" t="str">
            <v>Encastrée</v>
          </cell>
          <cell r="O42" t="str">
            <v>poches à visser</v>
          </cell>
          <cell r="P42" t="str">
            <v>Snap-lock</v>
          </cell>
          <cell r="Q42">
            <v>2100</v>
          </cell>
          <cell r="R42">
            <v>4</v>
          </cell>
          <cell r="S42" t="str">
            <v>2 416 626.102</v>
          </cell>
          <cell r="T42" t="str">
            <v>non</v>
          </cell>
          <cell r="U42" t="str">
            <v>2 016 626.102</v>
          </cell>
          <cell r="V42" t="str">
            <v>non</v>
          </cell>
        </row>
        <row r="43">
          <cell r="K43">
            <v>2</v>
          </cell>
          <cell r="L43" t="str">
            <v>25mm</v>
          </cell>
          <cell r="M43">
            <v>2</v>
          </cell>
          <cell r="N43" t="str">
            <v>Encastrée</v>
          </cell>
          <cell r="O43" t="str">
            <v>poches à visser</v>
          </cell>
          <cell r="P43" t="str">
            <v>Snap-lock</v>
          </cell>
          <cell r="Q43">
            <v>2700</v>
          </cell>
          <cell r="R43">
            <v>5</v>
          </cell>
          <cell r="S43" t="str">
            <v>2 416 631.102</v>
          </cell>
          <cell r="T43" t="str">
            <v>non</v>
          </cell>
          <cell r="U43" t="str">
            <v>2 016 631.102</v>
          </cell>
          <cell r="V43" t="str">
            <v>non</v>
          </cell>
        </row>
        <row r="44">
          <cell r="K44">
            <v>2</v>
          </cell>
          <cell r="L44" t="str">
            <v>25mm</v>
          </cell>
          <cell r="M44">
            <v>2</v>
          </cell>
          <cell r="N44" t="str">
            <v>Encastrée</v>
          </cell>
          <cell r="O44" t="str">
            <v>poches à visser</v>
          </cell>
          <cell r="P44" t="str">
            <v>Sandwich</v>
          </cell>
          <cell r="Q44">
            <v>1700</v>
          </cell>
          <cell r="R44">
            <v>3</v>
          </cell>
          <cell r="S44" t="str">
            <v>2 416 620.202</v>
          </cell>
          <cell r="T44" t="str">
            <v>non</v>
          </cell>
          <cell r="U44" t="str">
            <v>2 016 620.202</v>
          </cell>
          <cell r="V44" t="str">
            <v>non</v>
          </cell>
        </row>
        <row r="45">
          <cell r="K45">
            <v>2</v>
          </cell>
          <cell r="L45" t="str">
            <v>25mm</v>
          </cell>
          <cell r="M45">
            <v>2</v>
          </cell>
          <cell r="N45" t="str">
            <v>Encastrée</v>
          </cell>
          <cell r="O45" t="str">
            <v>poches à visser</v>
          </cell>
          <cell r="P45" t="str">
            <v>Sandwich</v>
          </cell>
          <cell r="Q45">
            <v>2100</v>
          </cell>
          <cell r="R45">
            <v>4</v>
          </cell>
          <cell r="S45" t="str">
            <v>2 416 626.202</v>
          </cell>
          <cell r="T45" t="str">
            <v>non</v>
          </cell>
          <cell r="U45" t="str">
            <v>2 016 626.202</v>
          </cell>
          <cell r="V45" t="str">
            <v>non</v>
          </cell>
        </row>
        <row r="46">
          <cell r="K46">
            <v>2</v>
          </cell>
          <cell r="L46" t="str">
            <v>25mm</v>
          </cell>
          <cell r="M46">
            <v>2</v>
          </cell>
          <cell r="N46" t="str">
            <v>Encastrée</v>
          </cell>
          <cell r="O46" t="str">
            <v>poches à visser</v>
          </cell>
          <cell r="P46" t="str">
            <v>Sandwich</v>
          </cell>
          <cell r="Q46">
            <v>2700</v>
          </cell>
          <cell r="R46">
            <v>5</v>
          </cell>
          <cell r="S46" t="str">
            <v>2 416 631.202</v>
          </cell>
          <cell r="T46" t="str">
            <v>non</v>
          </cell>
          <cell r="U46" t="str">
            <v>2 016 631.202</v>
          </cell>
          <cell r="V46" t="str">
            <v>non</v>
          </cell>
        </row>
        <row r="47">
          <cell r="K47">
            <v>2</v>
          </cell>
          <cell r="L47" t="str">
            <v>25mm</v>
          </cell>
          <cell r="M47">
            <v>2</v>
          </cell>
          <cell r="N47" t="str">
            <v>Encastrée</v>
          </cell>
          <cell r="O47" t="str">
            <v>poches à visser</v>
          </cell>
          <cell r="P47" t="str">
            <v>Kit</v>
          </cell>
          <cell r="Q47">
            <v>1700</v>
          </cell>
          <cell r="R47">
            <v>3</v>
          </cell>
          <cell r="S47" t="str">
            <v>2 416 620.302</v>
          </cell>
          <cell r="T47" t="str">
            <v>non</v>
          </cell>
          <cell r="U47" t="str">
            <v>2 016 620.302</v>
          </cell>
          <cell r="V47" t="str">
            <v>non</v>
          </cell>
        </row>
        <row r="48">
          <cell r="K48">
            <v>2</v>
          </cell>
          <cell r="L48" t="str">
            <v>25mm</v>
          </cell>
          <cell r="M48">
            <v>2</v>
          </cell>
          <cell r="N48" t="str">
            <v>Encastrée</v>
          </cell>
          <cell r="O48" t="str">
            <v>poches à visser</v>
          </cell>
          <cell r="P48" t="str">
            <v>Kit</v>
          </cell>
          <cell r="Q48">
            <v>2100</v>
          </cell>
          <cell r="R48">
            <v>4</v>
          </cell>
          <cell r="S48" t="str">
            <v>2 416 626.302</v>
          </cell>
          <cell r="T48" t="str">
            <v>non</v>
          </cell>
          <cell r="U48" t="str">
            <v>2 016 626.302</v>
          </cell>
          <cell r="V48" t="str">
            <v>non</v>
          </cell>
        </row>
        <row r="49">
          <cell r="K49">
            <v>2</v>
          </cell>
          <cell r="L49" t="str">
            <v>25mm</v>
          </cell>
          <cell r="M49">
            <v>2</v>
          </cell>
          <cell r="N49" t="str">
            <v>Encastrée</v>
          </cell>
          <cell r="O49" t="str">
            <v>poches à visser</v>
          </cell>
          <cell r="P49" t="str">
            <v>Kit</v>
          </cell>
          <cell r="Q49">
            <v>2700</v>
          </cell>
          <cell r="R49">
            <v>5</v>
          </cell>
          <cell r="S49" t="str">
            <v>2 416 631.302</v>
          </cell>
          <cell r="T49" t="str">
            <v>non</v>
          </cell>
          <cell r="U49" t="str">
            <v>2 016 631.302</v>
          </cell>
          <cell r="V49" t="str">
            <v>non</v>
          </cell>
        </row>
        <row r="50">
          <cell r="K50">
            <v>2</v>
          </cell>
          <cell r="L50" t="str">
            <v>25mm</v>
          </cell>
          <cell r="M50">
            <v>2</v>
          </cell>
          <cell r="N50" t="str">
            <v>Encastrée</v>
          </cell>
          <cell r="O50" t="str">
            <v>poches à souder</v>
          </cell>
          <cell r="P50" t="str">
            <v>Snap-lock</v>
          </cell>
          <cell r="Q50">
            <v>1700</v>
          </cell>
          <cell r="R50">
            <v>3</v>
          </cell>
          <cell r="S50" t="str">
            <v>2 416 620.101</v>
          </cell>
          <cell r="T50" t="str">
            <v>non</v>
          </cell>
          <cell r="U50" t="str">
            <v>2 016 620.101</v>
          </cell>
          <cell r="V50" t="str">
            <v>non</v>
          </cell>
        </row>
        <row r="51">
          <cell r="K51">
            <v>2</v>
          </cell>
          <cell r="L51" t="str">
            <v>25mm</v>
          </cell>
          <cell r="M51">
            <v>2</v>
          </cell>
          <cell r="N51" t="str">
            <v>Encastrée</v>
          </cell>
          <cell r="O51" t="str">
            <v>poches à souder</v>
          </cell>
          <cell r="P51" t="str">
            <v>Snap-lock</v>
          </cell>
          <cell r="Q51">
            <v>2100</v>
          </cell>
          <cell r="R51">
            <v>4</v>
          </cell>
          <cell r="S51" t="str">
            <v>2 416 626.101</v>
          </cell>
          <cell r="T51" t="str">
            <v>non</v>
          </cell>
          <cell r="U51" t="str">
            <v>2 016 626.101</v>
          </cell>
          <cell r="V51" t="str">
            <v>non</v>
          </cell>
        </row>
        <row r="52">
          <cell r="K52">
            <v>2</v>
          </cell>
          <cell r="L52" t="str">
            <v>25mm</v>
          </cell>
          <cell r="M52">
            <v>2</v>
          </cell>
          <cell r="N52" t="str">
            <v>Encastrée</v>
          </cell>
          <cell r="O52" t="str">
            <v>poches à souder</v>
          </cell>
          <cell r="P52" t="str">
            <v>Snap-lock</v>
          </cell>
          <cell r="Q52">
            <v>2700</v>
          </cell>
          <cell r="R52">
            <v>5</v>
          </cell>
          <cell r="S52" t="str">
            <v>2 416 631.101</v>
          </cell>
          <cell r="T52" t="str">
            <v>non</v>
          </cell>
          <cell r="U52" t="str">
            <v>2 016 631.101</v>
          </cell>
          <cell r="V52" t="str">
            <v>non</v>
          </cell>
        </row>
        <row r="53">
          <cell r="K53">
            <v>2</v>
          </cell>
          <cell r="L53" t="str">
            <v>25mm</v>
          </cell>
          <cell r="M53">
            <v>2</v>
          </cell>
          <cell r="N53" t="str">
            <v>Encastrée</v>
          </cell>
          <cell r="O53" t="str">
            <v>poches à souder</v>
          </cell>
          <cell r="P53" t="str">
            <v>Sandwich</v>
          </cell>
          <cell r="Q53">
            <v>1700</v>
          </cell>
          <cell r="R53">
            <v>3</v>
          </cell>
          <cell r="S53" t="str">
            <v>2 416 620.201</v>
          </cell>
          <cell r="T53" t="str">
            <v>non</v>
          </cell>
          <cell r="U53" t="str">
            <v>2 016 620.201</v>
          </cell>
          <cell r="V53" t="str">
            <v>non</v>
          </cell>
        </row>
        <row r="54">
          <cell r="K54">
            <v>2</v>
          </cell>
          <cell r="L54" t="str">
            <v>25mm</v>
          </cell>
          <cell r="M54">
            <v>2</v>
          </cell>
          <cell r="N54" t="str">
            <v>Encastrée</v>
          </cell>
          <cell r="O54" t="str">
            <v>poches à souder</v>
          </cell>
          <cell r="P54" t="str">
            <v>Sandwich</v>
          </cell>
          <cell r="Q54">
            <v>2100</v>
          </cell>
          <cell r="R54">
            <v>4</v>
          </cell>
          <cell r="S54" t="str">
            <v>2 416 626.201</v>
          </cell>
          <cell r="T54" t="str">
            <v>non</v>
          </cell>
          <cell r="U54" t="str">
            <v>2 016 626.201</v>
          </cell>
          <cell r="V54" t="str">
            <v>non</v>
          </cell>
        </row>
        <row r="55">
          <cell r="K55">
            <v>2</v>
          </cell>
          <cell r="L55" t="str">
            <v>25mm</v>
          </cell>
          <cell r="M55">
            <v>2</v>
          </cell>
          <cell r="N55" t="str">
            <v>Encastrée</v>
          </cell>
          <cell r="O55" t="str">
            <v>poches à souder</v>
          </cell>
          <cell r="P55" t="str">
            <v>Sandwich</v>
          </cell>
          <cell r="Q55">
            <v>2700</v>
          </cell>
          <cell r="R55">
            <v>5</v>
          </cell>
          <cell r="S55" t="str">
            <v>2 416 631.201</v>
          </cell>
          <cell r="T55" t="str">
            <v>non</v>
          </cell>
          <cell r="U55" t="str">
            <v>2 016 631.201</v>
          </cell>
          <cell r="V55" t="str">
            <v>non</v>
          </cell>
        </row>
        <row r="56">
          <cell r="K56">
            <v>2</v>
          </cell>
          <cell r="L56" t="str">
            <v>25mm</v>
          </cell>
          <cell r="M56">
            <v>2</v>
          </cell>
          <cell r="N56" t="str">
            <v>Encastrée</v>
          </cell>
          <cell r="O56" t="str">
            <v>poches à souder</v>
          </cell>
          <cell r="P56" t="str">
            <v>Kit</v>
          </cell>
          <cell r="Q56">
            <v>1700</v>
          </cell>
          <cell r="R56">
            <v>3</v>
          </cell>
          <cell r="S56" t="str">
            <v>2 416 620.301</v>
          </cell>
          <cell r="T56" t="str">
            <v>non</v>
          </cell>
          <cell r="U56" t="str">
            <v>2 016 620.301</v>
          </cell>
          <cell r="V56" t="str">
            <v>non</v>
          </cell>
        </row>
        <row r="57">
          <cell r="K57">
            <v>2</v>
          </cell>
          <cell r="L57" t="str">
            <v>25mm</v>
          </cell>
          <cell r="M57">
            <v>2</v>
          </cell>
          <cell r="N57" t="str">
            <v>Encastrée</v>
          </cell>
          <cell r="O57" t="str">
            <v>poches à souder</v>
          </cell>
          <cell r="P57" t="str">
            <v>Kit</v>
          </cell>
          <cell r="Q57">
            <v>2100</v>
          </cell>
          <cell r="R57">
            <v>4</v>
          </cell>
          <cell r="S57" t="str">
            <v>2 416 626.301</v>
          </cell>
          <cell r="T57" t="str">
            <v>non</v>
          </cell>
          <cell r="U57" t="str">
            <v>2 016 626.301</v>
          </cell>
          <cell r="V57" t="str">
            <v>non</v>
          </cell>
        </row>
        <row r="58">
          <cell r="K58">
            <v>2</v>
          </cell>
          <cell r="L58" t="str">
            <v>25mm</v>
          </cell>
          <cell r="M58">
            <v>2</v>
          </cell>
          <cell r="N58" t="str">
            <v>Encastrée</v>
          </cell>
          <cell r="O58" t="str">
            <v>poches à souder</v>
          </cell>
          <cell r="P58" t="str">
            <v>Kit</v>
          </cell>
          <cell r="Q58">
            <v>2700</v>
          </cell>
          <cell r="R58">
            <v>5</v>
          </cell>
          <cell r="S58" t="str">
            <v>2 416 631.301</v>
          </cell>
          <cell r="T58" t="str">
            <v>non</v>
          </cell>
          <cell r="U58" t="str">
            <v>2 016 631.301</v>
          </cell>
          <cell r="V58" t="str">
            <v>non</v>
          </cell>
        </row>
        <row r="59">
          <cell r="K59">
            <v>2</v>
          </cell>
          <cell r="L59" t="str">
            <v>25mm</v>
          </cell>
          <cell r="M59">
            <v>4</v>
          </cell>
          <cell r="N59" t="str">
            <v>Encastrée</v>
          </cell>
          <cell r="O59" t="str">
            <v>poches à visser</v>
          </cell>
          <cell r="P59" t="str">
            <v>Snap-lock</v>
          </cell>
          <cell r="Q59">
            <v>1700</v>
          </cell>
          <cell r="R59">
            <v>3</v>
          </cell>
          <cell r="S59" t="str">
            <v>2 416 720.102</v>
          </cell>
          <cell r="T59" t="str">
            <v>non</v>
          </cell>
          <cell r="U59" t="str">
            <v>2 016 720.102</v>
          </cell>
          <cell r="V59" t="str">
            <v>non</v>
          </cell>
        </row>
        <row r="60">
          <cell r="K60">
            <v>2</v>
          </cell>
          <cell r="L60" t="str">
            <v>25mm</v>
          </cell>
          <cell r="M60">
            <v>4</v>
          </cell>
          <cell r="N60" t="str">
            <v>Encastrée</v>
          </cell>
          <cell r="O60" t="str">
            <v>poches à visser</v>
          </cell>
          <cell r="P60" t="str">
            <v>Snap-lock</v>
          </cell>
          <cell r="Q60">
            <v>2100</v>
          </cell>
          <cell r="R60">
            <v>4</v>
          </cell>
          <cell r="S60" t="str">
            <v>2 416 726.102</v>
          </cell>
          <cell r="T60" t="str">
            <v>non</v>
          </cell>
          <cell r="U60" t="str">
            <v>2 016 726.102</v>
          </cell>
          <cell r="V60" t="str">
            <v>non</v>
          </cell>
        </row>
        <row r="61">
          <cell r="K61">
            <v>2</v>
          </cell>
          <cell r="L61" t="str">
            <v>25mm</v>
          </cell>
          <cell r="M61">
            <v>4</v>
          </cell>
          <cell r="N61" t="str">
            <v>Encastrée</v>
          </cell>
          <cell r="O61" t="str">
            <v>poches à visser</v>
          </cell>
          <cell r="P61" t="str">
            <v>Snap-lock</v>
          </cell>
          <cell r="Q61">
            <v>2700</v>
          </cell>
          <cell r="R61">
            <v>5</v>
          </cell>
          <cell r="S61" t="str">
            <v>2 416 731.102</v>
          </cell>
          <cell r="T61" t="str">
            <v>non</v>
          </cell>
          <cell r="U61" t="str">
            <v>2 016 731.102</v>
          </cell>
          <cell r="V61" t="str">
            <v>non</v>
          </cell>
        </row>
        <row r="62">
          <cell r="K62">
            <v>2</v>
          </cell>
          <cell r="L62" t="str">
            <v>25mm</v>
          </cell>
          <cell r="M62">
            <v>4</v>
          </cell>
          <cell r="N62" t="str">
            <v>Encastrée</v>
          </cell>
          <cell r="O62" t="str">
            <v>poches à visser</v>
          </cell>
          <cell r="P62" t="str">
            <v>Sandwich</v>
          </cell>
          <cell r="Q62">
            <v>1700</v>
          </cell>
          <cell r="R62">
            <v>3</v>
          </cell>
          <cell r="S62" t="str">
            <v>2 416 720.202</v>
          </cell>
          <cell r="T62" t="str">
            <v>non</v>
          </cell>
          <cell r="U62" t="str">
            <v>2 016 720.202</v>
          </cell>
          <cell r="V62" t="str">
            <v>non</v>
          </cell>
        </row>
        <row r="63">
          <cell r="K63">
            <v>2</v>
          </cell>
          <cell r="L63" t="str">
            <v>25mm</v>
          </cell>
          <cell r="M63">
            <v>4</v>
          </cell>
          <cell r="N63" t="str">
            <v>Encastrée</v>
          </cell>
          <cell r="O63" t="str">
            <v>poches à visser</v>
          </cell>
          <cell r="P63" t="str">
            <v>Sandwich</v>
          </cell>
          <cell r="Q63">
            <v>2100</v>
          </cell>
          <cell r="R63">
            <v>4</v>
          </cell>
          <cell r="S63" t="str">
            <v>2 416 726.202</v>
          </cell>
          <cell r="T63" t="str">
            <v>non</v>
          </cell>
          <cell r="U63" t="str">
            <v>2 016 726.202</v>
          </cell>
          <cell r="V63" t="str">
            <v>non</v>
          </cell>
        </row>
        <row r="64">
          <cell r="K64">
            <v>2</v>
          </cell>
          <cell r="L64" t="str">
            <v>25mm</v>
          </cell>
          <cell r="M64">
            <v>4</v>
          </cell>
          <cell r="N64" t="str">
            <v>Encastrée</v>
          </cell>
          <cell r="O64" t="str">
            <v>poches à visser</v>
          </cell>
          <cell r="P64" t="str">
            <v>Sandwich</v>
          </cell>
          <cell r="Q64">
            <v>2700</v>
          </cell>
          <cell r="R64">
            <v>5</v>
          </cell>
          <cell r="S64" t="str">
            <v>2 416 731.202</v>
          </cell>
          <cell r="T64" t="str">
            <v>non</v>
          </cell>
          <cell r="U64" t="str">
            <v>2 016 731.202</v>
          </cell>
          <cell r="V64" t="str">
            <v>non</v>
          </cell>
        </row>
        <row r="65">
          <cell r="K65">
            <v>2</v>
          </cell>
          <cell r="L65" t="str">
            <v>25mm</v>
          </cell>
          <cell r="M65">
            <v>4</v>
          </cell>
          <cell r="N65" t="str">
            <v>Encastrée</v>
          </cell>
          <cell r="O65" t="str">
            <v>poches à visser</v>
          </cell>
          <cell r="P65" t="str">
            <v>Kit</v>
          </cell>
          <cell r="Q65">
            <v>1700</v>
          </cell>
          <cell r="R65">
            <v>3</v>
          </cell>
          <cell r="S65" t="str">
            <v>2 416 720.302</v>
          </cell>
          <cell r="T65" t="str">
            <v>non</v>
          </cell>
          <cell r="U65" t="str">
            <v>2 016 720.302</v>
          </cell>
          <cell r="V65" t="str">
            <v>non</v>
          </cell>
        </row>
        <row r="66">
          <cell r="K66">
            <v>2</v>
          </cell>
          <cell r="L66" t="str">
            <v>25mm</v>
          </cell>
          <cell r="M66">
            <v>4</v>
          </cell>
          <cell r="N66" t="str">
            <v>Encastrée</v>
          </cell>
          <cell r="O66" t="str">
            <v>poches à visser</v>
          </cell>
          <cell r="P66" t="str">
            <v>Kit</v>
          </cell>
          <cell r="Q66">
            <v>2100</v>
          </cell>
          <cell r="R66">
            <v>4</v>
          </cell>
          <cell r="S66" t="str">
            <v>2 416 726.302</v>
          </cell>
          <cell r="T66" t="str">
            <v>non</v>
          </cell>
          <cell r="U66" t="str">
            <v>2 016 726.302</v>
          </cell>
          <cell r="V66" t="str">
            <v>non</v>
          </cell>
        </row>
        <row r="67">
          <cell r="K67">
            <v>2</v>
          </cell>
          <cell r="L67" t="str">
            <v>25mm</v>
          </cell>
          <cell r="M67">
            <v>4</v>
          </cell>
          <cell r="N67" t="str">
            <v>Encastrée</v>
          </cell>
          <cell r="O67" t="str">
            <v>poches à visser</v>
          </cell>
          <cell r="P67" t="str">
            <v>Kit</v>
          </cell>
          <cell r="Q67">
            <v>2700</v>
          </cell>
          <cell r="R67">
            <v>5</v>
          </cell>
          <cell r="S67" t="str">
            <v>2 416 731.302</v>
          </cell>
          <cell r="T67" t="str">
            <v>non</v>
          </cell>
          <cell r="U67" t="str">
            <v>2 016 731.302</v>
          </cell>
          <cell r="V67" t="str">
            <v>non</v>
          </cell>
        </row>
        <row r="68">
          <cell r="K68">
            <v>2</v>
          </cell>
          <cell r="L68" t="str">
            <v>25mm</v>
          </cell>
          <cell r="M68">
            <v>4</v>
          </cell>
          <cell r="N68" t="str">
            <v>Encastrée</v>
          </cell>
          <cell r="O68" t="str">
            <v>poches à souder</v>
          </cell>
          <cell r="P68" t="str">
            <v>Snap-lock</v>
          </cell>
          <cell r="Q68">
            <v>1700</v>
          </cell>
          <cell r="R68">
            <v>3</v>
          </cell>
          <cell r="S68" t="str">
            <v>2 416 720.101</v>
          </cell>
          <cell r="T68" t="str">
            <v>non</v>
          </cell>
          <cell r="U68" t="str">
            <v>2 016 720.101</v>
          </cell>
          <cell r="V68" t="str">
            <v>non</v>
          </cell>
        </row>
        <row r="69">
          <cell r="K69">
            <v>2</v>
          </cell>
          <cell r="L69" t="str">
            <v>25mm</v>
          </cell>
          <cell r="M69">
            <v>4</v>
          </cell>
          <cell r="N69" t="str">
            <v>Encastrée</v>
          </cell>
          <cell r="O69" t="str">
            <v>poches à souder</v>
          </cell>
          <cell r="P69" t="str">
            <v>Snap-lock</v>
          </cell>
          <cell r="Q69">
            <v>2100</v>
          </cell>
          <cell r="R69">
            <v>4</v>
          </cell>
          <cell r="S69" t="str">
            <v>2 416 726.101</v>
          </cell>
          <cell r="T69" t="str">
            <v>non</v>
          </cell>
          <cell r="U69" t="str">
            <v>2 016 726.101</v>
          </cell>
          <cell r="V69" t="str">
            <v>non</v>
          </cell>
        </row>
        <row r="70">
          <cell r="K70">
            <v>2</v>
          </cell>
          <cell r="L70" t="str">
            <v>25mm</v>
          </cell>
          <cell r="M70">
            <v>4</v>
          </cell>
          <cell r="N70" t="str">
            <v>Encastrée</v>
          </cell>
          <cell r="O70" t="str">
            <v>poches à souder</v>
          </cell>
          <cell r="P70" t="str">
            <v>Snap-lock</v>
          </cell>
          <cell r="Q70">
            <v>2700</v>
          </cell>
          <cell r="R70">
            <v>5</v>
          </cell>
          <cell r="S70" t="str">
            <v>2 416 731.101</v>
          </cell>
          <cell r="T70" t="str">
            <v>non</v>
          </cell>
          <cell r="U70" t="str">
            <v>2 016 731.101</v>
          </cell>
          <cell r="V70" t="str">
            <v>non</v>
          </cell>
        </row>
        <row r="71">
          <cell r="K71">
            <v>2</v>
          </cell>
          <cell r="L71" t="str">
            <v>25mm</v>
          </cell>
          <cell r="M71">
            <v>4</v>
          </cell>
          <cell r="N71" t="str">
            <v>Encastrée</v>
          </cell>
          <cell r="O71" t="str">
            <v>poches à souder</v>
          </cell>
          <cell r="P71" t="str">
            <v>Sandwich</v>
          </cell>
          <cell r="Q71">
            <v>1700</v>
          </cell>
          <cell r="R71">
            <v>3</v>
          </cell>
          <cell r="S71" t="str">
            <v>2 416 720.201</v>
          </cell>
          <cell r="T71" t="str">
            <v>non</v>
          </cell>
          <cell r="U71" t="str">
            <v>2 016 720.201</v>
          </cell>
          <cell r="V71" t="str">
            <v>non</v>
          </cell>
        </row>
        <row r="72">
          <cell r="K72">
            <v>2</v>
          </cell>
          <cell r="L72" t="str">
            <v>25mm</v>
          </cell>
          <cell r="M72">
            <v>4</v>
          </cell>
          <cell r="N72" t="str">
            <v>Encastrée</v>
          </cell>
          <cell r="O72" t="str">
            <v>poches à souder</v>
          </cell>
          <cell r="P72" t="str">
            <v>Sandwich</v>
          </cell>
          <cell r="Q72">
            <v>2100</v>
          </cell>
          <cell r="R72">
            <v>4</v>
          </cell>
          <cell r="S72" t="str">
            <v>2 416 726.201</v>
          </cell>
          <cell r="T72" t="str">
            <v>non</v>
          </cell>
          <cell r="U72" t="str">
            <v>2 016 726.201</v>
          </cell>
          <cell r="V72" t="str">
            <v>non</v>
          </cell>
        </row>
        <row r="73">
          <cell r="K73">
            <v>2</v>
          </cell>
          <cell r="L73" t="str">
            <v>25mm</v>
          </cell>
          <cell r="M73">
            <v>4</v>
          </cell>
          <cell r="N73" t="str">
            <v>Encastrée</v>
          </cell>
          <cell r="O73" t="str">
            <v>poches à souder</v>
          </cell>
          <cell r="P73" t="str">
            <v>Sandwich</v>
          </cell>
          <cell r="Q73">
            <v>2700</v>
          </cell>
          <cell r="R73">
            <v>5</v>
          </cell>
          <cell r="S73" t="str">
            <v>2 416 731.201</v>
          </cell>
          <cell r="T73" t="str">
            <v>non</v>
          </cell>
          <cell r="U73" t="str">
            <v>2 016 731.201</v>
          </cell>
          <cell r="V73" t="str">
            <v>non</v>
          </cell>
        </row>
        <row r="74">
          <cell r="K74">
            <v>2</v>
          </cell>
          <cell r="L74" t="str">
            <v>25mm</v>
          </cell>
          <cell r="M74">
            <v>4</v>
          </cell>
          <cell r="N74" t="str">
            <v>Encastrée</v>
          </cell>
          <cell r="O74" t="str">
            <v>poches à souder</v>
          </cell>
          <cell r="P74" t="str">
            <v>Kit</v>
          </cell>
          <cell r="Q74">
            <v>1700</v>
          </cell>
          <cell r="R74">
            <v>3</v>
          </cell>
          <cell r="S74" t="str">
            <v>2 416 720.301</v>
          </cell>
          <cell r="T74" t="str">
            <v>non</v>
          </cell>
          <cell r="U74" t="str">
            <v>2 016 720.301</v>
          </cell>
          <cell r="V74" t="str">
            <v>non</v>
          </cell>
        </row>
        <row r="75">
          <cell r="K75">
            <v>2</v>
          </cell>
          <cell r="L75" t="str">
            <v>25mm</v>
          </cell>
          <cell r="M75">
            <v>4</v>
          </cell>
          <cell r="N75" t="str">
            <v>Encastrée</v>
          </cell>
          <cell r="O75" t="str">
            <v>poches à souder</v>
          </cell>
          <cell r="P75" t="str">
            <v>Kit</v>
          </cell>
          <cell r="Q75">
            <v>2100</v>
          </cell>
          <cell r="R75">
            <v>4</v>
          </cell>
          <cell r="S75" t="str">
            <v>2 416 726.301</v>
          </cell>
          <cell r="T75" t="str">
            <v>non</v>
          </cell>
          <cell r="U75" t="str">
            <v>2 016 726.301</v>
          </cell>
          <cell r="V75" t="str">
            <v>non</v>
          </cell>
        </row>
        <row r="76">
          <cell r="K76">
            <v>2</v>
          </cell>
          <cell r="L76" t="str">
            <v>25mm</v>
          </cell>
          <cell r="M76">
            <v>4</v>
          </cell>
          <cell r="N76" t="str">
            <v>Encastrée</v>
          </cell>
          <cell r="O76" t="str">
            <v>poches à souder</v>
          </cell>
          <cell r="P76" t="str">
            <v>Kit</v>
          </cell>
          <cell r="Q76">
            <v>2700</v>
          </cell>
          <cell r="R76">
            <v>5</v>
          </cell>
          <cell r="S76" t="str">
            <v>2 416 731.301</v>
          </cell>
          <cell r="T76" t="str">
            <v>non</v>
          </cell>
          <cell r="U76" t="str">
            <v>2 016 731.301</v>
          </cell>
          <cell r="V76" t="str">
            <v>non</v>
          </cell>
        </row>
        <row r="77">
          <cell r="K77">
            <v>4</v>
          </cell>
          <cell r="L77" t="str">
            <v>25mm</v>
          </cell>
          <cell r="M77">
            <v>4</v>
          </cell>
          <cell r="N77" t="str">
            <v>boxer</v>
          </cell>
          <cell r="O77" t="str">
            <v>poches à visser</v>
          </cell>
          <cell r="P77" t="str">
            <v>Snap-lock</v>
          </cell>
          <cell r="Q77">
            <v>1700</v>
          </cell>
          <cell r="R77">
            <v>3</v>
          </cell>
          <cell r="S77" t="str">
            <v>2 510 920.102</v>
          </cell>
          <cell r="T77" t="str">
            <v>non</v>
          </cell>
          <cell r="U77" t="str">
            <v>2 010 920.102</v>
          </cell>
          <cell r="V77" t="str">
            <v>non</v>
          </cell>
        </row>
        <row r="78">
          <cell r="K78">
            <v>4</v>
          </cell>
          <cell r="L78" t="str">
            <v>25mm</v>
          </cell>
          <cell r="M78">
            <v>4</v>
          </cell>
          <cell r="N78" t="str">
            <v>boxer</v>
          </cell>
          <cell r="O78" t="str">
            <v>poches à visser</v>
          </cell>
          <cell r="P78" t="str">
            <v>Snap-lock</v>
          </cell>
          <cell r="Q78">
            <v>2100</v>
          </cell>
          <cell r="R78">
            <v>4</v>
          </cell>
          <cell r="S78" t="str">
            <v>2 510 926.102</v>
          </cell>
          <cell r="T78" t="str">
            <v>non</v>
          </cell>
          <cell r="U78" t="str">
            <v>2 010 926.102</v>
          </cell>
          <cell r="V78" t="str">
            <v>non</v>
          </cell>
        </row>
        <row r="79">
          <cell r="K79">
            <v>4</v>
          </cell>
          <cell r="L79" t="str">
            <v>25mm</v>
          </cell>
          <cell r="M79">
            <v>4</v>
          </cell>
          <cell r="N79" t="str">
            <v>boxer</v>
          </cell>
          <cell r="O79" t="str">
            <v>poches à visser</v>
          </cell>
          <cell r="P79" t="str">
            <v>Snap-lock</v>
          </cell>
          <cell r="Q79">
            <v>2700</v>
          </cell>
          <cell r="R79">
            <v>5</v>
          </cell>
          <cell r="S79" t="str">
            <v>2 510 931.102</v>
          </cell>
          <cell r="T79" t="str">
            <v>non</v>
          </cell>
          <cell r="U79" t="str">
            <v>2 010 931.102</v>
          </cell>
          <cell r="V79" t="str">
            <v>non</v>
          </cell>
        </row>
        <row r="80">
          <cell r="K80">
            <v>4</v>
          </cell>
          <cell r="L80" t="str">
            <v>25mm</v>
          </cell>
          <cell r="M80">
            <v>4</v>
          </cell>
          <cell r="N80" t="str">
            <v>boxer</v>
          </cell>
          <cell r="O80" t="str">
            <v>poches à visser</v>
          </cell>
          <cell r="P80" t="str">
            <v>Sandwich</v>
          </cell>
          <cell r="Q80">
            <v>1700</v>
          </cell>
          <cell r="R80">
            <v>3</v>
          </cell>
          <cell r="S80" t="str">
            <v>2 510 920.202</v>
          </cell>
          <cell r="T80" t="str">
            <v>non</v>
          </cell>
          <cell r="U80" t="str">
            <v>2 010 920.202</v>
          </cell>
          <cell r="V80" t="str">
            <v>non</v>
          </cell>
        </row>
        <row r="81">
          <cell r="K81">
            <v>4</v>
          </cell>
          <cell r="L81" t="str">
            <v>25mm</v>
          </cell>
          <cell r="M81">
            <v>4</v>
          </cell>
          <cell r="N81" t="str">
            <v>boxer</v>
          </cell>
          <cell r="O81" t="str">
            <v>poches à visser</v>
          </cell>
          <cell r="P81" t="str">
            <v>Sandwich</v>
          </cell>
          <cell r="Q81">
            <v>2100</v>
          </cell>
          <cell r="R81">
            <v>4</v>
          </cell>
          <cell r="S81" t="str">
            <v>2 510 926.202</v>
          </cell>
          <cell r="T81" t="str">
            <v>non</v>
          </cell>
          <cell r="U81" t="str">
            <v>2 010 926.202</v>
          </cell>
          <cell r="V81" t="str">
            <v>non</v>
          </cell>
        </row>
        <row r="82">
          <cell r="K82">
            <v>4</v>
          </cell>
          <cell r="L82" t="str">
            <v>25mm</v>
          </cell>
          <cell r="M82">
            <v>4</v>
          </cell>
          <cell r="N82" t="str">
            <v>boxer</v>
          </cell>
          <cell r="O82" t="str">
            <v>poches à visser</v>
          </cell>
          <cell r="P82" t="str">
            <v>Sandwich</v>
          </cell>
          <cell r="Q82">
            <v>2700</v>
          </cell>
          <cell r="R82">
            <v>5</v>
          </cell>
          <cell r="S82" t="str">
            <v>2 510 931.202</v>
          </cell>
          <cell r="T82" t="str">
            <v>non</v>
          </cell>
          <cell r="U82" t="str">
            <v>2 010 931.202</v>
          </cell>
          <cell r="V82" t="str">
            <v>non</v>
          </cell>
        </row>
        <row r="83">
          <cell r="K83">
            <v>4</v>
          </cell>
          <cell r="L83" t="str">
            <v>25mm</v>
          </cell>
          <cell r="M83">
            <v>4</v>
          </cell>
          <cell r="N83" t="str">
            <v>boxer</v>
          </cell>
          <cell r="O83" t="str">
            <v>poches à visser</v>
          </cell>
          <cell r="P83" t="str">
            <v>Kit</v>
          </cell>
          <cell r="Q83">
            <v>1700</v>
          </cell>
          <cell r="R83">
            <v>3</v>
          </cell>
          <cell r="S83" t="str">
            <v>2 510 920.302</v>
          </cell>
          <cell r="T83" t="str">
            <v>non</v>
          </cell>
          <cell r="U83" t="str">
            <v>2 010 920.302</v>
          </cell>
          <cell r="V83" t="str">
            <v>non</v>
          </cell>
        </row>
        <row r="84">
          <cell r="K84">
            <v>4</v>
          </cell>
          <cell r="L84" t="str">
            <v>25mm</v>
          </cell>
          <cell r="M84">
            <v>4</v>
          </cell>
          <cell r="N84" t="str">
            <v>boxer</v>
          </cell>
          <cell r="O84" t="str">
            <v>poches à visser</v>
          </cell>
          <cell r="P84" t="str">
            <v>Kit</v>
          </cell>
          <cell r="Q84">
            <v>2100</v>
          </cell>
          <cell r="R84">
            <v>4</v>
          </cell>
          <cell r="S84" t="str">
            <v>2 510 926.302</v>
          </cell>
          <cell r="T84" t="str">
            <v>non</v>
          </cell>
          <cell r="U84" t="str">
            <v>2 010 926.302</v>
          </cell>
          <cell r="V84" t="str">
            <v>non</v>
          </cell>
        </row>
        <row r="85">
          <cell r="K85">
            <v>4</v>
          </cell>
          <cell r="L85" t="str">
            <v>25mm</v>
          </cell>
          <cell r="M85">
            <v>4</v>
          </cell>
          <cell r="N85" t="str">
            <v>boxer</v>
          </cell>
          <cell r="O85" t="str">
            <v>poches à visser</v>
          </cell>
          <cell r="P85" t="str">
            <v>Kit</v>
          </cell>
          <cell r="Q85">
            <v>2700</v>
          </cell>
          <cell r="R85">
            <v>5</v>
          </cell>
          <cell r="S85" t="str">
            <v>2 510 931.302</v>
          </cell>
          <cell r="T85" t="str">
            <v>non</v>
          </cell>
          <cell r="U85" t="str">
            <v>2 010 931.302</v>
          </cell>
          <cell r="V85" t="str">
            <v>non</v>
          </cell>
        </row>
        <row r="86">
          <cell r="K86">
            <v>4</v>
          </cell>
          <cell r="L86" t="str">
            <v>25mm</v>
          </cell>
          <cell r="M86">
            <v>4</v>
          </cell>
          <cell r="N86" t="str">
            <v>boxer</v>
          </cell>
          <cell r="O86" t="str">
            <v>poches à souder</v>
          </cell>
          <cell r="P86" t="str">
            <v>Snap-lock</v>
          </cell>
          <cell r="Q86">
            <v>1700</v>
          </cell>
          <cell r="R86">
            <v>3</v>
          </cell>
          <cell r="S86" t="str">
            <v>2 510 920.101</v>
          </cell>
          <cell r="T86" t="str">
            <v>non</v>
          </cell>
          <cell r="U86" t="str">
            <v>2 010 920.101</v>
          </cell>
          <cell r="V86" t="str">
            <v>non</v>
          </cell>
        </row>
        <row r="87">
          <cell r="K87">
            <v>4</v>
          </cell>
          <cell r="L87" t="str">
            <v>25mm</v>
          </cell>
          <cell r="M87">
            <v>4</v>
          </cell>
          <cell r="N87" t="str">
            <v>boxer</v>
          </cell>
          <cell r="O87" t="str">
            <v>poches à souder</v>
          </cell>
          <cell r="P87" t="str">
            <v>Snap-lock</v>
          </cell>
          <cell r="Q87">
            <v>2100</v>
          </cell>
          <cell r="R87">
            <v>4</v>
          </cell>
          <cell r="S87" t="str">
            <v>2 510 926.101</v>
          </cell>
          <cell r="T87" t="str">
            <v>non</v>
          </cell>
          <cell r="U87" t="str">
            <v>2 010 926.101</v>
          </cell>
          <cell r="V87" t="str">
            <v>non</v>
          </cell>
        </row>
        <row r="88">
          <cell r="K88">
            <v>4</v>
          </cell>
          <cell r="L88" t="str">
            <v>25mm</v>
          </cell>
          <cell r="M88">
            <v>4</v>
          </cell>
          <cell r="N88" t="str">
            <v>boxer</v>
          </cell>
          <cell r="O88" t="str">
            <v>poches à souder</v>
          </cell>
          <cell r="P88" t="str">
            <v>Snap-lock</v>
          </cell>
          <cell r="Q88">
            <v>2700</v>
          </cell>
          <cell r="R88">
            <v>5</v>
          </cell>
          <cell r="S88" t="str">
            <v>2 510 931.101</v>
          </cell>
          <cell r="T88" t="str">
            <v>non</v>
          </cell>
          <cell r="U88" t="str">
            <v>2 010 931.101</v>
          </cell>
          <cell r="V88" t="str">
            <v>non</v>
          </cell>
        </row>
        <row r="89">
          <cell r="K89">
            <v>4</v>
          </cell>
          <cell r="L89" t="str">
            <v>25mm</v>
          </cell>
          <cell r="M89">
            <v>4</v>
          </cell>
          <cell r="N89" t="str">
            <v>boxer</v>
          </cell>
          <cell r="O89" t="str">
            <v>poches à souder</v>
          </cell>
          <cell r="P89" t="str">
            <v>Sandwich</v>
          </cell>
          <cell r="Q89">
            <v>1700</v>
          </cell>
          <cell r="R89">
            <v>3</v>
          </cell>
          <cell r="S89" t="str">
            <v>2 510 920.201</v>
          </cell>
          <cell r="T89" t="str">
            <v>non</v>
          </cell>
          <cell r="U89" t="str">
            <v>2 010 920.201</v>
          </cell>
          <cell r="V89" t="str">
            <v>non</v>
          </cell>
        </row>
        <row r="90">
          <cell r="K90">
            <v>4</v>
          </cell>
          <cell r="L90" t="str">
            <v>25mm</v>
          </cell>
          <cell r="M90">
            <v>4</v>
          </cell>
          <cell r="N90" t="str">
            <v>boxer</v>
          </cell>
          <cell r="O90" t="str">
            <v>poches à souder</v>
          </cell>
          <cell r="P90" t="str">
            <v>Sandwich</v>
          </cell>
          <cell r="Q90">
            <v>2100</v>
          </cell>
          <cell r="R90">
            <v>4</v>
          </cell>
          <cell r="S90" t="str">
            <v>2 510 926.201</v>
          </cell>
          <cell r="T90" t="str">
            <v>non</v>
          </cell>
          <cell r="U90" t="str">
            <v>2 010 926.201</v>
          </cell>
          <cell r="V90" t="str">
            <v>non</v>
          </cell>
        </row>
        <row r="91">
          <cell r="K91">
            <v>4</v>
          </cell>
          <cell r="L91" t="str">
            <v>25mm</v>
          </cell>
          <cell r="M91">
            <v>4</v>
          </cell>
          <cell r="N91" t="str">
            <v>boxer</v>
          </cell>
          <cell r="O91" t="str">
            <v>poches à souder</v>
          </cell>
          <cell r="P91" t="str">
            <v>Sandwich</v>
          </cell>
          <cell r="Q91">
            <v>2700</v>
          </cell>
          <cell r="R91">
            <v>5</v>
          </cell>
          <cell r="S91" t="str">
            <v>2 510 931.201</v>
          </cell>
          <cell r="T91" t="str">
            <v>non</v>
          </cell>
          <cell r="U91" t="str">
            <v>2 010 931.201</v>
          </cell>
          <cell r="V91" t="str">
            <v>non</v>
          </cell>
        </row>
        <row r="92">
          <cell r="K92">
            <v>4</v>
          </cell>
          <cell r="L92" t="str">
            <v>25mm</v>
          </cell>
          <cell r="M92">
            <v>4</v>
          </cell>
          <cell r="N92" t="str">
            <v>boxer</v>
          </cell>
          <cell r="O92" t="str">
            <v>poches à souder</v>
          </cell>
          <cell r="P92" t="str">
            <v>Kit</v>
          </cell>
          <cell r="Q92">
            <v>1700</v>
          </cell>
          <cell r="R92">
            <v>3</v>
          </cell>
          <cell r="S92" t="str">
            <v>2 510 920.301</v>
          </cell>
          <cell r="T92" t="str">
            <v>non</v>
          </cell>
          <cell r="U92" t="str">
            <v>2 010 920.301</v>
          </cell>
          <cell r="V92" t="str">
            <v>non</v>
          </cell>
        </row>
        <row r="93">
          <cell r="K93">
            <v>4</v>
          </cell>
          <cell r="L93" t="str">
            <v>25mm</v>
          </cell>
          <cell r="M93">
            <v>4</v>
          </cell>
          <cell r="N93" t="str">
            <v>boxer</v>
          </cell>
          <cell r="O93" t="str">
            <v>poches à souder</v>
          </cell>
          <cell r="P93" t="str">
            <v>Kit</v>
          </cell>
          <cell r="Q93">
            <v>2100</v>
          </cell>
          <cell r="R93">
            <v>4</v>
          </cell>
          <cell r="S93" t="str">
            <v>2 510 926.301</v>
          </cell>
          <cell r="T93" t="str">
            <v>non</v>
          </cell>
          <cell r="U93" t="str">
            <v>2 010 926.301</v>
          </cell>
          <cell r="V93" t="str">
            <v>non</v>
          </cell>
        </row>
        <row r="94">
          <cell r="K94">
            <v>4</v>
          </cell>
          <cell r="L94" t="str">
            <v>25mm</v>
          </cell>
          <cell r="M94">
            <v>4</v>
          </cell>
          <cell r="N94" t="str">
            <v>boxer</v>
          </cell>
          <cell r="O94" t="str">
            <v>poches à souder</v>
          </cell>
          <cell r="P94" t="str">
            <v>Kit</v>
          </cell>
          <cell r="Q94">
            <v>2700</v>
          </cell>
          <cell r="R94">
            <v>5</v>
          </cell>
          <cell r="S94" t="str">
            <v>2 510 931.301</v>
          </cell>
          <cell r="T94" t="str">
            <v>non</v>
          </cell>
          <cell r="U94" t="str">
            <v>2 010 931.301</v>
          </cell>
          <cell r="V94" t="str">
            <v>non</v>
          </cell>
        </row>
        <row r="95">
          <cell r="K95">
            <v>4</v>
          </cell>
          <cell r="L95" t="str">
            <v>25mm</v>
          </cell>
          <cell r="M95">
            <v>4</v>
          </cell>
          <cell r="N95" t="str">
            <v>Encastrée</v>
          </cell>
          <cell r="O95" t="str">
            <v>poches à visser</v>
          </cell>
          <cell r="P95" t="str">
            <v>Snap-lock</v>
          </cell>
          <cell r="Q95">
            <v>1700</v>
          </cell>
          <cell r="R95">
            <v>3</v>
          </cell>
          <cell r="S95" t="str">
            <v>2 516 920.102</v>
          </cell>
          <cell r="T95" t="str">
            <v>non</v>
          </cell>
          <cell r="U95" t="str">
            <v>2 016 920.102</v>
          </cell>
          <cell r="V95" t="str">
            <v>non</v>
          </cell>
        </row>
        <row r="96">
          <cell r="K96">
            <v>4</v>
          </cell>
          <cell r="L96" t="str">
            <v>25mm</v>
          </cell>
          <cell r="M96">
            <v>4</v>
          </cell>
          <cell r="N96" t="str">
            <v>Encastrée</v>
          </cell>
          <cell r="O96" t="str">
            <v>poches à visser</v>
          </cell>
          <cell r="P96" t="str">
            <v>Snap-lock</v>
          </cell>
          <cell r="Q96">
            <v>2100</v>
          </cell>
          <cell r="R96">
            <v>4</v>
          </cell>
          <cell r="S96" t="str">
            <v>2 516 926.102</v>
          </cell>
          <cell r="T96" t="str">
            <v>non</v>
          </cell>
          <cell r="U96" t="str">
            <v>2 016 926.102</v>
          </cell>
          <cell r="V96" t="str">
            <v>non</v>
          </cell>
        </row>
        <row r="97">
          <cell r="K97">
            <v>4</v>
          </cell>
          <cell r="L97" t="str">
            <v>25mm</v>
          </cell>
          <cell r="M97">
            <v>4</v>
          </cell>
          <cell r="N97" t="str">
            <v>Encastrée</v>
          </cell>
          <cell r="O97" t="str">
            <v>poches à visser</v>
          </cell>
          <cell r="P97" t="str">
            <v>Snap-lock</v>
          </cell>
          <cell r="Q97">
            <v>2700</v>
          </cell>
          <cell r="R97">
            <v>5</v>
          </cell>
          <cell r="S97" t="str">
            <v>2 516 931.102</v>
          </cell>
          <cell r="T97" t="str">
            <v>non</v>
          </cell>
          <cell r="U97" t="str">
            <v>2 016 931.102</v>
          </cell>
          <cell r="V97" t="str">
            <v>non</v>
          </cell>
        </row>
        <row r="98">
          <cell r="K98">
            <v>4</v>
          </cell>
          <cell r="L98" t="str">
            <v>25mm</v>
          </cell>
          <cell r="M98">
            <v>4</v>
          </cell>
          <cell r="N98" t="str">
            <v>Encastrée</v>
          </cell>
          <cell r="O98" t="str">
            <v>poches à visser</v>
          </cell>
          <cell r="P98" t="str">
            <v>Sandwich</v>
          </cell>
          <cell r="Q98">
            <v>1700</v>
          </cell>
          <cell r="R98">
            <v>3</v>
          </cell>
          <cell r="S98" t="str">
            <v>2 516 920.202</v>
          </cell>
          <cell r="T98" t="str">
            <v>non</v>
          </cell>
          <cell r="U98" t="str">
            <v>2 016 920.202</v>
          </cell>
          <cell r="V98" t="str">
            <v>non</v>
          </cell>
        </row>
        <row r="99">
          <cell r="K99">
            <v>4</v>
          </cell>
          <cell r="L99" t="str">
            <v>25mm</v>
          </cell>
          <cell r="M99">
            <v>4</v>
          </cell>
          <cell r="N99" t="str">
            <v>Encastrée</v>
          </cell>
          <cell r="O99" t="str">
            <v>poches à visser</v>
          </cell>
          <cell r="P99" t="str">
            <v>Sandwich</v>
          </cell>
          <cell r="Q99">
            <v>2100</v>
          </cell>
          <cell r="R99">
            <v>4</v>
          </cell>
          <cell r="S99" t="str">
            <v>2 516 926.202</v>
          </cell>
          <cell r="T99" t="str">
            <v>non</v>
          </cell>
          <cell r="U99" t="str">
            <v>2 016 926.202</v>
          </cell>
          <cell r="V99" t="str">
            <v>non</v>
          </cell>
        </row>
        <row r="100">
          <cell r="K100">
            <v>4</v>
          </cell>
          <cell r="L100" t="str">
            <v>25mm</v>
          </cell>
          <cell r="M100">
            <v>4</v>
          </cell>
          <cell r="N100" t="str">
            <v>Encastrée</v>
          </cell>
          <cell r="O100" t="str">
            <v>poches à visser</v>
          </cell>
          <cell r="P100" t="str">
            <v>Sandwich</v>
          </cell>
          <cell r="Q100">
            <v>2700</v>
          </cell>
          <cell r="R100">
            <v>5</v>
          </cell>
          <cell r="S100" t="str">
            <v>2 516 931.202</v>
          </cell>
          <cell r="T100" t="str">
            <v>non</v>
          </cell>
          <cell r="U100" t="str">
            <v>2 016 931.202</v>
          </cell>
          <cell r="V100" t="str">
            <v>non</v>
          </cell>
        </row>
        <row r="101">
          <cell r="K101">
            <v>4</v>
          </cell>
          <cell r="L101" t="str">
            <v>25mm</v>
          </cell>
          <cell r="M101">
            <v>4</v>
          </cell>
          <cell r="N101" t="str">
            <v>Encastrée</v>
          </cell>
          <cell r="O101" t="str">
            <v>poches à visser</v>
          </cell>
          <cell r="P101" t="str">
            <v>Kit</v>
          </cell>
          <cell r="Q101">
            <v>1700</v>
          </cell>
          <cell r="R101">
            <v>3</v>
          </cell>
          <cell r="S101" t="str">
            <v>2 516 920.302</v>
          </cell>
          <cell r="T101" t="str">
            <v>non</v>
          </cell>
          <cell r="U101" t="str">
            <v>2 016 920.302</v>
          </cell>
          <cell r="V101" t="str">
            <v>non</v>
          </cell>
        </row>
        <row r="102">
          <cell r="K102">
            <v>4</v>
          </cell>
          <cell r="L102" t="str">
            <v>25mm</v>
          </cell>
          <cell r="M102">
            <v>4</v>
          </cell>
          <cell r="N102" t="str">
            <v>Encastrée</v>
          </cell>
          <cell r="O102" t="str">
            <v>poches à visser</v>
          </cell>
          <cell r="P102" t="str">
            <v>Kit</v>
          </cell>
          <cell r="Q102">
            <v>2100</v>
          </cell>
          <cell r="R102">
            <v>4</v>
          </cell>
          <cell r="S102" t="str">
            <v>2 516 926.302</v>
          </cell>
          <cell r="T102" t="str">
            <v>non</v>
          </cell>
          <cell r="U102" t="str">
            <v>2 016 926.302</v>
          </cell>
          <cell r="V102" t="str">
            <v>non</v>
          </cell>
        </row>
        <row r="103">
          <cell r="K103">
            <v>4</v>
          </cell>
          <cell r="L103" t="str">
            <v>25mm</v>
          </cell>
          <cell r="M103">
            <v>4</v>
          </cell>
          <cell r="N103" t="str">
            <v>Encastrée</v>
          </cell>
          <cell r="O103" t="str">
            <v>poches à visser</v>
          </cell>
          <cell r="P103" t="str">
            <v>Kit</v>
          </cell>
          <cell r="Q103">
            <v>2700</v>
          </cell>
          <cell r="R103">
            <v>5</v>
          </cell>
          <cell r="S103" t="str">
            <v>2 516 931.302</v>
          </cell>
          <cell r="T103" t="str">
            <v>non</v>
          </cell>
          <cell r="U103" t="str">
            <v>2 016 931.302</v>
          </cell>
          <cell r="V103" t="str">
            <v>non</v>
          </cell>
        </row>
        <row r="104">
          <cell r="K104">
            <v>4</v>
          </cell>
          <cell r="L104" t="str">
            <v>25mm</v>
          </cell>
          <cell r="M104">
            <v>4</v>
          </cell>
          <cell r="N104" t="str">
            <v>Encastrée</v>
          </cell>
          <cell r="O104" t="str">
            <v>poches à souder</v>
          </cell>
          <cell r="P104" t="str">
            <v>Snap-lock</v>
          </cell>
          <cell r="Q104">
            <v>1700</v>
          </cell>
          <cell r="R104">
            <v>3</v>
          </cell>
          <cell r="S104" t="str">
            <v>2 416 920.101</v>
          </cell>
          <cell r="T104" t="str">
            <v>non</v>
          </cell>
          <cell r="U104" t="str">
            <v>2 016 920.101</v>
          </cell>
          <cell r="V104" t="str">
            <v>non</v>
          </cell>
        </row>
        <row r="105">
          <cell r="K105">
            <v>4</v>
          </cell>
          <cell r="L105" t="str">
            <v>25mm</v>
          </cell>
          <cell r="M105">
            <v>4</v>
          </cell>
          <cell r="N105" t="str">
            <v>Encastrée</v>
          </cell>
          <cell r="O105" t="str">
            <v>poches à souder</v>
          </cell>
          <cell r="P105" t="str">
            <v>Snap-lock</v>
          </cell>
          <cell r="Q105">
            <v>2100</v>
          </cell>
          <cell r="R105">
            <v>4</v>
          </cell>
          <cell r="S105" t="str">
            <v>2 416 926.101</v>
          </cell>
          <cell r="T105" t="str">
            <v>non</v>
          </cell>
          <cell r="U105" t="str">
            <v>2 016 926.101</v>
          </cell>
          <cell r="V105" t="str">
            <v>non</v>
          </cell>
        </row>
        <row r="106">
          <cell r="K106">
            <v>4</v>
          </cell>
          <cell r="L106" t="str">
            <v>25mm</v>
          </cell>
          <cell r="M106">
            <v>4</v>
          </cell>
          <cell r="N106" t="str">
            <v>Encastrée</v>
          </cell>
          <cell r="O106" t="str">
            <v>poches à souder</v>
          </cell>
          <cell r="P106" t="str">
            <v>Snap-lock</v>
          </cell>
          <cell r="Q106">
            <v>2700</v>
          </cell>
          <cell r="R106">
            <v>5</v>
          </cell>
          <cell r="S106" t="str">
            <v>2 416 931.101</v>
          </cell>
          <cell r="T106" t="str">
            <v>non</v>
          </cell>
          <cell r="U106" t="str">
            <v>2 016 931.101</v>
          </cell>
          <cell r="V106" t="str">
            <v>non</v>
          </cell>
        </row>
        <row r="107">
          <cell r="K107">
            <v>4</v>
          </cell>
          <cell r="L107" t="str">
            <v>25mm</v>
          </cell>
          <cell r="M107">
            <v>4</v>
          </cell>
          <cell r="N107" t="str">
            <v>Encastrée</v>
          </cell>
          <cell r="O107" t="str">
            <v>poches à souder</v>
          </cell>
          <cell r="P107" t="str">
            <v>Sandwich</v>
          </cell>
          <cell r="Q107">
            <v>1700</v>
          </cell>
          <cell r="R107">
            <v>3</v>
          </cell>
          <cell r="S107" t="str">
            <v>2 416 920.201</v>
          </cell>
          <cell r="T107" t="str">
            <v>non</v>
          </cell>
          <cell r="U107" t="str">
            <v>2 016 920.201</v>
          </cell>
          <cell r="V107" t="str">
            <v>non</v>
          </cell>
        </row>
        <row r="108">
          <cell r="K108">
            <v>4</v>
          </cell>
          <cell r="L108" t="str">
            <v>25mm</v>
          </cell>
          <cell r="M108">
            <v>4</v>
          </cell>
          <cell r="N108" t="str">
            <v>Encastrée</v>
          </cell>
          <cell r="O108" t="str">
            <v>poches à souder</v>
          </cell>
          <cell r="P108" t="str">
            <v>Sandwich</v>
          </cell>
          <cell r="Q108">
            <v>2100</v>
          </cell>
          <cell r="R108">
            <v>4</v>
          </cell>
          <cell r="S108" t="str">
            <v>2 416 926.201</v>
          </cell>
          <cell r="T108" t="str">
            <v>non</v>
          </cell>
          <cell r="U108" t="str">
            <v>2 016 926.201</v>
          </cell>
          <cell r="V108" t="str">
            <v>non</v>
          </cell>
        </row>
        <row r="109">
          <cell r="K109">
            <v>4</v>
          </cell>
          <cell r="L109" t="str">
            <v>25mm</v>
          </cell>
          <cell r="M109">
            <v>4</v>
          </cell>
          <cell r="N109" t="str">
            <v>Encastrée</v>
          </cell>
          <cell r="O109" t="str">
            <v>poches à souder</v>
          </cell>
          <cell r="P109" t="str">
            <v>Sandwich</v>
          </cell>
          <cell r="Q109">
            <v>2700</v>
          </cell>
          <cell r="R109">
            <v>5</v>
          </cell>
          <cell r="S109" t="str">
            <v>2 416 931.201</v>
          </cell>
          <cell r="T109" t="str">
            <v>non</v>
          </cell>
          <cell r="U109" t="str">
            <v>2 016 931.201</v>
          </cell>
          <cell r="V109" t="str">
            <v>non</v>
          </cell>
        </row>
        <row r="110">
          <cell r="K110">
            <v>4</v>
          </cell>
          <cell r="L110" t="str">
            <v>25mm</v>
          </cell>
          <cell r="M110">
            <v>4</v>
          </cell>
          <cell r="N110" t="str">
            <v>Encastrée</v>
          </cell>
          <cell r="O110" t="str">
            <v>poches à souder</v>
          </cell>
          <cell r="P110" t="str">
            <v>Kit</v>
          </cell>
          <cell r="Q110">
            <v>1700</v>
          </cell>
          <cell r="R110">
            <v>3</v>
          </cell>
          <cell r="S110" t="str">
            <v>2 416 920.301</v>
          </cell>
          <cell r="T110" t="str">
            <v>non</v>
          </cell>
          <cell r="U110" t="str">
            <v>2 016 920.301</v>
          </cell>
          <cell r="V110" t="str">
            <v>non</v>
          </cell>
        </row>
        <row r="111">
          <cell r="K111">
            <v>4</v>
          </cell>
          <cell r="L111" t="str">
            <v>25mm</v>
          </cell>
          <cell r="M111">
            <v>4</v>
          </cell>
          <cell r="N111" t="str">
            <v>Encastrée</v>
          </cell>
          <cell r="O111" t="str">
            <v>poches à souder</v>
          </cell>
          <cell r="P111" t="str">
            <v>Kit</v>
          </cell>
          <cell r="Q111">
            <v>2100</v>
          </cell>
          <cell r="R111">
            <v>4</v>
          </cell>
          <cell r="S111" t="str">
            <v>2 416 926.301</v>
          </cell>
          <cell r="T111" t="str">
            <v>non</v>
          </cell>
          <cell r="U111" t="str">
            <v>2 016 926.301</v>
          </cell>
          <cell r="V111" t="str">
            <v>non</v>
          </cell>
        </row>
        <row r="112">
          <cell r="K112">
            <v>4</v>
          </cell>
          <cell r="L112" t="str">
            <v>25mm</v>
          </cell>
          <cell r="M112">
            <v>4</v>
          </cell>
          <cell r="N112" t="str">
            <v>Encastrée</v>
          </cell>
          <cell r="O112" t="str">
            <v>poches à souder</v>
          </cell>
          <cell r="P112" t="str">
            <v>Kit</v>
          </cell>
          <cell r="Q112">
            <v>2700</v>
          </cell>
          <cell r="R112">
            <v>5</v>
          </cell>
          <cell r="S112" t="str">
            <v>2 416 931.301</v>
          </cell>
          <cell r="T112" t="str">
            <v>non</v>
          </cell>
          <cell r="U112" t="str">
            <v>2 016 931.301</v>
          </cell>
          <cell r="V112" t="str">
            <v>non</v>
          </cell>
        </row>
        <row r="113">
          <cell r="K113">
            <v>2</v>
          </cell>
          <cell r="L113" t="str">
            <v>30mm</v>
          </cell>
          <cell r="M113">
            <v>2</v>
          </cell>
          <cell r="N113" t="str">
            <v>boxer</v>
          </cell>
          <cell r="O113" t="str">
            <v>poches à visser</v>
          </cell>
          <cell r="P113" t="str">
            <v>Snap-lock</v>
          </cell>
          <cell r="Q113">
            <v>1700</v>
          </cell>
          <cell r="R113">
            <v>3</v>
          </cell>
          <cell r="S113" t="str">
            <v>2 510 620.102</v>
          </cell>
          <cell r="T113" t="str">
            <v>non</v>
          </cell>
          <cell r="U113" t="str">
            <v>2 310 620.102</v>
          </cell>
          <cell r="V113" t="str">
            <v>non</v>
          </cell>
        </row>
        <row r="114">
          <cell r="K114">
            <v>2</v>
          </cell>
          <cell r="L114" t="str">
            <v>30mm</v>
          </cell>
          <cell r="M114">
            <v>2</v>
          </cell>
          <cell r="N114" t="str">
            <v>boxer</v>
          </cell>
          <cell r="O114" t="str">
            <v>poches à visser</v>
          </cell>
          <cell r="P114" t="str">
            <v>Snap-lock</v>
          </cell>
          <cell r="Q114">
            <v>2100</v>
          </cell>
          <cell r="R114">
            <v>4</v>
          </cell>
          <cell r="S114" t="str">
            <v>2 510 626.102</v>
          </cell>
          <cell r="T114" t="str">
            <v>non</v>
          </cell>
          <cell r="U114" t="str">
            <v>2 310 626.102</v>
          </cell>
          <cell r="V114" t="str">
            <v>non</v>
          </cell>
        </row>
        <row r="115">
          <cell r="K115">
            <v>2</v>
          </cell>
          <cell r="L115" t="str">
            <v>30mm</v>
          </cell>
          <cell r="M115">
            <v>2</v>
          </cell>
          <cell r="N115" t="str">
            <v>boxer</v>
          </cell>
          <cell r="O115" t="str">
            <v>poches à visser</v>
          </cell>
          <cell r="P115" t="str">
            <v>Snap-lock</v>
          </cell>
          <cell r="Q115">
            <v>2700</v>
          </cell>
          <cell r="R115">
            <v>5</v>
          </cell>
          <cell r="S115" t="str">
            <v>2 510 631.102</v>
          </cell>
          <cell r="T115" t="str">
            <v>non</v>
          </cell>
          <cell r="U115" t="str">
            <v>2 310 631.102</v>
          </cell>
          <cell r="V115" t="str">
            <v>non</v>
          </cell>
        </row>
        <row r="116">
          <cell r="K116">
            <v>2</v>
          </cell>
          <cell r="L116" t="str">
            <v>30mm</v>
          </cell>
          <cell r="M116">
            <v>2</v>
          </cell>
          <cell r="N116" t="str">
            <v>boxer</v>
          </cell>
          <cell r="O116" t="str">
            <v>poches à visser</v>
          </cell>
          <cell r="P116" t="str">
            <v>Sandwich</v>
          </cell>
          <cell r="Q116">
            <v>1700</v>
          </cell>
          <cell r="R116">
            <v>3</v>
          </cell>
          <cell r="S116" t="str">
            <v>2 510 620.202</v>
          </cell>
          <cell r="T116" t="str">
            <v>non</v>
          </cell>
          <cell r="U116" t="str">
            <v>2 310 620.202</v>
          </cell>
          <cell r="V116" t="str">
            <v>non</v>
          </cell>
        </row>
        <row r="117">
          <cell r="K117">
            <v>2</v>
          </cell>
          <cell r="L117" t="str">
            <v>30mm</v>
          </cell>
          <cell r="M117">
            <v>2</v>
          </cell>
          <cell r="N117" t="str">
            <v>boxer</v>
          </cell>
          <cell r="O117" t="str">
            <v>poches à visser</v>
          </cell>
          <cell r="P117" t="str">
            <v>Sandwich</v>
          </cell>
          <cell r="Q117">
            <v>2100</v>
          </cell>
          <cell r="R117">
            <v>4</v>
          </cell>
          <cell r="S117" t="str">
            <v>2 510 626.202</v>
          </cell>
          <cell r="T117" t="str">
            <v>non</v>
          </cell>
          <cell r="U117" t="str">
            <v>2 310 626.202</v>
          </cell>
          <cell r="V117" t="str">
            <v>non</v>
          </cell>
        </row>
        <row r="118">
          <cell r="K118">
            <v>2</v>
          </cell>
          <cell r="L118" t="str">
            <v>30mm</v>
          </cell>
          <cell r="M118">
            <v>2</v>
          </cell>
          <cell r="N118" t="str">
            <v>boxer</v>
          </cell>
          <cell r="O118" t="str">
            <v>poches à visser</v>
          </cell>
          <cell r="P118" t="str">
            <v>Sandwich</v>
          </cell>
          <cell r="Q118">
            <v>2700</v>
          </cell>
          <cell r="R118">
            <v>5</v>
          </cell>
          <cell r="S118" t="str">
            <v>2 510 631.202</v>
          </cell>
          <cell r="T118" t="str">
            <v>non</v>
          </cell>
          <cell r="U118" t="str">
            <v>2 310 631.202</v>
          </cell>
          <cell r="V118" t="str">
            <v>non</v>
          </cell>
        </row>
        <row r="119">
          <cell r="K119">
            <v>2</v>
          </cell>
          <cell r="L119" t="str">
            <v>30mm</v>
          </cell>
          <cell r="M119">
            <v>2</v>
          </cell>
          <cell r="N119" t="str">
            <v>boxer</v>
          </cell>
          <cell r="O119" t="str">
            <v>poches à visser</v>
          </cell>
          <cell r="P119" t="str">
            <v>Kit</v>
          </cell>
          <cell r="Q119">
            <v>1700</v>
          </cell>
          <cell r="R119">
            <v>3</v>
          </cell>
          <cell r="S119" t="str">
            <v>2 510 620.302</v>
          </cell>
          <cell r="T119" t="str">
            <v>non</v>
          </cell>
          <cell r="U119" t="str">
            <v>2 310 620.302</v>
          </cell>
          <cell r="V119" t="str">
            <v>non</v>
          </cell>
        </row>
        <row r="120">
          <cell r="K120">
            <v>2</v>
          </cell>
          <cell r="L120" t="str">
            <v>30mm</v>
          </cell>
          <cell r="M120">
            <v>2</v>
          </cell>
          <cell r="N120" t="str">
            <v>boxer</v>
          </cell>
          <cell r="O120" t="str">
            <v>poches à visser</v>
          </cell>
          <cell r="P120" t="str">
            <v>Kit</v>
          </cell>
          <cell r="Q120">
            <v>2100</v>
          </cell>
          <cell r="R120">
            <v>4</v>
          </cell>
          <cell r="S120" t="str">
            <v>2 510 626.302</v>
          </cell>
          <cell r="T120" t="str">
            <v>non</v>
          </cell>
          <cell r="U120" t="str">
            <v>2 310 626.302</v>
          </cell>
          <cell r="V120" t="str">
            <v>non</v>
          </cell>
        </row>
        <row r="121">
          <cell r="K121">
            <v>2</v>
          </cell>
          <cell r="L121" t="str">
            <v>30mm</v>
          </cell>
          <cell r="M121">
            <v>2</v>
          </cell>
          <cell r="N121" t="str">
            <v>boxer</v>
          </cell>
          <cell r="O121" t="str">
            <v>poches à visser</v>
          </cell>
          <cell r="P121" t="str">
            <v>Kit</v>
          </cell>
          <cell r="Q121">
            <v>2700</v>
          </cell>
          <cell r="R121">
            <v>5</v>
          </cell>
          <cell r="S121" t="str">
            <v>2 510 631.302</v>
          </cell>
          <cell r="T121" t="str">
            <v>non</v>
          </cell>
          <cell r="U121" t="str">
            <v>2 310 631.302</v>
          </cell>
          <cell r="V121" t="str">
            <v>non</v>
          </cell>
        </row>
        <row r="122">
          <cell r="K122">
            <v>2</v>
          </cell>
          <cell r="L122" t="str">
            <v>30mm</v>
          </cell>
          <cell r="M122">
            <v>2</v>
          </cell>
          <cell r="N122" t="str">
            <v>boxer</v>
          </cell>
          <cell r="O122" t="str">
            <v>poches à souder</v>
          </cell>
          <cell r="P122" t="str">
            <v>Snap-lock</v>
          </cell>
          <cell r="Q122">
            <v>1700</v>
          </cell>
          <cell r="R122">
            <v>3</v>
          </cell>
          <cell r="S122" t="str">
            <v>2 510 720.101</v>
          </cell>
          <cell r="T122" t="str">
            <v>non</v>
          </cell>
          <cell r="U122" t="str">
            <v>2 310 620.101</v>
          </cell>
          <cell r="V122" t="str">
            <v>non</v>
          </cell>
        </row>
        <row r="123">
          <cell r="K123">
            <v>2</v>
          </cell>
          <cell r="L123" t="str">
            <v>30mm</v>
          </cell>
          <cell r="M123">
            <v>2</v>
          </cell>
          <cell r="N123" t="str">
            <v>boxer</v>
          </cell>
          <cell r="O123" t="str">
            <v>poches à souder</v>
          </cell>
          <cell r="P123" t="str">
            <v>Snap-lock</v>
          </cell>
          <cell r="Q123">
            <v>2100</v>
          </cell>
          <cell r="R123">
            <v>4</v>
          </cell>
          <cell r="S123" t="str">
            <v>2 510 726.101</v>
          </cell>
          <cell r="T123" t="str">
            <v>non</v>
          </cell>
          <cell r="U123" t="str">
            <v>2 310 626.101</v>
          </cell>
          <cell r="V123" t="str">
            <v>non</v>
          </cell>
        </row>
        <row r="124">
          <cell r="K124">
            <v>2</v>
          </cell>
          <cell r="L124" t="str">
            <v>30mm</v>
          </cell>
          <cell r="M124">
            <v>2</v>
          </cell>
          <cell r="N124" t="str">
            <v>boxer</v>
          </cell>
          <cell r="O124" t="str">
            <v>poches à souder</v>
          </cell>
          <cell r="P124" t="str">
            <v>Snap-lock</v>
          </cell>
          <cell r="Q124">
            <v>2700</v>
          </cell>
          <cell r="R124">
            <v>5</v>
          </cell>
          <cell r="S124" t="str">
            <v>2 510 731.101</v>
          </cell>
          <cell r="T124" t="str">
            <v>non</v>
          </cell>
          <cell r="U124" t="str">
            <v>2 310 631.101</v>
          </cell>
          <cell r="V124" t="str">
            <v>non</v>
          </cell>
        </row>
        <row r="125">
          <cell r="K125">
            <v>2</v>
          </cell>
          <cell r="L125" t="str">
            <v>30mm</v>
          </cell>
          <cell r="M125">
            <v>2</v>
          </cell>
          <cell r="N125" t="str">
            <v>boxer</v>
          </cell>
          <cell r="O125" t="str">
            <v>poches à souder</v>
          </cell>
          <cell r="P125" t="str">
            <v>Sandwich</v>
          </cell>
          <cell r="Q125">
            <v>1700</v>
          </cell>
          <cell r="R125">
            <v>3</v>
          </cell>
          <cell r="S125" t="str">
            <v>2 510 720.201</v>
          </cell>
          <cell r="T125" t="str">
            <v>non</v>
          </cell>
          <cell r="U125" t="str">
            <v>2 310 620.201</v>
          </cell>
          <cell r="V125" t="str">
            <v>non</v>
          </cell>
        </row>
        <row r="126">
          <cell r="K126">
            <v>2</v>
          </cell>
          <cell r="L126" t="str">
            <v>30mm</v>
          </cell>
          <cell r="M126">
            <v>2</v>
          </cell>
          <cell r="N126" t="str">
            <v>boxer</v>
          </cell>
          <cell r="O126" t="str">
            <v>poches à souder</v>
          </cell>
          <cell r="P126" t="str">
            <v>Sandwich</v>
          </cell>
          <cell r="Q126">
            <v>2100</v>
          </cell>
          <cell r="R126">
            <v>4</v>
          </cell>
          <cell r="S126" t="str">
            <v>2 510 726.201</v>
          </cell>
          <cell r="T126" t="str">
            <v>non</v>
          </cell>
          <cell r="U126" t="str">
            <v>2 310 626.201</v>
          </cell>
          <cell r="V126" t="str">
            <v>non</v>
          </cell>
        </row>
        <row r="127">
          <cell r="K127">
            <v>2</v>
          </cell>
          <cell r="L127" t="str">
            <v>30mm</v>
          </cell>
          <cell r="M127">
            <v>2</v>
          </cell>
          <cell r="N127" t="str">
            <v>boxer</v>
          </cell>
          <cell r="O127" t="str">
            <v>poches à souder</v>
          </cell>
          <cell r="P127" t="str">
            <v>Sandwich</v>
          </cell>
          <cell r="Q127">
            <v>2700</v>
          </cell>
          <cell r="R127">
            <v>5</v>
          </cell>
          <cell r="S127" t="str">
            <v>2 510 731.201</v>
          </cell>
          <cell r="T127" t="str">
            <v>non</v>
          </cell>
          <cell r="U127" t="str">
            <v>2 310 631.201</v>
          </cell>
          <cell r="V127" t="str">
            <v>non</v>
          </cell>
        </row>
        <row r="128">
          <cell r="K128">
            <v>2</v>
          </cell>
          <cell r="L128" t="str">
            <v>30mm</v>
          </cell>
          <cell r="M128">
            <v>2</v>
          </cell>
          <cell r="N128" t="str">
            <v>boxer</v>
          </cell>
          <cell r="O128" t="str">
            <v>poches à souder</v>
          </cell>
          <cell r="P128" t="str">
            <v>Kit</v>
          </cell>
          <cell r="Q128">
            <v>1700</v>
          </cell>
          <cell r="R128">
            <v>3</v>
          </cell>
          <cell r="S128" t="str">
            <v>2 510 720.301</v>
          </cell>
          <cell r="T128" t="str">
            <v>non</v>
          </cell>
          <cell r="U128" t="str">
            <v>2 310 620.301</v>
          </cell>
          <cell r="V128" t="str">
            <v>non</v>
          </cell>
        </row>
        <row r="129">
          <cell r="K129">
            <v>2</v>
          </cell>
          <cell r="L129" t="str">
            <v>30mm</v>
          </cell>
          <cell r="M129">
            <v>2</v>
          </cell>
          <cell r="N129" t="str">
            <v>boxer</v>
          </cell>
          <cell r="O129" t="str">
            <v>poches à souder</v>
          </cell>
          <cell r="P129" t="str">
            <v>Kit</v>
          </cell>
          <cell r="Q129">
            <v>2100</v>
          </cell>
          <cell r="R129">
            <v>4</v>
          </cell>
          <cell r="S129" t="str">
            <v>2 510 726.301</v>
          </cell>
          <cell r="T129" t="str">
            <v>non</v>
          </cell>
          <cell r="U129" t="str">
            <v>2 310 626.301</v>
          </cell>
          <cell r="V129" t="str">
            <v>non</v>
          </cell>
        </row>
        <row r="130">
          <cell r="K130">
            <v>2</v>
          </cell>
          <cell r="L130" t="str">
            <v>30mm</v>
          </cell>
          <cell r="M130">
            <v>2</v>
          </cell>
          <cell r="N130" t="str">
            <v>boxer</v>
          </cell>
          <cell r="O130" t="str">
            <v>poches à souder</v>
          </cell>
          <cell r="P130" t="str">
            <v>Kit</v>
          </cell>
          <cell r="Q130">
            <v>2700</v>
          </cell>
          <cell r="R130">
            <v>5</v>
          </cell>
          <cell r="S130" t="str">
            <v>2 510 731.301</v>
          </cell>
          <cell r="T130" t="str">
            <v>non</v>
          </cell>
          <cell r="U130" t="str">
            <v>2 310 631.301</v>
          </cell>
          <cell r="V130" t="str">
            <v>non</v>
          </cell>
        </row>
        <row r="131">
          <cell r="K131">
            <v>2</v>
          </cell>
          <cell r="L131" t="str">
            <v>30mm</v>
          </cell>
          <cell r="M131">
            <v>4</v>
          </cell>
          <cell r="N131" t="str">
            <v>boxer</v>
          </cell>
          <cell r="O131" t="str">
            <v>poches à visser</v>
          </cell>
          <cell r="P131" t="str">
            <v>Snap-lock</v>
          </cell>
          <cell r="Q131">
            <v>1700</v>
          </cell>
          <cell r="R131">
            <v>3</v>
          </cell>
          <cell r="S131" t="str">
            <v>2 510 720.102</v>
          </cell>
          <cell r="T131" t="str">
            <v>non</v>
          </cell>
          <cell r="U131" t="str">
            <v>2 310 720.102</v>
          </cell>
          <cell r="V131" t="str">
            <v>non</v>
          </cell>
        </row>
        <row r="132">
          <cell r="K132">
            <v>2</v>
          </cell>
          <cell r="L132" t="str">
            <v>30mm</v>
          </cell>
          <cell r="M132">
            <v>4</v>
          </cell>
          <cell r="N132" t="str">
            <v>boxer</v>
          </cell>
          <cell r="O132" t="str">
            <v>poches à visser</v>
          </cell>
          <cell r="P132" t="str">
            <v>Snap-lock</v>
          </cell>
          <cell r="Q132">
            <v>2100</v>
          </cell>
          <cell r="R132">
            <v>4</v>
          </cell>
          <cell r="S132" t="str">
            <v>2 510 726.102</v>
          </cell>
          <cell r="T132" t="str">
            <v>non</v>
          </cell>
          <cell r="U132" t="str">
            <v>2 310 726.102</v>
          </cell>
          <cell r="V132" t="str">
            <v>non</v>
          </cell>
        </row>
        <row r="133">
          <cell r="K133">
            <v>2</v>
          </cell>
          <cell r="L133" t="str">
            <v>30mm</v>
          </cell>
          <cell r="M133">
            <v>4</v>
          </cell>
          <cell r="N133" t="str">
            <v>boxer</v>
          </cell>
          <cell r="O133" t="str">
            <v>poches à visser</v>
          </cell>
          <cell r="P133" t="str">
            <v>Snap-lock</v>
          </cell>
          <cell r="Q133">
            <v>2700</v>
          </cell>
          <cell r="R133">
            <v>5</v>
          </cell>
          <cell r="S133" t="str">
            <v>2 510 731.102</v>
          </cell>
          <cell r="T133" t="str">
            <v>non</v>
          </cell>
          <cell r="U133" t="str">
            <v>2 310 731.102</v>
          </cell>
          <cell r="V133" t="str">
            <v>non</v>
          </cell>
        </row>
        <row r="134">
          <cell r="K134">
            <v>2</v>
          </cell>
          <cell r="L134" t="str">
            <v>30mm</v>
          </cell>
          <cell r="M134">
            <v>4</v>
          </cell>
          <cell r="N134" t="str">
            <v>boxer</v>
          </cell>
          <cell r="O134" t="str">
            <v>poches à visser</v>
          </cell>
          <cell r="P134" t="str">
            <v>Sandwich</v>
          </cell>
          <cell r="Q134">
            <v>1700</v>
          </cell>
          <cell r="R134">
            <v>3</v>
          </cell>
          <cell r="S134" t="str">
            <v>2 510 720.202</v>
          </cell>
          <cell r="T134" t="str">
            <v>non</v>
          </cell>
          <cell r="U134" t="str">
            <v>2 310 720.202</v>
          </cell>
          <cell r="V134" t="str">
            <v>non</v>
          </cell>
        </row>
        <row r="135">
          <cell r="K135">
            <v>2</v>
          </cell>
          <cell r="L135" t="str">
            <v>30mm</v>
          </cell>
          <cell r="M135">
            <v>4</v>
          </cell>
          <cell r="N135" t="str">
            <v>boxer</v>
          </cell>
          <cell r="O135" t="str">
            <v>poches à visser</v>
          </cell>
          <cell r="P135" t="str">
            <v>Sandwich</v>
          </cell>
          <cell r="Q135">
            <v>2100</v>
          </cell>
          <cell r="R135">
            <v>4</v>
          </cell>
          <cell r="S135" t="str">
            <v>2 510 726.202</v>
          </cell>
          <cell r="T135" t="str">
            <v>non</v>
          </cell>
          <cell r="U135" t="str">
            <v>2 310 726.202</v>
          </cell>
          <cell r="V135" t="str">
            <v>non</v>
          </cell>
        </row>
        <row r="136">
          <cell r="K136">
            <v>2</v>
          </cell>
          <cell r="L136" t="str">
            <v>30mm</v>
          </cell>
          <cell r="M136">
            <v>4</v>
          </cell>
          <cell r="N136" t="str">
            <v>boxer</v>
          </cell>
          <cell r="O136" t="str">
            <v>poches à visser</v>
          </cell>
          <cell r="P136" t="str">
            <v>Sandwich</v>
          </cell>
          <cell r="Q136">
            <v>2700</v>
          </cell>
          <cell r="R136">
            <v>5</v>
          </cell>
          <cell r="S136" t="str">
            <v>2 510 731.202</v>
          </cell>
          <cell r="T136" t="str">
            <v>non</v>
          </cell>
          <cell r="U136" t="str">
            <v>2 310 731.202</v>
          </cell>
          <cell r="V136" t="str">
            <v>non</v>
          </cell>
        </row>
        <row r="137">
          <cell r="K137">
            <v>2</v>
          </cell>
          <cell r="L137" t="str">
            <v>30mm</v>
          </cell>
          <cell r="M137">
            <v>4</v>
          </cell>
          <cell r="N137" t="str">
            <v>boxer</v>
          </cell>
          <cell r="O137" t="str">
            <v>poches à visser</v>
          </cell>
          <cell r="P137" t="str">
            <v>Kit</v>
          </cell>
          <cell r="Q137">
            <v>1700</v>
          </cell>
          <cell r="R137">
            <v>3</v>
          </cell>
          <cell r="S137" t="str">
            <v>2 510 720.302</v>
          </cell>
          <cell r="T137" t="str">
            <v>non</v>
          </cell>
          <cell r="U137" t="str">
            <v>2 310 720.302</v>
          </cell>
          <cell r="V137" t="str">
            <v>non</v>
          </cell>
        </row>
        <row r="138">
          <cell r="K138">
            <v>2</v>
          </cell>
          <cell r="L138" t="str">
            <v>30mm</v>
          </cell>
          <cell r="M138">
            <v>4</v>
          </cell>
          <cell r="N138" t="str">
            <v>boxer</v>
          </cell>
          <cell r="O138" t="str">
            <v>poches à visser</v>
          </cell>
          <cell r="P138" t="str">
            <v>Kit</v>
          </cell>
          <cell r="Q138">
            <v>2100</v>
          </cell>
          <cell r="R138">
            <v>4</v>
          </cell>
          <cell r="S138" t="str">
            <v>2 510 726.302</v>
          </cell>
          <cell r="T138" t="str">
            <v>non</v>
          </cell>
          <cell r="U138" t="str">
            <v>2 310 726.302</v>
          </cell>
          <cell r="V138" t="str">
            <v>non</v>
          </cell>
        </row>
        <row r="139">
          <cell r="K139">
            <v>2</v>
          </cell>
          <cell r="L139" t="str">
            <v>30mm</v>
          </cell>
          <cell r="M139">
            <v>4</v>
          </cell>
          <cell r="N139" t="str">
            <v>boxer</v>
          </cell>
          <cell r="O139" t="str">
            <v>poches à visser</v>
          </cell>
          <cell r="P139" t="str">
            <v>Kit</v>
          </cell>
          <cell r="Q139">
            <v>2700</v>
          </cell>
          <cell r="R139">
            <v>5</v>
          </cell>
          <cell r="S139" t="str">
            <v>2 510 731.302</v>
          </cell>
          <cell r="T139" t="str">
            <v>non</v>
          </cell>
          <cell r="U139" t="str">
            <v>2 310 731.302</v>
          </cell>
          <cell r="V139" t="str">
            <v>non</v>
          </cell>
        </row>
        <row r="140">
          <cell r="K140">
            <v>2</v>
          </cell>
          <cell r="L140" t="str">
            <v>30mm</v>
          </cell>
          <cell r="M140">
            <v>4</v>
          </cell>
          <cell r="N140" t="str">
            <v>boxer</v>
          </cell>
          <cell r="O140" t="str">
            <v>poches à souder</v>
          </cell>
          <cell r="P140" t="str">
            <v>Snap-lock</v>
          </cell>
          <cell r="Q140">
            <v>1700</v>
          </cell>
          <cell r="R140">
            <v>3</v>
          </cell>
          <cell r="S140" t="str">
            <v>2 510 720.101</v>
          </cell>
          <cell r="T140" t="str">
            <v>non</v>
          </cell>
          <cell r="U140" t="str">
            <v>2 310 720.101</v>
          </cell>
          <cell r="V140" t="str">
            <v>non</v>
          </cell>
        </row>
        <row r="141">
          <cell r="K141">
            <v>2</v>
          </cell>
          <cell r="L141" t="str">
            <v>30mm</v>
          </cell>
          <cell r="M141">
            <v>4</v>
          </cell>
          <cell r="N141" t="str">
            <v>boxer</v>
          </cell>
          <cell r="O141" t="str">
            <v>poches à souder</v>
          </cell>
          <cell r="P141" t="str">
            <v>Snap-lock</v>
          </cell>
          <cell r="Q141">
            <v>2100</v>
          </cell>
          <cell r="R141">
            <v>4</v>
          </cell>
          <cell r="S141" t="str">
            <v>2 510 726.101</v>
          </cell>
          <cell r="T141" t="str">
            <v>non</v>
          </cell>
          <cell r="U141" t="str">
            <v>2 310 726.101</v>
          </cell>
          <cell r="V141" t="str">
            <v>non</v>
          </cell>
        </row>
        <row r="142">
          <cell r="K142">
            <v>2</v>
          </cell>
          <cell r="L142" t="str">
            <v>30mm</v>
          </cell>
          <cell r="M142">
            <v>4</v>
          </cell>
          <cell r="N142" t="str">
            <v>boxer</v>
          </cell>
          <cell r="O142" t="str">
            <v>poches à souder</v>
          </cell>
          <cell r="P142" t="str">
            <v>Snap-lock</v>
          </cell>
          <cell r="Q142">
            <v>2700</v>
          </cell>
          <cell r="R142">
            <v>5</v>
          </cell>
          <cell r="S142" t="str">
            <v>2 510 731.101</v>
          </cell>
          <cell r="T142" t="str">
            <v>non</v>
          </cell>
          <cell r="U142" t="str">
            <v>2 310 731.101</v>
          </cell>
          <cell r="V142" t="str">
            <v>non</v>
          </cell>
        </row>
        <row r="143">
          <cell r="K143">
            <v>2</v>
          </cell>
          <cell r="L143" t="str">
            <v>30mm</v>
          </cell>
          <cell r="M143">
            <v>4</v>
          </cell>
          <cell r="N143" t="str">
            <v>boxer</v>
          </cell>
          <cell r="O143" t="str">
            <v>poches à souder</v>
          </cell>
          <cell r="P143" t="str">
            <v>Sandwich</v>
          </cell>
          <cell r="Q143">
            <v>1700</v>
          </cell>
          <cell r="R143">
            <v>3</v>
          </cell>
          <cell r="S143" t="str">
            <v>2 510 720.201</v>
          </cell>
          <cell r="T143" t="str">
            <v>non</v>
          </cell>
          <cell r="U143" t="str">
            <v>2 310 720.201</v>
          </cell>
          <cell r="V143" t="str">
            <v>non</v>
          </cell>
        </row>
        <row r="144">
          <cell r="K144">
            <v>2</v>
          </cell>
          <cell r="L144" t="str">
            <v>30mm</v>
          </cell>
          <cell r="M144">
            <v>4</v>
          </cell>
          <cell r="N144" t="str">
            <v>boxer</v>
          </cell>
          <cell r="O144" t="str">
            <v>poches à souder</v>
          </cell>
          <cell r="P144" t="str">
            <v>Sandwich</v>
          </cell>
          <cell r="Q144">
            <v>2100</v>
          </cell>
          <cell r="R144">
            <v>4</v>
          </cell>
          <cell r="S144" t="str">
            <v>2 510 726.201</v>
          </cell>
          <cell r="T144" t="str">
            <v>non</v>
          </cell>
          <cell r="U144" t="str">
            <v>2 310 726.201</v>
          </cell>
          <cell r="V144" t="str">
            <v>non</v>
          </cell>
        </row>
        <row r="145">
          <cell r="K145">
            <v>2</v>
          </cell>
          <cell r="L145" t="str">
            <v>30mm</v>
          </cell>
          <cell r="M145">
            <v>4</v>
          </cell>
          <cell r="N145" t="str">
            <v>boxer</v>
          </cell>
          <cell r="O145" t="str">
            <v>poches à souder</v>
          </cell>
          <cell r="P145" t="str">
            <v>Sandwich</v>
          </cell>
          <cell r="Q145">
            <v>2700</v>
          </cell>
          <cell r="R145">
            <v>5</v>
          </cell>
          <cell r="S145" t="str">
            <v>2 510 731.201</v>
          </cell>
          <cell r="T145" t="str">
            <v>non</v>
          </cell>
          <cell r="U145" t="str">
            <v>2 310 731.201</v>
          </cell>
          <cell r="V145" t="str">
            <v>non</v>
          </cell>
        </row>
        <row r="146">
          <cell r="K146">
            <v>2</v>
          </cell>
          <cell r="L146" t="str">
            <v>30mm</v>
          </cell>
          <cell r="M146">
            <v>4</v>
          </cell>
          <cell r="N146" t="str">
            <v>boxer</v>
          </cell>
          <cell r="O146" t="str">
            <v>poches à souder</v>
          </cell>
          <cell r="P146" t="str">
            <v>Kit</v>
          </cell>
          <cell r="Q146">
            <v>1700</v>
          </cell>
          <cell r="R146">
            <v>3</v>
          </cell>
          <cell r="S146" t="str">
            <v>2 510 720.301</v>
          </cell>
          <cell r="T146" t="str">
            <v>non</v>
          </cell>
          <cell r="U146" t="str">
            <v>2 310 720.301</v>
          </cell>
          <cell r="V146" t="str">
            <v>non</v>
          </cell>
        </row>
        <row r="147">
          <cell r="K147">
            <v>2</v>
          </cell>
          <cell r="L147" t="str">
            <v>30mm</v>
          </cell>
          <cell r="M147">
            <v>4</v>
          </cell>
          <cell r="N147" t="str">
            <v>boxer</v>
          </cell>
          <cell r="O147" t="str">
            <v>poches à souder</v>
          </cell>
          <cell r="P147" t="str">
            <v>Kit</v>
          </cell>
          <cell r="Q147">
            <v>2100</v>
          </cell>
          <cell r="R147">
            <v>4</v>
          </cell>
          <cell r="S147" t="str">
            <v>2 510 726.301</v>
          </cell>
          <cell r="T147" t="str">
            <v>non</v>
          </cell>
          <cell r="U147" t="str">
            <v>2 310 726.301</v>
          </cell>
          <cell r="V147" t="str">
            <v>non</v>
          </cell>
        </row>
        <row r="148">
          <cell r="K148">
            <v>2</v>
          </cell>
          <cell r="L148" t="str">
            <v>30mm</v>
          </cell>
          <cell r="M148">
            <v>4</v>
          </cell>
          <cell r="N148" t="str">
            <v>boxer</v>
          </cell>
          <cell r="O148" t="str">
            <v>poches à souder</v>
          </cell>
          <cell r="P148" t="str">
            <v>Kit</v>
          </cell>
          <cell r="Q148">
            <v>2700</v>
          </cell>
          <cell r="R148">
            <v>5</v>
          </cell>
          <cell r="S148" t="str">
            <v>2 510 731.301</v>
          </cell>
          <cell r="T148" t="str">
            <v>non</v>
          </cell>
          <cell r="U148" t="str">
            <v>2 310 731.301</v>
          </cell>
          <cell r="V148" t="str">
            <v>non</v>
          </cell>
        </row>
        <row r="149">
          <cell r="K149">
            <v>2</v>
          </cell>
          <cell r="L149" t="str">
            <v>30mm</v>
          </cell>
          <cell r="M149">
            <v>2</v>
          </cell>
          <cell r="N149" t="str">
            <v>Encastrée</v>
          </cell>
          <cell r="O149" t="str">
            <v>poches à visser</v>
          </cell>
          <cell r="P149" t="str">
            <v>Snap-lock</v>
          </cell>
          <cell r="Q149">
            <v>1700</v>
          </cell>
          <cell r="R149">
            <v>3</v>
          </cell>
          <cell r="S149" t="str">
            <v>2 516 620.102</v>
          </cell>
          <cell r="T149" t="str">
            <v>non</v>
          </cell>
          <cell r="U149" t="str">
            <v>2 316 620.102</v>
          </cell>
          <cell r="V149" t="str">
            <v>non</v>
          </cell>
        </row>
        <row r="150">
          <cell r="K150">
            <v>2</v>
          </cell>
          <cell r="L150" t="str">
            <v>30mm</v>
          </cell>
          <cell r="M150">
            <v>2</v>
          </cell>
          <cell r="N150" t="str">
            <v>Encastrée</v>
          </cell>
          <cell r="O150" t="str">
            <v>poches à visser</v>
          </cell>
          <cell r="P150" t="str">
            <v>Snap-lock</v>
          </cell>
          <cell r="Q150">
            <v>2100</v>
          </cell>
          <cell r="R150">
            <v>4</v>
          </cell>
          <cell r="S150" t="str">
            <v>2 516 626.102</v>
          </cell>
          <cell r="T150" t="str">
            <v>non</v>
          </cell>
          <cell r="U150" t="str">
            <v>2 316 626.102</v>
          </cell>
          <cell r="V150" t="str">
            <v>non</v>
          </cell>
        </row>
        <row r="151">
          <cell r="K151">
            <v>2</v>
          </cell>
          <cell r="L151" t="str">
            <v>30mm</v>
          </cell>
          <cell r="M151">
            <v>2</v>
          </cell>
          <cell r="N151" t="str">
            <v>Encastrée</v>
          </cell>
          <cell r="O151" t="str">
            <v>poches à visser</v>
          </cell>
          <cell r="P151" t="str">
            <v>Snap-lock</v>
          </cell>
          <cell r="Q151">
            <v>2700</v>
          </cell>
          <cell r="R151">
            <v>5</v>
          </cell>
          <cell r="S151" t="str">
            <v>2 516 631.102</v>
          </cell>
          <cell r="T151" t="str">
            <v>non</v>
          </cell>
          <cell r="U151" t="str">
            <v>2 316 631.102</v>
          </cell>
          <cell r="V151" t="str">
            <v>non</v>
          </cell>
        </row>
        <row r="152">
          <cell r="K152">
            <v>2</v>
          </cell>
          <cell r="L152" t="str">
            <v>30mm</v>
          </cell>
          <cell r="M152">
            <v>2</v>
          </cell>
          <cell r="N152" t="str">
            <v>Encastrée</v>
          </cell>
          <cell r="O152" t="str">
            <v>poches à visser</v>
          </cell>
          <cell r="P152" t="str">
            <v>Sandwich</v>
          </cell>
          <cell r="Q152">
            <v>1700</v>
          </cell>
          <cell r="R152">
            <v>3</v>
          </cell>
          <cell r="S152" t="str">
            <v>2 516 620.202</v>
          </cell>
          <cell r="T152" t="str">
            <v>non</v>
          </cell>
          <cell r="U152" t="str">
            <v>2 316 620.202</v>
          </cell>
          <cell r="V152" t="str">
            <v>non</v>
          </cell>
        </row>
        <row r="153">
          <cell r="K153">
            <v>2</v>
          </cell>
          <cell r="L153" t="str">
            <v>30mm</v>
          </cell>
          <cell r="M153">
            <v>2</v>
          </cell>
          <cell r="N153" t="str">
            <v>Encastrée</v>
          </cell>
          <cell r="O153" t="str">
            <v>poches à visser</v>
          </cell>
          <cell r="P153" t="str">
            <v>Sandwich</v>
          </cell>
          <cell r="Q153">
            <v>2100</v>
          </cell>
          <cell r="R153">
            <v>4</v>
          </cell>
          <cell r="S153" t="str">
            <v>2 516 626.202</v>
          </cell>
          <cell r="T153" t="str">
            <v>non</v>
          </cell>
          <cell r="U153" t="str">
            <v>2 316 626.202</v>
          </cell>
          <cell r="V153" t="str">
            <v>non</v>
          </cell>
        </row>
        <row r="154">
          <cell r="K154">
            <v>2</v>
          </cell>
          <cell r="L154" t="str">
            <v>30mm</v>
          </cell>
          <cell r="M154">
            <v>2</v>
          </cell>
          <cell r="N154" t="str">
            <v>Encastrée</v>
          </cell>
          <cell r="O154" t="str">
            <v>poches à visser</v>
          </cell>
          <cell r="P154" t="str">
            <v>Sandwich</v>
          </cell>
          <cell r="Q154">
            <v>2700</v>
          </cell>
          <cell r="R154">
            <v>5</v>
          </cell>
          <cell r="S154" t="str">
            <v>2 516 631.202</v>
          </cell>
          <cell r="T154" t="str">
            <v>non</v>
          </cell>
          <cell r="U154" t="str">
            <v>2 316 631.202</v>
          </cell>
          <cell r="V154" t="str">
            <v>non</v>
          </cell>
        </row>
        <row r="155">
          <cell r="K155">
            <v>2</v>
          </cell>
          <cell r="L155" t="str">
            <v>30mm</v>
          </cell>
          <cell r="M155">
            <v>2</v>
          </cell>
          <cell r="N155" t="str">
            <v>Encastrée</v>
          </cell>
          <cell r="O155" t="str">
            <v>poches à visser</v>
          </cell>
          <cell r="P155" t="str">
            <v>Kit</v>
          </cell>
          <cell r="Q155">
            <v>1700</v>
          </cell>
          <cell r="R155">
            <v>3</v>
          </cell>
          <cell r="S155" t="str">
            <v>2 516 620.302</v>
          </cell>
          <cell r="T155" t="str">
            <v>non</v>
          </cell>
          <cell r="U155" t="str">
            <v>2 316 620.302</v>
          </cell>
          <cell r="V155" t="str">
            <v>non</v>
          </cell>
        </row>
        <row r="156">
          <cell r="K156">
            <v>2</v>
          </cell>
          <cell r="L156" t="str">
            <v>30mm</v>
          </cell>
          <cell r="M156">
            <v>2</v>
          </cell>
          <cell r="N156" t="str">
            <v>Encastrée</v>
          </cell>
          <cell r="O156" t="str">
            <v>poches à visser</v>
          </cell>
          <cell r="P156" t="str">
            <v>Kit</v>
          </cell>
          <cell r="Q156">
            <v>2100</v>
          </cell>
          <cell r="R156">
            <v>4</v>
          </cell>
          <cell r="S156" t="str">
            <v>2 516 626.302</v>
          </cell>
          <cell r="T156" t="str">
            <v>non</v>
          </cell>
          <cell r="U156" t="str">
            <v>2 316 626.302</v>
          </cell>
          <cell r="V156" t="str">
            <v>non</v>
          </cell>
        </row>
        <row r="157">
          <cell r="K157">
            <v>2</v>
          </cell>
          <cell r="L157" t="str">
            <v>30mm</v>
          </cell>
          <cell r="M157">
            <v>2</v>
          </cell>
          <cell r="N157" t="str">
            <v>Encastrée</v>
          </cell>
          <cell r="O157" t="str">
            <v>poches à visser</v>
          </cell>
          <cell r="P157" t="str">
            <v>Kit</v>
          </cell>
          <cell r="Q157">
            <v>2700</v>
          </cell>
          <cell r="R157">
            <v>5</v>
          </cell>
          <cell r="S157" t="str">
            <v>2 516 631.302</v>
          </cell>
          <cell r="T157" t="str">
            <v>non</v>
          </cell>
          <cell r="U157" t="str">
            <v>2 316 631.302</v>
          </cell>
          <cell r="V157" t="str">
            <v>non</v>
          </cell>
        </row>
        <row r="158">
          <cell r="K158">
            <v>2</v>
          </cell>
          <cell r="L158" t="str">
            <v>30mm</v>
          </cell>
          <cell r="M158">
            <v>2</v>
          </cell>
          <cell r="N158" t="str">
            <v>Encastrée</v>
          </cell>
          <cell r="O158" t="str">
            <v>poches à souder</v>
          </cell>
          <cell r="P158" t="str">
            <v>Snap-lock</v>
          </cell>
          <cell r="Q158">
            <v>1700</v>
          </cell>
          <cell r="R158">
            <v>3</v>
          </cell>
          <cell r="S158" t="str">
            <v>2 516 620.101</v>
          </cell>
          <cell r="T158" t="str">
            <v>non</v>
          </cell>
          <cell r="U158" t="str">
            <v>2 316 620.101</v>
          </cell>
          <cell r="V158" t="str">
            <v>non</v>
          </cell>
        </row>
        <row r="159">
          <cell r="K159">
            <v>2</v>
          </cell>
          <cell r="L159" t="str">
            <v>30mm</v>
          </cell>
          <cell r="M159">
            <v>2</v>
          </cell>
          <cell r="N159" t="str">
            <v>Encastrée</v>
          </cell>
          <cell r="O159" t="str">
            <v>poches à souder</v>
          </cell>
          <cell r="P159" t="str">
            <v>Snap-lock</v>
          </cell>
          <cell r="Q159">
            <v>2100</v>
          </cell>
          <cell r="R159">
            <v>4</v>
          </cell>
          <cell r="S159" t="str">
            <v>2 516 626.101</v>
          </cell>
          <cell r="T159" t="str">
            <v>non</v>
          </cell>
          <cell r="U159" t="str">
            <v>2 316 626.101</v>
          </cell>
          <cell r="V159" t="str">
            <v>non</v>
          </cell>
        </row>
        <row r="160">
          <cell r="K160">
            <v>2</v>
          </cell>
          <cell r="L160" t="str">
            <v>30mm</v>
          </cell>
          <cell r="M160">
            <v>2</v>
          </cell>
          <cell r="N160" t="str">
            <v>Encastrée</v>
          </cell>
          <cell r="O160" t="str">
            <v>poches à souder</v>
          </cell>
          <cell r="P160" t="str">
            <v>Snap-lock</v>
          </cell>
          <cell r="Q160">
            <v>2700</v>
          </cell>
          <cell r="R160">
            <v>5</v>
          </cell>
          <cell r="S160" t="str">
            <v>2 516 631.101</v>
          </cell>
          <cell r="T160" t="str">
            <v>non</v>
          </cell>
          <cell r="U160" t="str">
            <v>2 316 631.101</v>
          </cell>
          <cell r="V160" t="str">
            <v>non</v>
          </cell>
        </row>
        <row r="161">
          <cell r="K161">
            <v>2</v>
          </cell>
          <cell r="L161" t="str">
            <v>30mm</v>
          </cell>
          <cell r="M161">
            <v>2</v>
          </cell>
          <cell r="N161" t="str">
            <v>Encastrée</v>
          </cell>
          <cell r="O161" t="str">
            <v>poches à souder</v>
          </cell>
          <cell r="P161" t="str">
            <v>Sandwich</v>
          </cell>
          <cell r="Q161">
            <v>1700</v>
          </cell>
          <cell r="R161">
            <v>3</v>
          </cell>
          <cell r="S161" t="str">
            <v>2 516 620.201</v>
          </cell>
          <cell r="T161" t="str">
            <v>non</v>
          </cell>
          <cell r="U161" t="str">
            <v>2 316 620.201</v>
          </cell>
          <cell r="V161" t="str">
            <v>non</v>
          </cell>
        </row>
        <row r="162">
          <cell r="K162">
            <v>2</v>
          </cell>
          <cell r="L162" t="str">
            <v>30mm</v>
          </cell>
          <cell r="M162">
            <v>2</v>
          </cell>
          <cell r="N162" t="str">
            <v>Encastrée</v>
          </cell>
          <cell r="O162" t="str">
            <v>poches à souder</v>
          </cell>
          <cell r="P162" t="str">
            <v>Sandwich</v>
          </cell>
          <cell r="Q162">
            <v>2100</v>
          </cell>
          <cell r="R162">
            <v>4</v>
          </cell>
          <cell r="S162" t="str">
            <v>2 516 626.201</v>
          </cell>
          <cell r="T162" t="str">
            <v>non</v>
          </cell>
          <cell r="U162" t="str">
            <v>2 316 626.201</v>
          </cell>
          <cell r="V162" t="str">
            <v>non</v>
          </cell>
        </row>
        <row r="163">
          <cell r="K163">
            <v>2</v>
          </cell>
          <cell r="L163" t="str">
            <v>30mm</v>
          </cell>
          <cell r="M163">
            <v>2</v>
          </cell>
          <cell r="N163" t="str">
            <v>Encastrée</v>
          </cell>
          <cell r="O163" t="str">
            <v>poches à souder</v>
          </cell>
          <cell r="P163" t="str">
            <v>Sandwich</v>
          </cell>
          <cell r="Q163">
            <v>2700</v>
          </cell>
          <cell r="R163">
            <v>5</v>
          </cell>
          <cell r="S163" t="str">
            <v>2 516 631.201</v>
          </cell>
          <cell r="T163" t="str">
            <v>non</v>
          </cell>
          <cell r="U163" t="str">
            <v>2 316 631.201</v>
          </cell>
          <cell r="V163" t="str">
            <v>non</v>
          </cell>
        </row>
        <row r="164">
          <cell r="K164">
            <v>2</v>
          </cell>
          <cell r="L164" t="str">
            <v>30mm</v>
          </cell>
          <cell r="M164">
            <v>2</v>
          </cell>
          <cell r="N164" t="str">
            <v>Encastrée</v>
          </cell>
          <cell r="O164" t="str">
            <v>poches à souder</v>
          </cell>
          <cell r="P164" t="str">
            <v>Kit</v>
          </cell>
          <cell r="Q164">
            <v>1700</v>
          </cell>
          <cell r="R164">
            <v>3</v>
          </cell>
          <cell r="S164" t="str">
            <v>2 516 620.301</v>
          </cell>
          <cell r="T164" t="str">
            <v>non</v>
          </cell>
          <cell r="U164" t="str">
            <v>2 316 620.301</v>
          </cell>
          <cell r="V164" t="str">
            <v>non</v>
          </cell>
        </row>
        <row r="165">
          <cell r="K165">
            <v>2</v>
          </cell>
          <cell r="L165" t="str">
            <v>30mm</v>
          </cell>
          <cell r="M165">
            <v>2</v>
          </cell>
          <cell r="N165" t="str">
            <v>Encastrée</v>
          </cell>
          <cell r="O165" t="str">
            <v>poches à souder</v>
          </cell>
          <cell r="P165" t="str">
            <v>Kit</v>
          </cell>
          <cell r="Q165">
            <v>2100</v>
          </cell>
          <cell r="R165">
            <v>4</v>
          </cell>
          <cell r="S165" t="str">
            <v>2 516 626.301</v>
          </cell>
          <cell r="T165" t="str">
            <v>non</v>
          </cell>
          <cell r="U165" t="str">
            <v>2 316 626.301</v>
          </cell>
          <cell r="V165" t="str">
            <v>non</v>
          </cell>
        </row>
        <row r="166">
          <cell r="K166">
            <v>2</v>
          </cell>
          <cell r="L166" t="str">
            <v>30mm</v>
          </cell>
          <cell r="M166">
            <v>2</v>
          </cell>
          <cell r="N166" t="str">
            <v>Encastrée</v>
          </cell>
          <cell r="O166" t="str">
            <v>poches à souder</v>
          </cell>
          <cell r="P166" t="str">
            <v>Kit</v>
          </cell>
          <cell r="Q166">
            <v>2700</v>
          </cell>
          <cell r="R166">
            <v>5</v>
          </cell>
          <cell r="S166" t="str">
            <v>2 516 631.301</v>
          </cell>
          <cell r="T166" t="str">
            <v>non</v>
          </cell>
          <cell r="U166" t="str">
            <v>2 316 631.301</v>
          </cell>
          <cell r="V166" t="str">
            <v>non</v>
          </cell>
        </row>
        <row r="167">
          <cell r="K167">
            <v>2</v>
          </cell>
          <cell r="L167" t="str">
            <v>30mm</v>
          </cell>
          <cell r="M167">
            <v>4</v>
          </cell>
          <cell r="N167" t="str">
            <v>Encastrée</v>
          </cell>
          <cell r="O167" t="str">
            <v>poches à visser</v>
          </cell>
          <cell r="P167" t="str">
            <v>Snap-lock</v>
          </cell>
          <cell r="Q167">
            <v>1700</v>
          </cell>
          <cell r="R167">
            <v>3</v>
          </cell>
          <cell r="S167" t="str">
            <v>2 516 720.102</v>
          </cell>
          <cell r="T167" t="str">
            <v>non</v>
          </cell>
          <cell r="U167" t="str">
            <v>2 316 720.102</v>
          </cell>
          <cell r="V167" t="str">
            <v>non</v>
          </cell>
        </row>
        <row r="168">
          <cell r="K168">
            <v>2</v>
          </cell>
          <cell r="L168" t="str">
            <v>30mm</v>
          </cell>
          <cell r="M168">
            <v>4</v>
          </cell>
          <cell r="N168" t="str">
            <v>Encastrée</v>
          </cell>
          <cell r="O168" t="str">
            <v>poches à visser</v>
          </cell>
          <cell r="P168" t="str">
            <v>Snap-lock</v>
          </cell>
          <cell r="Q168">
            <v>2100</v>
          </cell>
          <cell r="R168">
            <v>4</v>
          </cell>
          <cell r="S168" t="str">
            <v>2 516 726.102</v>
          </cell>
          <cell r="T168" t="str">
            <v>non</v>
          </cell>
          <cell r="U168" t="str">
            <v>2 316 726.102</v>
          </cell>
          <cell r="V168" t="str">
            <v>non</v>
          </cell>
        </row>
        <row r="169">
          <cell r="K169">
            <v>2</v>
          </cell>
          <cell r="L169" t="str">
            <v>30mm</v>
          </cell>
          <cell r="M169">
            <v>4</v>
          </cell>
          <cell r="N169" t="str">
            <v>Encastrée</v>
          </cell>
          <cell r="O169" t="str">
            <v>poches à visser</v>
          </cell>
          <cell r="P169" t="str">
            <v>Snap-lock</v>
          </cell>
          <cell r="Q169">
            <v>2700</v>
          </cell>
          <cell r="R169">
            <v>5</v>
          </cell>
          <cell r="S169" t="str">
            <v>2 516 731.102</v>
          </cell>
          <cell r="T169" t="str">
            <v>non</v>
          </cell>
          <cell r="U169" t="str">
            <v>2 316 731.102</v>
          </cell>
          <cell r="V169" t="str">
            <v>non</v>
          </cell>
        </row>
        <row r="170">
          <cell r="K170">
            <v>2</v>
          </cell>
          <cell r="L170" t="str">
            <v>30mm</v>
          </cell>
          <cell r="M170">
            <v>4</v>
          </cell>
          <cell r="N170" t="str">
            <v>Encastrée</v>
          </cell>
          <cell r="O170" t="str">
            <v>poches à visser</v>
          </cell>
          <cell r="P170" t="str">
            <v>Sandwich</v>
          </cell>
          <cell r="Q170">
            <v>1700</v>
          </cell>
          <cell r="R170">
            <v>3</v>
          </cell>
          <cell r="S170" t="str">
            <v>2 516 720.202</v>
          </cell>
          <cell r="T170" t="str">
            <v>non</v>
          </cell>
          <cell r="U170" t="str">
            <v>2 316 720.202</v>
          </cell>
          <cell r="V170" t="str">
            <v>non</v>
          </cell>
        </row>
        <row r="171">
          <cell r="K171">
            <v>2</v>
          </cell>
          <cell r="L171" t="str">
            <v>30mm</v>
          </cell>
          <cell r="M171">
            <v>4</v>
          </cell>
          <cell r="N171" t="str">
            <v>Encastrée</v>
          </cell>
          <cell r="O171" t="str">
            <v>poches à visser</v>
          </cell>
          <cell r="P171" t="str">
            <v>Sandwich</v>
          </cell>
          <cell r="Q171">
            <v>2100</v>
          </cell>
          <cell r="R171">
            <v>4</v>
          </cell>
          <cell r="S171" t="str">
            <v>2 516 726.202</v>
          </cell>
          <cell r="T171" t="str">
            <v>non</v>
          </cell>
          <cell r="U171" t="str">
            <v>2 316 726.202</v>
          </cell>
          <cell r="V171" t="str">
            <v>non</v>
          </cell>
        </row>
        <row r="172">
          <cell r="K172">
            <v>2</v>
          </cell>
          <cell r="L172" t="str">
            <v>30mm</v>
          </cell>
          <cell r="M172">
            <v>4</v>
          </cell>
          <cell r="N172" t="str">
            <v>Encastrée</v>
          </cell>
          <cell r="O172" t="str">
            <v>poches à visser</v>
          </cell>
          <cell r="P172" t="str">
            <v>Sandwich</v>
          </cell>
          <cell r="Q172">
            <v>2700</v>
          </cell>
          <cell r="R172">
            <v>5</v>
          </cell>
          <cell r="S172" t="str">
            <v>2 516 731.202</v>
          </cell>
          <cell r="T172" t="str">
            <v>non</v>
          </cell>
          <cell r="U172" t="str">
            <v>2 316 731.202</v>
          </cell>
          <cell r="V172" t="str">
            <v>non</v>
          </cell>
        </row>
        <row r="173">
          <cell r="K173">
            <v>2</v>
          </cell>
          <cell r="L173" t="str">
            <v>30mm</v>
          </cell>
          <cell r="M173">
            <v>4</v>
          </cell>
          <cell r="N173" t="str">
            <v>Encastrée</v>
          </cell>
          <cell r="O173" t="str">
            <v>poches à visser</v>
          </cell>
          <cell r="P173" t="str">
            <v>Kit</v>
          </cell>
          <cell r="Q173">
            <v>1700</v>
          </cell>
          <cell r="R173">
            <v>3</v>
          </cell>
          <cell r="S173" t="str">
            <v>2 516 720.302</v>
          </cell>
          <cell r="T173" t="str">
            <v>non</v>
          </cell>
          <cell r="U173" t="str">
            <v>2 316 720.302</v>
          </cell>
          <cell r="V173" t="str">
            <v>non</v>
          </cell>
        </row>
        <row r="174">
          <cell r="K174">
            <v>2</v>
          </cell>
          <cell r="L174" t="str">
            <v>30mm</v>
          </cell>
          <cell r="M174">
            <v>4</v>
          </cell>
          <cell r="N174" t="str">
            <v>Encastrée</v>
          </cell>
          <cell r="O174" t="str">
            <v>poches à visser</v>
          </cell>
          <cell r="P174" t="str">
            <v>Kit</v>
          </cell>
          <cell r="Q174">
            <v>2100</v>
          </cell>
          <cell r="R174">
            <v>4</v>
          </cell>
          <cell r="S174" t="str">
            <v>2 516 726.302</v>
          </cell>
          <cell r="T174" t="str">
            <v>non</v>
          </cell>
          <cell r="U174" t="str">
            <v>2 316 726.302</v>
          </cell>
          <cell r="V174" t="str">
            <v>non</v>
          </cell>
        </row>
        <row r="175">
          <cell r="K175">
            <v>2</v>
          </cell>
          <cell r="L175" t="str">
            <v>30mm</v>
          </cell>
          <cell r="M175">
            <v>4</v>
          </cell>
          <cell r="N175" t="str">
            <v>Encastrée</v>
          </cell>
          <cell r="O175" t="str">
            <v>poches à visser</v>
          </cell>
          <cell r="P175" t="str">
            <v>Kit</v>
          </cell>
          <cell r="Q175">
            <v>2700</v>
          </cell>
          <cell r="R175">
            <v>5</v>
          </cell>
          <cell r="S175" t="str">
            <v>2 516 731.302</v>
          </cell>
          <cell r="T175" t="str">
            <v>non</v>
          </cell>
          <cell r="U175" t="str">
            <v>2 316 731.302</v>
          </cell>
          <cell r="V175" t="str">
            <v>non</v>
          </cell>
        </row>
        <row r="176">
          <cell r="K176">
            <v>2</v>
          </cell>
          <cell r="L176" t="str">
            <v>30mm</v>
          </cell>
          <cell r="M176">
            <v>4</v>
          </cell>
          <cell r="N176" t="str">
            <v>Encastrée</v>
          </cell>
          <cell r="O176" t="str">
            <v>poches à souder</v>
          </cell>
          <cell r="P176" t="str">
            <v>Snap-lock</v>
          </cell>
          <cell r="Q176">
            <v>1700</v>
          </cell>
          <cell r="R176">
            <v>3</v>
          </cell>
          <cell r="S176" t="str">
            <v>2 516 720.101</v>
          </cell>
          <cell r="T176" t="str">
            <v>non</v>
          </cell>
          <cell r="U176" t="str">
            <v>2 316 720.101</v>
          </cell>
          <cell r="V176" t="str">
            <v>non</v>
          </cell>
        </row>
        <row r="177">
          <cell r="K177">
            <v>2</v>
          </cell>
          <cell r="L177" t="str">
            <v>30mm</v>
          </cell>
          <cell r="M177">
            <v>4</v>
          </cell>
          <cell r="N177" t="str">
            <v>Encastrée</v>
          </cell>
          <cell r="O177" t="str">
            <v>poches à souder</v>
          </cell>
          <cell r="P177" t="str">
            <v>Snap-lock</v>
          </cell>
          <cell r="Q177">
            <v>2100</v>
          </cell>
          <cell r="R177">
            <v>4</v>
          </cell>
          <cell r="S177" t="str">
            <v>2 516 726.101</v>
          </cell>
          <cell r="T177" t="str">
            <v>non</v>
          </cell>
          <cell r="U177" t="str">
            <v>2 316 726.101</v>
          </cell>
          <cell r="V177" t="str">
            <v>non</v>
          </cell>
        </row>
        <row r="178">
          <cell r="K178">
            <v>2</v>
          </cell>
          <cell r="L178" t="str">
            <v>30mm</v>
          </cell>
          <cell r="M178">
            <v>4</v>
          </cell>
          <cell r="N178" t="str">
            <v>Encastrée</v>
          </cell>
          <cell r="O178" t="str">
            <v>poches à souder</v>
          </cell>
          <cell r="P178" t="str">
            <v>Snap-lock</v>
          </cell>
          <cell r="Q178">
            <v>2700</v>
          </cell>
          <cell r="R178">
            <v>5</v>
          </cell>
          <cell r="S178" t="str">
            <v>2 516 731.101</v>
          </cell>
          <cell r="T178" t="str">
            <v>non</v>
          </cell>
          <cell r="U178" t="str">
            <v>2 316 731.101</v>
          </cell>
          <cell r="V178" t="str">
            <v>non</v>
          </cell>
        </row>
        <row r="179">
          <cell r="K179">
            <v>2</v>
          </cell>
          <cell r="L179" t="str">
            <v>30mm</v>
          </cell>
          <cell r="M179">
            <v>4</v>
          </cell>
          <cell r="N179" t="str">
            <v>Encastrée</v>
          </cell>
          <cell r="O179" t="str">
            <v>poches à souder</v>
          </cell>
          <cell r="P179" t="str">
            <v>Sandwich</v>
          </cell>
          <cell r="Q179">
            <v>1700</v>
          </cell>
          <cell r="R179">
            <v>3</v>
          </cell>
          <cell r="S179" t="str">
            <v>2 516 720.201</v>
          </cell>
          <cell r="T179" t="str">
            <v>non</v>
          </cell>
          <cell r="U179" t="str">
            <v>2 316 720.201</v>
          </cell>
          <cell r="V179" t="str">
            <v>non</v>
          </cell>
        </row>
        <row r="180">
          <cell r="K180">
            <v>2</v>
          </cell>
          <cell r="L180" t="str">
            <v>30mm</v>
          </cell>
          <cell r="M180">
            <v>4</v>
          </cell>
          <cell r="N180" t="str">
            <v>Encastrée</v>
          </cell>
          <cell r="O180" t="str">
            <v>poches à souder</v>
          </cell>
          <cell r="P180" t="str">
            <v>Sandwich</v>
          </cell>
          <cell r="Q180">
            <v>2100</v>
          </cell>
          <cell r="R180">
            <v>4</v>
          </cell>
          <cell r="S180" t="str">
            <v>2 516 726.201</v>
          </cell>
          <cell r="T180" t="str">
            <v>non</v>
          </cell>
          <cell r="U180" t="str">
            <v>2 316 726.201</v>
          </cell>
          <cell r="V180" t="str">
            <v>non</v>
          </cell>
        </row>
        <row r="181">
          <cell r="K181">
            <v>2</v>
          </cell>
          <cell r="L181" t="str">
            <v>30mm</v>
          </cell>
          <cell r="M181">
            <v>4</v>
          </cell>
          <cell r="N181" t="str">
            <v>Encastrée</v>
          </cell>
          <cell r="O181" t="str">
            <v>poches à souder</v>
          </cell>
          <cell r="P181" t="str">
            <v>Sandwich</v>
          </cell>
          <cell r="Q181">
            <v>2700</v>
          </cell>
          <cell r="R181">
            <v>5</v>
          </cell>
          <cell r="S181" t="str">
            <v>2 516 731.201</v>
          </cell>
          <cell r="T181" t="str">
            <v>non</v>
          </cell>
          <cell r="U181" t="str">
            <v>2 316 731.201</v>
          </cell>
          <cell r="V181" t="str">
            <v>non</v>
          </cell>
        </row>
        <row r="182">
          <cell r="K182">
            <v>2</v>
          </cell>
          <cell r="L182" t="str">
            <v>30mm</v>
          </cell>
          <cell r="M182">
            <v>4</v>
          </cell>
          <cell r="N182" t="str">
            <v>Encastrée</v>
          </cell>
          <cell r="O182" t="str">
            <v>poches à souder</v>
          </cell>
          <cell r="P182" t="str">
            <v>Kit</v>
          </cell>
          <cell r="Q182">
            <v>1700</v>
          </cell>
          <cell r="R182">
            <v>3</v>
          </cell>
          <cell r="S182" t="str">
            <v>2 516 720.301</v>
          </cell>
          <cell r="T182" t="str">
            <v>non</v>
          </cell>
          <cell r="U182" t="str">
            <v>2 316 720.301</v>
          </cell>
          <cell r="V182" t="str">
            <v>non</v>
          </cell>
        </row>
        <row r="183">
          <cell r="K183">
            <v>2</v>
          </cell>
          <cell r="L183" t="str">
            <v>30mm</v>
          </cell>
          <cell r="M183">
            <v>4</v>
          </cell>
          <cell r="N183" t="str">
            <v>Encastrée</v>
          </cell>
          <cell r="O183" t="str">
            <v>poches à souder</v>
          </cell>
          <cell r="P183" t="str">
            <v>Kit</v>
          </cell>
          <cell r="Q183">
            <v>2100</v>
          </cell>
          <cell r="R183">
            <v>4</v>
          </cell>
          <cell r="S183" t="str">
            <v>2 516 726.301</v>
          </cell>
          <cell r="T183" t="str">
            <v>non</v>
          </cell>
          <cell r="U183" t="str">
            <v>2 316 726.301</v>
          </cell>
          <cell r="V183" t="str">
            <v>non</v>
          </cell>
        </row>
        <row r="184">
          <cell r="K184">
            <v>2</v>
          </cell>
          <cell r="L184" t="str">
            <v>30mm</v>
          </cell>
          <cell r="M184">
            <v>4</v>
          </cell>
          <cell r="N184" t="str">
            <v>Encastrée</v>
          </cell>
          <cell r="O184" t="str">
            <v>poches à souder</v>
          </cell>
          <cell r="P184" t="str">
            <v>Kit</v>
          </cell>
          <cell r="Q184">
            <v>2700</v>
          </cell>
          <cell r="R184">
            <v>5</v>
          </cell>
          <cell r="S184" t="str">
            <v>2 516 731.301</v>
          </cell>
          <cell r="T184" t="str">
            <v>non</v>
          </cell>
          <cell r="U184" t="str">
            <v>2 316 731.301</v>
          </cell>
          <cell r="V184" t="str">
            <v>non</v>
          </cell>
        </row>
        <row r="185">
          <cell r="K185">
            <v>4</v>
          </cell>
          <cell r="L185" t="str">
            <v>30mm</v>
          </cell>
          <cell r="M185">
            <v>4</v>
          </cell>
          <cell r="N185" t="str">
            <v>boxer</v>
          </cell>
          <cell r="O185" t="str">
            <v>poches à visser</v>
          </cell>
          <cell r="P185" t="str">
            <v>Snap-lock</v>
          </cell>
          <cell r="Q185">
            <v>1700</v>
          </cell>
          <cell r="R185">
            <v>3</v>
          </cell>
          <cell r="S185" t="str">
            <v>2 510 920.102</v>
          </cell>
          <cell r="T185" t="str">
            <v>non</v>
          </cell>
          <cell r="U185" t="str">
            <v>2 310 920.102</v>
          </cell>
          <cell r="V185" t="str">
            <v>non</v>
          </cell>
        </row>
        <row r="186">
          <cell r="K186">
            <v>4</v>
          </cell>
          <cell r="L186" t="str">
            <v>30mm</v>
          </cell>
          <cell r="M186">
            <v>4</v>
          </cell>
          <cell r="N186" t="str">
            <v>boxer</v>
          </cell>
          <cell r="O186" t="str">
            <v>poches à visser</v>
          </cell>
          <cell r="P186" t="str">
            <v>Snap-lock</v>
          </cell>
          <cell r="Q186">
            <v>2100</v>
          </cell>
          <cell r="R186">
            <v>4</v>
          </cell>
          <cell r="S186" t="str">
            <v>2 510 926.102</v>
          </cell>
          <cell r="T186" t="str">
            <v>non</v>
          </cell>
          <cell r="U186" t="str">
            <v>2 310 926.102</v>
          </cell>
          <cell r="V186" t="str">
            <v>non</v>
          </cell>
        </row>
        <row r="187">
          <cell r="K187">
            <v>4</v>
          </cell>
          <cell r="L187" t="str">
            <v>30mm</v>
          </cell>
          <cell r="M187">
            <v>4</v>
          </cell>
          <cell r="N187" t="str">
            <v>boxer</v>
          </cell>
          <cell r="O187" t="str">
            <v>poches à visser</v>
          </cell>
          <cell r="P187" t="str">
            <v>Snap-lock</v>
          </cell>
          <cell r="Q187">
            <v>2700</v>
          </cell>
          <cell r="R187">
            <v>5</v>
          </cell>
          <cell r="S187" t="str">
            <v>2 510 931.102</v>
          </cell>
          <cell r="T187" t="str">
            <v>non</v>
          </cell>
          <cell r="U187" t="str">
            <v>2 310 931.102</v>
          </cell>
          <cell r="V187" t="str">
            <v>non</v>
          </cell>
        </row>
        <row r="188">
          <cell r="K188">
            <v>4</v>
          </cell>
          <cell r="L188" t="str">
            <v>30mm</v>
          </cell>
          <cell r="M188">
            <v>4</v>
          </cell>
          <cell r="N188" t="str">
            <v>boxer</v>
          </cell>
          <cell r="O188" t="str">
            <v>poches à visser</v>
          </cell>
          <cell r="P188" t="str">
            <v>Sandwich</v>
          </cell>
          <cell r="Q188">
            <v>1700</v>
          </cell>
          <cell r="R188">
            <v>3</v>
          </cell>
          <cell r="S188" t="str">
            <v>2 510 920.202</v>
          </cell>
          <cell r="T188" t="str">
            <v>non</v>
          </cell>
          <cell r="U188" t="str">
            <v>2 310 920.202</v>
          </cell>
          <cell r="V188" t="str">
            <v>non</v>
          </cell>
        </row>
        <row r="189">
          <cell r="K189">
            <v>4</v>
          </cell>
          <cell r="L189" t="str">
            <v>30mm</v>
          </cell>
          <cell r="M189">
            <v>4</v>
          </cell>
          <cell r="N189" t="str">
            <v>boxer</v>
          </cell>
          <cell r="O189" t="str">
            <v>poches à visser</v>
          </cell>
          <cell r="P189" t="str">
            <v>Sandwich</v>
          </cell>
          <cell r="Q189">
            <v>2100</v>
          </cell>
          <cell r="R189">
            <v>4</v>
          </cell>
          <cell r="S189" t="str">
            <v>2 510 926.202</v>
          </cell>
          <cell r="T189" t="str">
            <v>non</v>
          </cell>
          <cell r="U189" t="str">
            <v>2 310 926.202</v>
          </cell>
          <cell r="V189" t="str">
            <v>non</v>
          </cell>
        </row>
        <row r="190">
          <cell r="K190">
            <v>4</v>
          </cell>
          <cell r="L190" t="str">
            <v>30mm</v>
          </cell>
          <cell r="M190">
            <v>4</v>
          </cell>
          <cell r="N190" t="str">
            <v>boxer</v>
          </cell>
          <cell r="O190" t="str">
            <v>poches à visser</v>
          </cell>
          <cell r="P190" t="str">
            <v>Sandwich</v>
          </cell>
          <cell r="Q190">
            <v>2700</v>
          </cell>
          <cell r="R190">
            <v>5</v>
          </cell>
          <cell r="S190" t="str">
            <v>2 510 931.202</v>
          </cell>
          <cell r="T190" t="str">
            <v>non</v>
          </cell>
          <cell r="U190" t="str">
            <v>2 310 931.202</v>
          </cell>
          <cell r="V190" t="str">
            <v>non</v>
          </cell>
        </row>
        <row r="191">
          <cell r="K191">
            <v>4</v>
          </cell>
          <cell r="L191" t="str">
            <v>30mm</v>
          </cell>
          <cell r="M191">
            <v>4</v>
          </cell>
          <cell r="N191" t="str">
            <v>boxer</v>
          </cell>
          <cell r="O191" t="str">
            <v>poches à visser</v>
          </cell>
          <cell r="P191" t="str">
            <v>Kit</v>
          </cell>
          <cell r="Q191">
            <v>1700</v>
          </cell>
          <cell r="R191">
            <v>3</v>
          </cell>
          <cell r="S191" t="str">
            <v>2 510 920.302</v>
          </cell>
          <cell r="T191" t="str">
            <v>non</v>
          </cell>
          <cell r="U191" t="str">
            <v>2 310 920.302</v>
          </cell>
          <cell r="V191" t="str">
            <v>non</v>
          </cell>
        </row>
        <row r="192">
          <cell r="K192">
            <v>4</v>
          </cell>
          <cell r="L192" t="str">
            <v>30mm</v>
          </cell>
          <cell r="M192">
            <v>4</v>
          </cell>
          <cell r="N192" t="str">
            <v>boxer</v>
          </cell>
          <cell r="O192" t="str">
            <v>poches à visser</v>
          </cell>
          <cell r="P192" t="str">
            <v>Kit</v>
          </cell>
          <cell r="Q192">
            <v>2100</v>
          </cell>
          <cell r="R192">
            <v>4</v>
          </cell>
          <cell r="S192" t="str">
            <v>2 510 926.302</v>
          </cell>
          <cell r="T192" t="str">
            <v>non</v>
          </cell>
          <cell r="U192" t="str">
            <v>2 310 926.302</v>
          </cell>
          <cell r="V192" t="str">
            <v>non</v>
          </cell>
        </row>
        <row r="193">
          <cell r="K193">
            <v>4</v>
          </cell>
          <cell r="L193" t="str">
            <v>30mm</v>
          </cell>
          <cell r="M193">
            <v>4</v>
          </cell>
          <cell r="N193" t="str">
            <v>boxer</v>
          </cell>
          <cell r="O193" t="str">
            <v>poches à visser</v>
          </cell>
          <cell r="P193" t="str">
            <v>Kit</v>
          </cell>
          <cell r="Q193">
            <v>2700</v>
          </cell>
          <cell r="R193">
            <v>5</v>
          </cell>
          <cell r="S193" t="str">
            <v>2 510 931.302</v>
          </cell>
          <cell r="T193" t="str">
            <v>non</v>
          </cell>
          <cell r="U193" t="str">
            <v>2 310 931.302</v>
          </cell>
          <cell r="V193" t="str">
            <v>non</v>
          </cell>
        </row>
        <row r="194">
          <cell r="K194">
            <v>4</v>
          </cell>
          <cell r="L194" t="str">
            <v>30mm</v>
          </cell>
          <cell r="M194">
            <v>4</v>
          </cell>
          <cell r="N194" t="str">
            <v>boxer</v>
          </cell>
          <cell r="O194" t="str">
            <v>poches à souder</v>
          </cell>
          <cell r="P194" t="str">
            <v>Snap-lock</v>
          </cell>
          <cell r="Q194">
            <v>1700</v>
          </cell>
          <cell r="R194">
            <v>3</v>
          </cell>
          <cell r="S194" t="str">
            <v>2 510 920.101</v>
          </cell>
          <cell r="T194" t="str">
            <v>non</v>
          </cell>
          <cell r="U194" t="str">
            <v>2 310 920.101</v>
          </cell>
          <cell r="V194" t="str">
            <v>non</v>
          </cell>
        </row>
        <row r="195">
          <cell r="K195">
            <v>4</v>
          </cell>
          <cell r="L195" t="str">
            <v>30mm</v>
          </cell>
          <cell r="M195">
            <v>4</v>
          </cell>
          <cell r="N195" t="str">
            <v>boxer</v>
          </cell>
          <cell r="O195" t="str">
            <v>poches à souder</v>
          </cell>
          <cell r="P195" t="str">
            <v>Snap-lock</v>
          </cell>
          <cell r="Q195">
            <v>2100</v>
          </cell>
          <cell r="R195">
            <v>4</v>
          </cell>
          <cell r="S195" t="str">
            <v>2 510 926.101</v>
          </cell>
          <cell r="T195" t="str">
            <v>non</v>
          </cell>
          <cell r="U195" t="str">
            <v>2 310 926.101</v>
          </cell>
          <cell r="V195" t="str">
            <v>non</v>
          </cell>
        </row>
        <row r="196">
          <cell r="K196">
            <v>4</v>
          </cell>
          <cell r="L196" t="str">
            <v>30mm</v>
          </cell>
          <cell r="M196">
            <v>4</v>
          </cell>
          <cell r="N196" t="str">
            <v>boxer</v>
          </cell>
          <cell r="O196" t="str">
            <v>poches à souder</v>
          </cell>
          <cell r="P196" t="str">
            <v>Snap-lock</v>
          </cell>
          <cell r="Q196">
            <v>2700</v>
          </cell>
          <cell r="R196">
            <v>5</v>
          </cell>
          <cell r="S196" t="str">
            <v>2 510 931.101</v>
          </cell>
          <cell r="T196" t="str">
            <v>non</v>
          </cell>
          <cell r="U196" t="str">
            <v>2 310 931.101</v>
          </cell>
          <cell r="V196" t="str">
            <v>non</v>
          </cell>
        </row>
        <row r="197">
          <cell r="K197">
            <v>4</v>
          </cell>
          <cell r="L197" t="str">
            <v>30mm</v>
          </cell>
          <cell r="M197">
            <v>4</v>
          </cell>
          <cell r="N197" t="str">
            <v>boxer</v>
          </cell>
          <cell r="O197" t="str">
            <v>poches à souder</v>
          </cell>
          <cell r="P197" t="str">
            <v>Sandwich</v>
          </cell>
          <cell r="Q197">
            <v>1700</v>
          </cell>
          <cell r="R197">
            <v>3</v>
          </cell>
          <cell r="S197" t="str">
            <v>2 510 920.201</v>
          </cell>
          <cell r="T197" t="str">
            <v>non</v>
          </cell>
          <cell r="U197" t="str">
            <v>2 310 920.201</v>
          </cell>
          <cell r="V197" t="str">
            <v>non</v>
          </cell>
        </row>
        <row r="198">
          <cell r="K198">
            <v>4</v>
          </cell>
          <cell r="L198" t="str">
            <v>30mm</v>
          </cell>
          <cell r="M198">
            <v>4</v>
          </cell>
          <cell r="N198" t="str">
            <v>boxer</v>
          </cell>
          <cell r="O198" t="str">
            <v>poches à souder</v>
          </cell>
          <cell r="P198" t="str">
            <v>Sandwich</v>
          </cell>
          <cell r="Q198">
            <v>2100</v>
          </cell>
          <cell r="R198">
            <v>4</v>
          </cell>
          <cell r="S198" t="str">
            <v>2 510 926.201</v>
          </cell>
          <cell r="T198" t="str">
            <v>non</v>
          </cell>
          <cell r="U198" t="str">
            <v>2 310 926.201</v>
          </cell>
          <cell r="V198" t="str">
            <v>non</v>
          </cell>
        </row>
        <row r="199">
          <cell r="K199">
            <v>4</v>
          </cell>
          <cell r="L199" t="str">
            <v>30mm</v>
          </cell>
          <cell r="M199">
            <v>4</v>
          </cell>
          <cell r="N199" t="str">
            <v>boxer</v>
          </cell>
          <cell r="O199" t="str">
            <v>poches à souder</v>
          </cell>
          <cell r="P199" t="str">
            <v>Sandwich</v>
          </cell>
          <cell r="Q199">
            <v>2700</v>
          </cell>
          <cell r="R199">
            <v>5</v>
          </cell>
          <cell r="S199" t="str">
            <v>2 510 931.201</v>
          </cell>
          <cell r="T199" t="str">
            <v>non</v>
          </cell>
          <cell r="U199" t="str">
            <v>2 310 931.201</v>
          </cell>
          <cell r="V199" t="str">
            <v>non</v>
          </cell>
        </row>
        <row r="200">
          <cell r="K200">
            <v>4</v>
          </cell>
          <cell r="L200" t="str">
            <v>30mm</v>
          </cell>
          <cell r="M200">
            <v>4</v>
          </cell>
          <cell r="N200" t="str">
            <v>boxer</v>
          </cell>
          <cell r="O200" t="str">
            <v>poches à souder</v>
          </cell>
          <cell r="P200" t="str">
            <v>Kit</v>
          </cell>
          <cell r="Q200">
            <v>1700</v>
          </cell>
          <cell r="R200">
            <v>3</v>
          </cell>
          <cell r="S200" t="str">
            <v>2 510 920.301</v>
          </cell>
          <cell r="T200" t="str">
            <v>non</v>
          </cell>
          <cell r="U200" t="str">
            <v>2 310 920.301</v>
          </cell>
          <cell r="V200" t="str">
            <v>non</v>
          </cell>
        </row>
        <row r="201">
          <cell r="K201">
            <v>4</v>
          </cell>
          <cell r="L201" t="str">
            <v>30mm</v>
          </cell>
          <cell r="M201">
            <v>4</v>
          </cell>
          <cell r="N201" t="str">
            <v>boxer</v>
          </cell>
          <cell r="O201" t="str">
            <v>poches à souder</v>
          </cell>
          <cell r="P201" t="str">
            <v>Kit</v>
          </cell>
          <cell r="Q201">
            <v>2100</v>
          </cell>
          <cell r="R201">
            <v>4</v>
          </cell>
          <cell r="S201" t="str">
            <v>2 510 926.301</v>
          </cell>
          <cell r="T201" t="str">
            <v>non</v>
          </cell>
          <cell r="U201" t="str">
            <v>2 310 926.301</v>
          </cell>
          <cell r="V201" t="str">
            <v>non</v>
          </cell>
        </row>
        <row r="202">
          <cell r="K202">
            <v>4</v>
          </cell>
          <cell r="L202" t="str">
            <v>30mm</v>
          </cell>
          <cell r="M202">
            <v>4</v>
          </cell>
          <cell r="N202" t="str">
            <v>boxer</v>
          </cell>
          <cell r="O202" t="str">
            <v>poches à souder</v>
          </cell>
          <cell r="P202" t="str">
            <v>Kit</v>
          </cell>
          <cell r="Q202">
            <v>2700</v>
          </cell>
          <cell r="R202">
            <v>5</v>
          </cell>
          <cell r="S202" t="str">
            <v>2 510 931.301</v>
          </cell>
          <cell r="T202" t="str">
            <v>non</v>
          </cell>
          <cell r="U202" t="str">
            <v>2 310 931.301</v>
          </cell>
          <cell r="V202" t="str">
            <v>non</v>
          </cell>
        </row>
        <row r="203">
          <cell r="K203">
            <v>4</v>
          </cell>
          <cell r="L203" t="str">
            <v>30mm</v>
          </cell>
          <cell r="M203">
            <v>4</v>
          </cell>
          <cell r="N203" t="str">
            <v>Encastrée</v>
          </cell>
          <cell r="O203" t="str">
            <v>poches à visser</v>
          </cell>
          <cell r="P203" t="str">
            <v>Snap-lock</v>
          </cell>
          <cell r="Q203">
            <v>1700</v>
          </cell>
          <cell r="R203">
            <v>3</v>
          </cell>
          <cell r="S203" t="str">
            <v>2 516 920.102</v>
          </cell>
          <cell r="T203" t="str">
            <v>non</v>
          </cell>
          <cell r="U203" t="str">
            <v>2 316 920.102</v>
          </cell>
          <cell r="V203" t="str">
            <v>non</v>
          </cell>
        </row>
        <row r="204">
          <cell r="K204">
            <v>4</v>
          </cell>
          <cell r="L204" t="str">
            <v>30mm</v>
          </cell>
          <cell r="M204">
            <v>4</v>
          </cell>
          <cell r="N204" t="str">
            <v>Encastrée</v>
          </cell>
          <cell r="O204" t="str">
            <v>poches à visser</v>
          </cell>
          <cell r="P204" t="str">
            <v>Snap-lock</v>
          </cell>
          <cell r="Q204">
            <v>2100</v>
          </cell>
          <cell r="R204">
            <v>4</v>
          </cell>
          <cell r="S204" t="str">
            <v>2 516 926.102</v>
          </cell>
          <cell r="T204" t="str">
            <v>non</v>
          </cell>
          <cell r="U204" t="str">
            <v>2 316 926.102</v>
          </cell>
          <cell r="V204" t="str">
            <v>non</v>
          </cell>
        </row>
        <row r="205">
          <cell r="K205">
            <v>4</v>
          </cell>
          <cell r="L205" t="str">
            <v>30mm</v>
          </cell>
          <cell r="M205">
            <v>4</v>
          </cell>
          <cell r="N205" t="str">
            <v>Encastrée</v>
          </cell>
          <cell r="O205" t="str">
            <v>poches à visser</v>
          </cell>
          <cell r="P205" t="str">
            <v>Snap-lock</v>
          </cell>
          <cell r="Q205">
            <v>2700</v>
          </cell>
          <cell r="R205">
            <v>5</v>
          </cell>
          <cell r="S205" t="str">
            <v>2 516 931.102</v>
          </cell>
          <cell r="T205" t="str">
            <v>non</v>
          </cell>
          <cell r="U205" t="str">
            <v>2 316 931.102</v>
          </cell>
          <cell r="V205" t="str">
            <v>non</v>
          </cell>
        </row>
        <row r="206">
          <cell r="K206">
            <v>4</v>
          </cell>
          <cell r="L206" t="str">
            <v>30mm</v>
          </cell>
          <cell r="M206">
            <v>4</v>
          </cell>
          <cell r="N206" t="str">
            <v>Encastrée</v>
          </cell>
          <cell r="O206" t="str">
            <v>poches à visser</v>
          </cell>
          <cell r="P206" t="str">
            <v>Sandwich</v>
          </cell>
          <cell r="Q206">
            <v>1700</v>
          </cell>
          <cell r="R206">
            <v>3</v>
          </cell>
          <cell r="S206" t="str">
            <v>2 516 920.202</v>
          </cell>
          <cell r="T206" t="str">
            <v>non</v>
          </cell>
          <cell r="U206" t="str">
            <v>2 316 920.202</v>
          </cell>
          <cell r="V206" t="str">
            <v>non</v>
          </cell>
        </row>
        <row r="207">
          <cell r="K207">
            <v>4</v>
          </cell>
          <cell r="L207" t="str">
            <v>30mm</v>
          </cell>
          <cell r="M207">
            <v>4</v>
          </cell>
          <cell r="N207" t="str">
            <v>Encastrée</v>
          </cell>
          <cell r="O207" t="str">
            <v>poches à visser</v>
          </cell>
          <cell r="P207" t="str">
            <v>Sandwich</v>
          </cell>
          <cell r="Q207">
            <v>2100</v>
          </cell>
          <cell r="R207">
            <v>4</v>
          </cell>
          <cell r="S207" t="str">
            <v>2 516 926.202</v>
          </cell>
          <cell r="T207" t="str">
            <v>non</v>
          </cell>
          <cell r="U207" t="str">
            <v>2 316 926.202</v>
          </cell>
          <cell r="V207" t="str">
            <v>non</v>
          </cell>
        </row>
        <row r="208">
          <cell r="K208">
            <v>4</v>
          </cell>
          <cell r="L208" t="str">
            <v>30mm</v>
          </cell>
          <cell r="M208">
            <v>4</v>
          </cell>
          <cell r="N208" t="str">
            <v>Encastrée</v>
          </cell>
          <cell r="O208" t="str">
            <v>poches à visser</v>
          </cell>
          <cell r="P208" t="str">
            <v>Sandwich</v>
          </cell>
          <cell r="Q208">
            <v>2700</v>
          </cell>
          <cell r="R208">
            <v>5</v>
          </cell>
          <cell r="S208" t="str">
            <v>2 516 931.202</v>
          </cell>
          <cell r="T208" t="str">
            <v>non</v>
          </cell>
          <cell r="U208" t="str">
            <v>2 316 931.202</v>
          </cell>
          <cell r="V208" t="str">
            <v>non</v>
          </cell>
        </row>
        <row r="209">
          <cell r="K209">
            <v>4</v>
          </cell>
          <cell r="L209" t="str">
            <v>30mm</v>
          </cell>
          <cell r="M209">
            <v>4</v>
          </cell>
          <cell r="N209" t="str">
            <v>Encastrée</v>
          </cell>
          <cell r="O209" t="str">
            <v>poches à visser</v>
          </cell>
          <cell r="P209" t="str">
            <v>Kit</v>
          </cell>
          <cell r="Q209">
            <v>1700</v>
          </cell>
          <cell r="R209">
            <v>3</v>
          </cell>
          <cell r="S209" t="str">
            <v>2 516 920.302</v>
          </cell>
          <cell r="T209" t="str">
            <v>non</v>
          </cell>
          <cell r="U209" t="str">
            <v>2 316 920.302</v>
          </cell>
          <cell r="V209" t="str">
            <v>non</v>
          </cell>
        </row>
        <row r="210">
          <cell r="K210">
            <v>4</v>
          </cell>
          <cell r="L210" t="str">
            <v>30mm</v>
          </cell>
          <cell r="M210">
            <v>4</v>
          </cell>
          <cell r="N210" t="str">
            <v>Encastrée</v>
          </cell>
          <cell r="O210" t="str">
            <v>poches à visser</v>
          </cell>
          <cell r="P210" t="str">
            <v>Kit</v>
          </cell>
          <cell r="Q210">
            <v>2100</v>
          </cell>
          <cell r="R210">
            <v>4</v>
          </cell>
          <cell r="S210" t="str">
            <v>2 516 926.302</v>
          </cell>
          <cell r="T210" t="str">
            <v>non</v>
          </cell>
          <cell r="U210" t="str">
            <v>2 316 926.302</v>
          </cell>
          <cell r="V210" t="str">
            <v>non</v>
          </cell>
        </row>
        <row r="211">
          <cell r="K211">
            <v>4</v>
          </cell>
          <cell r="L211" t="str">
            <v>30mm</v>
          </cell>
          <cell r="M211">
            <v>4</v>
          </cell>
          <cell r="N211" t="str">
            <v>Encastrée</v>
          </cell>
          <cell r="O211" t="str">
            <v>poches à visser</v>
          </cell>
          <cell r="P211" t="str">
            <v>Kit</v>
          </cell>
          <cell r="Q211">
            <v>2700</v>
          </cell>
          <cell r="R211">
            <v>5</v>
          </cell>
          <cell r="S211" t="str">
            <v>2 516 931.302</v>
          </cell>
          <cell r="T211" t="str">
            <v>non</v>
          </cell>
          <cell r="U211" t="str">
            <v>2 316 931.302</v>
          </cell>
          <cell r="V211" t="str">
            <v>non</v>
          </cell>
        </row>
        <row r="212">
          <cell r="K212">
            <v>4</v>
          </cell>
          <cell r="L212" t="str">
            <v>30mm</v>
          </cell>
          <cell r="M212">
            <v>4</v>
          </cell>
          <cell r="N212" t="str">
            <v>Encastrée</v>
          </cell>
          <cell r="O212" t="str">
            <v>poches à souder</v>
          </cell>
          <cell r="P212" t="str">
            <v>Snap-lock</v>
          </cell>
          <cell r="Q212">
            <v>1700</v>
          </cell>
          <cell r="R212">
            <v>3</v>
          </cell>
          <cell r="S212" t="str">
            <v>2 516 920.101</v>
          </cell>
          <cell r="T212" t="str">
            <v>non</v>
          </cell>
          <cell r="U212" t="str">
            <v>2 316 920.101</v>
          </cell>
          <cell r="V212" t="str">
            <v>non</v>
          </cell>
        </row>
        <row r="213">
          <cell r="K213">
            <v>4</v>
          </cell>
          <cell r="L213" t="str">
            <v>30mm</v>
          </cell>
          <cell r="M213">
            <v>4</v>
          </cell>
          <cell r="N213" t="str">
            <v>Encastrée</v>
          </cell>
          <cell r="O213" t="str">
            <v>poches à souder</v>
          </cell>
          <cell r="P213" t="str">
            <v>Snap-lock</v>
          </cell>
          <cell r="Q213">
            <v>2100</v>
          </cell>
          <cell r="R213">
            <v>4</v>
          </cell>
          <cell r="S213" t="str">
            <v>2 516 926.101</v>
          </cell>
          <cell r="T213" t="str">
            <v>non</v>
          </cell>
          <cell r="U213" t="str">
            <v>2 316 926.101</v>
          </cell>
          <cell r="V213" t="str">
            <v>non</v>
          </cell>
        </row>
        <row r="214">
          <cell r="K214">
            <v>4</v>
          </cell>
          <cell r="L214" t="str">
            <v>30mm</v>
          </cell>
          <cell r="M214">
            <v>4</v>
          </cell>
          <cell r="N214" t="str">
            <v>Encastrée</v>
          </cell>
          <cell r="O214" t="str">
            <v>poches à souder</v>
          </cell>
          <cell r="P214" t="str">
            <v>Snap-lock</v>
          </cell>
          <cell r="Q214">
            <v>2700</v>
          </cell>
          <cell r="R214">
            <v>5</v>
          </cell>
          <cell r="S214" t="str">
            <v>2 516 931.101</v>
          </cell>
          <cell r="T214" t="str">
            <v>non</v>
          </cell>
          <cell r="U214" t="str">
            <v>2 316 931.101</v>
          </cell>
          <cell r="V214" t="str">
            <v>non</v>
          </cell>
        </row>
        <row r="215">
          <cell r="K215">
            <v>4</v>
          </cell>
          <cell r="L215" t="str">
            <v>30mm</v>
          </cell>
          <cell r="M215">
            <v>4</v>
          </cell>
          <cell r="N215" t="str">
            <v>Encastrée</v>
          </cell>
          <cell r="O215" t="str">
            <v>poches à souder</v>
          </cell>
          <cell r="P215" t="str">
            <v>Sandwich</v>
          </cell>
          <cell r="Q215">
            <v>1700</v>
          </cell>
          <cell r="R215">
            <v>3</v>
          </cell>
          <cell r="S215" t="str">
            <v>2 516 920.201</v>
          </cell>
          <cell r="T215" t="str">
            <v>non</v>
          </cell>
          <cell r="U215" t="str">
            <v>2 316 920.201</v>
          </cell>
          <cell r="V215" t="str">
            <v>non</v>
          </cell>
        </row>
        <row r="216">
          <cell r="K216">
            <v>4</v>
          </cell>
          <cell r="L216" t="str">
            <v>30mm</v>
          </cell>
          <cell r="M216">
            <v>4</v>
          </cell>
          <cell r="N216" t="str">
            <v>Encastrée</v>
          </cell>
          <cell r="O216" t="str">
            <v>poches à souder</v>
          </cell>
          <cell r="P216" t="str">
            <v>Sandwich</v>
          </cell>
          <cell r="Q216">
            <v>2100</v>
          </cell>
          <cell r="R216">
            <v>4</v>
          </cell>
          <cell r="S216" t="str">
            <v>2 516 926.201</v>
          </cell>
          <cell r="T216" t="str">
            <v>non</v>
          </cell>
          <cell r="U216" t="str">
            <v>2 316 926.201</v>
          </cell>
          <cell r="V216" t="str">
            <v>non</v>
          </cell>
        </row>
        <row r="217">
          <cell r="K217">
            <v>4</v>
          </cell>
          <cell r="L217" t="str">
            <v>30mm</v>
          </cell>
          <cell r="M217">
            <v>4</v>
          </cell>
          <cell r="N217" t="str">
            <v>Encastrée</v>
          </cell>
          <cell r="O217" t="str">
            <v>poches à souder</v>
          </cell>
          <cell r="P217" t="str">
            <v>Sandwich</v>
          </cell>
          <cell r="Q217">
            <v>2700</v>
          </cell>
          <cell r="R217">
            <v>5</v>
          </cell>
          <cell r="S217" t="str">
            <v>2 516 931.201</v>
          </cell>
          <cell r="T217" t="str">
            <v>non</v>
          </cell>
          <cell r="U217" t="str">
            <v>2 316 931.201</v>
          </cell>
          <cell r="V217" t="str">
            <v>non</v>
          </cell>
        </row>
        <row r="218">
          <cell r="K218">
            <v>4</v>
          </cell>
          <cell r="L218" t="str">
            <v>30mm</v>
          </cell>
          <cell r="M218">
            <v>4</v>
          </cell>
          <cell r="N218" t="str">
            <v>Encastrée</v>
          </cell>
          <cell r="O218" t="str">
            <v>poches à souder</v>
          </cell>
          <cell r="P218" t="str">
            <v>Kit</v>
          </cell>
          <cell r="Q218">
            <v>1700</v>
          </cell>
          <cell r="R218">
            <v>3</v>
          </cell>
          <cell r="S218" t="str">
            <v>2 516 920.301</v>
          </cell>
          <cell r="T218" t="str">
            <v>non</v>
          </cell>
          <cell r="U218" t="str">
            <v>2 316 920.301</v>
          </cell>
          <cell r="V218" t="str">
            <v>non</v>
          </cell>
        </row>
        <row r="219">
          <cell r="K219">
            <v>4</v>
          </cell>
          <cell r="L219" t="str">
            <v>30mm</v>
          </cell>
          <cell r="M219">
            <v>4</v>
          </cell>
          <cell r="N219" t="str">
            <v>Encastrée</v>
          </cell>
          <cell r="O219" t="str">
            <v>poches à souder</v>
          </cell>
          <cell r="P219" t="str">
            <v>Kit</v>
          </cell>
          <cell r="Q219">
            <v>2100</v>
          </cell>
          <cell r="R219">
            <v>4</v>
          </cell>
          <cell r="S219" t="str">
            <v>2 516 926.301</v>
          </cell>
          <cell r="T219" t="str">
            <v>non</v>
          </cell>
          <cell r="U219" t="str">
            <v>2 316 926.301</v>
          </cell>
          <cell r="V219" t="str">
            <v>non</v>
          </cell>
        </row>
        <row r="220">
          <cell r="K220">
            <v>4</v>
          </cell>
          <cell r="L220" t="str">
            <v>30mm</v>
          </cell>
          <cell r="M220">
            <v>4</v>
          </cell>
          <cell r="N220" t="str">
            <v>Encastrée</v>
          </cell>
          <cell r="O220" t="str">
            <v>poches à souder</v>
          </cell>
          <cell r="P220" t="str">
            <v>Kit</v>
          </cell>
          <cell r="Q220">
            <v>2700</v>
          </cell>
          <cell r="R220">
            <v>5</v>
          </cell>
          <cell r="S220" t="str">
            <v>2 516 931.301</v>
          </cell>
          <cell r="T220" t="str">
            <v>non</v>
          </cell>
          <cell r="U220" t="str">
            <v>2 316 931.301</v>
          </cell>
          <cell r="V220" t="str">
            <v>non</v>
          </cell>
        </row>
      </sheetData>
      <sheetData sheetId="3">
        <row r="2">
          <cell r="A2" t="str">
            <v>5 232 356</v>
          </cell>
          <cell r="B2" t="str">
            <v>5 432 356</v>
          </cell>
          <cell r="C2" t="str">
            <v>5 632 356</v>
          </cell>
        </row>
        <row r="3">
          <cell r="A3" t="str">
            <v>5 232 325</v>
          </cell>
          <cell r="B3" t="str">
            <v>5 432 325</v>
          </cell>
          <cell r="C3" t="str">
            <v>5 632 325</v>
          </cell>
        </row>
        <row r="4">
          <cell r="A4" t="str">
            <v>5 232 376</v>
          </cell>
          <cell r="B4" t="str">
            <v>5 432 376</v>
          </cell>
          <cell r="C4" t="str">
            <v>5 632 376</v>
          </cell>
        </row>
        <row r="5">
          <cell r="A5" t="str">
            <v>5 232 345</v>
          </cell>
          <cell r="B5" t="str">
            <v>5 432 345</v>
          </cell>
          <cell r="C5" t="str">
            <v>5 632 345</v>
          </cell>
        </row>
        <row r="6">
          <cell r="A6" t="str">
            <v>2 049 117</v>
          </cell>
          <cell r="B6" t="str">
            <v>2 049 118</v>
          </cell>
          <cell r="C6" t="str">
            <v>2 049 121</v>
          </cell>
        </row>
        <row r="7">
          <cell r="A7" t="str">
            <v>5 212 952</v>
          </cell>
          <cell r="B7" t="str">
            <v>5 412 952</v>
          </cell>
          <cell r="C7" t="str">
            <v>5 612 952</v>
          </cell>
        </row>
        <row r="8">
          <cell r="A8" t="str">
            <v>5 212 943</v>
          </cell>
          <cell r="B8" t="str">
            <v>5 412 943</v>
          </cell>
          <cell r="C8" t="str">
            <v>5 612 943</v>
          </cell>
        </row>
        <row r="9">
          <cell r="A9" t="str">
            <v>5 212 937</v>
          </cell>
          <cell r="B9" t="str">
            <v>5 412 937</v>
          </cell>
          <cell r="C9" t="str">
            <v>5 612 937</v>
          </cell>
        </row>
        <row r="10">
          <cell r="A10" t="str">
            <v>2 049 225</v>
          </cell>
          <cell r="B10" t="str">
            <v>2 049 226</v>
          </cell>
          <cell r="C10" t="str">
            <v>2 049 227</v>
          </cell>
        </row>
      </sheetData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E2449-6DD2-4B74-B16F-2E7F51633B98}">
  <sheetPr codeName="Feuil8">
    <tabColor rgb="FFFFC000"/>
  </sheetPr>
  <dimension ref="A1:S333"/>
  <sheetViews>
    <sheetView tabSelected="1" topLeftCell="B20" zoomScale="68" zoomScaleNormal="68" workbookViewId="0">
      <selection activeCell="G323" sqref="G323"/>
    </sheetView>
  </sheetViews>
  <sheetFormatPr baseColWidth="10" defaultRowHeight="15" outlineLevelRow="1" x14ac:dyDescent="0.25"/>
  <cols>
    <col min="1" max="1" width="17.42578125" customWidth="1"/>
    <col min="2" max="2" width="35.42578125" bestFit="1" customWidth="1"/>
    <col min="3" max="3" width="28.28515625" customWidth="1"/>
    <col min="4" max="4" width="33.28515625" bestFit="1" customWidth="1"/>
    <col min="5" max="5" width="12.42578125" bestFit="1" customWidth="1"/>
    <col min="6" max="6" width="18.5703125" bestFit="1" customWidth="1"/>
    <col min="7" max="7" width="15.28515625" bestFit="1" customWidth="1"/>
    <col min="11" max="11" width="12.5703125" bestFit="1" customWidth="1"/>
    <col min="12" max="12" width="18.85546875" bestFit="1" customWidth="1"/>
    <col min="13" max="13" width="17.140625" style="18" bestFit="1" customWidth="1"/>
    <col min="14" max="14" width="13.42578125" customWidth="1"/>
  </cols>
  <sheetData>
    <row r="1" spans="2:19" ht="36" x14ac:dyDescent="0.55000000000000004">
      <c r="B1" s="139" t="s">
        <v>0</v>
      </c>
      <c r="C1" s="139"/>
      <c r="D1" s="139"/>
      <c r="E1" s="139"/>
      <c r="F1" s="139"/>
      <c r="G1" s="139"/>
      <c r="H1" s="139"/>
      <c r="J1" s="1"/>
      <c r="K1" s="2" t="s">
        <v>1</v>
      </c>
      <c r="L1" s="3" t="e">
        <f>+M302+M293+M264+M254+M171+M151+M133+M111+M100+M84+M63+M41+M33+M260+M122+M226+M248+M188+M206</f>
        <v>#REF!</v>
      </c>
      <c r="M1" s="4" t="s">
        <v>2</v>
      </c>
      <c r="N1" s="5" t="e">
        <f>+I302+I293+I264+I254+I171+I151+I133+I111+I100+I84+I63+I41+I33+I122+I226+I248+I260+I188+I206</f>
        <v>#REF!</v>
      </c>
      <c r="O1" s="1"/>
      <c r="P1" s="2" t="s">
        <v>3</v>
      </c>
      <c r="Q1" s="2"/>
      <c r="R1" s="2" t="s">
        <v>4</v>
      </c>
      <c r="S1" s="2" t="s">
        <v>5</v>
      </c>
    </row>
    <row r="2" spans="2:19" ht="21" customHeight="1" thickBot="1" x14ac:dyDescent="0.6">
      <c r="B2" s="6"/>
      <c r="C2" s="7"/>
      <c r="D2" s="7"/>
      <c r="E2" s="7"/>
      <c r="F2" s="7"/>
      <c r="G2" s="7"/>
      <c r="H2" s="7"/>
      <c r="J2" s="1"/>
      <c r="K2" s="2" t="s">
        <v>6</v>
      </c>
      <c r="L2" s="3">
        <f>+M331</f>
        <v>683.1</v>
      </c>
      <c r="M2" s="4"/>
      <c r="N2" s="2"/>
      <c r="O2" s="1"/>
      <c r="P2" s="2" t="s">
        <v>7</v>
      </c>
      <c r="Q2" s="8" t="e">
        <f>+L3*2.6</f>
        <v>#REF!</v>
      </c>
      <c r="R2" s="9" t="e">
        <f>+($Q$2*0.7-$L$3)/($Q$2*0.7)</f>
        <v>#REF!</v>
      </c>
      <c r="S2" s="10" t="e">
        <f>+Q2/$F$4</f>
        <v>#REF!</v>
      </c>
    </row>
    <row r="3" spans="2:19" ht="15.75" thickBot="1" x14ac:dyDescent="0.3">
      <c r="B3" s="7" t="s">
        <v>8</v>
      </c>
      <c r="C3" s="11"/>
      <c r="D3" s="7"/>
      <c r="E3" s="7" t="s">
        <v>9</v>
      </c>
      <c r="F3" s="11"/>
      <c r="G3" s="7"/>
      <c r="H3" s="7"/>
      <c r="J3" s="1"/>
      <c r="K3" s="2" t="s">
        <v>10</v>
      </c>
      <c r="L3" s="12" t="e">
        <f>+L1+L2</f>
        <v>#REF!</v>
      </c>
      <c r="M3" s="4" t="s">
        <v>5</v>
      </c>
      <c r="N3" s="10" t="e">
        <f>+L3/F4</f>
        <v>#REF!</v>
      </c>
      <c r="O3" s="1"/>
      <c r="P3" s="2" t="s">
        <v>11</v>
      </c>
      <c r="Q3" s="8" t="e">
        <f>+L3*2.36</f>
        <v>#REF!</v>
      </c>
      <c r="R3" s="9" t="e">
        <f>+($Q$3*0.5*1.1-$L$3)/($Q$3*0.5*1.1)</f>
        <v>#REF!</v>
      </c>
      <c r="S3" s="10" t="e">
        <f t="shared" ref="S3:S4" si="0">+Q3/$F$4</f>
        <v>#REF!</v>
      </c>
    </row>
    <row r="4" spans="2:19" x14ac:dyDescent="0.25">
      <c r="B4" s="7" t="s">
        <v>12</v>
      </c>
      <c r="C4" s="11"/>
      <c r="D4" s="7"/>
      <c r="E4" s="7" t="s">
        <v>13</v>
      </c>
      <c r="F4" s="11">
        <v>1</v>
      </c>
      <c r="G4" s="7"/>
      <c r="H4" s="7"/>
      <c r="J4" s="1"/>
      <c r="K4" s="2"/>
      <c r="L4" s="2"/>
      <c r="M4" s="4"/>
      <c r="N4" s="2"/>
      <c r="O4" s="1"/>
      <c r="P4" s="2" t="s">
        <v>14</v>
      </c>
      <c r="Q4" s="8" t="e">
        <f>+Q3*1.15</f>
        <v>#REF!</v>
      </c>
      <c r="R4" s="9" t="e">
        <f>+($Q$4*0.5-$L$3)/($Q$4*0.5)</f>
        <v>#REF!</v>
      </c>
      <c r="S4" s="10" t="e">
        <f t="shared" si="0"/>
        <v>#REF!</v>
      </c>
    </row>
    <row r="5" spans="2:19" x14ac:dyDescent="0.25">
      <c r="B5" s="7"/>
      <c r="C5" s="7"/>
      <c r="D5" s="7"/>
      <c r="E5" s="7"/>
      <c r="F5" s="7"/>
      <c r="G5" s="7"/>
      <c r="H5" s="7"/>
      <c r="J5" s="1"/>
      <c r="K5" s="2"/>
      <c r="L5" s="2"/>
      <c r="M5" s="4"/>
      <c r="N5" s="2"/>
      <c r="O5" s="1"/>
      <c r="P5" s="1"/>
      <c r="Q5" s="1"/>
      <c r="R5" s="1"/>
      <c r="S5" s="1"/>
    </row>
    <row r="6" spans="2:19" x14ac:dyDescent="0.25">
      <c r="B6" s="7" t="s">
        <v>15</v>
      </c>
      <c r="C6" s="7" t="s">
        <v>16</v>
      </c>
      <c r="D6" s="11">
        <v>2001</v>
      </c>
      <c r="E6" s="7"/>
      <c r="F6" s="13">
        <f>+D6</f>
        <v>2001</v>
      </c>
      <c r="G6" s="13" t="s">
        <v>17</v>
      </c>
      <c r="H6" s="13">
        <f>+IF(F6&lt;'[2]NE PAS TOUCHER'!A24,3,IF(F6&lt;'[2]NE PAS TOUCHER'!A25,4,5))</f>
        <v>3</v>
      </c>
      <c r="J6" s="1"/>
      <c r="K6" s="1"/>
      <c r="L6" s="1"/>
      <c r="M6" s="14"/>
      <c r="N6" s="2" t="s">
        <v>18</v>
      </c>
      <c r="O6" s="1"/>
      <c r="P6" s="1"/>
      <c r="Q6" s="1"/>
      <c r="R6" s="1"/>
      <c r="S6" s="1"/>
    </row>
    <row r="7" spans="2:19" ht="23.25" x14ac:dyDescent="0.35">
      <c r="B7" s="7" t="s">
        <v>19</v>
      </c>
      <c r="C7" s="7" t="s">
        <v>20</v>
      </c>
      <c r="D7" s="11">
        <v>2532</v>
      </c>
      <c r="E7" s="7"/>
      <c r="F7" s="7"/>
      <c r="G7" s="7"/>
      <c r="H7" s="7"/>
      <c r="M7" s="15"/>
      <c r="N7" s="2" t="str">
        <f t="array" ref="N7">INDEX('[2]NE PAS TOUCHER'!$K$4:$V$220,MATCH(1,('Porte arrière Sandwich'!$D$13='[2]NE PAS TOUCHER'!K4:K220)*('Porte arrière Sandwich'!$D$15='[2]NE PAS TOUCHER'!M4:M220)*('Porte arrière Sandwich'!$D$26='[2]NE PAS TOUCHER'!N4:N220)*('Porte arrière Sandwich'!$G$17='[2]NE PAS TOUCHER'!O4:O220)*('Porte arrière Sandwich'!$G$13='[2]NE PAS TOUCHER'!P4:P220)*('Porte arrière Sandwich'!$H$6='[2]NE PAS TOUCHER'!R4:R220),0),IF(G19="non",11,9))</f>
        <v>2 016 920.201</v>
      </c>
    </row>
    <row r="8" spans="2:19" ht="18.75" x14ac:dyDescent="0.3">
      <c r="B8" s="7"/>
      <c r="C8" s="7"/>
      <c r="D8" s="7"/>
      <c r="E8" s="7"/>
      <c r="F8" s="7"/>
      <c r="G8" s="7"/>
      <c r="H8" s="7"/>
      <c r="M8" s="16"/>
      <c r="N8" s="2"/>
    </row>
    <row r="9" spans="2:19" x14ac:dyDescent="0.25">
      <c r="B9" s="7" t="s">
        <v>21</v>
      </c>
      <c r="C9" s="7"/>
      <c r="D9" s="17"/>
      <c r="E9" s="7"/>
      <c r="F9" s="7"/>
      <c r="G9" s="7"/>
      <c r="H9" s="7"/>
      <c r="N9" s="2"/>
    </row>
    <row r="10" spans="2:19" x14ac:dyDescent="0.25">
      <c r="B10" s="7" t="s">
        <v>22</v>
      </c>
      <c r="C10" s="7" t="s">
        <v>23</v>
      </c>
      <c r="D10" s="11"/>
      <c r="E10" s="7"/>
      <c r="F10" s="7"/>
      <c r="G10" s="7"/>
      <c r="H10" s="7"/>
      <c r="N10" s="2"/>
    </row>
    <row r="11" spans="2:19" x14ac:dyDescent="0.25">
      <c r="B11" s="7" t="s">
        <v>24</v>
      </c>
      <c r="C11" s="7" t="s">
        <v>25</v>
      </c>
      <c r="D11" s="11"/>
      <c r="E11" s="7"/>
      <c r="F11" s="7"/>
      <c r="G11" s="7"/>
      <c r="H11" s="7"/>
      <c r="N11" s="2"/>
    </row>
    <row r="12" spans="2:19" x14ac:dyDescent="0.25">
      <c r="B12" s="7"/>
      <c r="C12" s="7"/>
      <c r="D12" s="7"/>
      <c r="E12" s="7"/>
      <c r="F12" s="7"/>
      <c r="G12" s="7"/>
      <c r="H12" s="7"/>
      <c r="N12" t="s">
        <v>26</v>
      </c>
    </row>
    <row r="13" spans="2:19" x14ac:dyDescent="0.25">
      <c r="B13" s="7" t="s">
        <v>27</v>
      </c>
      <c r="C13" s="7"/>
      <c r="D13" s="11">
        <v>4</v>
      </c>
      <c r="E13" s="7"/>
      <c r="F13" s="7" t="s">
        <v>28</v>
      </c>
      <c r="G13" s="11" t="s">
        <v>29</v>
      </c>
      <c r="H13" s="7"/>
      <c r="N13" t="str">
        <f>+IF(IFERROR(VLOOKUP($N$7,[2]!Tableau__192.168.29.23_APSSQL_Arizona_v_Addr_Employee_F[N° Article],1,),"oui")=N7,"non","oui")</f>
        <v>oui</v>
      </c>
    </row>
    <row r="14" spans="2:19" ht="15" customHeight="1" x14ac:dyDescent="0.4">
      <c r="B14" s="7"/>
      <c r="C14" s="7"/>
      <c r="D14" s="7"/>
      <c r="E14" s="7"/>
      <c r="F14" s="7"/>
      <c r="G14" s="7"/>
      <c r="H14" s="7"/>
      <c r="J14" s="19"/>
    </row>
    <row r="15" spans="2:19" ht="15" customHeight="1" x14ac:dyDescent="0.4">
      <c r="B15" s="7" t="s">
        <v>30</v>
      </c>
      <c r="C15" s="7"/>
      <c r="D15" s="11">
        <v>4</v>
      </c>
      <c r="E15" s="7"/>
      <c r="F15" s="7" t="s">
        <v>31</v>
      </c>
      <c r="G15" s="11" t="s">
        <v>32</v>
      </c>
      <c r="H15" s="7"/>
      <c r="J15" s="19"/>
    </row>
    <row r="16" spans="2:19" ht="15.75" thickBot="1" x14ac:dyDescent="0.3">
      <c r="B16" s="7"/>
      <c r="C16" s="7"/>
      <c r="D16" s="7"/>
      <c r="E16" s="7"/>
      <c r="F16" s="7"/>
      <c r="G16" s="7"/>
      <c r="H16" s="7"/>
    </row>
    <row r="17" spans="1:17" ht="15" customHeight="1" x14ac:dyDescent="0.25">
      <c r="B17" s="7" t="s">
        <v>33</v>
      </c>
      <c r="C17" s="7"/>
      <c r="D17" s="11" t="s">
        <v>34</v>
      </c>
      <c r="E17" s="7"/>
      <c r="F17" s="7" t="s">
        <v>35</v>
      </c>
      <c r="G17" s="11" t="s">
        <v>36</v>
      </c>
      <c r="H17" s="7"/>
      <c r="J17" s="140" t="str">
        <f>IF($D$19=30,"Attention, l'épaisseur des panneaux en 30mm n'est pour le moment pas prévu dans ce fichier.","")</f>
        <v/>
      </c>
      <c r="K17" s="141"/>
      <c r="L17" s="141"/>
      <c r="M17" s="141"/>
      <c r="N17" s="142"/>
    </row>
    <row r="18" spans="1:17" ht="15" customHeight="1" x14ac:dyDescent="0.25">
      <c r="B18" s="7"/>
      <c r="C18" s="7"/>
      <c r="D18" s="7"/>
      <c r="E18" s="7"/>
      <c r="F18" s="7"/>
      <c r="G18" s="7"/>
      <c r="H18" s="7"/>
      <c r="J18" s="143"/>
      <c r="K18" s="144"/>
      <c r="L18" s="144"/>
      <c r="M18" s="144"/>
      <c r="N18" s="145"/>
    </row>
    <row r="19" spans="1:17" ht="15" customHeight="1" x14ac:dyDescent="0.25">
      <c r="B19" s="7" t="s">
        <v>37</v>
      </c>
      <c r="C19" s="7"/>
      <c r="D19" s="11">
        <v>25</v>
      </c>
      <c r="E19" s="7"/>
      <c r="F19" s="7" t="s">
        <v>38</v>
      </c>
      <c r="G19" s="11" t="s">
        <v>39</v>
      </c>
      <c r="H19" s="7"/>
      <c r="J19" s="143"/>
      <c r="K19" s="144"/>
      <c r="L19" s="144"/>
      <c r="M19" s="144"/>
      <c r="N19" s="145"/>
      <c r="Q19" s="20"/>
    </row>
    <row r="20" spans="1:17" ht="15" customHeight="1" x14ac:dyDescent="0.25">
      <c r="B20" s="7"/>
      <c r="C20" s="7"/>
      <c r="D20" s="7"/>
      <c r="E20" s="7"/>
      <c r="F20" s="7"/>
      <c r="G20" s="7"/>
      <c r="H20" s="7"/>
      <c r="J20" s="146" t="str">
        <f>+IF($D$6&gt;3099,"Attention la HI maximale est de 3099mm","")</f>
        <v/>
      </c>
      <c r="K20" s="147"/>
      <c r="L20" s="147"/>
      <c r="M20" s="147"/>
      <c r="N20" s="148"/>
    </row>
    <row r="21" spans="1:17" ht="15" customHeight="1" x14ac:dyDescent="0.25">
      <c r="B21" s="7" t="s">
        <v>40</v>
      </c>
      <c r="C21" s="7"/>
      <c r="D21" s="11" t="s">
        <v>41</v>
      </c>
      <c r="E21" s="7"/>
      <c r="F21" s="7" t="s">
        <v>42</v>
      </c>
      <c r="G21" s="11" t="s">
        <v>43</v>
      </c>
      <c r="H21" s="7"/>
      <c r="J21" s="146"/>
      <c r="K21" s="147"/>
      <c r="L21" s="147"/>
      <c r="M21" s="147"/>
      <c r="N21" s="148"/>
    </row>
    <row r="22" spans="1:17" ht="15" customHeight="1" x14ac:dyDescent="0.25">
      <c r="B22" s="7"/>
      <c r="C22" s="7"/>
      <c r="D22" s="7"/>
      <c r="E22" s="7"/>
      <c r="F22" s="7"/>
      <c r="G22" s="7"/>
      <c r="H22" s="7"/>
      <c r="J22" s="146"/>
      <c r="K22" s="147"/>
      <c r="L22" s="147"/>
      <c r="M22" s="147"/>
      <c r="N22" s="148"/>
    </row>
    <row r="23" spans="1:17" ht="15.75" customHeight="1" thickBot="1" x14ac:dyDescent="0.3">
      <c r="B23" s="7" t="s">
        <v>44</v>
      </c>
      <c r="C23" s="7"/>
      <c r="D23" s="11" t="s">
        <v>45</v>
      </c>
      <c r="E23" s="7"/>
      <c r="F23" s="7" t="s">
        <v>46</v>
      </c>
      <c r="G23" s="11" t="s">
        <v>39</v>
      </c>
      <c r="H23" s="7"/>
      <c r="J23" s="149"/>
      <c r="K23" s="150"/>
      <c r="L23" s="150"/>
      <c r="M23" s="150"/>
      <c r="N23" s="151"/>
    </row>
    <row r="24" spans="1:17" ht="15.75" customHeight="1" x14ac:dyDescent="0.25">
      <c r="B24" s="7"/>
      <c r="C24" s="7"/>
      <c r="D24" s="7"/>
      <c r="E24" s="7"/>
      <c r="F24" s="7"/>
      <c r="G24" s="7"/>
      <c r="H24" s="7"/>
      <c r="J24" s="21"/>
      <c r="K24" s="21"/>
      <c r="L24" s="21"/>
      <c r="M24" s="21"/>
      <c r="N24" s="21"/>
    </row>
    <row r="25" spans="1:17" ht="15.75" customHeight="1" x14ac:dyDescent="0.25">
      <c r="B25" s="7"/>
      <c r="C25" s="7"/>
      <c r="D25" s="7"/>
      <c r="E25" s="7"/>
      <c r="F25" s="7" t="s">
        <v>47</v>
      </c>
      <c r="G25" s="11" t="s">
        <v>48</v>
      </c>
      <c r="H25" s="7"/>
      <c r="J25" s="21"/>
      <c r="K25" s="21"/>
      <c r="L25" s="21"/>
      <c r="M25" s="21"/>
      <c r="N25" s="21"/>
    </row>
    <row r="26" spans="1:17" x14ac:dyDescent="0.25">
      <c r="B26" s="7"/>
      <c r="C26" s="7"/>
      <c r="D26" s="17" t="str">
        <f>IF(IFERROR(VLOOKUP(D23,'[2]NE PAS TOUCHER'!B14:B19,1,),"boxer")&lt;&gt;"boxer","Encastrée","boxer")</f>
        <v>Encastrée</v>
      </c>
      <c r="E26" s="7"/>
      <c r="F26" s="7"/>
      <c r="G26" s="7"/>
      <c r="H26" s="7"/>
    </row>
    <row r="27" spans="1:17" s="22" customFormat="1" ht="33" hidden="1" customHeight="1" thickBot="1" x14ac:dyDescent="0.3">
      <c r="B27" s="23" t="s">
        <v>49</v>
      </c>
      <c r="C27" s="24" t="s">
        <v>50</v>
      </c>
      <c r="D27" s="23" t="s">
        <v>51</v>
      </c>
      <c r="E27" s="23" t="s">
        <v>52</v>
      </c>
      <c r="F27" s="23" t="s">
        <v>53</v>
      </c>
      <c r="G27" s="23" t="s">
        <v>54</v>
      </c>
      <c r="H27" s="25" t="s">
        <v>55</v>
      </c>
      <c r="I27" s="100" t="s">
        <v>2</v>
      </c>
      <c r="J27" s="100"/>
      <c r="K27" s="25" t="s">
        <v>56</v>
      </c>
      <c r="L27" s="25" t="s">
        <v>57</v>
      </c>
      <c r="M27" s="26" t="s">
        <v>58</v>
      </c>
    </row>
    <row r="28" spans="1:17" ht="18.75" hidden="1" outlineLevel="1" x14ac:dyDescent="0.25">
      <c r="A28" s="109" t="s">
        <v>59</v>
      </c>
      <c r="B28" s="27"/>
      <c r="C28" s="28"/>
      <c r="D28" s="29"/>
      <c r="E28" s="30"/>
      <c r="F28" s="30"/>
      <c r="G28" s="31"/>
      <c r="H28" s="31"/>
      <c r="I28" s="32"/>
      <c r="J28" s="33"/>
      <c r="K28" s="34"/>
      <c r="L28" s="30"/>
      <c r="M28" s="35"/>
    </row>
    <row r="29" spans="1:17" ht="12.75" hidden="1" customHeight="1" outlineLevel="1" x14ac:dyDescent="0.25">
      <c r="A29" s="110"/>
      <c r="B29" s="36" t="str">
        <f>+IF($G$19="oui ","0",IF($D$13=2,"1","5"))</f>
        <v>5</v>
      </c>
      <c r="C29" s="37">
        <f>+B29*$F$4</f>
        <v>5</v>
      </c>
      <c r="D29" t="str">
        <f>+VLOOKUP(E29,[2]!Tableau__192.168.29.23_APSSQL_Arizona_v_Addr_Employee_F[[N° Article]:[Description courte]],3,)</f>
        <v>PROFIL PORTE 25 MM</v>
      </c>
      <c r="E29" s="38" t="str">
        <f>+IF($G$15="Brut",'[2]Don''t touch'!$A$2,IF($G$15="eloxé",'[2]Don''t touch'!$B$2,'[2]Don''t touch'!$C$2))</f>
        <v>5 232 356</v>
      </c>
      <c r="F29" s="39">
        <f>+$F$6/1000</f>
        <v>2.0009999999999999</v>
      </c>
      <c r="G29" s="40">
        <f>+VLOOKUP(E29,[2]!Tableau__192.168.29.23_APSSQL_Arizona_v_Addr_Employee_F[[N° Article]:[Poids net]],32,)</f>
        <v>2.2410000000000001</v>
      </c>
      <c r="H29" s="41" t="s">
        <v>60</v>
      </c>
      <c r="I29" s="42">
        <f>C29*G29*F29</f>
        <v>22.421205</v>
      </c>
      <c r="J29" s="43" t="s">
        <v>61</v>
      </c>
      <c r="K29" s="44">
        <f>+VLOOKUP(E29,[2]!Tableau__192.168.29.23_APSSQL_Arizona_v_Addr_Employee_F[[N° Article]:[Cout total]],9,)</f>
        <v>4.3600000000000003</v>
      </c>
      <c r="L29" s="39" t="str">
        <f>+VLOOKUP(E29,[2]!Tableau__192.168.29.23_APSSQL_Arizona_v_Addr_Employee_F[[N° Article]:[UC_code]],10,)</f>
        <v>KG</v>
      </c>
      <c r="M29" s="45">
        <f t="shared" ref="M29:M32" si="1">IF(L29="CENT",C29*K29/100,IF(L29="KG",K29*I29,K29*C29))</f>
        <v>97.756453800000003</v>
      </c>
      <c r="O29" s="46"/>
    </row>
    <row r="30" spans="1:17" ht="15.75" hidden="1" customHeight="1" outlineLevel="1" x14ac:dyDescent="0.25">
      <c r="A30" s="110"/>
      <c r="B30" s="36" t="str">
        <f>+IF($G$19="oui ","0","1")</f>
        <v>1</v>
      </c>
      <c r="C30" s="37">
        <f t="shared" ref="C30:C32" si="2">+B30*$F$4</f>
        <v>1</v>
      </c>
      <c r="D30" t="str">
        <f>+VLOOKUP(E30,[2]!Tableau__192.168.29.23_APSSQL_Arizona_v_Addr_Employee_F[[N° Article]:[Description courte]],3,)</f>
        <v>PROFIL PORTE 25 MM AVEC BATTUE</v>
      </c>
      <c r="E30" s="47" t="str">
        <f>+IF($G$15="Brut",'[2]Don''t touch'!$A$3,IF($G$15="eloxé",'[2]Don''t touch'!$B$3,'[2]Don''t touch'!$C$3))</f>
        <v>5 232 325</v>
      </c>
      <c r="F30" s="39">
        <f t="shared" ref="F30:F31" si="3">+$F$6/1000</f>
        <v>2.0009999999999999</v>
      </c>
      <c r="G30" s="40">
        <f>+VLOOKUP(E30,[2]!Tableau__192.168.29.23_APSSQL_Arizona_v_Addr_Employee_F[[N° Article]:[Poids net]],32,)</f>
        <v>2.286</v>
      </c>
      <c r="H30" s="41" t="s">
        <v>60</v>
      </c>
      <c r="I30" s="42">
        <f t="shared" ref="I30:I32" si="4">C30*G30*F30</f>
        <v>4.5742859999999999</v>
      </c>
      <c r="J30" s="43" t="s">
        <v>61</v>
      </c>
      <c r="K30" s="44">
        <f>+VLOOKUP(E30,[2]!Tableau__192.168.29.23_APSSQL_Arizona_v_Addr_Employee_F[[N° Article]:[Cout total]],9,)</f>
        <v>4.4800000000000004</v>
      </c>
      <c r="L30" s="39" t="str">
        <f>+VLOOKUP(E30,[2]!Tableau__192.168.29.23_APSSQL_Arizona_v_Addr_Employee_F[[N° Article]:[UC_code]],10,)</f>
        <v>KG</v>
      </c>
      <c r="M30" s="45">
        <f t="shared" si="1"/>
        <v>20.492801280000002</v>
      </c>
      <c r="O30" s="46"/>
    </row>
    <row r="31" spans="1:17" hidden="1" outlineLevel="1" x14ac:dyDescent="0.25">
      <c r="A31" s="110"/>
      <c r="B31" s="36" t="str">
        <f>+IF($G$19="oui ","0","2")</f>
        <v>2</v>
      </c>
      <c r="C31" s="37">
        <f>+B31*$F$4</f>
        <v>2</v>
      </c>
      <c r="D31" t="str">
        <f>+VLOOKUP(E31,[2]!Tableau__192.168.29.23_APSSQL_Arizona_v_Addr_Employee_F[[N° Article]:[Description courte]],3,)</f>
        <v>PR.PORTE 25 RENFORCE</v>
      </c>
      <c r="E31" s="47" t="str">
        <f>+IF($G$15="Brut",'[2]Don''t touch'!$A$4,IF($G$15="eloxé",'[2]Don''t touch'!$B$4,'[2]Don''t touch'!$C$4))</f>
        <v>5 232 376</v>
      </c>
      <c r="F31" s="39">
        <f t="shared" si="3"/>
        <v>2.0009999999999999</v>
      </c>
      <c r="G31" s="40">
        <f>+VLOOKUP(E31,[2]!Tableau__192.168.29.23_APSSQL_Arizona_v_Addr_Employee_F[[N° Article]:[Poids net]],32,)</f>
        <v>2.395</v>
      </c>
      <c r="H31" s="41" t="s">
        <v>60</v>
      </c>
      <c r="I31" s="42">
        <f t="shared" si="4"/>
        <v>9.5847899999999999</v>
      </c>
      <c r="J31" s="43" t="s">
        <v>61</v>
      </c>
      <c r="K31" s="44">
        <f>+VLOOKUP(E31,[2]!Tableau__192.168.29.23_APSSQL_Arizona_v_Addr_Employee_F[[N° Article]:[Cout total]],9,)</f>
        <v>4.0199999999999996</v>
      </c>
      <c r="L31" s="39" t="str">
        <f>+VLOOKUP(E31,[2]!Tableau__192.168.29.23_APSSQL_Arizona_v_Addr_Employee_F[[N° Article]:[UC_code]],10,)</f>
        <v>KG</v>
      </c>
      <c r="M31" s="45">
        <f t="shared" si="1"/>
        <v>38.530855799999998</v>
      </c>
      <c r="O31" s="46"/>
    </row>
    <row r="32" spans="1:17" ht="15.75" hidden="1" outlineLevel="1" thickBot="1" x14ac:dyDescent="0.3">
      <c r="A32" s="112"/>
      <c r="B32" s="48" t="str">
        <f>+IF($G$19="oui ","0",IF($D$13=2,"4","8"))</f>
        <v>8</v>
      </c>
      <c r="C32" s="49">
        <f t="shared" si="2"/>
        <v>8</v>
      </c>
      <c r="D32" s="50" t="str">
        <f>+VLOOKUP(E32,[2]!Tableau__192.168.29.23_APSSQL_Arizona_v_Addr_Employee_F[[N° Article]:[Description courte]],3,)</f>
        <v>PROFIL PORTE 25 MM</v>
      </c>
      <c r="E32" s="51" t="str">
        <f>+IF($G$15="Brut",'[2]Don''t touch'!$A$2,IF($G$15="eloxé",'[2]Don''t touch'!$B$2,'[2]Don''t touch'!$C$2))</f>
        <v>5 232 356</v>
      </c>
      <c r="F32" s="52">
        <f>+IF($D$13=2,($D$7-60)/2/1000,($D$7-78)/4/1000)</f>
        <v>0.61350000000000005</v>
      </c>
      <c r="G32" s="53">
        <f>+VLOOKUP(E32,[2]!Tableau__192.168.29.23_APSSQL_Arizona_v_Addr_Employee_F[[N° Article]:[Poids net]],32,)</f>
        <v>2.2410000000000001</v>
      </c>
      <c r="H32" s="54" t="s">
        <v>60</v>
      </c>
      <c r="I32" s="42">
        <f t="shared" si="4"/>
        <v>10.998828000000001</v>
      </c>
      <c r="J32" s="55" t="s">
        <v>61</v>
      </c>
      <c r="K32" s="56">
        <f>+VLOOKUP(E32,[2]!Tableau__192.168.29.23_APSSQL_Arizona_v_Addr_Employee_F[[N° Article]:[Cout total]],9,)</f>
        <v>4.3600000000000003</v>
      </c>
      <c r="L32" s="52" t="str">
        <f>+VLOOKUP(E32,[2]!Tableau__192.168.29.23_APSSQL_Arizona_v_Addr_Employee_F[[N° Article]:[UC_code]],10,)</f>
        <v>KG</v>
      </c>
      <c r="M32" s="45">
        <f t="shared" si="1"/>
        <v>47.954890080000013</v>
      </c>
      <c r="O32" s="46"/>
    </row>
    <row r="33" spans="1:15" ht="15.75" hidden="1" collapsed="1" thickBot="1" x14ac:dyDescent="0.3">
      <c r="A33" s="104" t="str">
        <f>+A28</f>
        <v>Bordure std</v>
      </c>
      <c r="B33" s="105"/>
      <c r="C33" s="106"/>
      <c r="E33" s="57"/>
      <c r="F33" s="39"/>
      <c r="H33" s="39"/>
      <c r="I33" s="58">
        <f>+SUM(I29:I32)</f>
        <v>47.579109000000003</v>
      </c>
      <c r="J33" s="39"/>
      <c r="K33" s="44"/>
      <c r="L33" s="39"/>
      <c r="M33" s="59">
        <f>+SUM(M29:M32)</f>
        <v>204.73500096000001</v>
      </c>
      <c r="O33" s="60"/>
    </row>
    <row r="34" spans="1:15" hidden="1" x14ac:dyDescent="0.25">
      <c r="A34" s="61"/>
      <c r="B34" s="39"/>
      <c r="C34" s="39"/>
      <c r="E34" s="57"/>
      <c r="F34" s="39"/>
      <c r="H34" s="39"/>
      <c r="I34" s="62"/>
      <c r="J34" s="39"/>
      <c r="K34" s="44"/>
      <c r="L34" s="39"/>
      <c r="O34" s="60"/>
    </row>
    <row r="35" spans="1:15" ht="18.75" hidden="1" outlineLevel="1" x14ac:dyDescent="0.25">
      <c r="A35" s="109" t="s">
        <v>62</v>
      </c>
      <c r="B35" s="27"/>
      <c r="C35" s="28"/>
      <c r="D35" s="29"/>
      <c r="E35" s="30"/>
      <c r="F35" s="30"/>
      <c r="G35" s="31"/>
      <c r="H35" s="31"/>
      <c r="I35" s="32"/>
      <c r="J35" s="33"/>
      <c r="K35" s="34"/>
      <c r="L35" s="30"/>
      <c r="M35" s="35"/>
      <c r="O35" s="46"/>
    </row>
    <row r="36" spans="1:15" hidden="1" outlineLevel="1" x14ac:dyDescent="0.25">
      <c r="A36" s="110"/>
      <c r="B36" s="36" t="str">
        <f>+IF($G$19="oui ",IF($D$13=2,"1","5"),"0")</f>
        <v>0</v>
      </c>
      <c r="C36" s="37">
        <f>+B36*$F$4</f>
        <v>0</v>
      </c>
      <c r="D36" t="str">
        <f>+VLOOKUP(E36,[2]!Tableau__192.168.29.23_APSSQL_Arizona_v_Addr_Employee_F[[N° Article]:[Description courte]],3,)</f>
        <v>PROFIL PORTE 25 MM</v>
      </c>
      <c r="E36" s="38" t="str">
        <f>+IF($G$15="Brut",'[2]Don''t touch'!$A$2,IF($G$15="eloxé",'[2]Don''t touch'!$B$2,'[2]Don''t touch'!$C$2))</f>
        <v>5 232 356</v>
      </c>
      <c r="F36" s="39">
        <f>+$F$6/1000</f>
        <v>2.0009999999999999</v>
      </c>
      <c r="G36" s="40">
        <f>+VLOOKUP(E36,[2]!Tableau__192.168.29.23_APSSQL_Arizona_v_Addr_Employee_F[[N° Article]:[Poids net]],32,)</f>
        <v>2.2410000000000001</v>
      </c>
      <c r="H36" s="41" t="s">
        <v>60</v>
      </c>
      <c r="I36" s="42">
        <f t="shared" ref="I36:I40" si="5">C36*G36*F36</f>
        <v>0</v>
      </c>
      <c r="J36" s="43" t="s">
        <v>61</v>
      </c>
      <c r="K36" s="44">
        <f>+VLOOKUP(E36,[2]!Tableau__192.168.29.23_APSSQL_Arizona_v_Addr_Employee_F[[N° Article]:[Cout total]],9,)</f>
        <v>4.3600000000000003</v>
      </c>
      <c r="L36" s="39" t="str">
        <f>+VLOOKUP(E36,[2]!Tableau__192.168.29.23_APSSQL_Arizona_v_Addr_Employee_F[[N° Article]:[UC_code]],10,)</f>
        <v>KG</v>
      </c>
      <c r="M36" s="45">
        <f>I36*K36</f>
        <v>0</v>
      </c>
      <c r="O36" s="46"/>
    </row>
    <row r="37" spans="1:15" hidden="1" outlineLevel="1" x14ac:dyDescent="0.25">
      <c r="A37" s="110"/>
      <c r="B37" s="36" t="str">
        <f>+IF($G$19="oui ","1","0")</f>
        <v>0</v>
      </c>
      <c r="C37" s="37">
        <f t="shared" ref="C37:C40" si="6">+B37*$F$4</f>
        <v>0</v>
      </c>
      <c r="D37" t="str">
        <f>+VLOOKUP(E37,[2]!Tableau__192.168.29.23_APSSQL_Arizona_v_Addr_Employee_F[[N° Article]:[Description courte]],3,)</f>
        <v>PROFIL PORTE 25 MM AVEC BATTUE</v>
      </c>
      <c r="E37" s="47" t="str">
        <f>+IF($G$15="Brut",'[2]Don''t touch'!$A$3,IF($G$15="eloxé",'[2]Don''t touch'!$B$3,'[2]Don''t touch'!$C$3))</f>
        <v>5 232 325</v>
      </c>
      <c r="F37" s="39">
        <f t="shared" ref="F37:F38" si="7">+$F$6/1000</f>
        <v>2.0009999999999999</v>
      </c>
      <c r="G37" s="40">
        <f>+VLOOKUP(E37,[2]!Tableau__192.168.29.23_APSSQL_Arizona_v_Addr_Employee_F[[N° Article]:[Poids net]],32,)</f>
        <v>2.286</v>
      </c>
      <c r="H37" s="41" t="s">
        <v>60</v>
      </c>
      <c r="I37" s="42">
        <f t="shared" si="5"/>
        <v>0</v>
      </c>
      <c r="J37" s="43" t="s">
        <v>61</v>
      </c>
      <c r="K37" s="44">
        <f>+VLOOKUP(E37,[2]!Tableau__192.168.29.23_APSSQL_Arizona_v_Addr_Employee_F[[N° Article]:[Cout total]],9,)</f>
        <v>4.4800000000000004</v>
      </c>
      <c r="L37" s="39" t="str">
        <f>+VLOOKUP(E37,[2]!Tableau__192.168.29.23_APSSQL_Arizona_v_Addr_Employee_F[[N° Article]:[UC_code]],10,)</f>
        <v>KG</v>
      </c>
      <c r="M37" s="45">
        <f t="shared" ref="M37:M39" si="8">I37*K37</f>
        <v>0</v>
      </c>
      <c r="O37" s="46"/>
    </row>
    <row r="38" spans="1:15" hidden="1" outlineLevel="1" x14ac:dyDescent="0.25">
      <c r="A38" s="110"/>
      <c r="B38" s="36" t="str">
        <f>+IF($G$19="oui ","2","0")</f>
        <v>0</v>
      </c>
      <c r="C38" s="37">
        <f t="shared" si="6"/>
        <v>0</v>
      </c>
      <c r="D38" t="str">
        <f>+VLOOKUP(E38,[2]!Tableau__192.168.29.23_APSSQL_Arizona_v_Addr_Employee_F[[N° Article]:[Description courte]],3,)</f>
        <v>PR.PORTE 25 RENFORCE</v>
      </c>
      <c r="E38" s="47" t="str">
        <f>+IF($G$15="Brut",'[2]Don''t touch'!$A$4,IF($G$15="eloxé",'[2]Don''t touch'!$B$4,'[2]Don''t touch'!$C$4))</f>
        <v>5 232 376</v>
      </c>
      <c r="F38" s="39">
        <f t="shared" si="7"/>
        <v>2.0009999999999999</v>
      </c>
      <c r="G38" s="40">
        <f>+VLOOKUP(E38,[2]!Tableau__192.168.29.23_APSSQL_Arizona_v_Addr_Employee_F[[N° Article]:[Poids net]],32,)</f>
        <v>2.395</v>
      </c>
      <c r="H38" s="41" t="s">
        <v>60</v>
      </c>
      <c r="I38" s="42">
        <f t="shared" si="5"/>
        <v>0</v>
      </c>
      <c r="J38" s="43" t="s">
        <v>61</v>
      </c>
      <c r="K38" s="44">
        <f>+VLOOKUP(E38,[2]!Tableau__192.168.29.23_APSSQL_Arizona_v_Addr_Employee_F[[N° Article]:[Cout total]],9,)</f>
        <v>4.0199999999999996</v>
      </c>
      <c r="L38" s="39" t="str">
        <f>+VLOOKUP(E38,[2]!Tableau__192.168.29.23_APSSQL_Arizona_v_Addr_Employee_F[[N° Article]:[UC_code]],10,)</f>
        <v>KG</v>
      </c>
      <c r="M38" s="45">
        <f t="shared" si="8"/>
        <v>0</v>
      </c>
      <c r="O38" s="46"/>
    </row>
    <row r="39" spans="1:15" hidden="1" outlineLevel="1" x14ac:dyDescent="0.25">
      <c r="A39" s="110"/>
      <c r="B39" s="36" t="str">
        <f>+IF($G$19="oui ",IF($D$13=2,"2","4"),"0")</f>
        <v>0</v>
      </c>
      <c r="C39" s="37">
        <f t="shared" si="6"/>
        <v>0</v>
      </c>
      <c r="D39" t="str">
        <f>+VLOOKUP(E39,[2]!Tableau__192.168.29.23_APSSQL_Arizona_v_Addr_Employee_F[[N° Article]:[Description courte]],3,)</f>
        <v>PROFIL PORTE 25 MM</v>
      </c>
      <c r="E39" s="47" t="str">
        <f>+IF($G$15="Brut",'[2]Don''t touch'!$A$2,IF($G$15="eloxé",'[2]Don''t touch'!$B$2,'[2]Don''t touch'!$C$2))</f>
        <v>5 232 356</v>
      </c>
      <c r="F39" s="39">
        <f>+IF($D$13=2,($D$7-60)/2/1000,($D$7-78)/4/1000)</f>
        <v>0.61350000000000005</v>
      </c>
      <c r="G39" s="40">
        <f>+VLOOKUP(E39,[2]!Tableau__192.168.29.23_APSSQL_Arizona_v_Addr_Employee_F[[N° Article]:[Poids net]],32,)</f>
        <v>2.2410000000000001</v>
      </c>
      <c r="H39" s="41" t="s">
        <v>60</v>
      </c>
      <c r="I39" s="42">
        <f t="shared" si="5"/>
        <v>0</v>
      </c>
      <c r="J39" s="43" t="s">
        <v>61</v>
      </c>
      <c r="K39" s="44">
        <f>+VLOOKUP(E39,[2]!Tableau__192.168.29.23_APSSQL_Arizona_v_Addr_Employee_F[[N° Article]:[Cout total]],9,)</f>
        <v>4.3600000000000003</v>
      </c>
      <c r="L39" s="39" t="str">
        <f>+VLOOKUP(E39,[2]!Tableau__192.168.29.23_APSSQL_Arizona_v_Addr_Employee_F[[N° Article]:[UC_code]],10,)</f>
        <v>KG</v>
      </c>
      <c r="M39" s="45">
        <f t="shared" si="8"/>
        <v>0</v>
      </c>
      <c r="O39" s="46"/>
    </row>
    <row r="40" spans="1:15" ht="15.75" hidden="1" outlineLevel="1" thickBot="1" x14ac:dyDescent="0.3">
      <c r="A40" s="112"/>
      <c r="B40" s="48" t="str">
        <f>+IF($G$19="oui ",IF($D$13=2,"2","4"),"0")</f>
        <v>0</v>
      </c>
      <c r="C40" s="49">
        <f t="shared" si="6"/>
        <v>0</v>
      </c>
      <c r="D40" s="50" t="str">
        <f>+VLOOKUP(E40,[2]!Tableau__192.168.29.23_APSSQL_Arizona_v_Addr_Employee_F[[N° Article]:[Description courte]],3,)</f>
        <v>PROFIL CONTACT 25 MM, COUPE</v>
      </c>
      <c r="E40" s="51" t="str">
        <f>+IF($G$15="Brut",'[2]Don''t touch'!$A$5,IF($G$15="eloxé",'[2]Don''t touch'!$B$5,'[2]Don''t touch'!$C$5))</f>
        <v>5 232 345</v>
      </c>
      <c r="F40" s="52">
        <f>+IF($D$13=2,($D$7-60)/2/1000,($D$7-78)/4/1000)</f>
        <v>0.61350000000000005</v>
      </c>
      <c r="G40" s="53">
        <f>+VLOOKUP(E40,[2]!Tableau__192.168.29.23_APSSQL_Arizona_v_Addr_Employee_F[[N° Article]:[Poids net]],32,)</f>
        <v>2.2719999999999998</v>
      </c>
      <c r="H40" s="54" t="s">
        <v>60</v>
      </c>
      <c r="I40" s="42">
        <f t="shared" si="5"/>
        <v>0</v>
      </c>
      <c r="J40" s="55" t="s">
        <v>61</v>
      </c>
      <c r="K40" s="56">
        <f>+VLOOKUP(E40,[2]!Tableau__192.168.29.23_APSSQL_Arizona_v_Addr_Employee_F[[N° Article]:[Cout total]],9,)</f>
        <v>4.45</v>
      </c>
      <c r="L40" s="52" t="str">
        <f>+VLOOKUP(E40,[2]!Tableau__192.168.29.23_APSSQL_Arizona_v_Addr_Employee_F[[N° Article]:[UC_code]],10,)</f>
        <v>KG</v>
      </c>
      <c r="M40" s="63">
        <f>I40*K40</f>
        <v>0</v>
      </c>
      <c r="O40" s="46"/>
    </row>
    <row r="41" spans="1:15" ht="15.75" hidden="1" collapsed="1" thickBot="1" x14ac:dyDescent="0.3">
      <c r="A41" s="104" t="str">
        <f>+A35</f>
        <v>Bordure    contact</v>
      </c>
      <c r="B41" s="105"/>
      <c r="C41" s="106"/>
      <c r="E41" s="57"/>
      <c r="F41" s="39"/>
      <c r="H41" s="39"/>
      <c r="I41" s="58">
        <f>+SUM(I36:I40)</f>
        <v>0</v>
      </c>
      <c r="J41" s="39"/>
      <c r="K41" s="44"/>
      <c r="L41" s="39"/>
      <c r="M41" s="59">
        <f>+SUM(M36:M40)</f>
        <v>0</v>
      </c>
      <c r="O41" s="60"/>
    </row>
    <row r="42" spans="1:15" hidden="1" x14ac:dyDescent="0.25">
      <c r="A42" s="39"/>
      <c r="B42" s="39"/>
      <c r="C42" s="39"/>
      <c r="E42" s="57"/>
      <c r="F42" s="39"/>
      <c r="H42" s="39"/>
      <c r="I42" s="64"/>
      <c r="J42" s="39"/>
      <c r="K42" s="44"/>
      <c r="L42" s="39"/>
      <c r="O42" s="60"/>
    </row>
    <row r="43" spans="1:15" ht="18.75" hidden="1" outlineLevel="1" x14ac:dyDescent="0.25">
      <c r="A43" s="109" t="s">
        <v>63</v>
      </c>
      <c r="B43" s="27"/>
      <c r="C43" s="28"/>
      <c r="D43" s="29"/>
      <c r="E43" s="30"/>
      <c r="F43" s="30"/>
      <c r="G43" s="31"/>
      <c r="H43" s="31"/>
      <c r="I43" s="32"/>
      <c r="J43" s="33"/>
      <c r="K43" s="34"/>
      <c r="L43" s="30"/>
      <c r="M43" s="35"/>
      <c r="O43" s="60"/>
    </row>
    <row r="44" spans="1:15" hidden="1" outlineLevel="1" x14ac:dyDescent="0.25">
      <c r="A44" s="110"/>
      <c r="B44" s="36" t="str">
        <f>+IF($G$13="Snap-lock",IF($D$13=2,"2","4"),"0")</f>
        <v>0</v>
      </c>
      <c r="C44" s="37">
        <f>+B44*$F$4</f>
        <v>0</v>
      </c>
      <c r="D44" t="str">
        <f>+VLOOKUP(E44,[2]!Tableau__192.168.29.23_APSSQL_Arizona_v_Addr_Employee_F[[N° Article]:[Description courte]],3,)</f>
        <v>PR.SNAP 25 MM LA=75</v>
      </c>
      <c r="E44" s="38" t="str">
        <f>+IF($G$15="Brut",'[2]Don''t touch'!$A$7,IF($G$15="eloxé",'[2]Don''t touch'!$B$7,'[2]Don''t touch'!$C$7))</f>
        <v>5 212 952</v>
      </c>
      <c r="F44" s="39">
        <f>+($F$6-170)/1000</f>
        <v>1.831</v>
      </c>
      <c r="G44" s="40">
        <f>+VLOOKUP(E44,[2]!Tableau__192.168.29.23_APSSQL_Arizona_v_Addr_Employee_F[[N° Article]:[Poids net]],32,)</f>
        <v>1.0169999999999999</v>
      </c>
      <c r="H44" s="41" t="s">
        <v>60</v>
      </c>
      <c r="I44" s="42">
        <f>(F44)*C44*G44</f>
        <v>0</v>
      </c>
      <c r="J44" s="43" t="s">
        <v>61</v>
      </c>
      <c r="K44" s="44">
        <f>+VLOOKUP(E44,[2]!Tableau__192.168.29.23_APSSQL_Arizona_v_Addr_Employee_F[[N° Article]:[Cout total]],9,)</f>
        <v>4.32</v>
      </c>
      <c r="L44" s="39" t="str">
        <f>+VLOOKUP(E44,[2]!Tableau__192.168.29.23_APSSQL_Arizona_v_Addr_Employee_F[[N° Article]:[UC_code]],10,)</f>
        <v>KG</v>
      </c>
      <c r="M44" s="45">
        <f t="shared" ref="M44:M62" si="9">IF(L44="CENT",C44*K44/100,IF(L44="KG",K44*I44,K44*C44))</f>
        <v>0</v>
      </c>
      <c r="O44" s="46"/>
    </row>
    <row r="45" spans="1:15" hidden="1" outlineLevel="1" x14ac:dyDescent="0.25">
      <c r="A45" s="110"/>
      <c r="B45" s="36" t="str">
        <f>+IF($G$13="Snap-lock",IF($D$13=2,"8","4"),"0")</f>
        <v>0</v>
      </c>
      <c r="C45" s="37">
        <f t="shared" ref="C45:C62" si="10">+B45*$F$4</f>
        <v>0</v>
      </c>
      <c r="D45" t="str">
        <f>+VLOOKUP(E45,[2]!Tableau__192.168.29.23_APSSQL_Arizona_v_Addr_Employee_F[[N° Article]:[Description courte]],3,)</f>
        <v>PR.SNAP 25 MM LA=200</v>
      </c>
      <c r="E45" s="38" t="str">
        <f>+IF($G$15="Brut",'[2]Don''t touch'!$A$8,IF($G$15="eloxé",'[2]Don''t touch'!$B$8,'[2]Don''t touch'!$C$8))</f>
        <v>5 212 943</v>
      </c>
      <c r="F45" s="39">
        <f t="shared" ref="F45:F46" si="11">+($F$6-170)/1000</f>
        <v>1.831</v>
      </c>
      <c r="G45" s="40">
        <f>+VLOOKUP(E45,[2]!Tableau__192.168.29.23_APSSQL_Arizona_v_Addr_Employee_F[[N° Article]:[Poids net]],32,)</f>
        <v>2.58</v>
      </c>
      <c r="H45" s="41" t="s">
        <v>60</v>
      </c>
      <c r="I45" s="42">
        <f t="shared" ref="I45:I47" si="12">(F45)*C45*G45</f>
        <v>0</v>
      </c>
      <c r="J45" s="43" t="s">
        <v>61</v>
      </c>
      <c r="K45" s="44">
        <f>+VLOOKUP(E45,[2]!Tableau__192.168.29.23_APSSQL_Arizona_v_Addr_Employee_F[[N° Article]:[Cout total]],9,)</f>
        <v>4.22</v>
      </c>
      <c r="L45" s="39" t="str">
        <f>+VLOOKUP(E45,[2]!Tableau__192.168.29.23_APSSQL_Arizona_v_Addr_Employee_F[[N° Article]:[UC_code]],10,)</f>
        <v>KG</v>
      </c>
      <c r="M45" s="45">
        <f t="shared" si="9"/>
        <v>0</v>
      </c>
      <c r="O45" s="46"/>
    </row>
    <row r="46" spans="1:15" hidden="1" outlineLevel="1" x14ac:dyDescent="0.25">
      <c r="A46" s="110"/>
      <c r="B46" s="36" t="str">
        <f t="shared" ref="B46" si="13">+IF($G$13="Snap-lock",IF($D$13=2,"2","4"),"0")</f>
        <v>0</v>
      </c>
      <c r="C46" s="37">
        <f t="shared" si="10"/>
        <v>0</v>
      </c>
      <c r="D46" t="str">
        <f>+VLOOKUP(E46,[2]!Tableau__192.168.29.23_APSSQL_Arizona_v_Addr_Employee_F[[N° Article]:[Description courte]],3,)</f>
        <v>PR.SNAP 25 MM LA=200</v>
      </c>
      <c r="E46" s="38" t="str">
        <f>+IF($G$15="Brut",'[2]Don''t touch'!$A$9,IF($G$15="eloxé",'[2]Don''t touch'!$B$9,'[2]Don''t touch'!$C$9))</f>
        <v>5 212 937</v>
      </c>
      <c r="F46" s="39">
        <f t="shared" si="11"/>
        <v>1.831</v>
      </c>
      <c r="G46" s="40">
        <f>+VLOOKUP(E46,[2]!Tableau__192.168.29.23_APSSQL_Arizona_v_Addr_Employee_F[[N° Article]:[Poids net]],32,)</f>
        <v>2.59</v>
      </c>
      <c r="H46" s="41" t="s">
        <v>60</v>
      </c>
      <c r="I46" s="42">
        <f t="shared" si="12"/>
        <v>0</v>
      </c>
      <c r="J46" s="43" t="s">
        <v>61</v>
      </c>
      <c r="K46" s="44">
        <f>+VLOOKUP(E46,[2]!Tableau__192.168.29.23_APSSQL_Arizona_v_Addr_Employee_F[[N° Article]:[Cout total]],9,)</f>
        <v>4.37</v>
      </c>
      <c r="L46" s="39" t="str">
        <f>+VLOOKUP(E46,[2]!Tableau__192.168.29.23_APSSQL_Arizona_v_Addr_Employee_F[[N° Article]:[UC_code]],10,)</f>
        <v>KG</v>
      </c>
      <c r="M46" s="45">
        <f t="shared" si="9"/>
        <v>0</v>
      </c>
      <c r="O46" s="46"/>
    </row>
    <row r="47" spans="1:15" hidden="1" outlineLevel="1" x14ac:dyDescent="0.25">
      <c r="A47" s="110"/>
      <c r="B47" s="36" t="str">
        <f>+IF($G$13="Snap-lock",IF($D$13=2,"2","6"),"0")</f>
        <v>0</v>
      </c>
      <c r="C47" s="37">
        <f t="shared" si="10"/>
        <v>0</v>
      </c>
      <c r="D47" t="str">
        <f>+VLOOKUP(E47,[2]!Tableau__192.168.29.23_APSSQL_Arizona_v_Addr_Employee_F[[N° Article]:[Description courte]],3,)</f>
        <v>AXE DE CHARNIERE ELOXE, CO</v>
      </c>
      <c r="E47" s="38" t="s">
        <v>64</v>
      </c>
      <c r="F47" s="65">
        <f>+(($H$6-1)*600+180)/1000</f>
        <v>1.38</v>
      </c>
      <c r="G47" s="40">
        <f>+VLOOKUP(E47,[2]!Tableau__192.168.29.23_APSSQL_Arizona_v_Addr_Employee_F[[N° Article]:[Poids net]],32,)</f>
        <v>0.55600000000000005</v>
      </c>
      <c r="H47" s="41" t="s">
        <v>60</v>
      </c>
      <c r="I47" s="42">
        <f t="shared" si="12"/>
        <v>0</v>
      </c>
      <c r="J47" s="43" t="s">
        <v>61</v>
      </c>
      <c r="K47" s="44">
        <f>+VLOOKUP(E47,[2]!Tableau__192.168.29.23_APSSQL_Arizona_v_Addr_Employee_F[[N° Article]:[Cout total]],9,)</f>
        <v>5.75</v>
      </c>
      <c r="L47" s="39" t="str">
        <f>+VLOOKUP(E47,[2]!Tableau__192.168.29.23_APSSQL_Arizona_v_Addr_Employee_F[[N° Article]:[UC_code]],10,)</f>
        <v>KG</v>
      </c>
      <c r="M47" s="45">
        <f t="shared" si="9"/>
        <v>0</v>
      </c>
      <c r="O47" s="46"/>
    </row>
    <row r="48" spans="1:15" hidden="1" outlineLevel="1" x14ac:dyDescent="0.25">
      <c r="A48" s="110"/>
      <c r="B48" s="36" t="str">
        <f>+IF($G$13="Snap-lock",IF($D$13=2,"2","6"),"0")</f>
        <v>0</v>
      </c>
      <c r="C48" s="37">
        <f t="shared" si="10"/>
        <v>0</v>
      </c>
      <c r="D48" t="str">
        <f>+VLOOKUP(E48,[2]!Tableau__192.168.29.23_APSSQL_Arizona_v_Addr_Employee_F[[N° Article]:[Description courte]],3,)</f>
        <v>GOUPILLE SPIRALE 5 X 20 MM</v>
      </c>
      <c r="E48" s="47" t="s">
        <v>65</v>
      </c>
      <c r="F48" s="39"/>
      <c r="G48" s="40">
        <f>+VLOOKUP(E48,[2]!Tableau__192.168.29.23_APSSQL_Arizona_v_Addr_Employee_F[[N° Article]:[Poids net]],32,)</f>
        <v>3.0000000000000001E-3</v>
      </c>
      <c r="H48" s="41" t="s">
        <v>66</v>
      </c>
      <c r="I48" s="42">
        <f>C48*G48</f>
        <v>0</v>
      </c>
      <c r="J48" s="43" t="s">
        <v>61</v>
      </c>
      <c r="K48" s="44">
        <f>+VLOOKUP(E48,[2]!Tableau__192.168.29.23_APSSQL_Arizona_v_Addr_Employee_F[[N° Article]:[Cout total]],9,)</f>
        <v>7.1</v>
      </c>
      <c r="L48" s="39" t="str">
        <f>+VLOOKUP(E48,[2]!Tableau__192.168.29.23_APSSQL_Arizona_v_Addr_Employee_F[[N° Article]:[UC_code]],10,)</f>
        <v>CENT</v>
      </c>
      <c r="M48" s="45">
        <f t="shared" si="9"/>
        <v>0</v>
      </c>
      <c r="O48" s="46"/>
    </row>
    <row r="49" spans="1:15" hidden="1" outlineLevel="1" x14ac:dyDescent="0.25">
      <c r="A49" s="110"/>
      <c r="B49" s="36" t="str">
        <f>+IF($G$13="Snap-lock",IF($D$13=2,"24","176"),"0")</f>
        <v>0</v>
      </c>
      <c r="C49" s="37">
        <f t="shared" si="10"/>
        <v>0</v>
      </c>
      <c r="D49" t="str">
        <f>+VLOOKUP(E49,[2]!Tableau__192.168.29.23_APSSQL_Arizona_v_Addr_Employee_F[[N° Article]:[Description courte]],3,)</f>
        <v>RIVET POP ALU 4,8 X 12 MM</v>
      </c>
      <c r="E49" s="47" t="s">
        <v>67</v>
      </c>
      <c r="F49" s="39"/>
      <c r="G49" s="40">
        <f>+VLOOKUP(E49,[2]!Tableau__192.168.29.23_APSSQL_Arizona_v_Addr_Employee_F[[N° Article]:[Poids net]],32,)</f>
        <v>5.0000000000000001E-3</v>
      </c>
      <c r="H49" s="41" t="s">
        <v>66</v>
      </c>
      <c r="I49" s="42">
        <f t="shared" ref="I49:I62" si="14">C49*G49</f>
        <v>0</v>
      </c>
      <c r="J49" s="43" t="s">
        <v>61</v>
      </c>
      <c r="K49" s="44">
        <f>+VLOOKUP(E49,[2]!Tableau__192.168.29.23_APSSQL_Arizona_v_Addr_Employee_F[[N° Article]:[Cout total]],9,)</f>
        <v>5.08</v>
      </c>
      <c r="L49" s="39" t="str">
        <f>+VLOOKUP(E49,[2]!Tableau__192.168.29.23_APSSQL_Arizona_v_Addr_Employee_F[[N° Article]:[UC_code]],10,)</f>
        <v>CENT</v>
      </c>
      <c r="M49" s="45">
        <f t="shared" si="9"/>
        <v>0</v>
      </c>
      <c r="O49" s="46"/>
    </row>
    <row r="50" spans="1:15" hidden="1" outlineLevel="1" x14ac:dyDescent="0.25">
      <c r="A50" s="110"/>
      <c r="B50" s="36" t="str">
        <f>+IF($G$13="Snap-lock",IF($D$13=2,"4","8"),"0")</f>
        <v>0</v>
      </c>
      <c r="C50" s="37">
        <f t="shared" si="10"/>
        <v>0</v>
      </c>
      <c r="D50" t="str">
        <f>+VLOOKUP(E50,[2]!Tableau__192.168.29.23_APSSQL_Arizona_v_Addr_Employee_F[[N° Article]:[Description courte]],3,)</f>
        <v>RENFORT D'ANGLE, ZNG</v>
      </c>
      <c r="E50" s="38" t="s">
        <v>68</v>
      </c>
      <c r="F50" s="39"/>
      <c r="G50" s="40">
        <f>+VLOOKUP(E50,[2]!Tableau__192.168.29.23_APSSQL_Arizona_v_Addr_Employee_F[[N° Article]:[Poids net]],32,)</f>
        <v>0.215</v>
      </c>
      <c r="H50" s="41" t="s">
        <v>66</v>
      </c>
      <c r="I50" s="42">
        <f t="shared" si="14"/>
        <v>0</v>
      </c>
      <c r="J50" s="43" t="s">
        <v>61</v>
      </c>
      <c r="K50" s="44">
        <f>+VLOOKUP(E50,[2]!Tableau__192.168.29.23_APSSQL_Arizona_v_Addr_Employee_F[[N° Article]:[Cout total]],9,)</f>
        <v>1.32</v>
      </c>
      <c r="L50" s="39" t="str">
        <f>+VLOOKUP(E50,[2]!Tableau__192.168.29.23_APSSQL_Arizona_v_Addr_Employee_F[[N° Article]:[UC_code]],10,)</f>
        <v>PCE</v>
      </c>
      <c r="M50" s="45">
        <f t="shared" si="9"/>
        <v>0</v>
      </c>
      <c r="O50" s="46"/>
    </row>
    <row r="51" spans="1:15" hidden="1" outlineLevel="1" x14ac:dyDescent="0.25">
      <c r="A51" s="110"/>
      <c r="B51" s="36" t="str">
        <f>+IF($G$13="Snap-lock",IF($D$13=2,"4","8"),"0")</f>
        <v>0</v>
      </c>
      <c r="C51" s="37">
        <f t="shared" si="10"/>
        <v>0</v>
      </c>
      <c r="D51" t="str">
        <f>+VLOOKUP(E51,[2]!Tableau__192.168.29.23_APSSQL_Arizona_v_Addr_Employee_F[[N° Article]:[Description courte]],3,)</f>
        <v>EQUERRE RENFORT 27 MM  ALU</v>
      </c>
      <c r="E51" s="47" t="s">
        <v>69</v>
      </c>
      <c r="F51" s="39"/>
      <c r="G51" s="40">
        <f>+VLOOKUP(E51,[2]!Tableau__192.168.29.23_APSSQL_Arizona_v_Addr_Employee_F[[N° Article]:[Poids net]],32,)</f>
        <v>0.03</v>
      </c>
      <c r="H51" s="41" t="s">
        <v>66</v>
      </c>
      <c r="I51" s="42">
        <f t="shared" si="14"/>
        <v>0</v>
      </c>
      <c r="J51" s="43" t="s">
        <v>61</v>
      </c>
      <c r="K51" s="44">
        <f>+VLOOKUP(E51,[2]!Tableau__192.168.29.23_APSSQL_Arizona_v_Addr_Employee_F[[N° Article]:[Cout total]],9,)</f>
        <v>0.23</v>
      </c>
      <c r="L51" s="39" t="str">
        <f>+VLOOKUP(E51,[2]!Tableau__192.168.29.23_APSSQL_Arizona_v_Addr_Employee_F[[N° Article]:[UC_code]],10,)</f>
        <v>PCE</v>
      </c>
      <c r="M51" s="45">
        <f t="shared" si="9"/>
        <v>0</v>
      </c>
      <c r="O51" s="46"/>
    </row>
    <row r="52" spans="1:15" hidden="1" outlineLevel="1" x14ac:dyDescent="0.25">
      <c r="A52" s="110"/>
      <c r="B52" s="36">
        <f>+IF($G$13="Snap-lock",IF($D$13=2,1/2,1),0)</f>
        <v>0</v>
      </c>
      <c r="C52" s="37">
        <f>B52*$F$4</f>
        <v>0</v>
      </c>
      <c r="D52" t="str">
        <f>+VLOOKUP(E52,[2]!Tableau__192.168.29.23_APSSQL_Arizona_v_Addr_Employee_F[[N° Article]:[Description courte]],3,)</f>
        <v>SIKAFLEX-221 BLANC 600 ML</v>
      </c>
      <c r="E52" s="47" t="s">
        <v>70</v>
      </c>
      <c r="F52" s="39"/>
      <c r="G52" s="40">
        <f>+VLOOKUP(E52,[2]!Tableau__192.168.29.23_APSSQL_Arizona_v_Addr_Employee_F[[N° Article]:[Poids net]],32,)</f>
        <v>0.77500000000000002</v>
      </c>
      <c r="H52" s="41" t="s">
        <v>66</v>
      </c>
      <c r="I52" s="42">
        <f t="shared" si="14"/>
        <v>0</v>
      </c>
      <c r="J52" s="43" t="s">
        <v>61</v>
      </c>
      <c r="K52" s="44">
        <f>+VLOOKUP(E52,[2]!Tableau__192.168.29.23_APSSQL_Arizona_v_Addr_Employee_F[[N° Article]:[Cout total]],9,)</f>
        <v>21.9</v>
      </c>
      <c r="L52" s="39" t="str">
        <f>+VLOOKUP(E52,[2]!Tableau__192.168.29.23_APSSQL_Arizona_v_Addr_Employee_F[[N° Article]:[UC_code]],10,)</f>
        <v>PCE</v>
      </c>
      <c r="M52" s="45">
        <f t="shared" si="9"/>
        <v>0</v>
      </c>
      <c r="O52" s="46"/>
    </row>
    <row r="53" spans="1:15" hidden="1" outlineLevel="1" x14ac:dyDescent="0.25">
      <c r="A53" s="110"/>
      <c r="B53" s="36" t="str">
        <f>+IF($G$13="Snap-lock",IF($D$13=2,"112","24"),"0")</f>
        <v>0</v>
      </c>
      <c r="C53" s="37">
        <f t="shared" si="10"/>
        <v>0</v>
      </c>
      <c r="D53" t="str">
        <f>+VLOOKUP(E53,[2]!Tableau__192.168.29.23_APSSQL_Arizona_v_Addr_Employee_F[[N° Article]:[Description courte]],3,)</f>
        <v>RIVET MONOBOLT ø 6,5x14.1ALU</v>
      </c>
      <c r="E53" s="47" t="s">
        <v>71</v>
      </c>
      <c r="F53" s="39"/>
      <c r="G53" s="40">
        <f>+VLOOKUP(E53,[2]!Tableau__192.168.29.23_APSSQL_Arizona_v_Addr_Employee_F[[N° Article]:[Poids net]],32,)</f>
        <v>5.0000000000000001E-3</v>
      </c>
      <c r="H53" s="41" t="s">
        <v>66</v>
      </c>
      <c r="I53" s="42">
        <f t="shared" si="14"/>
        <v>0</v>
      </c>
      <c r="J53" s="43" t="s">
        <v>61</v>
      </c>
      <c r="K53" s="44">
        <f>+VLOOKUP(E53,[2]!Tableau__192.168.29.23_APSSQL_Arizona_v_Addr_Employee_F[[N° Article]:[Cout total]],9,)</f>
        <v>21.25</v>
      </c>
      <c r="L53" s="39" t="str">
        <f>+VLOOKUP(E53,[2]!Tableau__192.168.29.23_APSSQL_Arizona_v_Addr_Employee_F[[N° Article]:[UC_code]],10,)</f>
        <v>CENT</v>
      </c>
      <c r="M53" s="45">
        <f t="shared" si="9"/>
        <v>0</v>
      </c>
      <c r="O53" s="46"/>
    </row>
    <row r="54" spans="1:15" hidden="1" outlineLevel="1" x14ac:dyDescent="0.25">
      <c r="A54" s="110"/>
      <c r="B54" s="36" t="str">
        <f>+IF($G$13="Snap-lock","1","0")</f>
        <v>0</v>
      </c>
      <c r="C54" s="37">
        <f t="shared" si="10"/>
        <v>0</v>
      </c>
      <c r="D54" t="str">
        <f>+VLOOKUP(E54,[2]!Tableau__192.168.29.23_APSSQL_Arizona_v_Addr_Employee_F[[N° Article]:[Description courte]],3,)</f>
        <v>JOINT DE PORTE AVEC LEVRE</v>
      </c>
      <c r="E54" s="38" t="s">
        <v>72</v>
      </c>
      <c r="F54" s="39">
        <v>12</v>
      </c>
      <c r="G54" s="40">
        <f>+VLOOKUP(E54,[2]!Tableau__192.168.29.23_APSSQL_Arizona_v_Addr_Employee_F[[N° Article]:[Poids net]],32,)</f>
        <v>0.21</v>
      </c>
      <c r="H54" s="41" t="s">
        <v>60</v>
      </c>
      <c r="I54" s="42">
        <f>(F54)*C54*G54</f>
        <v>0</v>
      </c>
      <c r="J54" s="43" t="s">
        <v>61</v>
      </c>
      <c r="K54" s="44">
        <f>+VLOOKUP(E54,[2]!Tableau__192.168.29.23_APSSQL_Arizona_v_Addr_Employee_F[[N° Article]:[Cout total]],9,)</f>
        <v>101.37</v>
      </c>
      <c r="L54" s="39" t="str">
        <f>+VLOOKUP(E54,[2]!Tableau__192.168.29.23_APSSQL_Arizona_v_Addr_Employee_F[[N° Article]:[UC_code]],10,)</f>
        <v>CENT</v>
      </c>
      <c r="M54" s="45">
        <f>F54*K54/100*C54</f>
        <v>0</v>
      </c>
      <c r="O54" s="46"/>
    </row>
    <row r="55" spans="1:15" hidden="1" outlineLevel="1" x14ac:dyDescent="0.25">
      <c r="A55" s="110"/>
      <c r="B55" s="36" t="str">
        <f>+IF($G$13="Snap-lock","1","0")</f>
        <v>0</v>
      </c>
      <c r="C55" s="37">
        <f t="shared" si="10"/>
        <v>0</v>
      </c>
      <c r="D55" t="str">
        <f>+VLOOKUP(E55,[2]!Tableau__192.168.29.23_APSSQL_Arizona_v_Addr_Employee_F[[N° Article]:[Description courte]],3,)</f>
        <v>JOINT DE PORTE, L = 3330 MM</v>
      </c>
      <c r="E55" s="47" t="s">
        <v>73</v>
      </c>
      <c r="F55" s="39"/>
      <c r="G55" s="40">
        <f>+VLOOKUP(E55,[2]!Tableau__192.168.29.23_APSSQL_Arizona_v_Addr_Employee_F[[N° Article]:[Poids net]],32,)</f>
        <v>1.4350000000000001</v>
      </c>
      <c r="H55" s="41" t="s">
        <v>66</v>
      </c>
      <c r="I55" s="42">
        <f t="shared" si="14"/>
        <v>0</v>
      </c>
      <c r="J55" s="43" t="s">
        <v>61</v>
      </c>
      <c r="K55" s="44">
        <f>+VLOOKUP(E55,[2]!Tableau__192.168.29.23_APSSQL_Arizona_v_Addr_Employee_F[[N° Article]:[Cout total]],9,)</f>
        <v>10.68</v>
      </c>
      <c r="L55" s="39" t="str">
        <f>+VLOOKUP(E55,[2]!Tableau__192.168.29.23_APSSQL_Arizona_v_Addr_Employee_F[[N° Article]:[UC_code]],10,)</f>
        <v>PCE</v>
      </c>
      <c r="M55" s="45">
        <f t="shared" si="9"/>
        <v>0</v>
      </c>
      <c r="O55" s="46"/>
    </row>
    <row r="56" spans="1:15" hidden="1" outlineLevel="1" x14ac:dyDescent="0.25">
      <c r="A56" s="110"/>
      <c r="B56" s="36" t="str">
        <f>+IF($G$13="Snap-lock",IF($D$13=2,"0","2"),"0")</f>
        <v>0</v>
      </c>
      <c r="C56" s="37">
        <f t="shared" si="10"/>
        <v>0</v>
      </c>
      <c r="D56" t="str">
        <f>+VLOOKUP(E56,[2]!Tableau__192.168.29.23_APSSQL_Arizona_v_Addr_Employee_F[[N° Article]:[Description courte]],3,)</f>
        <v>CAOUTCHOUC PR CHARNIERE 3 M</v>
      </c>
      <c r="E56" s="47" t="s">
        <v>74</v>
      </c>
      <c r="F56" s="39"/>
      <c r="G56" s="40">
        <f>+VLOOKUP(E56,[2]!Tableau__192.168.29.23_APSSQL_Arizona_v_Addr_Employee_F[[N° Article]:[Poids net]],32,)</f>
        <v>0.35</v>
      </c>
      <c r="H56" s="41" t="s">
        <v>66</v>
      </c>
      <c r="I56" s="42">
        <f t="shared" si="14"/>
        <v>0</v>
      </c>
      <c r="J56" s="43" t="s">
        <v>61</v>
      </c>
      <c r="K56" s="44">
        <f>+VLOOKUP(E56,[2]!Tableau__192.168.29.23_APSSQL_Arizona_v_Addr_Employee_F[[N° Article]:[Cout total]],9,)</f>
        <v>3.08</v>
      </c>
      <c r="L56" s="39" t="str">
        <f>+VLOOKUP(E56,[2]!Tableau__192.168.29.23_APSSQL_Arizona_v_Addr_Employee_F[[N° Article]:[UC_code]],10,)</f>
        <v>PCE</v>
      </c>
      <c r="M56" s="45">
        <f t="shared" si="9"/>
        <v>0</v>
      </c>
      <c r="O56" s="46"/>
    </row>
    <row r="57" spans="1:15" hidden="1" outlineLevel="1" x14ac:dyDescent="0.25">
      <c r="A57" s="110"/>
      <c r="B57" s="36" t="str">
        <f>+IF($G$13="Snap-lock",IF($D$13=2,"2","4"),"0")</f>
        <v>0</v>
      </c>
      <c r="C57" s="37">
        <f t="shared" si="10"/>
        <v>0</v>
      </c>
      <c r="D57" t="str">
        <f>+VLOOKUP(E57,[2]!Tableau__192.168.29.23_APSSQL_Arizona_v_Addr_Employee_F[[N° Article]:[Description courte]],3,)</f>
        <v>SABOT NOIR PR CHARNIERE</v>
      </c>
      <c r="E57" s="47" t="s">
        <v>75</v>
      </c>
      <c r="F57" s="39"/>
      <c r="G57" s="40">
        <f>+VLOOKUP(E57,[2]!Tableau__192.168.29.23_APSSQL_Arizona_v_Addr_Employee_F[[N° Article]:[Poids net]],32,)</f>
        <v>0.02</v>
      </c>
      <c r="H57" s="41" t="s">
        <v>66</v>
      </c>
      <c r="I57" s="42">
        <f t="shared" si="14"/>
        <v>0</v>
      </c>
      <c r="J57" s="43" t="s">
        <v>61</v>
      </c>
      <c r="K57" s="44">
        <f>+VLOOKUP(E57,[2]!Tableau__192.168.29.23_APSSQL_Arizona_v_Addr_Employee_F[[N° Article]:[Cout total]],9,)</f>
        <v>7.6</v>
      </c>
      <c r="L57" s="39" t="str">
        <f>+VLOOKUP(E57,[2]!Tableau__192.168.29.23_APSSQL_Arizona_v_Addr_Employee_F[[N° Article]:[UC_code]],10,)</f>
        <v>CENT</v>
      </c>
      <c r="M57" s="45">
        <f t="shared" si="9"/>
        <v>0</v>
      </c>
      <c r="O57" s="46"/>
    </row>
    <row r="58" spans="1:15" hidden="1" outlineLevel="1" x14ac:dyDescent="0.25">
      <c r="A58" s="111"/>
      <c r="B58" s="36" t="str">
        <f>+IF($G$13="Snap-lock",IF($D$13=2,"0","4"),"0")</f>
        <v>0</v>
      </c>
      <c r="C58" s="37">
        <f t="shared" si="10"/>
        <v>0</v>
      </c>
      <c r="D58" t="str">
        <f>+VLOOKUP(E58,[2]!Tableau__192.168.29.23_APSSQL_Arizona_v_Addr_Employee_F[[N° Article]:[Description courte]],3,)</f>
        <v>RESSORT PLAT PR CHARN.INTER.</v>
      </c>
      <c r="E58" s="47" t="s">
        <v>76</v>
      </c>
      <c r="F58" s="39"/>
      <c r="G58" s="40">
        <f>+VLOOKUP(E58,[2]!Tableau__192.168.29.23_APSSQL_Arizona_v_Addr_Employee_F[[N° Article]:[Poids net]],32,)</f>
        <v>1.4999999999999999E-2</v>
      </c>
      <c r="H58" s="41" t="s">
        <v>66</v>
      </c>
      <c r="I58" s="42">
        <f t="shared" si="14"/>
        <v>0</v>
      </c>
      <c r="J58" s="43" t="s">
        <v>61</v>
      </c>
      <c r="K58" s="44">
        <f>+VLOOKUP(E58,[2]!Tableau__192.168.29.23_APSSQL_Arizona_v_Addr_Employee_F[[N° Article]:[Cout total]],9,)</f>
        <v>2</v>
      </c>
      <c r="L58" s="39" t="str">
        <f>+VLOOKUP(E58,[2]!Tableau__192.168.29.23_APSSQL_Arizona_v_Addr_Employee_F[[N° Article]:[UC_code]],10,)</f>
        <v>PCE</v>
      </c>
      <c r="M58" s="45">
        <f t="shared" si="9"/>
        <v>0</v>
      </c>
      <c r="O58" s="46"/>
    </row>
    <row r="59" spans="1:15" hidden="1" outlineLevel="1" x14ac:dyDescent="0.25">
      <c r="A59" s="111"/>
      <c r="B59" s="36" t="str">
        <f>+IF($G$13="Snap-lock",IF($D$13=2,"0",IF($H$6=3,"8",IF($H$6=4,"12","16"))),"0")</f>
        <v>0</v>
      </c>
      <c r="C59" s="37">
        <f t="shared" si="10"/>
        <v>0</v>
      </c>
      <c r="D59" t="str">
        <f>+VLOOKUP(E59,[2]!Tableau__192.168.29.23_APSSQL_Arizona_v_Addr_Employee_F[[N° Article]:[Description courte]],3,)</f>
        <v>PR.REMPLISSAGE COUPE</v>
      </c>
      <c r="E59" s="47" t="s">
        <v>77</v>
      </c>
      <c r="F59" s="65">
        <f>+(600-110)/1000</f>
        <v>0.49</v>
      </c>
      <c r="G59" s="40">
        <f>+VLOOKUP(E59,[2]!Tableau__192.168.29.23_APSSQL_Arizona_v_Addr_Employee_F[[N° Article]:[Poids net]],32,)</f>
        <v>0.13200000000000001</v>
      </c>
      <c r="H59" s="41" t="s">
        <v>60</v>
      </c>
      <c r="I59" s="42">
        <f>C59*G59*F59</f>
        <v>0</v>
      </c>
      <c r="J59" s="43" t="s">
        <v>61</v>
      </c>
      <c r="K59" s="44">
        <f>+VLOOKUP(E59,[2]!Tableau__192.168.29.23_APSSQL_Arizona_v_Addr_Employee_F[[N° Article]:[Cout total]],9,)</f>
        <v>8.57</v>
      </c>
      <c r="L59" s="39" t="str">
        <f>+VLOOKUP(E59,[2]!Tableau__192.168.29.23_APSSQL_Arizona_v_Addr_Employee_F[[N° Article]:[UC_code]],10,)</f>
        <v>KG</v>
      </c>
      <c r="M59" s="45">
        <f t="shared" si="9"/>
        <v>0</v>
      </c>
      <c r="O59" s="46"/>
    </row>
    <row r="60" spans="1:15" hidden="1" outlineLevel="1" x14ac:dyDescent="0.25">
      <c r="A60" s="111"/>
      <c r="B60" s="36" t="str">
        <f>+IF($G$13="Snap-lock",IF($D$13=2,"0","8"),"0")</f>
        <v>0</v>
      </c>
      <c r="C60" s="37">
        <f t="shared" si="10"/>
        <v>0</v>
      </c>
      <c r="D60" t="str">
        <f>+VLOOKUP(E60,[2]!Tableau__192.168.29.23_APSSQL_Arizona_v_Addr_Employee_F[[N° Article]:[Description courte]],3,)</f>
        <v>PR.REMPLISSAGE COUPE</v>
      </c>
      <c r="E60" s="47" t="s">
        <v>77</v>
      </c>
      <c r="F60" s="39">
        <f>+ROUNDUP(((($F$6-($H$6-1)*600)/2)-72)/1000,3)</f>
        <v>0.32900000000000001</v>
      </c>
      <c r="G60" s="40">
        <f>+VLOOKUP(E60,[2]!Tableau__192.168.29.23_APSSQL_Arizona_v_Addr_Employee_F[[N° Article]:[Poids net]],32,)</f>
        <v>0.13200000000000001</v>
      </c>
      <c r="H60" s="41" t="s">
        <v>60</v>
      </c>
      <c r="I60" s="42">
        <f t="shared" ref="I60:I61" si="15">C60*G60*F60</f>
        <v>0</v>
      </c>
      <c r="J60" s="43" t="s">
        <v>61</v>
      </c>
      <c r="K60" s="44">
        <f>+VLOOKUP(E60,[2]!Tableau__192.168.29.23_APSSQL_Arizona_v_Addr_Employee_F[[N° Article]:[Cout total]],9,)</f>
        <v>8.57</v>
      </c>
      <c r="L60" s="39" t="str">
        <f>+VLOOKUP(E60,[2]!Tableau__192.168.29.23_APSSQL_Arizona_v_Addr_Employee_F[[N° Article]:[UC_code]],10,)</f>
        <v>KG</v>
      </c>
      <c r="M60" s="45">
        <f t="shared" si="9"/>
        <v>0</v>
      </c>
      <c r="O60" s="46"/>
    </row>
    <row r="61" spans="1:15" hidden="1" outlineLevel="1" x14ac:dyDescent="0.25">
      <c r="A61" s="111"/>
      <c r="B61" s="36" t="str">
        <f>+IF($G$13="Snap-lock",IF($D$13=2,"0","1"),"0")</f>
        <v>0</v>
      </c>
      <c r="C61" s="37">
        <f t="shared" si="10"/>
        <v>0</v>
      </c>
      <c r="D61" t="str">
        <f>+VLOOKUP(E61,[2]!Tableau__192.168.29.23_APSSQL_Arizona_v_Addr_Employee_F[[N° Article]:[Description courte]],3,)</f>
        <v>PR.REMPLISSAGE COUPE</v>
      </c>
      <c r="E61" s="47" t="s">
        <v>77</v>
      </c>
      <c r="F61" s="39">
        <f>+($F$6-45)/1000</f>
        <v>1.956</v>
      </c>
      <c r="G61" s="40">
        <f>+VLOOKUP(E61,[2]!Tableau__192.168.29.23_APSSQL_Arizona_v_Addr_Employee_F[[N° Article]:[Poids net]],32,)</f>
        <v>0.13200000000000001</v>
      </c>
      <c r="H61" s="41" t="s">
        <v>60</v>
      </c>
      <c r="I61" s="42">
        <f t="shared" si="15"/>
        <v>0</v>
      </c>
      <c r="J61" s="43" t="s">
        <v>61</v>
      </c>
      <c r="K61" s="44">
        <f>+VLOOKUP(E61,[2]!Tableau__192.168.29.23_APSSQL_Arizona_v_Addr_Employee_F[[N° Article]:[Cout total]],9,)</f>
        <v>8.57</v>
      </c>
      <c r="L61" s="39" t="str">
        <f>+VLOOKUP(E61,[2]!Tableau__192.168.29.23_APSSQL_Arizona_v_Addr_Employee_F[[N° Article]:[UC_code]],10,)</f>
        <v>KG</v>
      </c>
      <c r="M61" s="45">
        <f t="shared" si="9"/>
        <v>0</v>
      </c>
      <c r="O61" s="46"/>
    </row>
    <row r="62" spans="1:15" ht="15.75" hidden="1" outlineLevel="1" thickBot="1" x14ac:dyDescent="0.3">
      <c r="A62" s="112"/>
      <c r="B62" s="48" t="str">
        <f>+IF($G$13="Snap-lock",IF($D$13=2,"4","8"),"0")</f>
        <v>0</v>
      </c>
      <c r="C62" s="49">
        <f t="shared" si="10"/>
        <v>0</v>
      </c>
      <c r="D62" s="50" t="str">
        <f>+VLOOKUP(E62,[2]!Tableau__192.168.29.23_APSSQL_Arizona_v_Addr_Employee_F[[N° Article]:[Description courte]],3,)</f>
        <v>RENFORT SZ PORTES ARRIERES</v>
      </c>
      <c r="E62" s="51" t="s">
        <v>78</v>
      </c>
      <c r="F62" s="52"/>
      <c r="G62" s="53">
        <f>+VLOOKUP(E62,[2]!Tableau__192.168.29.23_APSSQL_Arizona_v_Addr_Employee_F[[N° Article]:[Poids net]],32,)</f>
        <v>0.17499999999999999</v>
      </c>
      <c r="H62" s="54" t="s">
        <v>66</v>
      </c>
      <c r="I62" s="66">
        <f t="shared" si="14"/>
        <v>0</v>
      </c>
      <c r="J62" s="55" t="s">
        <v>61</v>
      </c>
      <c r="K62" s="56">
        <f>+VLOOKUP(E62,[2]!Tableau__192.168.29.23_APSSQL_Arizona_v_Addr_Employee_F[[N° Article]:[Cout total]],9,)</f>
        <v>1.74</v>
      </c>
      <c r="L62" s="52" t="str">
        <f>+VLOOKUP(E62,[2]!Tableau__192.168.29.23_APSSQL_Arizona_v_Addr_Employee_F[[N° Article]:[UC_code]],10,)</f>
        <v>PCE</v>
      </c>
      <c r="M62" s="45">
        <f t="shared" si="9"/>
        <v>0</v>
      </c>
      <c r="O62" s="46"/>
    </row>
    <row r="63" spans="1:15" ht="15.75" hidden="1" collapsed="1" thickBot="1" x14ac:dyDescent="0.3">
      <c r="A63" s="104" t="str">
        <f>+A43</f>
        <v>Base     snap lock</v>
      </c>
      <c r="B63" s="105"/>
      <c r="C63" s="106"/>
      <c r="I63" s="58">
        <f>+SUM(I44:I62)</f>
        <v>0</v>
      </c>
      <c r="M63" s="59">
        <f>+SUM(M44:M62)</f>
        <v>0</v>
      </c>
      <c r="O63" s="46"/>
    </row>
    <row r="64" spans="1:15" hidden="1" x14ac:dyDescent="0.25">
      <c r="F64" s="39"/>
      <c r="O64" s="46"/>
    </row>
    <row r="65" spans="1:15" ht="18.75" hidden="1" outlineLevel="1" x14ac:dyDescent="0.25">
      <c r="A65" s="109" t="s">
        <v>79</v>
      </c>
      <c r="B65" s="27"/>
      <c r="C65" s="28"/>
      <c r="D65" s="29"/>
      <c r="E65" s="30"/>
      <c r="F65" s="30"/>
      <c r="G65" s="31"/>
      <c r="H65" s="31"/>
      <c r="I65" s="32"/>
      <c r="J65" s="33"/>
      <c r="K65" s="34"/>
      <c r="L65" s="30"/>
      <c r="M65" s="35"/>
      <c r="O65" s="46"/>
    </row>
    <row r="66" spans="1:15" hidden="1" outlineLevel="1" x14ac:dyDescent="0.25">
      <c r="A66" s="110"/>
      <c r="B66" s="36" t="str">
        <f>+IF($G$13="sandwich",IF($D$13=2,"2","6"),"0")</f>
        <v>6</v>
      </c>
      <c r="C66" s="37">
        <f>+B66*$F$4</f>
        <v>6</v>
      </c>
      <c r="D66" t="str">
        <f>+VLOOKUP(E66,[2]!Tableau__192.168.29.23_APSSQL_Arizona_v_Addr_Employee_F[[N° Article]:[Description courte]],3,)</f>
        <v>AXE DE CHARNIERE ELOXE, CO</v>
      </c>
      <c r="E66" s="38" t="s">
        <v>64</v>
      </c>
      <c r="F66" s="39">
        <f>+(($H$6-1)*600+180)/1000</f>
        <v>1.38</v>
      </c>
      <c r="G66" s="40">
        <f>+VLOOKUP(E66,[2]!Tableau__192.168.29.23_APSSQL_Arizona_v_Addr_Employee_F[[N° Article]:[Poids net]],32,)</f>
        <v>0.55600000000000005</v>
      </c>
      <c r="H66" s="41" t="s">
        <v>60</v>
      </c>
      <c r="I66" s="42">
        <f>(F66)*C66*G66</f>
        <v>4.6036799999999998</v>
      </c>
      <c r="J66" s="43" t="s">
        <v>61</v>
      </c>
      <c r="K66" s="44">
        <f>+VLOOKUP(E66,[2]!Tableau__192.168.29.23_APSSQL_Arizona_v_Addr_Employee_F[[N° Article]:[Cout total]],9,)</f>
        <v>5.75</v>
      </c>
      <c r="L66" s="39" t="str">
        <f>+VLOOKUP(E66,[2]!Tableau__192.168.29.23_APSSQL_Arizona_v_Addr_Employee_F[[N° Article]:[UC_code]],10,)</f>
        <v>KG</v>
      </c>
      <c r="M66" s="45">
        <f>I66*K66</f>
        <v>26.471159999999998</v>
      </c>
      <c r="O66" s="46"/>
    </row>
    <row r="67" spans="1:15" hidden="1" outlineLevel="1" x14ac:dyDescent="0.25">
      <c r="A67" s="110"/>
      <c r="B67" s="36" t="str">
        <f>+IF($G$13="sandwich",IF($D$13=2,"2","6"),"0")</f>
        <v>6</v>
      </c>
      <c r="C67" s="37">
        <f t="shared" ref="C67:C83" si="16">+B67*$F$4</f>
        <v>6</v>
      </c>
      <c r="D67" t="str">
        <f>+VLOOKUP(E67,[2]!Tableau__192.168.29.23_APSSQL_Arizona_v_Addr_Employee_F[[N° Article]:[Description courte]],3,)</f>
        <v>GOUPILLE SPIRALE 5 X 20 MM</v>
      </c>
      <c r="E67" s="47" t="s">
        <v>65</v>
      </c>
      <c r="F67" s="39"/>
      <c r="G67" s="40">
        <f>+VLOOKUP(E67,[2]!Tableau__192.168.29.23_APSSQL_Arizona_v_Addr_Employee_F[[N° Article]:[Poids net]],32,)</f>
        <v>3.0000000000000001E-3</v>
      </c>
      <c r="H67" s="41" t="s">
        <v>66</v>
      </c>
      <c r="I67" s="42">
        <f t="shared" ref="I67:I72" si="17">C67*G67</f>
        <v>1.8000000000000002E-2</v>
      </c>
      <c r="J67" s="43" t="s">
        <v>61</v>
      </c>
      <c r="K67" s="44">
        <f>+VLOOKUP(E67,[2]!Tableau__192.168.29.23_APSSQL_Arizona_v_Addr_Employee_F[[N° Article]:[Cout total]],9,)</f>
        <v>7.1</v>
      </c>
      <c r="L67" s="39" t="str">
        <f>+VLOOKUP(E67,[2]!Tableau__192.168.29.23_APSSQL_Arizona_v_Addr_Employee_F[[N° Article]:[UC_code]],10,)</f>
        <v>CENT</v>
      </c>
      <c r="M67" s="45">
        <f>C67*K67/100</f>
        <v>0.42599999999999993</v>
      </c>
      <c r="O67" s="46"/>
    </row>
    <row r="68" spans="1:15" hidden="1" outlineLevel="1" x14ac:dyDescent="0.25">
      <c r="A68" s="110"/>
      <c r="B68" s="36" t="str">
        <f>+IF($G$13="sandwich",IF($D$13=2,"120","176"),"0")</f>
        <v>176</v>
      </c>
      <c r="C68" s="37">
        <f t="shared" si="16"/>
        <v>176</v>
      </c>
      <c r="D68" t="str">
        <f>+VLOOKUP(E68,[2]!Tableau__192.168.29.23_APSSQL_Arizona_v_Addr_Employee_F[[N° Article]:[Description courte]],3,)</f>
        <v>RIVET POP ALU 4,8 X 12 MM</v>
      </c>
      <c r="E68" s="47" t="s">
        <v>67</v>
      </c>
      <c r="F68" s="39"/>
      <c r="G68" s="40">
        <f>+VLOOKUP(E68,[2]!Tableau__192.168.29.23_APSSQL_Arizona_v_Addr_Employee_F[[N° Article]:[Poids net]],32,)</f>
        <v>5.0000000000000001E-3</v>
      </c>
      <c r="H68" s="41" t="s">
        <v>66</v>
      </c>
      <c r="I68" s="42">
        <f t="shared" si="17"/>
        <v>0.88</v>
      </c>
      <c r="J68" s="43" t="s">
        <v>61</v>
      </c>
      <c r="K68" s="44">
        <f>+VLOOKUP(E68,[2]!Tableau__192.168.29.23_APSSQL_Arizona_v_Addr_Employee_F[[N° Article]:[Cout total]],9,)</f>
        <v>5.08</v>
      </c>
      <c r="L68" s="39" t="str">
        <f>+VLOOKUP(E68,[2]!Tableau__192.168.29.23_APSSQL_Arizona_v_Addr_Employee_F[[N° Article]:[UC_code]],10,)</f>
        <v>CENT</v>
      </c>
      <c r="M68" s="45">
        <f>C68*K68/100</f>
        <v>8.9408000000000012</v>
      </c>
      <c r="O68" s="46"/>
    </row>
    <row r="69" spans="1:15" hidden="1" outlineLevel="1" x14ac:dyDescent="0.25">
      <c r="A69" s="110"/>
      <c r="B69" s="36" t="str">
        <f>+IF($G$13="sandwich",IF($D$13=2,"4","8"),"0")</f>
        <v>8</v>
      </c>
      <c r="C69" s="37">
        <f t="shared" si="16"/>
        <v>8</v>
      </c>
      <c r="D69" t="str">
        <f>+VLOOKUP(E69,[2]!Tableau__192.168.29.23_APSSQL_Arizona_v_Addr_Employee_F[[N° Article]:[Description courte]],3,)</f>
        <v>RENFORT D'ANGLE, ZNG</v>
      </c>
      <c r="E69" s="38" t="s">
        <v>68</v>
      </c>
      <c r="F69" s="39"/>
      <c r="G69" s="40">
        <f>+VLOOKUP(E69,[2]!Tableau__192.168.29.23_APSSQL_Arizona_v_Addr_Employee_F[[N° Article]:[Poids net]],32,)</f>
        <v>0.215</v>
      </c>
      <c r="H69" s="41" t="s">
        <v>66</v>
      </c>
      <c r="I69" s="42">
        <f t="shared" si="17"/>
        <v>1.72</v>
      </c>
      <c r="J69" s="43" t="s">
        <v>61</v>
      </c>
      <c r="K69" s="44">
        <f>+VLOOKUP(E69,[2]!Tableau__192.168.29.23_APSSQL_Arizona_v_Addr_Employee_F[[N° Article]:[Cout total]],9,)</f>
        <v>1.32</v>
      </c>
      <c r="L69" s="39" t="str">
        <f>+VLOOKUP(E69,[2]!Tableau__192.168.29.23_APSSQL_Arizona_v_Addr_Employee_F[[N° Article]:[UC_code]],10,)</f>
        <v>PCE</v>
      </c>
      <c r="M69" s="45">
        <f>C69*K69</f>
        <v>10.56</v>
      </c>
      <c r="O69" s="46"/>
    </row>
    <row r="70" spans="1:15" hidden="1" outlineLevel="1" x14ac:dyDescent="0.25">
      <c r="A70" s="110"/>
      <c r="B70" s="36" t="str">
        <f>+IF($G$13="sandwich",IF($D$13=2,"4","8"),"0")</f>
        <v>8</v>
      </c>
      <c r="C70" s="37">
        <f t="shared" si="16"/>
        <v>8</v>
      </c>
      <c r="D70" t="str">
        <f>+VLOOKUP(E70,[2]!Tableau__192.168.29.23_APSSQL_Arizona_v_Addr_Employee_F[[N° Article]:[Description courte]],3,)</f>
        <v>EQUERRE RENFORT 27 MM  ALU</v>
      </c>
      <c r="E70" s="47" t="s">
        <v>69</v>
      </c>
      <c r="F70" s="39"/>
      <c r="G70" s="40">
        <f>+VLOOKUP(E70,[2]!Tableau__192.168.29.23_APSSQL_Arizona_v_Addr_Employee_F[[N° Article]:[Poids net]],32,)</f>
        <v>0.03</v>
      </c>
      <c r="H70" s="41" t="s">
        <v>66</v>
      </c>
      <c r="I70" s="42">
        <f t="shared" si="17"/>
        <v>0.24</v>
      </c>
      <c r="J70" s="43" t="s">
        <v>61</v>
      </c>
      <c r="K70" s="44">
        <f>+VLOOKUP(E70,[2]!Tableau__192.168.29.23_APSSQL_Arizona_v_Addr_Employee_F[[N° Article]:[Cout total]],9,)</f>
        <v>0.23</v>
      </c>
      <c r="L70" s="39" t="str">
        <f>+VLOOKUP(E70,[2]!Tableau__192.168.29.23_APSSQL_Arizona_v_Addr_Employee_F[[N° Article]:[UC_code]],10,)</f>
        <v>PCE</v>
      </c>
      <c r="M70" s="45">
        <f>C70*K70</f>
        <v>1.84</v>
      </c>
      <c r="O70" s="46"/>
    </row>
    <row r="71" spans="1:15" hidden="1" outlineLevel="1" x14ac:dyDescent="0.25">
      <c r="A71" s="110"/>
      <c r="B71" s="36">
        <f>+IF($G$13="sandwich",IF($D$13=2,1/2,1),0)</f>
        <v>1</v>
      </c>
      <c r="C71" s="37">
        <f>+B71*F4</f>
        <v>1</v>
      </c>
      <c r="D71" t="str">
        <f>+VLOOKUP(E71,[2]!Tableau__192.168.29.23_APSSQL_Arizona_v_Addr_Employee_F[[N° Article]:[Description courte]],3,)</f>
        <v>SIKAFLEX-221 BLANC 600 ML</v>
      </c>
      <c r="E71" s="47" t="s">
        <v>70</v>
      </c>
      <c r="F71" s="39"/>
      <c r="G71" s="40">
        <f>+VLOOKUP(E71,[2]!Tableau__192.168.29.23_APSSQL_Arizona_v_Addr_Employee_F[[N° Article]:[Poids net]],32,)</f>
        <v>0.77500000000000002</v>
      </c>
      <c r="H71" s="41" t="s">
        <v>66</v>
      </c>
      <c r="I71" s="42">
        <f>C71*G71</f>
        <v>0.77500000000000002</v>
      </c>
      <c r="J71" s="43" t="s">
        <v>61</v>
      </c>
      <c r="K71" s="44">
        <f>+VLOOKUP(E71,[2]!Tableau__192.168.29.23_APSSQL_Arizona_v_Addr_Employee_F[[N° Article]:[Cout total]],9,)</f>
        <v>21.9</v>
      </c>
      <c r="L71" s="39" t="str">
        <f>+VLOOKUP(E71,[2]!Tableau__192.168.29.23_APSSQL_Arizona_v_Addr_Employee_F[[N° Article]:[UC_code]],10,)</f>
        <v>PCE</v>
      </c>
      <c r="M71" s="45">
        <f>C71*K71</f>
        <v>21.9</v>
      </c>
      <c r="O71" s="46"/>
    </row>
    <row r="72" spans="1:15" hidden="1" outlineLevel="1" x14ac:dyDescent="0.25">
      <c r="A72" s="110"/>
      <c r="B72" s="36" t="str">
        <f>+IF($G$13="sandwich",IF($D$13=2,"2","4"),"0")</f>
        <v>4</v>
      </c>
      <c r="C72" s="37">
        <f t="shared" si="16"/>
        <v>4</v>
      </c>
      <c r="D72" t="str">
        <f>+VLOOKUP(E72,[2]!Tableau__192.168.29.23_APSSQL_Arizona_v_Addr_Employee_F[[N° Article]:[Description courte]],3,)</f>
        <v>SABOT NOIR PR CHARNIERE</v>
      </c>
      <c r="E72" s="47" t="s">
        <v>75</v>
      </c>
      <c r="F72" s="39"/>
      <c r="G72" s="40">
        <f>+VLOOKUP(E72,[2]!Tableau__192.168.29.23_APSSQL_Arizona_v_Addr_Employee_F[[N° Article]:[Poids net]],32,)</f>
        <v>0.02</v>
      </c>
      <c r="H72" s="41" t="s">
        <v>66</v>
      </c>
      <c r="I72" s="42">
        <f t="shared" si="17"/>
        <v>0.08</v>
      </c>
      <c r="J72" s="43" t="s">
        <v>61</v>
      </c>
      <c r="K72" s="44">
        <f>+VLOOKUP(E72,[2]!Tableau__192.168.29.23_APSSQL_Arizona_v_Addr_Employee_F[[N° Article]:[Cout total]],9,)</f>
        <v>7.6</v>
      </c>
      <c r="L72" s="39" t="str">
        <f>+VLOOKUP(E72,[2]!Tableau__192.168.29.23_APSSQL_Arizona_v_Addr_Employee_F[[N° Article]:[UC_code]],10,)</f>
        <v>CENT</v>
      </c>
      <c r="M72" s="45">
        <f>C72*K72/100</f>
        <v>0.30399999999999999</v>
      </c>
      <c r="O72" s="46"/>
    </row>
    <row r="73" spans="1:15" hidden="1" outlineLevel="1" x14ac:dyDescent="0.25">
      <c r="A73" s="110"/>
      <c r="B73" s="36" t="str">
        <f>+IF($G$13="sandwich","1","0")</f>
        <v>1</v>
      </c>
      <c r="C73" s="37">
        <f t="shared" si="16"/>
        <v>1</v>
      </c>
      <c r="D73" t="str">
        <f>+VLOOKUP(E73,[2]!Tableau__192.168.29.23_APSSQL_Arizona_v_Addr_Employee_F[[N° Article]:[Description courte]],3,)</f>
        <v>JOINT DE PORTE AVEC LEVRE</v>
      </c>
      <c r="E73" s="38" t="s">
        <v>72</v>
      </c>
      <c r="F73" s="39">
        <v>12</v>
      </c>
      <c r="G73" s="40">
        <f>+VLOOKUP(E73,[2]!Tableau__192.168.29.23_APSSQL_Arizona_v_Addr_Employee_F[[N° Article]:[Poids net]],32,)</f>
        <v>0.21</v>
      </c>
      <c r="H73" s="41" t="s">
        <v>60</v>
      </c>
      <c r="I73" s="42">
        <f>(F73)*C73*G73</f>
        <v>2.52</v>
      </c>
      <c r="J73" s="43" t="s">
        <v>61</v>
      </c>
      <c r="K73" s="44">
        <f>+VLOOKUP(E73,[2]!Tableau__192.168.29.23_APSSQL_Arizona_v_Addr_Employee_F[[N° Article]:[Cout total]],9,)</f>
        <v>101.37</v>
      </c>
      <c r="L73" s="39" t="str">
        <f>+VLOOKUP(E73,[2]!Tableau__192.168.29.23_APSSQL_Arizona_v_Addr_Employee_F[[N° Article]:[UC_code]],10,)</f>
        <v>CENT</v>
      </c>
      <c r="M73" s="45">
        <f>F73*K73/100*C73</f>
        <v>12.164400000000001</v>
      </c>
      <c r="O73" s="46"/>
    </row>
    <row r="74" spans="1:15" hidden="1" outlineLevel="1" x14ac:dyDescent="0.25">
      <c r="A74" s="110"/>
      <c r="B74" s="36" t="str">
        <f>+IF($G$13="sandwich","1","0")</f>
        <v>1</v>
      </c>
      <c r="C74" s="37">
        <f t="shared" si="16"/>
        <v>1</v>
      </c>
      <c r="D74" t="str">
        <f>+VLOOKUP(E74,[2]!Tableau__192.168.29.23_APSSQL_Arizona_v_Addr_Employee_F[[N° Article]:[Description courte]],3,)</f>
        <v>JOINT DE PORTE, L = 3330 MM</v>
      </c>
      <c r="E74" s="47" t="s">
        <v>73</v>
      </c>
      <c r="F74" s="39"/>
      <c r="G74" s="40">
        <f>+VLOOKUP(E74,[2]!Tableau__192.168.29.23_APSSQL_Arizona_v_Addr_Employee_F[[N° Article]:[Poids net]],32,)</f>
        <v>1.4350000000000001</v>
      </c>
      <c r="H74" s="41" t="s">
        <v>66</v>
      </c>
      <c r="I74" s="42">
        <f>C74*G74</f>
        <v>1.4350000000000001</v>
      </c>
      <c r="J74" s="43" t="s">
        <v>61</v>
      </c>
      <c r="K74" s="44">
        <f>+VLOOKUP(E74,[2]!Tableau__192.168.29.23_APSSQL_Arizona_v_Addr_Employee_F[[N° Article]:[Cout total]],9,)</f>
        <v>10.68</v>
      </c>
      <c r="L74" s="39" t="str">
        <f>+VLOOKUP(E74,[2]!Tableau__192.168.29.23_APSSQL_Arizona_v_Addr_Employee_F[[N° Article]:[UC_code]],10,)</f>
        <v>PCE</v>
      </c>
      <c r="M74" s="45">
        <f>C74*K74</f>
        <v>10.68</v>
      </c>
      <c r="O74" s="46"/>
    </row>
    <row r="75" spans="1:15" hidden="1" outlineLevel="1" x14ac:dyDescent="0.25">
      <c r="A75" s="110"/>
      <c r="B75" s="36" t="str">
        <f>+IF($G$13="sandwich","2","0")</f>
        <v>2</v>
      </c>
      <c r="C75" s="37">
        <f t="shared" si="16"/>
        <v>2</v>
      </c>
      <c r="D75" t="str">
        <f>+VLOOKUP(E75,[2]!Tableau__192.168.29.23_APSSQL_Arizona_v_Addr_Employee_F[[N° Article]:[Description courte]],3,)</f>
        <v>PANNEAU 25 x 1081 x 2070</v>
      </c>
      <c r="E75" s="38" t="str">
        <f>+IF(($F$6-165)&lt;2070,"2 016 2070",IF(($F$6-165)&lt;2570,"2 016 2570","2 016 2970"))</f>
        <v>2 016 2070</v>
      </c>
      <c r="F75" s="39"/>
      <c r="G75" s="40">
        <f>+VLOOKUP(E75,[2]!Tableau__192.168.29.23_APSSQL_Arizona_v_Addr_Employee_F[[N° Article]:[Poids net]],32,)</f>
        <v>10.18</v>
      </c>
      <c r="H75" s="41" t="s">
        <v>66</v>
      </c>
      <c r="I75" s="42">
        <f>C75*G75</f>
        <v>20.36</v>
      </c>
      <c r="J75" s="43" t="s">
        <v>61</v>
      </c>
      <c r="K75" s="44">
        <f>+VLOOKUP(E75,[2]!Tableau__192.168.29.23_APSSQL_Arizona_v_Addr_Employee_F[[N° Article]:[Cout total]],9,)</f>
        <v>98.33</v>
      </c>
      <c r="L75" s="39" t="str">
        <f>+VLOOKUP(E75,[2]!Tableau__192.168.29.23_APSSQL_Arizona_v_Addr_Employee_F[[N° Article]:[UC_code]],10,)</f>
        <v>PCE</v>
      </c>
      <c r="M75" s="45">
        <f>C75*K75</f>
        <v>196.66</v>
      </c>
      <c r="O75" s="46"/>
    </row>
    <row r="76" spans="1:15" hidden="1" outlineLevel="1" x14ac:dyDescent="0.25">
      <c r="A76" s="110"/>
      <c r="B76" s="36" t="str">
        <f>+IF($G$13="sandwich",IF($D$13=2,"4","8"),"0")</f>
        <v>8</v>
      </c>
      <c r="C76" s="37">
        <f t="shared" si="16"/>
        <v>8</v>
      </c>
      <c r="D76" t="str">
        <f>+VLOOKUP(E76,[2]!Tableau__192.168.29.23_APSSQL_Arizona_v_Addr_Employee_F[[N° Article]:[Description courte]],3,)</f>
        <v>RENFORT SZ PORTES ARRIERES</v>
      </c>
      <c r="E76" s="47" t="s">
        <v>78</v>
      </c>
      <c r="F76" s="39"/>
      <c r="G76" s="40">
        <f>+VLOOKUP(E76,[2]!Tableau__192.168.29.23_APSSQL_Arizona_v_Addr_Employee_F[[N° Article]:[Poids net]],32,)</f>
        <v>0.17499999999999999</v>
      </c>
      <c r="H76" s="41" t="s">
        <v>66</v>
      </c>
      <c r="I76" s="42">
        <f>C76*G76</f>
        <v>1.4</v>
      </c>
      <c r="J76" s="43" t="s">
        <v>61</v>
      </c>
      <c r="K76" s="44">
        <f>+VLOOKUP(E76,[2]!Tableau__192.168.29.23_APSSQL_Arizona_v_Addr_Employee_F[[N° Article]:[Cout total]],9,)</f>
        <v>1.74</v>
      </c>
      <c r="L76" s="39" t="str">
        <f>+VLOOKUP(E76,[2]!Tableau__192.168.29.23_APSSQL_Arizona_v_Addr_Employee_F[[N° Article]:[UC_code]],10,)</f>
        <v>PCE</v>
      </c>
      <c r="M76" s="45">
        <f>C76*K76</f>
        <v>13.92</v>
      </c>
      <c r="O76" s="46"/>
    </row>
    <row r="77" spans="1:15" hidden="1" outlineLevel="1" x14ac:dyDescent="0.25">
      <c r="A77" s="111"/>
      <c r="B77" s="36" t="str">
        <f>+IF($G$13="sandwich",IF($D$13=2,"0",IF($H$6=3,"8",IF(H6=4,"12","16"))),"0")</f>
        <v>8</v>
      </c>
      <c r="C77" s="37">
        <f t="shared" si="16"/>
        <v>8</v>
      </c>
      <c r="D77" t="str">
        <f>+VLOOKUP(E77,[2]!Tableau__192.168.29.23_APSSQL_Arizona_v_Addr_Employee_F[[N° Article]:[Description courte]],3,)</f>
        <v>PR.REMPLISSAGE COUPE</v>
      </c>
      <c r="E77" s="47" t="s">
        <v>77</v>
      </c>
      <c r="F77" s="65">
        <f>+(600-110)/1000</f>
        <v>0.49</v>
      </c>
      <c r="G77" s="40">
        <f>+VLOOKUP(E77,[2]!Tableau__192.168.29.23_APSSQL_Arizona_v_Addr_Employee_F[[N° Article]:[Poids net]],32,)</f>
        <v>0.13200000000000001</v>
      </c>
      <c r="H77" s="41" t="s">
        <v>60</v>
      </c>
      <c r="I77" s="42">
        <f>C77*G77*F77</f>
        <v>0.51744000000000001</v>
      </c>
      <c r="J77" s="43" t="s">
        <v>61</v>
      </c>
      <c r="K77" s="44">
        <f>+VLOOKUP(E77,[2]!Tableau__192.168.29.23_APSSQL_Arizona_v_Addr_Employee_F[[N° Article]:[Cout total]],9,)</f>
        <v>8.57</v>
      </c>
      <c r="L77" s="39" t="str">
        <f>+VLOOKUP(E77,[2]!Tableau__192.168.29.23_APSSQL_Arizona_v_Addr_Employee_F[[N° Article]:[UC_code]],10,)</f>
        <v>KG</v>
      </c>
      <c r="M77" s="45">
        <f>K77*I77</f>
        <v>4.4344608000000001</v>
      </c>
      <c r="O77" s="46"/>
    </row>
    <row r="78" spans="1:15" hidden="1" outlineLevel="1" x14ac:dyDescent="0.25">
      <c r="A78" s="111"/>
      <c r="B78" s="36" t="str">
        <f>+IF($G$13="sandwich",IF($D$13=2,"0","8"),"0")</f>
        <v>8</v>
      </c>
      <c r="C78" s="37">
        <f t="shared" si="16"/>
        <v>8</v>
      </c>
      <c r="D78" t="str">
        <f>+VLOOKUP(E78,[2]!Tableau__192.168.29.23_APSSQL_Arizona_v_Addr_Employee_F[[N° Article]:[Description courte]],3,)</f>
        <v>PR.REMPLISSAGE COUPE</v>
      </c>
      <c r="E78" s="47" t="s">
        <v>77</v>
      </c>
      <c r="F78" s="65">
        <f>+ROUNDUP(((($F$6-($H$6-1)*600)/2)-72)/1000,3)</f>
        <v>0.32900000000000001</v>
      </c>
      <c r="G78" s="40">
        <f>+VLOOKUP(E78,[2]!Tableau__192.168.29.23_APSSQL_Arizona_v_Addr_Employee_F[[N° Article]:[Poids net]],32,)</f>
        <v>0.13200000000000001</v>
      </c>
      <c r="H78" s="41" t="s">
        <v>60</v>
      </c>
      <c r="I78" s="42">
        <f t="shared" ref="I78:I79" si="18">C78*G78*F78</f>
        <v>0.34742400000000001</v>
      </c>
      <c r="J78" s="43" t="s">
        <v>61</v>
      </c>
      <c r="K78" s="44">
        <f>+VLOOKUP(E78,[2]!Tableau__192.168.29.23_APSSQL_Arizona_v_Addr_Employee_F[[N° Article]:[Cout total]],9,)</f>
        <v>8.57</v>
      </c>
      <c r="L78" s="39" t="str">
        <f>+VLOOKUP(E78,[2]!Tableau__192.168.29.23_APSSQL_Arizona_v_Addr_Employee_F[[N° Article]:[UC_code]],10,)</f>
        <v>KG</v>
      </c>
      <c r="M78" s="45">
        <f t="shared" ref="M78:M79" si="19">K78*I78</f>
        <v>2.9774236800000002</v>
      </c>
      <c r="O78" s="46"/>
    </row>
    <row r="79" spans="1:15" hidden="1" outlineLevel="1" x14ac:dyDescent="0.25">
      <c r="A79" s="111"/>
      <c r="B79" s="36" t="str">
        <f>+IF($G$13="sandwich",IF($D$13=2,"0","1"),"0")</f>
        <v>1</v>
      </c>
      <c r="C79" s="37">
        <f t="shared" si="16"/>
        <v>1</v>
      </c>
      <c r="D79" t="str">
        <f>+VLOOKUP(E79,[2]!Tableau__192.168.29.23_APSSQL_Arizona_v_Addr_Employee_F[[N° Article]:[Description courte]],3,)</f>
        <v>PR.REMPLISSAGE COUPE</v>
      </c>
      <c r="E79" s="47" t="s">
        <v>77</v>
      </c>
      <c r="F79" s="65">
        <f>+($F$6-45)/1000</f>
        <v>1.956</v>
      </c>
      <c r="G79" s="40">
        <f>+VLOOKUP(E79,[2]!Tableau__192.168.29.23_APSSQL_Arizona_v_Addr_Employee_F[[N° Article]:[Poids net]],32,)</f>
        <v>0.13200000000000001</v>
      </c>
      <c r="H79" s="41" t="s">
        <v>60</v>
      </c>
      <c r="I79" s="42">
        <f t="shared" si="18"/>
        <v>0.25819200000000003</v>
      </c>
      <c r="J79" s="43" t="s">
        <v>61</v>
      </c>
      <c r="K79" s="44">
        <f>+VLOOKUP(E79,[2]!Tableau__192.168.29.23_APSSQL_Arizona_v_Addr_Employee_F[[N° Article]:[Cout total]],9,)</f>
        <v>8.57</v>
      </c>
      <c r="L79" s="39" t="str">
        <f>+VLOOKUP(E79,[2]!Tableau__192.168.29.23_APSSQL_Arizona_v_Addr_Employee_F[[N° Article]:[UC_code]],10,)</f>
        <v>KG</v>
      </c>
      <c r="M79" s="45">
        <f t="shared" si="19"/>
        <v>2.2127054400000001</v>
      </c>
      <c r="O79" s="46"/>
    </row>
    <row r="80" spans="1:15" hidden="1" outlineLevel="1" x14ac:dyDescent="0.25">
      <c r="A80" s="111"/>
      <c r="B80" s="36" t="str">
        <f>+IF($G$13="sandwich",IF($D$13=2,"0","2"),"0")</f>
        <v>2</v>
      </c>
      <c r="C80" s="37">
        <f t="shared" si="16"/>
        <v>2</v>
      </c>
      <c r="D80" t="str">
        <f>+VLOOKUP(E80,[2]!Tableau__192.168.29.23_APSSQL_Arizona_v_Addr_Employee_F[[N° Article]:[Description courte]],3,)</f>
        <v>CAOUTCHOUC PR CHARNIERE 3 M</v>
      </c>
      <c r="E80" s="67" t="s">
        <v>74</v>
      </c>
      <c r="F80" s="39"/>
      <c r="G80" s="40">
        <f>+VLOOKUP(E80,[2]!Tableau__192.168.29.23_APSSQL_Arizona_v_Addr_Employee_F[[N° Article]:[Poids net]],32,)</f>
        <v>0.35</v>
      </c>
      <c r="H80" s="41" t="s">
        <v>66</v>
      </c>
      <c r="I80" s="42">
        <f t="shared" ref="I80:I82" si="20">C80*G80</f>
        <v>0.7</v>
      </c>
      <c r="J80" s="43" t="s">
        <v>61</v>
      </c>
      <c r="K80" s="44">
        <f>+VLOOKUP(E80,[2]!Tableau__192.168.29.23_APSSQL_Arizona_v_Addr_Employee_F[[N° Article]:[Cout total]],9,)</f>
        <v>3.08</v>
      </c>
      <c r="L80" s="39" t="str">
        <f>+VLOOKUP(E80,[2]!Tableau__192.168.29.23_APSSQL_Arizona_v_Addr_Employee_F[[N° Article]:[UC_code]],10,)</f>
        <v>PCE</v>
      </c>
      <c r="M80" s="45">
        <f>C80*K80</f>
        <v>6.16</v>
      </c>
      <c r="O80" s="46"/>
    </row>
    <row r="81" spans="1:15" hidden="1" outlineLevel="1" x14ac:dyDescent="0.25">
      <c r="A81" s="138"/>
      <c r="B81" s="39" t="str">
        <f>+IF($G$13="sandwich",IF($D$13=2,"4","8"),"0")</f>
        <v>8</v>
      </c>
      <c r="C81" s="68">
        <f t="shared" si="16"/>
        <v>8</v>
      </c>
      <c r="D81" t="str">
        <f>+VLOOKUP(E81,[2]!Tableau__192.168.29.23_APSSQL_Arizona_v_Addr_Employee_F[[N° Article]:[Description courte]],3,)</f>
        <v>RENFORT SZ PORTES ARRIERES</v>
      </c>
      <c r="E81" s="69" t="s">
        <v>78</v>
      </c>
      <c r="F81" s="39"/>
      <c r="G81" s="40">
        <f>+VLOOKUP(E81,[2]!Tableau__192.168.29.23_APSSQL_Arizona_v_Addr_Employee_F[[N° Article]:[Poids net]],32,)</f>
        <v>0.17499999999999999</v>
      </c>
      <c r="H81" s="41" t="s">
        <v>66</v>
      </c>
      <c r="I81" s="42">
        <f t="shared" si="20"/>
        <v>1.4</v>
      </c>
      <c r="J81" s="41" t="s">
        <v>61</v>
      </c>
      <c r="K81" s="44">
        <f>+VLOOKUP(E81,[2]!Tableau__192.168.29.23_APSSQL_Arizona_v_Addr_Employee_F[[N° Article]:[Cout total]],9,)</f>
        <v>1.74</v>
      </c>
      <c r="L81" s="39" t="str">
        <f>+VLOOKUP(E81,[2]!Tableau__192.168.29.23_APSSQL_Arizona_v_Addr_Employee_F[[N° Article]:[UC_code]],10,)</f>
        <v>PCE</v>
      </c>
      <c r="M81" s="18">
        <f t="shared" ref="M81" si="21">IF(L81="CENT",C81*K81/100,IF(L81="KG",K81*I81,K81*C81))</f>
        <v>13.92</v>
      </c>
      <c r="O81" s="46"/>
    </row>
    <row r="82" spans="1:15" hidden="1" outlineLevel="1" x14ac:dyDescent="0.25">
      <c r="A82" s="111"/>
      <c r="B82" s="36" t="str">
        <f>+IF($G$13="sandwich",IF($D$13=2,"0","4"),"0")</f>
        <v>4</v>
      </c>
      <c r="C82" s="37">
        <f t="shared" si="16"/>
        <v>4</v>
      </c>
      <c r="D82" t="str">
        <f>+VLOOKUP(E82,[2]!Tableau__192.168.29.23_APSSQL_Arizona_v_Addr_Employee_F[[N° Article]:[Description courte]],3,)</f>
        <v>RESSORT PLAT PR CHARN.INTER.</v>
      </c>
      <c r="E82" s="70" t="s">
        <v>76</v>
      </c>
      <c r="F82" s="39"/>
      <c r="G82" s="40">
        <f>+VLOOKUP(E82,[2]!Tableau__192.168.29.23_APSSQL_Arizona_v_Addr_Employee_F[[N° Article]:[Poids net]],32,)</f>
        <v>1.4999999999999999E-2</v>
      </c>
      <c r="H82" s="41" t="s">
        <v>66</v>
      </c>
      <c r="I82" s="42">
        <f t="shared" si="20"/>
        <v>0.06</v>
      </c>
      <c r="J82" s="43" t="s">
        <v>61</v>
      </c>
      <c r="K82" s="44">
        <f>+VLOOKUP(E82,[2]!Tableau__192.168.29.23_APSSQL_Arizona_v_Addr_Employee_F[[N° Article]:[Cout total]],9,)</f>
        <v>2</v>
      </c>
      <c r="L82" s="39" t="str">
        <f>+VLOOKUP(E82,[2]!Tableau__192.168.29.23_APSSQL_Arizona_v_Addr_Employee_F[[N° Article]:[UC_code]],10,)</f>
        <v>PCE</v>
      </c>
      <c r="M82" s="45">
        <f>C82*K82</f>
        <v>8</v>
      </c>
      <c r="O82" s="46"/>
    </row>
    <row r="83" spans="1:15" ht="15.75" hidden="1" outlineLevel="1" thickBot="1" x14ac:dyDescent="0.3">
      <c r="A83" s="111"/>
      <c r="B83" s="36" t="str">
        <f>+IF($G$13="sandwich",IF($D$13=2,"16","24"),"0")</f>
        <v>24</v>
      </c>
      <c r="C83" s="37">
        <f t="shared" si="16"/>
        <v>24</v>
      </c>
      <c r="D83" s="50" t="str">
        <f>+VLOOKUP(E83,[2]!Tableau__192.168.29.23_APSSQL_Arizona_v_Addr_Employee_F[[N° Article]:[Description courte]],3,)</f>
        <v>RIVET MONOBOLT ø 6,5x14.1ALU</v>
      </c>
      <c r="E83" s="51" t="s">
        <v>71</v>
      </c>
      <c r="F83" s="52"/>
      <c r="G83" s="53">
        <f>+VLOOKUP(E83,[2]!Tableau__192.168.29.23_APSSQL_Arizona_v_Addr_Employee_F[[N° Article]:[Poids net]],32,)</f>
        <v>5.0000000000000001E-3</v>
      </c>
      <c r="H83" s="54" t="s">
        <v>66</v>
      </c>
      <c r="I83" s="66">
        <f>C83*G83</f>
        <v>0.12</v>
      </c>
      <c r="J83" s="55" t="s">
        <v>61</v>
      </c>
      <c r="K83" s="56">
        <f>+VLOOKUP(E83,[2]!Tableau__192.168.29.23_APSSQL_Arizona_v_Addr_Employee_F[[N° Article]:[Cout total]],9,)</f>
        <v>21.25</v>
      </c>
      <c r="L83" s="52" t="str">
        <f>+VLOOKUP(E83,[2]!Tableau__192.168.29.23_APSSQL_Arizona_v_Addr_Employee_F[[N° Article]:[UC_code]],10,)</f>
        <v>CENT</v>
      </c>
      <c r="M83" s="63">
        <f>C83*K83/100</f>
        <v>5.0999999999999996</v>
      </c>
      <c r="O83" s="46"/>
    </row>
    <row r="84" spans="1:15" ht="15.75" hidden="1" collapsed="1" thickBot="1" x14ac:dyDescent="0.3">
      <c r="A84" s="104" t="str">
        <f>+A65</f>
        <v>Base     sandwich</v>
      </c>
      <c r="B84" s="105"/>
      <c r="C84" s="106"/>
      <c r="I84" s="58">
        <f>+SUM(I66:I83)</f>
        <v>37.434736000000001</v>
      </c>
      <c r="M84" s="59">
        <f>+SUM(M66:M83)</f>
        <v>346.67094992000011</v>
      </c>
      <c r="O84" s="46"/>
    </row>
    <row r="85" spans="1:15" hidden="1" x14ac:dyDescent="0.25">
      <c r="A85" s="39"/>
      <c r="B85" s="39"/>
      <c r="C85" s="39"/>
      <c r="I85" s="64"/>
      <c r="O85" s="46"/>
    </row>
    <row r="86" spans="1:15" ht="18.75" hidden="1" outlineLevel="1" x14ac:dyDescent="0.25">
      <c r="A86" s="109" t="s">
        <v>80</v>
      </c>
      <c r="B86" s="27"/>
      <c r="C86" s="28"/>
      <c r="D86" s="29"/>
      <c r="E86" s="30"/>
      <c r="F86" s="30"/>
      <c r="G86" s="31"/>
      <c r="H86" s="31"/>
      <c r="I86" s="32"/>
      <c r="J86" s="33"/>
      <c r="K86" s="34"/>
      <c r="L86" s="30"/>
      <c r="M86" s="35"/>
      <c r="O86" s="46"/>
    </row>
    <row r="87" spans="1:15" hidden="1" outlineLevel="1" x14ac:dyDescent="0.25">
      <c r="A87" s="110"/>
      <c r="B87" s="36" t="str">
        <f>+IF($G$13="kit",IF($D$13=2,"2","6"),"0")</f>
        <v>0</v>
      </c>
      <c r="C87" s="37">
        <f>+B87*$F$4</f>
        <v>0</v>
      </c>
      <c r="D87" t="str">
        <f>+VLOOKUP(E87,[2]!Tableau__192.168.29.23_APSSQL_Arizona_v_Addr_Employee_F[[N° Article]:[Description courte]],3,)</f>
        <v>AXE DE CHARNIERE ELOXE, CO</v>
      </c>
      <c r="E87" s="38" t="s">
        <v>64</v>
      </c>
      <c r="F87" s="39">
        <f>+(($H$6-1)*600+180)/1000</f>
        <v>1.38</v>
      </c>
      <c r="G87" s="40">
        <f>+VLOOKUP(E87,[2]!Tableau__192.168.29.23_APSSQL_Arizona_v_Addr_Employee_F[[N° Article]:[Poids net]],32,)</f>
        <v>0.55600000000000005</v>
      </c>
      <c r="H87" s="41" t="s">
        <v>60</v>
      </c>
      <c r="I87" s="42">
        <f>(F87)*C87*G87</f>
        <v>0</v>
      </c>
      <c r="J87" s="43" t="s">
        <v>61</v>
      </c>
      <c r="K87" s="44">
        <f>+VLOOKUP(E87,[2]!Tableau__192.168.29.23_APSSQL_Arizona_v_Addr_Employee_F[[N° Article]:[Cout total]],9,)</f>
        <v>5.75</v>
      </c>
      <c r="L87" s="39" t="str">
        <f>+VLOOKUP(E87,[2]!Tableau__192.168.29.23_APSSQL_Arizona_v_Addr_Employee_F[[N° Article]:[UC_code]],10,)</f>
        <v>KG</v>
      </c>
      <c r="M87" s="45">
        <f>I87*K87</f>
        <v>0</v>
      </c>
      <c r="O87" s="46"/>
    </row>
    <row r="88" spans="1:15" hidden="1" outlineLevel="1" x14ac:dyDescent="0.25">
      <c r="A88" s="110"/>
      <c r="B88" s="36" t="str">
        <f>+IF($G$13="kit",IF($D$13=2,"2","6"),"0")</f>
        <v>0</v>
      </c>
      <c r="C88" s="37">
        <f t="shared" ref="C88:C99" si="22">+B88*$F$4</f>
        <v>0</v>
      </c>
      <c r="D88" t="str">
        <f>+VLOOKUP(E88,[2]!Tableau__192.168.29.23_APSSQL_Arizona_v_Addr_Employee_F[[N° Article]:[Description courte]],3,)</f>
        <v>GOUPILLE SPIRALE 5 X 20 MM</v>
      </c>
      <c r="E88" s="47" t="s">
        <v>65</v>
      </c>
      <c r="F88" s="39"/>
      <c r="G88" s="40">
        <f>+VLOOKUP(E88,[2]!Tableau__192.168.29.23_APSSQL_Arizona_v_Addr_Employee_F[[N° Article]:[Poids net]],32,)</f>
        <v>3.0000000000000001E-3</v>
      </c>
      <c r="H88" s="41" t="s">
        <v>66</v>
      </c>
      <c r="I88" s="42">
        <f t="shared" ref="I88:I91" si="23">C88*G88</f>
        <v>0</v>
      </c>
      <c r="J88" s="43" t="s">
        <v>61</v>
      </c>
      <c r="K88" s="44">
        <f>+VLOOKUP(E88,[2]!Tableau__192.168.29.23_APSSQL_Arizona_v_Addr_Employee_F[[N° Article]:[Cout total]],9,)</f>
        <v>7.1</v>
      </c>
      <c r="L88" s="39" t="str">
        <f>+VLOOKUP(E88,[2]!Tableau__192.168.29.23_APSSQL_Arizona_v_Addr_Employee_F[[N° Article]:[UC_code]],10,)</f>
        <v>CENT</v>
      </c>
      <c r="M88" s="45">
        <f>C88*K88/100</f>
        <v>0</v>
      </c>
      <c r="O88" s="46"/>
    </row>
    <row r="89" spans="1:15" hidden="1" outlineLevel="1" x14ac:dyDescent="0.25">
      <c r="A89" s="110"/>
      <c r="B89" s="36" t="str">
        <f>+IF($G$13="kit",IF($D$13=2,"4","8"),"0")</f>
        <v>0</v>
      </c>
      <c r="C89" s="37">
        <f t="shared" si="22"/>
        <v>0</v>
      </c>
      <c r="D89" t="str">
        <f>+VLOOKUP(E89,[2]!Tableau__192.168.29.23_APSSQL_Arizona_v_Addr_Employee_F[[N° Article]:[Description courte]],3,)</f>
        <v>RENFORT D'ANGLE, ZNG</v>
      </c>
      <c r="E89" s="38" t="s">
        <v>68</v>
      </c>
      <c r="F89" s="39"/>
      <c r="G89" s="40">
        <f>+VLOOKUP(E89,[2]!Tableau__192.168.29.23_APSSQL_Arizona_v_Addr_Employee_F[[N° Article]:[Poids net]],32,)</f>
        <v>0.215</v>
      </c>
      <c r="H89" s="41" t="s">
        <v>66</v>
      </c>
      <c r="I89" s="42">
        <f t="shared" si="23"/>
        <v>0</v>
      </c>
      <c r="J89" s="43" t="s">
        <v>61</v>
      </c>
      <c r="K89" s="44">
        <f>+VLOOKUP(E89,[2]!Tableau__192.168.29.23_APSSQL_Arizona_v_Addr_Employee_F[[N° Article]:[Cout total]],9,)</f>
        <v>1.32</v>
      </c>
      <c r="L89" s="39" t="str">
        <f>+VLOOKUP(E89,[2]!Tableau__192.168.29.23_APSSQL_Arizona_v_Addr_Employee_F[[N° Article]:[UC_code]],10,)</f>
        <v>PCE</v>
      </c>
      <c r="M89" s="45">
        <f>C89*K89</f>
        <v>0</v>
      </c>
      <c r="O89" s="46"/>
    </row>
    <row r="90" spans="1:15" hidden="1" outlineLevel="1" x14ac:dyDescent="0.25">
      <c r="A90" s="110"/>
      <c r="B90" s="36" t="str">
        <f>+IF($G$13="kit",IF($D$13=2,"4","8"),"0")</f>
        <v>0</v>
      </c>
      <c r="C90" s="37">
        <f t="shared" si="22"/>
        <v>0</v>
      </c>
      <c r="D90" t="str">
        <f>+VLOOKUP(E90,[2]!Tableau__192.168.29.23_APSSQL_Arizona_v_Addr_Employee_F[[N° Article]:[Description courte]],3,)</f>
        <v>EQUERRE RENFORT 27 MM  ALU</v>
      </c>
      <c r="E90" s="47" t="s">
        <v>69</v>
      </c>
      <c r="F90" s="39"/>
      <c r="G90" s="40">
        <f>+VLOOKUP(E90,[2]!Tableau__192.168.29.23_APSSQL_Arizona_v_Addr_Employee_F[[N° Article]:[Poids net]],32,)</f>
        <v>0.03</v>
      </c>
      <c r="H90" s="41" t="s">
        <v>66</v>
      </c>
      <c r="I90" s="42">
        <f t="shared" si="23"/>
        <v>0</v>
      </c>
      <c r="J90" s="43" t="s">
        <v>61</v>
      </c>
      <c r="K90" s="44">
        <f>+VLOOKUP(E90,[2]!Tableau__192.168.29.23_APSSQL_Arizona_v_Addr_Employee_F[[N° Article]:[Cout total]],9,)</f>
        <v>0.23</v>
      </c>
      <c r="L90" s="39" t="str">
        <f>+VLOOKUP(E90,[2]!Tableau__192.168.29.23_APSSQL_Arizona_v_Addr_Employee_F[[N° Article]:[UC_code]],10,)</f>
        <v>PCE</v>
      </c>
      <c r="M90" s="45">
        <f>C90*K90</f>
        <v>0</v>
      </c>
      <c r="O90" s="46"/>
    </row>
    <row r="91" spans="1:15" hidden="1" outlineLevel="1" x14ac:dyDescent="0.25">
      <c r="A91" s="110"/>
      <c r="B91" s="36" t="str">
        <f>+IF($G$13="kit",IF($D$13=2,"2","4"),"0")</f>
        <v>0</v>
      </c>
      <c r="C91" s="37">
        <f t="shared" si="22"/>
        <v>0</v>
      </c>
      <c r="D91" t="str">
        <f>+VLOOKUP(E91,[2]!Tableau__192.168.29.23_APSSQL_Arizona_v_Addr_Employee_F[[N° Article]:[Description courte]],3,)</f>
        <v>SABOT NOIR PR CHARNIERE</v>
      </c>
      <c r="E91" s="47" t="s">
        <v>75</v>
      </c>
      <c r="F91" s="39"/>
      <c r="G91" s="40">
        <f>+VLOOKUP(E91,[2]!Tableau__192.168.29.23_APSSQL_Arizona_v_Addr_Employee_F[[N° Article]:[Poids net]],32,)</f>
        <v>0.02</v>
      </c>
      <c r="H91" s="41" t="s">
        <v>66</v>
      </c>
      <c r="I91" s="42">
        <f t="shared" si="23"/>
        <v>0</v>
      </c>
      <c r="J91" s="43" t="s">
        <v>61</v>
      </c>
      <c r="K91" s="44">
        <f>+VLOOKUP(E91,[2]!Tableau__192.168.29.23_APSSQL_Arizona_v_Addr_Employee_F[[N° Article]:[Cout total]],9,)</f>
        <v>7.6</v>
      </c>
      <c r="L91" s="39" t="str">
        <f>+VLOOKUP(E91,[2]!Tableau__192.168.29.23_APSSQL_Arizona_v_Addr_Employee_F[[N° Article]:[UC_code]],10,)</f>
        <v>CENT</v>
      </c>
      <c r="M91" s="45">
        <f>C91*K91/100</f>
        <v>0</v>
      </c>
      <c r="O91" s="46"/>
    </row>
    <row r="92" spans="1:15" hidden="1" outlineLevel="1" x14ac:dyDescent="0.25">
      <c r="A92" s="110"/>
      <c r="B92" s="36" t="str">
        <f>+IF($G$13="kit","1","0")</f>
        <v>0</v>
      </c>
      <c r="C92" s="37">
        <f t="shared" si="22"/>
        <v>0</v>
      </c>
      <c r="D92" t="str">
        <f>+VLOOKUP(E92,[2]!Tableau__192.168.29.23_APSSQL_Arizona_v_Addr_Employee_F[[N° Article]:[Description courte]],3,)</f>
        <v>JOINT DE PORTE AVEC LEVRE</v>
      </c>
      <c r="E92" s="38" t="s">
        <v>72</v>
      </c>
      <c r="F92" s="39">
        <v>12</v>
      </c>
      <c r="G92" s="40">
        <f>+VLOOKUP(E92,[2]!Tableau__192.168.29.23_APSSQL_Arizona_v_Addr_Employee_F[[N° Article]:[Poids net]],32,)</f>
        <v>0.21</v>
      </c>
      <c r="H92" s="41" t="s">
        <v>60</v>
      </c>
      <c r="I92" s="42">
        <f>(F92)*C92*G92</f>
        <v>0</v>
      </c>
      <c r="J92" s="43" t="s">
        <v>61</v>
      </c>
      <c r="K92" s="44">
        <f>+VLOOKUP(E92,[2]!Tableau__192.168.29.23_APSSQL_Arizona_v_Addr_Employee_F[[N° Article]:[Cout total]],9,)</f>
        <v>101.37</v>
      </c>
      <c r="L92" s="39" t="str">
        <f>+VLOOKUP(E92,[2]!Tableau__192.168.29.23_APSSQL_Arizona_v_Addr_Employee_F[[N° Article]:[UC_code]],10,)</f>
        <v>CENT</v>
      </c>
      <c r="M92" s="45">
        <f>F92*K92/100*C92</f>
        <v>0</v>
      </c>
      <c r="O92" s="46"/>
    </row>
    <row r="93" spans="1:15" hidden="1" outlineLevel="1" x14ac:dyDescent="0.25">
      <c r="A93" s="110"/>
      <c r="B93" s="36" t="str">
        <f>+IF($G$13="kit","1","0")</f>
        <v>0</v>
      </c>
      <c r="C93" s="37">
        <f t="shared" si="22"/>
        <v>0</v>
      </c>
      <c r="D93" t="str">
        <f>+VLOOKUP(E93,[2]!Tableau__192.168.29.23_APSSQL_Arizona_v_Addr_Employee_F[[N° Article]:[Description courte]],3,)</f>
        <v>JOINT DE PORTE, L = 3330 MM</v>
      </c>
      <c r="E93" s="47" t="s">
        <v>73</v>
      </c>
      <c r="F93" s="39"/>
      <c r="G93" s="40">
        <f>+VLOOKUP(E93,[2]!Tableau__192.168.29.23_APSSQL_Arizona_v_Addr_Employee_F[[N° Article]:[Poids net]],32,)</f>
        <v>1.4350000000000001</v>
      </c>
      <c r="H93" s="41" t="s">
        <v>66</v>
      </c>
      <c r="I93" s="42">
        <f>C93*G93</f>
        <v>0</v>
      </c>
      <c r="J93" s="43" t="s">
        <v>61</v>
      </c>
      <c r="K93" s="44">
        <f>+VLOOKUP(E93,[2]!Tableau__192.168.29.23_APSSQL_Arizona_v_Addr_Employee_F[[N° Article]:[Cout total]],9,)</f>
        <v>10.68</v>
      </c>
      <c r="L93" s="39" t="str">
        <f>+VLOOKUP(E93,[2]!Tableau__192.168.29.23_APSSQL_Arizona_v_Addr_Employee_F[[N° Article]:[UC_code]],10,)</f>
        <v>PCE</v>
      </c>
      <c r="M93" s="45">
        <f>C93*K93</f>
        <v>0</v>
      </c>
      <c r="O93" s="46"/>
    </row>
    <row r="94" spans="1:15" hidden="1" outlineLevel="1" x14ac:dyDescent="0.25">
      <c r="A94" s="111"/>
      <c r="B94" s="36" t="str">
        <f>+IF($G$13="kit",IF($D$13=2,"0",IF($H$6=3,"8",IF($H$6=4,"12","16"))),"0")</f>
        <v>0</v>
      </c>
      <c r="C94" s="37">
        <f t="shared" si="22"/>
        <v>0</v>
      </c>
      <c r="D94" t="str">
        <f>+VLOOKUP(E94,[2]!Tableau__192.168.29.23_APSSQL_Arizona_v_Addr_Employee_F[[N° Article]:[Description courte]],3,)</f>
        <v>PR.REMPLISSAGE COUPE</v>
      </c>
      <c r="E94" s="47" t="s">
        <v>77</v>
      </c>
      <c r="F94" s="65">
        <f>+(600-110)/1000</f>
        <v>0.49</v>
      </c>
      <c r="G94" s="40">
        <f>+VLOOKUP(E94,[2]!Tableau__192.168.29.23_APSSQL_Arizona_v_Addr_Employee_F[[N° Article]:[Poids net]],32,)</f>
        <v>0.13200000000000001</v>
      </c>
      <c r="H94" s="41" t="s">
        <v>60</v>
      </c>
      <c r="I94" s="42">
        <f>C94*G94*F94</f>
        <v>0</v>
      </c>
      <c r="J94" s="43" t="s">
        <v>61</v>
      </c>
      <c r="K94" s="44">
        <f>+VLOOKUP(E94,[2]!Tableau__192.168.29.23_APSSQL_Arizona_v_Addr_Employee_F[[N° Article]:[Cout total]],9,)</f>
        <v>8.57</v>
      </c>
      <c r="L94" s="39" t="str">
        <f>+VLOOKUP(E94,[2]!Tableau__192.168.29.23_APSSQL_Arizona_v_Addr_Employee_F[[N° Article]:[UC_code]],10,)</f>
        <v>KG</v>
      </c>
      <c r="M94" s="45">
        <f>K94*I94</f>
        <v>0</v>
      </c>
      <c r="O94" s="46"/>
    </row>
    <row r="95" spans="1:15" hidden="1" outlineLevel="1" x14ac:dyDescent="0.25">
      <c r="A95" s="111"/>
      <c r="B95" s="36" t="str">
        <f>+IF($G$13="kit",IF($D$13=2,"0","8"),"0")</f>
        <v>0</v>
      </c>
      <c r="C95" s="37">
        <f t="shared" si="22"/>
        <v>0</v>
      </c>
      <c r="D95" t="str">
        <f>+VLOOKUP(E95,[2]!Tableau__192.168.29.23_APSSQL_Arizona_v_Addr_Employee_F[[N° Article]:[Description courte]],3,)</f>
        <v>PR.REMPLISSAGE COUPE</v>
      </c>
      <c r="E95" s="47" t="s">
        <v>77</v>
      </c>
      <c r="F95" s="39">
        <f>+ROUNDUP(((($F$6-($H$6-1)*600)/2)-72)/1000,3)</f>
        <v>0.32900000000000001</v>
      </c>
      <c r="G95" s="40">
        <f>+VLOOKUP(E95,[2]!Tableau__192.168.29.23_APSSQL_Arizona_v_Addr_Employee_F[[N° Article]:[Poids net]],32,)</f>
        <v>0.13200000000000001</v>
      </c>
      <c r="H95" s="41" t="s">
        <v>60</v>
      </c>
      <c r="I95" s="42">
        <f t="shared" ref="I95:I96" si="24">C95*G95*F95</f>
        <v>0</v>
      </c>
      <c r="J95" s="43" t="s">
        <v>61</v>
      </c>
      <c r="K95" s="44">
        <f>+VLOOKUP(E95,[2]!Tableau__192.168.29.23_APSSQL_Arizona_v_Addr_Employee_F[[N° Article]:[Cout total]],9,)</f>
        <v>8.57</v>
      </c>
      <c r="L95" s="39" t="str">
        <f>+VLOOKUP(E95,[2]!Tableau__192.168.29.23_APSSQL_Arizona_v_Addr_Employee_F[[N° Article]:[UC_code]],10,)</f>
        <v>KG</v>
      </c>
      <c r="M95" s="45">
        <f t="shared" ref="M95:M96" si="25">K95*I95</f>
        <v>0</v>
      </c>
      <c r="O95" s="46"/>
    </row>
    <row r="96" spans="1:15" hidden="1" outlineLevel="1" x14ac:dyDescent="0.25">
      <c r="A96" s="111"/>
      <c r="B96" s="36" t="str">
        <f>+IF($G$13="kit",IF($D$13=2,"0","1"),"0")</f>
        <v>0</v>
      </c>
      <c r="C96" s="37">
        <f t="shared" si="22"/>
        <v>0</v>
      </c>
      <c r="D96" t="str">
        <f>+VLOOKUP(E96,[2]!Tableau__192.168.29.23_APSSQL_Arizona_v_Addr_Employee_F[[N° Article]:[Description courte]],3,)</f>
        <v>PR.REMPLISSAGE COUPE</v>
      </c>
      <c r="E96" s="47" t="s">
        <v>77</v>
      </c>
      <c r="F96" s="39">
        <f>+($F$6-45)/1000</f>
        <v>1.956</v>
      </c>
      <c r="G96" s="40">
        <f>+VLOOKUP(E96,[2]!Tableau__192.168.29.23_APSSQL_Arizona_v_Addr_Employee_F[[N° Article]:[Poids net]],32,)</f>
        <v>0.13200000000000001</v>
      </c>
      <c r="H96" s="41" t="s">
        <v>60</v>
      </c>
      <c r="I96" s="42">
        <f t="shared" si="24"/>
        <v>0</v>
      </c>
      <c r="J96" s="43" t="s">
        <v>61</v>
      </c>
      <c r="K96" s="44">
        <f>+VLOOKUP(E96,[2]!Tableau__192.168.29.23_APSSQL_Arizona_v_Addr_Employee_F[[N° Article]:[Cout total]],9,)</f>
        <v>8.57</v>
      </c>
      <c r="L96" s="39" t="str">
        <f>+VLOOKUP(E96,[2]!Tableau__192.168.29.23_APSSQL_Arizona_v_Addr_Employee_F[[N° Article]:[UC_code]],10,)</f>
        <v>KG</v>
      </c>
      <c r="M96" s="45">
        <f t="shared" si="25"/>
        <v>0</v>
      </c>
      <c r="O96" s="46"/>
    </row>
    <row r="97" spans="1:15" hidden="1" outlineLevel="1" x14ac:dyDescent="0.25">
      <c r="A97" s="111"/>
      <c r="B97" s="36" t="str">
        <f>+IF($G$13="kit",IF($D$13=2,"0","2"),"0")</f>
        <v>0</v>
      </c>
      <c r="C97" s="37">
        <f t="shared" si="22"/>
        <v>0</v>
      </c>
      <c r="D97" t="str">
        <f>+VLOOKUP(E97,[2]!Tableau__192.168.29.23_APSSQL_Arizona_v_Addr_Employee_F[[N° Article]:[Description courte]],3,)</f>
        <v>CAOUTCHOUC PR CHARNIERE 3 M</v>
      </c>
      <c r="E97" s="47" t="s">
        <v>74</v>
      </c>
      <c r="F97" s="39"/>
      <c r="G97" s="40">
        <f>+VLOOKUP(E97,[2]!Tableau__192.168.29.23_APSSQL_Arizona_v_Addr_Employee_F[[N° Article]:[Poids net]],32,)</f>
        <v>0.35</v>
      </c>
      <c r="H97" s="41" t="s">
        <v>66</v>
      </c>
      <c r="I97" s="42">
        <f t="shared" ref="I97:I98" si="26">C97*G97</f>
        <v>0</v>
      </c>
      <c r="J97" s="43" t="s">
        <v>61</v>
      </c>
      <c r="K97" s="44">
        <f>+VLOOKUP(E97,[2]!Tableau__192.168.29.23_APSSQL_Arizona_v_Addr_Employee_F[[N° Article]:[Cout total]],9,)</f>
        <v>3.08</v>
      </c>
      <c r="L97" s="39" t="str">
        <f>+VLOOKUP(E97,[2]!Tableau__192.168.29.23_APSSQL_Arizona_v_Addr_Employee_F[[N° Article]:[UC_code]],10,)</f>
        <v>PCE</v>
      </c>
      <c r="M97" s="45">
        <f>C97*K97</f>
        <v>0</v>
      </c>
      <c r="O97" s="46"/>
    </row>
    <row r="98" spans="1:15" hidden="1" outlineLevel="1" x14ac:dyDescent="0.25">
      <c r="A98" s="111"/>
      <c r="B98" s="36" t="str">
        <f>+IF($G$13="kit",IF($D$13=2,"0","4"),"0")</f>
        <v>0</v>
      </c>
      <c r="C98" s="37">
        <f t="shared" si="22"/>
        <v>0</v>
      </c>
      <c r="D98" t="str">
        <f>+VLOOKUP(E98,[2]!Tableau__192.168.29.23_APSSQL_Arizona_v_Addr_Employee_F[[N° Article]:[Description courte]],3,)</f>
        <v>RESSORT PLAT PR CHARN.INTER.</v>
      </c>
      <c r="E98" s="47" t="s">
        <v>76</v>
      </c>
      <c r="F98" s="39"/>
      <c r="G98" s="40">
        <f>+VLOOKUP(E98,[2]!Tableau__192.168.29.23_APSSQL_Arizona_v_Addr_Employee_F[[N° Article]:[Poids net]],32,)</f>
        <v>1.4999999999999999E-2</v>
      </c>
      <c r="H98" s="41" t="s">
        <v>66</v>
      </c>
      <c r="I98" s="42">
        <f t="shared" si="26"/>
        <v>0</v>
      </c>
      <c r="J98" s="43" t="s">
        <v>61</v>
      </c>
      <c r="K98" s="44">
        <f>+VLOOKUP(E98,[2]!Tableau__192.168.29.23_APSSQL_Arizona_v_Addr_Employee_F[[N° Article]:[Cout total]],9,)</f>
        <v>2</v>
      </c>
      <c r="L98" s="39" t="str">
        <f>+VLOOKUP(E98,[2]!Tableau__192.168.29.23_APSSQL_Arizona_v_Addr_Employee_F[[N° Article]:[UC_code]],10,)</f>
        <v>PCE</v>
      </c>
      <c r="M98" s="45">
        <f>C98*K98</f>
        <v>0</v>
      </c>
      <c r="O98" s="46"/>
    </row>
    <row r="99" spans="1:15" ht="15.75" hidden="1" outlineLevel="1" thickBot="1" x14ac:dyDescent="0.3">
      <c r="A99" s="112"/>
      <c r="B99" s="48" t="str">
        <f>+IF($G$13="kit",IF($D$13=2,"4","8"),"0")</f>
        <v>0</v>
      </c>
      <c r="C99" s="49">
        <f t="shared" si="22"/>
        <v>0</v>
      </c>
      <c r="D99" s="50" t="str">
        <f>+VLOOKUP(E99,[2]!Tableau__192.168.29.23_APSSQL_Arizona_v_Addr_Employee_F[[N° Article]:[Description courte]],3,)</f>
        <v>RENFORT SZ PORTES ARRIERES</v>
      </c>
      <c r="E99" s="51" t="s">
        <v>78</v>
      </c>
      <c r="F99" s="52"/>
      <c r="G99" s="53">
        <f>+VLOOKUP(E99,[2]!Tableau__192.168.29.23_APSSQL_Arizona_v_Addr_Employee_F[[N° Article]:[Poids net]],32,)</f>
        <v>0.17499999999999999</v>
      </c>
      <c r="H99" s="54" t="s">
        <v>66</v>
      </c>
      <c r="I99" s="66">
        <f>C99*G99</f>
        <v>0</v>
      </c>
      <c r="J99" s="55" t="s">
        <v>61</v>
      </c>
      <c r="K99" s="56">
        <f>+VLOOKUP(E99,[2]!Tableau__192.168.29.23_APSSQL_Arizona_v_Addr_Employee_F[[N° Article]:[Cout total]],9,)</f>
        <v>1.74</v>
      </c>
      <c r="L99" s="52" t="str">
        <f>+VLOOKUP(E99,[2]!Tableau__192.168.29.23_APSSQL_Arizona_v_Addr_Employee_F[[N° Article]:[UC_code]],10,)</f>
        <v>PCE</v>
      </c>
      <c r="M99" s="63">
        <f>C99*K99</f>
        <v>0</v>
      </c>
      <c r="O99" s="46"/>
    </row>
    <row r="100" spans="1:15" ht="15.75" hidden="1" collapsed="1" thickBot="1" x14ac:dyDescent="0.3">
      <c r="A100" s="104" t="str">
        <f>+A86</f>
        <v>Base     Kit</v>
      </c>
      <c r="B100" s="105"/>
      <c r="C100" s="106"/>
      <c r="I100" s="58">
        <f>+SUM(I87:I99)</f>
        <v>0</v>
      </c>
      <c r="M100" s="59">
        <f>+SUM(M87:M99)</f>
        <v>0</v>
      </c>
      <c r="O100" s="46"/>
    </row>
    <row r="101" spans="1:15" hidden="1" x14ac:dyDescent="0.25">
      <c r="A101" s="39"/>
      <c r="B101" s="39"/>
      <c r="C101" s="39"/>
      <c r="I101" s="64"/>
      <c r="O101" s="46"/>
    </row>
    <row r="102" spans="1:15" ht="18.75" hidden="1" customHeight="1" outlineLevel="1" x14ac:dyDescent="0.25">
      <c r="A102" s="126" t="s">
        <v>81</v>
      </c>
      <c r="B102" s="27"/>
      <c r="C102" s="28"/>
      <c r="D102" s="29"/>
      <c r="E102" s="30"/>
      <c r="F102" s="30"/>
      <c r="G102" s="31"/>
      <c r="H102" s="31"/>
      <c r="I102" s="32"/>
      <c r="J102" s="33"/>
      <c r="K102" s="34"/>
      <c r="L102" s="30"/>
      <c r="M102" s="35"/>
      <c r="O102" s="46"/>
    </row>
    <row r="103" spans="1:15" hidden="1" outlineLevel="1" x14ac:dyDescent="0.25">
      <c r="A103" s="127"/>
      <c r="B103" s="36" t="str">
        <f>+IF($D$23="Boxer 2 - Std","1","0")</f>
        <v>0</v>
      </c>
      <c r="C103" s="37">
        <f>+B103*$F$4*$D$15</f>
        <v>0</v>
      </c>
      <c r="D103" t="str">
        <f>+VLOOKUP(E103,[2]!Tableau__192.168.29.23_APSSQL_Arizona_v_Addr_Employee_F[[N° Article]:[Description courte]],3,)</f>
        <v>TRINGLE Ø 18, GALV. L = 2345</v>
      </c>
      <c r="E103" s="47" t="str">
        <f>+IF(($F$6)&lt;2220,"2 119 100-4",IF(($F$6)&lt;2805,"2 119 100-1","2 119 100-2"))</f>
        <v>2 119 100-4</v>
      </c>
      <c r="F103" s="39">
        <f>+IF($G$19="oui ",($F$6+123)/1000,($F$6+125)/1000)</f>
        <v>2.1259999999999999</v>
      </c>
      <c r="G103" s="40">
        <v>2</v>
      </c>
      <c r="H103" s="41" t="s">
        <v>60</v>
      </c>
      <c r="I103" s="42">
        <f>(F103)*C103*G103</f>
        <v>0</v>
      </c>
      <c r="J103" s="43" t="s">
        <v>61</v>
      </c>
      <c r="K103" s="44">
        <f>+VLOOKUP(E103,[2]!Tableau__192.168.29.23_APSSQL_Arizona_v_Addr_Employee_F[[N° Article]:[Cout total]],9,)</f>
        <v>1.92</v>
      </c>
      <c r="L103" s="39" t="str">
        <f>+VLOOKUP(E103,[2]!Tableau__192.168.29.23_APSSQL_Arizona_v_Addr_Employee_F[[N° Article]:[UC_code]],10,)</f>
        <v>KG</v>
      </c>
      <c r="M103" s="45">
        <f>+K103*G103*C103</f>
        <v>0</v>
      </c>
      <c r="O103" s="46"/>
    </row>
    <row r="104" spans="1:15" hidden="1" outlineLevel="1" x14ac:dyDescent="0.25">
      <c r="A104" s="127"/>
      <c r="B104" s="36" t="str">
        <f>+IF($D$23="Boxer 2 - Std","1","0")</f>
        <v>0</v>
      </c>
      <c r="C104" s="37">
        <f t="shared" ref="C104:C109" si="27">+B104*$F$4*$D$15</f>
        <v>0</v>
      </c>
      <c r="D104" t="str">
        <f>+VLOOKUP(E104,[2]!Tableau__192.168.29.23_APSSQL_Arizona_v_Addr_Employee_F[[N° Article]:[Description courte]],3,)</f>
        <v>BOXER 2 POIGNEE Ø 18 ZNF</v>
      </c>
      <c r="E104" s="47" t="s">
        <v>82</v>
      </c>
      <c r="F104" s="39"/>
      <c r="G104" s="40">
        <f>+VLOOKUP(E104,[2]!Tableau__192.168.29.23_APSSQL_Arizona_v_Addr_Employee_F[[N° Article]:[Poids net]],32,)</f>
        <v>1.19</v>
      </c>
      <c r="H104" s="41" t="s">
        <v>66</v>
      </c>
      <c r="I104" s="42">
        <f t="shared" ref="I104:I109" si="28">C104*G104</f>
        <v>0</v>
      </c>
      <c r="J104" s="43" t="s">
        <v>61</v>
      </c>
      <c r="K104" s="44">
        <f>+VLOOKUP(E104,[2]!Tableau__192.168.29.23_APSSQL_Arizona_v_Addr_Employee_F[[N° Article]:[Cout total]],9,)</f>
        <v>6.21</v>
      </c>
      <c r="L104" s="39" t="str">
        <f>+VLOOKUP(E104,[2]!Tableau__192.168.29.23_APSSQL_Arizona_v_Addr_Employee_F[[N° Article]:[UC_code]],10,)</f>
        <v>PCE</v>
      </c>
      <c r="M104" s="45">
        <f t="shared" ref="M104:M110" si="29">IF(L104="CENT",C104*K104/100,IF(L104="KG",K104*I104,K104*C104))</f>
        <v>0</v>
      </c>
      <c r="O104" s="46"/>
    </row>
    <row r="105" spans="1:15" hidden="1" outlineLevel="1" x14ac:dyDescent="0.25">
      <c r="A105" s="127"/>
      <c r="B105" s="36" t="str">
        <f>+IF($D$23="Boxer 2 - Std","4","0")</f>
        <v>0</v>
      </c>
      <c r="C105" s="37">
        <f t="shared" si="27"/>
        <v>0</v>
      </c>
      <c r="D105" t="str">
        <f>+VLOOKUP(E105,[2]!Tableau__192.168.29.23_APSSQL_Arizona_v_Addr_Employee_F[[N° Article]:[Description courte]],3,)</f>
        <v>GOUPILLE SPIRALE ø 5x28 ZING.</v>
      </c>
      <c r="E105" s="38" t="s">
        <v>83</v>
      </c>
      <c r="F105" s="39"/>
      <c r="G105" s="40">
        <f>+VLOOKUP(E105,[2]!Tableau__192.168.29.23_APSSQL_Arizona_v_Addr_Employee_F[[N° Article]:[Poids net]],32,)</f>
        <v>6.0000000000000001E-3</v>
      </c>
      <c r="H105" s="41" t="s">
        <v>66</v>
      </c>
      <c r="I105" s="42">
        <f t="shared" si="28"/>
        <v>0</v>
      </c>
      <c r="J105" s="43" t="s">
        <v>61</v>
      </c>
      <c r="K105" s="44">
        <f>+VLOOKUP(E105,[2]!Tableau__192.168.29.23_APSSQL_Arizona_v_Addr_Employee_F[[N° Article]:[Cout total]],9,)</f>
        <v>7.99</v>
      </c>
      <c r="L105" s="39" t="str">
        <f>+VLOOKUP(E105,[2]!Tableau__192.168.29.23_APSSQL_Arizona_v_Addr_Employee_F[[N° Article]:[UC_code]],10,)</f>
        <v>CENT</v>
      </c>
      <c r="M105" s="45">
        <f t="shared" si="29"/>
        <v>0</v>
      </c>
      <c r="O105" s="46"/>
    </row>
    <row r="106" spans="1:15" hidden="1" outlineLevel="1" x14ac:dyDescent="0.25">
      <c r="A106" s="127"/>
      <c r="B106" s="36" t="str">
        <f>+IF($D$23="Boxer 2 - Std","1","0")</f>
        <v>0</v>
      </c>
      <c r="C106" s="37">
        <f t="shared" si="27"/>
        <v>0</v>
      </c>
      <c r="D106" t="str">
        <f>+VLOOKUP(E106,[2]!Tableau__192.168.29.23_APSSQL_Arizona_v_Addr_Employee_F[[N° Article]:[Description courte]],3,)</f>
        <v>BOXER 2 CROCHET Ø 18 ZNF</v>
      </c>
      <c r="E106" s="38" t="s">
        <v>84</v>
      </c>
      <c r="F106" s="39"/>
      <c r="G106" s="40">
        <f>+VLOOKUP(E106,[2]!Tableau__192.168.29.23_APSSQL_Arizona_v_Addr_Employee_F[[N° Article]:[Poids net]],32,)</f>
        <v>0.2</v>
      </c>
      <c r="H106" s="41" t="s">
        <v>66</v>
      </c>
      <c r="I106" s="42">
        <f t="shared" si="28"/>
        <v>0</v>
      </c>
      <c r="J106" s="43" t="s">
        <v>61</v>
      </c>
      <c r="K106" s="44">
        <f>+VLOOKUP(E106,[2]!Tableau__192.168.29.23_APSSQL_Arizona_v_Addr_Employee_F[[N° Article]:[Cout total]],9,)</f>
        <v>1.1000000000000001</v>
      </c>
      <c r="L106" s="39" t="str">
        <f>+VLOOKUP(E106,[2]!Tableau__192.168.29.23_APSSQL_Arizona_v_Addr_Employee_F[[N° Article]:[UC_code]],10,)</f>
        <v>PCE</v>
      </c>
      <c r="M106" s="45">
        <f t="shared" si="29"/>
        <v>0</v>
      </c>
      <c r="O106" s="46"/>
    </row>
    <row r="107" spans="1:15" hidden="1" outlineLevel="1" x14ac:dyDescent="0.25">
      <c r="A107" s="127"/>
      <c r="B107" s="36" t="str">
        <f>+IF($D$23="Boxer 2 - Std","2","0")</f>
        <v>0</v>
      </c>
      <c r="C107" s="37">
        <f t="shared" si="27"/>
        <v>0</v>
      </c>
      <c r="D107" t="str">
        <f>+VLOOKUP(E107,[2]!Tableau__192.168.29.23_APSSQL_Arizona_v_Addr_Employee_F[[N° Article]:[Description courte]],3,)</f>
        <v>RENFORT D'ANGLE, ZNG</v>
      </c>
      <c r="E107" s="47" t="s">
        <v>68</v>
      </c>
      <c r="F107" s="39"/>
      <c r="G107" s="40">
        <f>+VLOOKUP(E107,[2]!Tableau__192.168.29.23_APSSQL_Arizona_v_Addr_Employee_F[[N° Article]:[Poids net]],32,)</f>
        <v>0.215</v>
      </c>
      <c r="H107" s="41" t="s">
        <v>66</v>
      </c>
      <c r="I107" s="42">
        <f t="shared" si="28"/>
        <v>0</v>
      </c>
      <c r="J107" s="43" t="s">
        <v>61</v>
      </c>
      <c r="K107" s="44">
        <f>+VLOOKUP(E107,[2]!Tableau__192.168.29.23_APSSQL_Arizona_v_Addr_Employee_F[[N° Article]:[Cout total]],9,)</f>
        <v>1.32</v>
      </c>
      <c r="L107" s="39" t="str">
        <f>+VLOOKUP(E107,[2]!Tableau__192.168.29.23_APSSQL_Arizona_v_Addr_Employee_F[[N° Article]:[UC_code]],10,)</f>
        <v>PCE</v>
      </c>
      <c r="M107" s="45">
        <f t="shared" si="29"/>
        <v>0</v>
      </c>
      <c r="O107" s="46"/>
    </row>
    <row r="108" spans="1:15" hidden="1" outlineLevel="1" x14ac:dyDescent="0.25">
      <c r="A108" s="127"/>
      <c r="B108" s="36" t="str">
        <f t="shared" ref="B108:B109" si="30">+IF($D$23="Boxer 2 - Std","1","0")</f>
        <v>0</v>
      </c>
      <c r="C108" s="37">
        <f t="shared" si="27"/>
        <v>0</v>
      </c>
      <c r="D108" t="str">
        <f>+VLOOKUP(E108,[2]!Tableau__192.168.29.23_APSSQL_Arizona_v_Addr_Employee_F[[N° Article]:[Description courte]],3,)</f>
        <v>PLAQUE LIAISON PORTE, HAUT,ZNF</v>
      </c>
      <c r="E108" s="47" t="s">
        <v>85</v>
      </c>
      <c r="F108" s="39"/>
      <c r="G108" s="40">
        <f>+VLOOKUP(E108,[2]!Tableau__192.168.29.23_APSSQL_Arizona_v_Addr_Employee_F[[N° Article]:[Poids net]],32,)</f>
        <v>0.13</v>
      </c>
      <c r="H108" s="41" t="s">
        <v>66</v>
      </c>
      <c r="I108" s="42">
        <f t="shared" si="28"/>
        <v>0</v>
      </c>
      <c r="J108" s="43" t="s">
        <v>61</v>
      </c>
      <c r="K108" s="44">
        <f>+VLOOKUP(E108,[2]!Tableau__192.168.29.23_APSSQL_Arizona_v_Addr_Employee_F[[N° Article]:[Cout total]],9,)</f>
        <v>1.31</v>
      </c>
      <c r="L108" s="39" t="str">
        <f>+VLOOKUP(E108,[2]!Tableau__192.168.29.23_APSSQL_Arizona_v_Addr_Employee_F[[N° Article]:[UC_code]],10,)</f>
        <v>PCE</v>
      </c>
      <c r="M108" s="45">
        <f t="shared" si="29"/>
        <v>0</v>
      </c>
      <c r="O108" s="46"/>
    </row>
    <row r="109" spans="1:15" hidden="1" outlineLevel="1" x14ac:dyDescent="0.25">
      <c r="A109" s="127"/>
      <c r="B109" s="36" t="str">
        <f t="shared" si="30"/>
        <v>0</v>
      </c>
      <c r="C109" s="37">
        <f t="shared" si="27"/>
        <v>0</v>
      </c>
      <c r="D109" t="str">
        <f>+VLOOKUP(E109,[2]!Tableau__192.168.29.23_APSSQL_Arizona_v_Addr_Employee_F[[N° Article]:[Description courte]],3,)</f>
        <v>PLAQUE LIAISON PORTE, BAS,ZNF</v>
      </c>
      <c r="E109" s="38" t="s">
        <v>86</v>
      </c>
      <c r="F109" s="39"/>
      <c r="G109" s="40">
        <f>+VLOOKUP(E109,[2]!Tableau__192.168.29.23_APSSQL_Arizona_v_Addr_Employee_F[[N° Article]:[Poids net]],32,)</f>
        <v>0.155</v>
      </c>
      <c r="H109" s="41" t="s">
        <v>66</v>
      </c>
      <c r="I109" s="42">
        <f t="shared" si="28"/>
        <v>0</v>
      </c>
      <c r="J109" s="43" t="s">
        <v>61</v>
      </c>
      <c r="K109" s="44">
        <f>+VLOOKUP(E109,[2]!Tableau__192.168.29.23_APSSQL_Arizona_v_Addr_Employee_F[[N° Article]:[Cout total]],9,)</f>
        <v>1.47</v>
      </c>
      <c r="L109" s="39" t="str">
        <f>+VLOOKUP(E109,[2]!Tableau__192.168.29.23_APSSQL_Arizona_v_Addr_Employee_F[[N° Article]:[UC_code]],10,)</f>
        <v>PCE</v>
      </c>
      <c r="M109" s="45">
        <f t="shared" si="29"/>
        <v>0</v>
      </c>
      <c r="O109" s="46"/>
    </row>
    <row r="110" spans="1:15" ht="15.75" hidden="1" outlineLevel="1" thickBot="1" x14ac:dyDescent="0.3">
      <c r="A110" s="128"/>
      <c r="B110" s="39" t="str">
        <f>+IF($D$23="Boxer 2 - Std","4","0")</f>
        <v>0</v>
      </c>
      <c r="C110" s="37">
        <f>+B110*$F$4*$D$15</f>
        <v>0</v>
      </c>
      <c r="D110" s="50" t="str">
        <f>+VLOOKUP(E110,[2]!Tableau__192.168.29.23_APSSQL_Arizona_v_Addr_Employee_F[[N° Article]:[Description courte]],3,)</f>
        <v>RIVET AVEUGLE ACIER ø 6.4x26.0</v>
      </c>
      <c r="E110" s="71" t="s">
        <v>87</v>
      </c>
      <c r="F110" s="52"/>
      <c r="G110" s="53">
        <f>+VLOOKUP(E110,[2]!Tableau__192.168.29.23_APSSQL_Arizona_v_Addr_Employee_F[[N° Article]:[Poids net]],32,)</f>
        <v>0.01</v>
      </c>
      <c r="H110" s="54" t="s">
        <v>66</v>
      </c>
      <c r="I110" s="66">
        <f>(F110)*C110*G110</f>
        <v>0</v>
      </c>
      <c r="J110" s="55" t="s">
        <v>61</v>
      </c>
      <c r="K110" s="56">
        <f>+VLOOKUP(E110,[2]!Tableau__192.168.29.23_APSSQL_Arizona_v_Addr_Employee_F[[N° Article]:[Cout total]],9,)</f>
        <v>17.03</v>
      </c>
      <c r="L110" s="52" t="str">
        <f>+VLOOKUP(E110,[2]!Tableau__192.168.29.23_APSSQL_Arizona_v_Addr_Employee_F[[N° Article]:[UC_code]],10,)</f>
        <v>CENT</v>
      </c>
      <c r="M110" s="45">
        <f t="shared" si="29"/>
        <v>0</v>
      </c>
      <c r="O110" s="46"/>
    </row>
    <row r="111" spans="1:15" ht="15.75" hidden="1" collapsed="1" thickBot="1" x14ac:dyDescent="0.3">
      <c r="A111" s="129" t="str">
        <f>+A102</f>
        <v>Fermetures Boxer 2</v>
      </c>
      <c r="B111" s="130"/>
      <c r="C111" s="131"/>
      <c r="I111" s="58">
        <f>+SUM(I103:I110)</f>
        <v>0</v>
      </c>
      <c r="M111" s="59">
        <f>+SUM(M103:M110)</f>
        <v>0</v>
      </c>
      <c r="O111" s="46"/>
    </row>
    <row r="112" spans="1:15" hidden="1" x14ac:dyDescent="0.25">
      <c r="A112" s="39"/>
      <c r="B112" s="39"/>
      <c r="C112" s="39"/>
      <c r="I112" s="72"/>
      <c r="O112" s="73"/>
    </row>
    <row r="113" spans="1:15" ht="18.75" hidden="1" customHeight="1" outlineLevel="1" x14ac:dyDescent="0.25">
      <c r="A113" s="132" t="s">
        <v>88</v>
      </c>
      <c r="B113" s="74"/>
      <c r="C113" s="28"/>
      <c r="D113" s="29"/>
      <c r="E113" s="30"/>
      <c r="F113" s="30"/>
      <c r="G113" s="31"/>
      <c r="H113" s="31"/>
      <c r="I113" s="32"/>
      <c r="J113" s="33"/>
      <c r="K113" s="34"/>
      <c r="L113" s="30"/>
      <c r="M113" s="35"/>
      <c r="O113" s="46"/>
    </row>
    <row r="114" spans="1:15" hidden="1" outlineLevel="1" x14ac:dyDescent="0.25">
      <c r="A114" s="133"/>
      <c r="B114" s="75" t="str">
        <f>+IF($D$23="Boxer 3 - Std","1","0")</f>
        <v>0</v>
      </c>
      <c r="C114" s="37">
        <f>+B114*$F$4*$D$15</f>
        <v>0</v>
      </c>
      <c r="D114" t="str">
        <f>+VLOOKUP(E114,[2]!Tableau__192.168.29.23_APSSQL_Arizona_v_Addr_Employee_F[[N° Article]:[Description courte]],3,)</f>
        <v>TRINGLE Ø 18, GALV. L = 2345</v>
      </c>
      <c r="E114" s="47" t="str">
        <f>+IF(($F$6)&lt;2220,"2 119 100-4",IF(($F$6)&lt;2805,"2 119 100-1","2 119 100-2"))</f>
        <v>2 119 100-4</v>
      </c>
      <c r="F114" s="39">
        <f>+IF($G$19="oui ",($F$6+118)/1000,($F$6+120)/1000)</f>
        <v>2.121</v>
      </c>
      <c r="G114" s="40">
        <v>2</v>
      </c>
      <c r="H114" s="41" t="s">
        <v>60</v>
      </c>
      <c r="I114" s="42">
        <f>(F114)*C114*G114</f>
        <v>0</v>
      </c>
      <c r="J114" s="43" t="s">
        <v>61</v>
      </c>
      <c r="K114" s="44">
        <f>+VLOOKUP(E114,[2]!Tableau__192.168.29.23_APSSQL_Arizona_v_Addr_Employee_F[[N° Article]:[Cout total]],9,)</f>
        <v>1.92</v>
      </c>
      <c r="L114" s="39" t="str">
        <f>+VLOOKUP(E114,[2]!Tableau__192.168.29.23_APSSQL_Arizona_v_Addr_Employee_F[[N° Article]:[UC_code]],10,)</f>
        <v>KG</v>
      </c>
      <c r="M114" s="45">
        <f>+K114*G114*C114</f>
        <v>0</v>
      </c>
      <c r="O114" s="46"/>
    </row>
    <row r="115" spans="1:15" hidden="1" outlineLevel="1" x14ac:dyDescent="0.25">
      <c r="A115" s="133"/>
      <c r="B115" s="75" t="str">
        <f>+IF($D$23="Boxer 3 - Std","1","0")</f>
        <v>0</v>
      </c>
      <c r="C115" s="37">
        <f t="shared" ref="C115:C120" si="31">+B115*$F$4*$D$15</f>
        <v>0</v>
      </c>
      <c r="D115" t="str">
        <f>+VLOOKUP(E115,[2]!Tableau__192.168.29.23_APSSQL_Arizona_v_Addr_Employee_F[[N° Article]:[Description courte]],3,)</f>
        <v>BOXER 3 POIGNEE Ø 18</v>
      </c>
      <c r="E115" s="38" t="s">
        <v>89</v>
      </c>
      <c r="F115" s="39"/>
      <c r="G115" s="40">
        <f>+VLOOKUP(E115,[2]!Tableau__192.168.29.23_APSSQL_Arizona_v_Addr_Employee_F[[N° Article]:[Poids net]],32,)</f>
        <v>1.1459999999999999</v>
      </c>
      <c r="H115" s="41" t="s">
        <v>66</v>
      </c>
      <c r="I115" s="42">
        <f t="shared" ref="I115:I120" si="32">C115*G115</f>
        <v>0</v>
      </c>
      <c r="J115" s="43" t="s">
        <v>61</v>
      </c>
      <c r="K115" s="44">
        <f>+VLOOKUP(E115,[2]!Tableau__192.168.29.23_APSSQL_Arizona_v_Addr_Employee_F[[N° Article]:[Cout total]],9,)</f>
        <v>5.25</v>
      </c>
      <c r="L115" s="39" t="str">
        <f>+VLOOKUP(E115,[2]!Tableau__192.168.29.23_APSSQL_Arizona_v_Addr_Employee_F[[N° Article]:[UC_code]],10,)</f>
        <v>PCE</v>
      </c>
      <c r="M115" s="45">
        <f t="shared" ref="M115:M121" si="33">IF(L115="CENT",C115*K115/100,IF(L115="KG",K115*I115,K115*C115))</f>
        <v>0</v>
      </c>
      <c r="O115" s="46"/>
    </row>
    <row r="116" spans="1:15" hidden="1" outlineLevel="1" x14ac:dyDescent="0.25">
      <c r="A116" s="133"/>
      <c r="B116" s="75" t="str">
        <f>+IF($D$23="Boxer 3 - Std","4","0")</f>
        <v>0</v>
      </c>
      <c r="C116" s="37">
        <f t="shared" si="31"/>
        <v>0</v>
      </c>
      <c r="D116" t="str">
        <f>+VLOOKUP(E116,[2]!Tableau__192.168.29.23_APSSQL_Arizona_v_Addr_Employee_F[[N° Article]:[Description courte]],3,)</f>
        <v>GOUPILLE SPIRALE ø 5x28 ZING.</v>
      </c>
      <c r="E116" s="38" t="s">
        <v>83</v>
      </c>
      <c r="F116" s="39"/>
      <c r="G116" s="40">
        <f>+VLOOKUP(E116,[2]!Tableau__192.168.29.23_APSSQL_Arizona_v_Addr_Employee_F[[N° Article]:[Poids net]],32,)</f>
        <v>6.0000000000000001E-3</v>
      </c>
      <c r="H116" s="41" t="s">
        <v>66</v>
      </c>
      <c r="I116" s="42">
        <f t="shared" si="32"/>
        <v>0</v>
      </c>
      <c r="J116" s="43" t="s">
        <v>61</v>
      </c>
      <c r="K116" s="44">
        <f>+VLOOKUP(E116,[2]!Tableau__192.168.29.23_APSSQL_Arizona_v_Addr_Employee_F[[N° Article]:[Cout total]],9,)</f>
        <v>7.99</v>
      </c>
      <c r="L116" s="39" t="str">
        <f>+VLOOKUP(E116,[2]!Tableau__192.168.29.23_APSSQL_Arizona_v_Addr_Employee_F[[N° Article]:[UC_code]],10,)</f>
        <v>CENT</v>
      </c>
      <c r="M116" s="45">
        <f t="shared" si="33"/>
        <v>0</v>
      </c>
      <c r="O116" s="46"/>
    </row>
    <row r="117" spans="1:15" hidden="1" outlineLevel="1" x14ac:dyDescent="0.25">
      <c r="A117" s="133"/>
      <c r="B117" s="75" t="str">
        <f>+IF($D$23="Boxer 3 - Std","1","0")</f>
        <v>0</v>
      </c>
      <c r="C117" s="37">
        <f t="shared" si="31"/>
        <v>0</v>
      </c>
      <c r="D117" t="str">
        <f>+VLOOKUP(E117,[2]!Tableau__192.168.29.23_APSSQL_Arizona_v_Addr_Employee_F[[N° Article]:[Description courte]],3,)</f>
        <v>BOXER 3 CROCHET Ø 18</v>
      </c>
      <c r="E117" s="47" t="s">
        <v>90</v>
      </c>
      <c r="F117" s="39"/>
      <c r="G117" s="40">
        <f>+VLOOKUP(E117,[2]!Tableau__192.168.29.23_APSSQL_Arizona_v_Addr_Employee_F[[N° Article]:[Poids net]],32,)</f>
        <v>0.185</v>
      </c>
      <c r="H117" s="41" t="s">
        <v>66</v>
      </c>
      <c r="I117" s="42">
        <f t="shared" si="32"/>
        <v>0</v>
      </c>
      <c r="J117" s="43" t="s">
        <v>61</v>
      </c>
      <c r="K117" s="44">
        <f>+VLOOKUP(E117,[2]!Tableau__192.168.29.23_APSSQL_Arizona_v_Addr_Employee_F[[N° Article]:[Cout total]],9,)</f>
        <v>0.92</v>
      </c>
      <c r="L117" s="39" t="str">
        <f>+VLOOKUP(E117,[2]!Tableau__192.168.29.23_APSSQL_Arizona_v_Addr_Employee_F[[N° Article]:[UC_code]],10,)</f>
        <v>PCE</v>
      </c>
      <c r="M117" s="45">
        <f t="shared" si="33"/>
        <v>0</v>
      </c>
      <c r="O117" s="46"/>
    </row>
    <row r="118" spans="1:15" hidden="1" outlineLevel="1" x14ac:dyDescent="0.25">
      <c r="A118" s="133"/>
      <c r="B118" s="75" t="str">
        <f>+IF($D$23="Boxer 3 - Std","2","0")</f>
        <v>0</v>
      </c>
      <c r="C118" s="37">
        <f t="shared" si="31"/>
        <v>0</v>
      </c>
      <c r="D118" t="str">
        <f>+VLOOKUP(E118,[2]!Tableau__192.168.29.23_APSSQL_Arizona_v_Addr_Employee_F[[N° Article]:[Description courte]],3,)</f>
        <v>RENFORT D'ANGLE, ZNG</v>
      </c>
      <c r="E118" s="47" t="s">
        <v>68</v>
      </c>
      <c r="F118" s="39"/>
      <c r="G118" s="40">
        <f>+VLOOKUP(E118,[2]!Tableau__192.168.29.23_APSSQL_Arizona_v_Addr_Employee_F[[N° Article]:[Poids net]],32,)</f>
        <v>0.215</v>
      </c>
      <c r="H118" s="41" t="s">
        <v>66</v>
      </c>
      <c r="I118" s="42">
        <f t="shared" si="32"/>
        <v>0</v>
      </c>
      <c r="J118" s="43" t="s">
        <v>61</v>
      </c>
      <c r="K118" s="44">
        <f>+VLOOKUP(E118,[2]!Tableau__192.168.29.23_APSSQL_Arizona_v_Addr_Employee_F[[N° Article]:[Cout total]],9,)</f>
        <v>1.32</v>
      </c>
      <c r="L118" s="39" t="str">
        <f>+VLOOKUP(E118,[2]!Tableau__192.168.29.23_APSSQL_Arizona_v_Addr_Employee_F[[N° Article]:[UC_code]],10,)</f>
        <v>PCE</v>
      </c>
      <c r="M118" s="45">
        <f t="shared" si="33"/>
        <v>0</v>
      </c>
      <c r="O118" s="46"/>
    </row>
    <row r="119" spans="1:15" hidden="1" outlineLevel="1" x14ac:dyDescent="0.25">
      <c r="A119" s="133"/>
      <c r="B119" s="75" t="str">
        <f>+IF($D$23="Boxer 3 - Std","1","0")</f>
        <v>0</v>
      </c>
      <c r="C119" s="37">
        <f t="shared" si="31"/>
        <v>0</v>
      </c>
      <c r="D119" t="str">
        <f>+VLOOKUP(E119,[2]!Tableau__192.168.29.23_APSSQL_Arizona_v_Addr_Employee_F[[N° Article]:[Description courte]],3,)</f>
        <v>PLAQUE LIAISON PORTE BOXER III</v>
      </c>
      <c r="E119" s="47" t="s">
        <v>91</v>
      </c>
      <c r="F119" s="39"/>
      <c r="G119" s="40">
        <f>+VLOOKUP(E119,[2]!Tableau__192.168.29.23_APSSQL_Arizona_v_Addr_Employee_F[[N° Article]:[Poids net]],32,)</f>
        <v>0.17199999999999999</v>
      </c>
      <c r="H119" s="41" t="s">
        <v>66</v>
      </c>
      <c r="I119" s="42">
        <f t="shared" si="32"/>
        <v>0</v>
      </c>
      <c r="J119" s="43" t="s">
        <v>61</v>
      </c>
      <c r="K119" s="44">
        <f>+VLOOKUP(E119,[2]!Tableau__192.168.29.23_APSSQL_Arizona_v_Addr_Employee_F[[N° Article]:[Cout total]],9,)</f>
        <v>1.4</v>
      </c>
      <c r="L119" s="39" t="str">
        <f>+VLOOKUP(E119,[2]!Tableau__192.168.29.23_APSSQL_Arizona_v_Addr_Employee_F[[N° Article]:[UC_code]],10,)</f>
        <v>PCE</v>
      </c>
      <c r="M119" s="45">
        <f t="shared" si="33"/>
        <v>0</v>
      </c>
      <c r="O119" s="46"/>
    </row>
    <row r="120" spans="1:15" hidden="1" outlineLevel="1" x14ac:dyDescent="0.25">
      <c r="A120" s="133"/>
      <c r="B120" s="75" t="str">
        <f>+IF($D$23="Boxer 3 - Std","1","0")</f>
        <v>0</v>
      </c>
      <c r="C120" s="37">
        <f t="shared" si="31"/>
        <v>0</v>
      </c>
      <c r="D120" t="str">
        <f>+VLOOKUP(E120,[2]!Tableau__192.168.29.23_APSSQL_Arizona_v_Addr_Employee_F[[N° Article]:[Description courte]],3,)</f>
        <v>PLAQUE LIAISON PORTE, BAS,ZNF</v>
      </c>
      <c r="E120" s="38" t="s">
        <v>86</v>
      </c>
      <c r="F120" s="39"/>
      <c r="G120" s="40">
        <f>+VLOOKUP(E120,[2]!Tableau__192.168.29.23_APSSQL_Arizona_v_Addr_Employee_F[[N° Article]:[Poids net]],32,)</f>
        <v>0.155</v>
      </c>
      <c r="H120" s="41" t="s">
        <v>66</v>
      </c>
      <c r="I120" s="42">
        <f t="shared" si="32"/>
        <v>0</v>
      </c>
      <c r="J120" s="43" t="s">
        <v>61</v>
      </c>
      <c r="K120" s="44">
        <f>+VLOOKUP(E120,[2]!Tableau__192.168.29.23_APSSQL_Arizona_v_Addr_Employee_F[[N° Article]:[Cout total]],9,)</f>
        <v>1.47</v>
      </c>
      <c r="L120" s="39" t="str">
        <f>+VLOOKUP(E120,[2]!Tableau__192.168.29.23_APSSQL_Arizona_v_Addr_Employee_F[[N° Article]:[UC_code]],10,)</f>
        <v>PCE</v>
      </c>
      <c r="M120" s="45">
        <f t="shared" si="33"/>
        <v>0</v>
      </c>
      <c r="O120" s="46"/>
    </row>
    <row r="121" spans="1:15" ht="15.75" hidden="1" outlineLevel="1" thickBot="1" x14ac:dyDescent="0.3">
      <c r="A121" s="134"/>
      <c r="B121" s="76" t="str">
        <f>+IF($D$23="Boxer 3 - Std","4","0")</f>
        <v>0</v>
      </c>
      <c r="C121" s="49">
        <f>+B121*$F$4*$D$15</f>
        <v>0</v>
      </c>
      <c r="D121" s="50" t="str">
        <f>+VLOOKUP(E121,[2]!Tableau__192.168.29.23_APSSQL_Arizona_v_Addr_Employee_F[[N° Article]:[Description courte]],3,)</f>
        <v>RIVET AVEUGLE ACIER ø 6.4x26.0</v>
      </c>
      <c r="E121" s="71" t="s">
        <v>87</v>
      </c>
      <c r="F121" s="52"/>
      <c r="G121" s="53">
        <f>+VLOOKUP(E121,[2]!Tableau__192.168.29.23_APSSQL_Arizona_v_Addr_Employee_F[[N° Article]:[Poids net]],32,)</f>
        <v>0.01</v>
      </c>
      <c r="H121" s="54" t="s">
        <v>66</v>
      </c>
      <c r="I121" s="66">
        <f>(F121)*C121*G121</f>
        <v>0</v>
      </c>
      <c r="J121" s="55" t="s">
        <v>61</v>
      </c>
      <c r="K121" s="56">
        <f>+VLOOKUP(E121,[2]!Tableau__192.168.29.23_APSSQL_Arizona_v_Addr_Employee_F[[N° Article]:[Cout total]],9,)</f>
        <v>17.03</v>
      </c>
      <c r="L121" s="52" t="str">
        <f>+VLOOKUP(E121,[2]!Tableau__192.168.29.23_APSSQL_Arizona_v_Addr_Employee_F[[N° Article]:[UC_code]],10,)</f>
        <v>CENT</v>
      </c>
      <c r="M121" s="45">
        <f t="shared" si="33"/>
        <v>0</v>
      </c>
      <c r="O121" s="46"/>
    </row>
    <row r="122" spans="1:15" ht="15.75" hidden="1" collapsed="1" thickBot="1" x14ac:dyDescent="0.3">
      <c r="A122" s="135" t="str">
        <f>+A113</f>
        <v>Fermetures Boxer 3</v>
      </c>
      <c r="B122" s="136"/>
      <c r="C122" s="137"/>
      <c r="I122" s="58">
        <f>+SUM(I114:I121)</f>
        <v>0</v>
      </c>
      <c r="M122" s="59">
        <f>+SUM(M114:M121)</f>
        <v>0</v>
      </c>
      <c r="O122" s="46"/>
    </row>
    <row r="123" spans="1:15" hidden="1" x14ac:dyDescent="0.25">
      <c r="I123" s="64"/>
      <c r="O123" s="46"/>
    </row>
    <row r="124" spans="1:15" ht="18.75" hidden="1" outlineLevel="1" x14ac:dyDescent="0.25">
      <c r="A124" s="120" t="s">
        <v>92</v>
      </c>
      <c r="B124" s="27"/>
      <c r="C124" s="28"/>
      <c r="D124" s="29"/>
      <c r="E124" s="30"/>
      <c r="F124" s="30"/>
      <c r="G124" s="31"/>
      <c r="H124" s="31"/>
      <c r="I124" s="32"/>
      <c r="J124" s="33"/>
      <c r="K124" s="34"/>
      <c r="L124" s="30"/>
      <c r="M124" s="35"/>
      <c r="O124" s="46"/>
    </row>
    <row r="125" spans="1:15" hidden="1" outlineLevel="1" x14ac:dyDescent="0.25">
      <c r="A125" s="121"/>
      <c r="B125" s="36" t="str">
        <f>+IF($D$23="Boxer 2 - Inox","1","0")</f>
        <v>0</v>
      </c>
      <c r="C125" s="37">
        <f>+B125*$F$4*$D$15</f>
        <v>0</v>
      </c>
      <c r="D125" t="str">
        <f>+VLOOKUP(E125,[2]!Tableau__192.168.29.23_APSSQL_Arizona_v_Addr_Employee_F[[N° Article]:[Description courte]],3,)</f>
        <v>TRINGLE Ø 18, GALV. L = 2345</v>
      </c>
      <c r="E125" s="47" t="str">
        <f>+IF(($F$6)&lt;2220,"2 119 100-4",IF(($F$6)&lt;2805,"2 119 100-1","2 119 100-2"))</f>
        <v>2 119 100-4</v>
      </c>
      <c r="F125" s="39">
        <f>+IF($G$19="oui ",($F$6+123)/1000,($F$6+125)/1000)</f>
        <v>2.1259999999999999</v>
      </c>
      <c r="G125" s="40">
        <v>2</v>
      </c>
      <c r="H125" s="41" t="s">
        <v>60</v>
      </c>
      <c r="I125" s="42">
        <f>(F125)*C125*G125</f>
        <v>0</v>
      </c>
      <c r="J125" s="43" t="s">
        <v>61</v>
      </c>
      <c r="K125" s="44">
        <f>+VLOOKUP(E125,[2]!Tableau__192.168.29.23_APSSQL_Arizona_v_Addr_Employee_F[[N° Article]:[Cout total]],9,)</f>
        <v>1.92</v>
      </c>
      <c r="L125" s="39" t="str">
        <f>+VLOOKUP(E125,[2]!Tableau__192.168.29.23_APSSQL_Arizona_v_Addr_Employee_F[[N° Article]:[UC_code]],10,)</f>
        <v>KG</v>
      </c>
      <c r="M125" s="45">
        <f>+K125*G125*C125</f>
        <v>0</v>
      </c>
      <c r="O125" s="46"/>
    </row>
    <row r="126" spans="1:15" hidden="1" outlineLevel="1" x14ac:dyDescent="0.25">
      <c r="A126" s="121"/>
      <c r="B126" s="36" t="str">
        <f>+IF($D$23="Boxer 2 - Inox","1","0")</f>
        <v>0</v>
      </c>
      <c r="C126" s="37">
        <f t="shared" ref="C126:C131" si="34">+B126*$F$4*$D$15</f>
        <v>0</v>
      </c>
      <c r="D126" t="str">
        <f>+VLOOKUP(E126,[2]!Tableau__192.168.29.23_APSSQL_Arizona_v_Addr_Employee_F[[N° Article]:[Description courte]],3,)</f>
        <v>BOXER Ø 18 POIGNEE, INOX</v>
      </c>
      <c r="E126" s="38" t="s">
        <v>93</v>
      </c>
      <c r="F126" s="39"/>
      <c r="G126" s="40">
        <f>+VLOOKUP(E126,[2]!Tableau__192.168.29.23_APSSQL_Arizona_v_Addr_Employee_F[[N° Article]:[Poids net]],32,)</f>
        <v>1.1399999999999999</v>
      </c>
      <c r="H126" s="41" t="s">
        <v>66</v>
      </c>
      <c r="I126" s="42">
        <f t="shared" ref="I126:I131" si="35">C126*G126</f>
        <v>0</v>
      </c>
      <c r="J126" s="43" t="s">
        <v>61</v>
      </c>
      <c r="K126" s="44">
        <f>+VLOOKUP(E126,[2]!Tableau__192.168.29.23_APSSQL_Arizona_v_Addr_Employee_F[[N° Article]:[Cout total]],9,)</f>
        <v>14.52</v>
      </c>
      <c r="L126" s="39" t="str">
        <f>+VLOOKUP(E126,[2]!Tableau__192.168.29.23_APSSQL_Arizona_v_Addr_Employee_F[[N° Article]:[UC_code]],10,)</f>
        <v>PCE</v>
      </c>
      <c r="M126" s="45">
        <f t="shared" ref="M126:M132" si="36">IF(L126="CENT",C126*K126/100,IF(L126="KG",K126*I126,K126*C126))</f>
        <v>0</v>
      </c>
      <c r="O126" s="46"/>
    </row>
    <row r="127" spans="1:15" hidden="1" outlineLevel="1" x14ac:dyDescent="0.25">
      <c r="A127" s="121"/>
      <c r="B127" s="36" t="str">
        <f>+IF($D$23="Boxer 2 - Inox","4","0")</f>
        <v>0</v>
      </c>
      <c r="C127" s="37">
        <f t="shared" si="34"/>
        <v>0</v>
      </c>
      <c r="D127" t="str">
        <f>+VLOOKUP(E127,[2]!Tableau__192.168.29.23_APSSQL_Arizona_v_Addr_Employee_F[[N° Article]:[Description courte]],3,)</f>
        <v>GOUPILLE EL. LD ø 5 x28, INOX</v>
      </c>
      <c r="E127" s="47" t="s">
        <v>94</v>
      </c>
      <c r="F127" s="39"/>
      <c r="G127" s="40">
        <f>+VLOOKUP(E127,[2]!Tableau__192.168.29.23_APSSQL_Arizona_v_Addr_Employee_F[[N° Article]:[Poids net]],32,)</f>
        <v>6.0000000000000001E-3</v>
      </c>
      <c r="H127" s="41" t="s">
        <v>66</v>
      </c>
      <c r="I127" s="42">
        <f t="shared" si="35"/>
        <v>0</v>
      </c>
      <c r="J127" s="43" t="s">
        <v>61</v>
      </c>
      <c r="K127" s="44">
        <f>+VLOOKUP(E127,[2]!Tableau__192.168.29.23_APSSQL_Arizona_v_Addr_Employee_F[[N° Article]:[Cout total]],9,)</f>
        <v>15.76</v>
      </c>
      <c r="L127" s="39" t="str">
        <f>+VLOOKUP(E127,[2]!Tableau__192.168.29.23_APSSQL_Arizona_v_Addr_Employee_F[[N° Article]:[UC_code]],10,)</f>
        <v>CENT</v>
      </c>
      <c r="M127" s="45">
        <f t="shared" si="36"/>
        <v>0</v>
      </c>
      <c r="O127" s="46"/>
    </row>
    <row r="128" spans="1:15" hidden="1" outlineLevel="1" x14ac:dyDescent="0.25">
      <c r="A128" s="121"/>
      <c r="B128" s="36" t="str">
        <f>+IF($D$23="Boxer 2 - Inox","1","0")</f>
        <v>0</v>
      </c>
      <c r="C128" s="37">
        <f t="shared" si="34"/>
        <v>0</v>
      </c>
      <c r="D128" t="str">
        <f>+VLOOKUP(E128,[2]!Tableau__192.168.29.23_APSSQL_Arizona_v_Addr_Employee_F[[N° Article]:[Description courte]],3,)</f>
        <v>BOXER CROCHET Ø 18, INOX</v>
      </c>
      <c r="E128" s="38" t="s">
        <v>95</v>
      </c>
      <c r="F128" s="39"/>
      <c r="G128" s="40">
        <f>+VLOOKUP(E128,[2]!Tableau__192.168.29.23_APSSQL_Arizona_v_Addr_Employee_F[[N° Article]:[Poids net]],32,)</f>
        <v>0.18</v>
      </c>
      <c r="H128" s="41" t="s">
        <v>66</v>
      </c>
      <c r="I128" s="42">
        <f t="shared" si="35"/>
        <v>0</v>
      </c>
      <c r="J128" s="43" t="s">
        <v>61</v>
      </c>
      <c r="K128" s="44">
        <f>+VLOOKUP(E128,[2]!Tableau__192.168.29.23_APSSQL_Arizona_v_Addr_Employee_F[[N° Article]:[Cout total]],9,)</f>
        <v>2.33</v>
      </c>
      <c r="L128" s="39" t="str">
        <f>+VLOOKUP(E128,[2]!Tableau__192.168.29.23_APSSQL_Arizona_v_Addr_Employee_F[[N° Article]:[UC_code]],10,)</f>
        <v>PCE</v>
      </c>
      <c r="M128" s="45">
        <f t="shared" si="36"/>
        <v>0</v>
      </c>
      <c r="O128" s="46"/>
    </row>
    <row r="129" spans="1:15" hidden="1" outlineLevel="1" x14ac:dyDescent="0.25">
      <c r="A129" s="121"/>
      <c r="B129" s="36" t="str">
        <f>+IF($D$23="Boxer 2 - Inox","2","0")</f>
        <v>0</v>
      </c>
      <c r="C129" s="37">
        <f t="shared" si="34"/>
        <v>0</v>
      </c>
      <c r="D129" t="str">
        <f>+VLOOKUP(E129,[2]!Tableau__192.168.29.23_APSSQL_Arizona_v_Addr_Employee_F[[N° Article]:[Description courte]],3,)</f>
        <v>RENFORT D'ANGLE, ZNG</v>
      </c>
      <c r="E129" s="47" t="s">
        <v>68</v>
      </c>
      <c r="F129" s="39"/>
      <c r="G129" s="40">
        <f>+VLOOKUP(E129,[2]!Tableau__192.168.29.23_APSSQL_Arizona_v_Addr_Employee_F[[N° Article]:[Poids net]],32,)</f>
        <v>0.215</v>
      </c>
      <c r="H129" s="41" t="s">
        <v>66</v>
      </c>
      <c r="I129" s="42">
        <f t="shared" si="35"/>
        <v>0</v>
      </c>
      <c r="J129" s="43" t="s">
        <v>61</v>
      </c>
      <c r="K129" s="44">
        <f>+VLOOKUP(E129,[2]!Tableau__192.168.29.23_APSSQL_Arizona_v_Addr_Employee_F[[N° Article]:[Cout total]],9,)</f>
        <v>1.32</v>
      </c>
      <c r="L129" s="39" t="str">
        <f>+VLOOKUP(E129,[2]!Tableau__192.168.29.23_APSSQL_Arizona_v_Addr_Employee_F[[N° Article]:[UC_code]],10,)</f>
        <v>PCE</v>
      </c>
      <c r="M129" s="45">
        <f t="shared" si="36"/>
        <v>0</v>
      </c>
      <c r="O129" s="46"/>
    </row>
    <row r="130" spans="1:15" hidden="1" outlineLevel="1" x14ac:dyDescent="0.25">
      <c r="A130" s="121"/>
      <c r="B130" s="36" t="str">
        <f>+IF($D$23="Boxer 2 - Inox","1","0")</f>
        <v>0</v>
      </c>
      <c r="C130" s="37">
        <f t="shared" si="34"/>
        <v>0</v>
      </c>
      <c r="D130" t="str">
        <f>+VLOOKUP(E130,[2]!Tableau__192.168.29.23_APSSQL_Arizona_v_Addr_Employee_F[[N° Article]:[Description courte]],3,)</f>
        <v>PLAQUE LIAISON PORTE, HAUT,ZNF</v>
      </c>
      <c r="E130" s="47" t="s">
        <v>85</v>
      </c>
      <c r="F130" s="39"/>
      <c r="G130" s="40">
        <f>+VLOOKUP(E130,[2]!Tableau__192.168.29.23_APSSQL_Arizona_v_Addr_Employee_F[[N° Article]:[Poids net]],32,)</f>
        <v>0.13</v>
      </c>
      <c r="H130" s="41" t="s">
        <v>66</v>
      </c>
      <c r="I130" s="42">
        <f t="shared" si="35"/>
        <v>0</v>
      </c>
      <c r="J130" s="43" t="s">
        <v>61</v>
      </c>
      <c r="K130" s="44">
        <f>+VLOOKUP(E130,[2]!Tableau__192.168.29.23_APSSQL_Arizona_v_Addr_Employee_F[[N° Article]:[Cout total]],9,)</f>
        <v>1.31</v>
      </c>
      <c r="L130" s="39" t="str">
        <f>+VLOOKUP(E130,[2]!Tableau__192.168.29.23_APSSQL_Arizona_v_Addr_Employee_F[[N° Article]:[UC_code]],10,)</f>
        <v>PCE</v>
      </c>
      <c r="M130" s="45">
        <f t="shared" si="36"/>
        <v>0</v>
      </c>
      <c r="O130" s="46"/>
    </row>
    <row r="131" spans="1:15" hidden="1" outlineLevel="1" x14ac:dyDescent="0.25">
      <c r="A131" s="121"/>
      <c r="B131" s="36" t="str">
        <f>+IF($D$23="Boxer 2 - Inox","1","0")</f>
        <v>0</v>
      </c>
      <c r="C131" s="37">
        <f t="shared" si="34"/>
        <v>0</v>
      </c>
      <c r="D131" t="str">
        <f>+VLOOKUP(E131,[2]!Tableau__192.168.29.23_APSSQL_Arizona_v_Addr_Employee_F[[N° Article]:[Description courte]],3,)</f>
        <v>PLAQUE LIAISON PORTE, BAS,ZNF</v>
      </c>
      <c r="E131" s="38" t="s">
        <v>86</v>
      </c>
      <c r="F131" s="39"/>
      <c r="G131" s="40">
        <f>+VLOOKUP(E131,[2]!Tableau__192.168.29.23_APSSQL_Arizona_v_Addr_Employee_F[[N° Article]:[Poids net]],32,)</f>
        <v>0.155</v>
      </c>
      <c r="H131" s="41" t="s">
        <v>66</v>
      </c>
      <c r="I131" s="42">
        <f t="shared" si="35"/>
        <v>0</v>
      </c>
      <c r="J131" s="43" t="s">
        <v>61</v>
      </c>
      <c r="K131" s="44">
        <f>+VLOOKUP(E131,[2]!Tableau__192.168.29.23_APSSQL_Arizona_v_Addr_Employee_F[[N° Article]:[Cout total]],9,)</f>
        <v>1.47</v>
      </c>
      <c r="L131" s="39" t="str">
        <f>+VLOOKUP(E131,[2]!Tableau__192.168.29.23_APSSQL_Arizona_v_Addr_Employee_F[[N° Article]:[UC_code]],10,)</f>
        <v>PCE</v>
      </c>
      <c r="M131" s="45">
        <f t="shared" si="36"/>
        <v>0</v>
      </c>
      <c r="O131" s="46"/>
    </row>
    <row r="132" spans="1:15" ht="15.75" hidden="1" outlineLevel="1" thickBot="1" x14ac:dyDescent="0.3">
      <c r="A132" s="122"/>
      <c r="B132" s="39" t="str">
        <f>+IF($D$23="Boxer 2 - Inox","4","0")</f>
        <v>0</v>
      </c>
      <c r="C132" s="37">
        <f>+B132*$F$4*$D$15</f>
        <v>0</v>
      </c>
      <c r="D132" s="50" t="str">
        <f>+VLOOKUP(E132,[2]!Tableau__192.168.29.23_APSSQL_Arizona_v_Addr_Employee_F[[N° Article]:[Description courte]],3,)</f>
        <v>RIVET AVEUGLE ACIER ø 6.4x26.0</v>
      </c>
      <c r="E132" s="71" t="s">
        <v>87</v>
      </c>
      <c r="F132" s="52"/>
      <c r="G132" s="53">
        <f>+VLOOKUP(E132,[2]!Tableau__192.168.29.23_APSSQL_Arizona_v_Addr_Employee_F[[N° Article]:[Poids net]],32,)</f>
        <v>0.01</v>
      </c>
      <c r="H132" s="54" t="s">
        <v>60</v>
      </c>
      <c r="I132" s="66">
        <f>(F132)*C132*G132</f>
        <v>0</v>
      </c>
      <c r="J132" s="55" t="s">
        <v>61</v>
      </c>
      <c r="K132" s="56">
        <f>+VLOOKUP(E132,[2]!Tableau__192.168.29.23_APSSQL_Arizona_v_Addr_Employee_F[[N° Article]:[Cout total]],9,)</f>
        <v>17.03</v>
      </c>
      <c r="L132" s="52" t="str">
        <f>+VLOOKUP(E132,[2]!Tableau__192.168.29.23_APSSQL_Arizona_v_Addr_Employee_F[[N° Article]:[UC_code]],10,)</f>
        <v>CENT</v>
      </c>
      <c r="M132" s="45">
        <f t="shared" si="36"/>
        <v>0</v>
      </c>
      <c r="O132" s="46"/>
    </row>
    <row r="133" spans="1:15" ht="15.75" hidden="1" collapsed="1" thickBot="1" x14ac:dyDescent="0.3">
      <c r="A133" s="123" t="str">
        <f>+A124</f>
        <v>Fermetures Boxer 2 Inox</v>
      </c>
      <c r="B133" s="124"/>
      <c r="C133" s="125"/>
      <c r="I133" s="58">
        <f>+SUM(I125:I132)</f>
        <v>0</v>
      </c>
      <c r="M133" s="59">
        <f>+SUM(M125:M132)</f>
        <v>0</v>
      </c>
      <c r="O133" s="46"/>
    </row>
    <row r="134" spans="1:15" hidden="1" x14ac:dyDescent="0.25">
      <c r="I134" s="64"/>
      <c r="O134" s="46"/>
    </row>
    <row r="135" spans="1:15" ht="18.75" hidden="1" outlineLevel="1" x14ac:dyDescent="0.25">
      <c r="A135" s="109" t="s">
        <v>96</v>
      </c>
      <c r="B135" s="27"/>
      <c r="C135" s="28"/>
      <c r="D135" s="29"/>
      <c r="E135" s="30"/>
      <c r="F135" s="30"/>
      <c r="G135" s="31"/>
      <c r="H135" s="31"/>
      <c r="I135" s="32"/>
      <c r="J135" s="33"/>
      <c r="K135" s="34"/>
      <c r="L135" s="30"/>
      <c r="M135" s="35"/>
      <c r="O135" s="46"/>
    </row>
    <row r="136" spans="1:15" hidden="1" outlineLevel="1" x14ac:dyDescent="0.25">
      <c r="A136" s="110"/>
      <c r="B136" s="36" t="str">
        <f>+IF($D$15=2,IF(OR($D$23="Encastrée - PL",$D$23="Encastrée - Inox PL"),"1","0"),"0")</f>
        <v>0</v>
      </c>
      <c r="C136" s="37">
        <f>+B136*$F$4*$D$15</f>
        <v>0</v>
      </c>
      <c r="D136" t="str">
        <f>+VLOOKUP(E136,[2]!Tableau__192.168.29.23_APSSQL_Arizona_v_Addr_Employee_F[[N° Article]:[Description courte]],3,)</f>
        <v>AXE ø 18 COURT, L = 2930</v>
      </c>
      <c r="E136" s="47" t="str">
        <f>+IF($F$6&lt;=2835,"2 119 093","2 119 094")</f>
        <v>2 119 093</v>
      </c>
      <c r="F136" s="39"/>
      <c r="G136" s="40">
        <f>+VLOOKUP(E136,[2]!Tableau__192.168.29.23_APSSQL_Arizona_v_Addr_Employee_F[[N° Article]:[Poids net]],32,)</f>
        <v>5.6</v>
      </c>
      <c r="H136" s="41" t="s">
        <v>66</v>
      </c>
      <c r="I136" s="42">
        <f>+G136*C136</f>
        <v>0</v>
      </c>
      <c r="J136" s="43" t="s">
        <v>61</v>
      </c>
      <c r="K136" s="44">
        <f>+VLOOKUP(E136,[2]!Tableau__192.168.29.23_APSSQL_Arizona_v_Addr_Employee_F[[N° Article]:[Cout total]],9,)</f>
        <v>36.29</v>
      </c>
      <c r="L136" s="39" t="str">
        <f>+VLOOKUP(E136,[2]!Tableau__192.168.29.23_APSSQL_Arizona_v_Addr_Employee_F[[N° Article]:[UC_code]],10,)</f>
        <v>PCE</v>
      </c>
      <c r="M136" s="45">
        <f t="shared" ref="M136:M150" si="37">IF(L136="CENT",C136*K136/100,IF(L136="KG",K136*I136,K136*C136))</f>
        <v>0</v>
      </c>
      <c r="O136" s="46"/>
    </row>
    <row r="137" spans="1:15" hidden="1" outlineLevel="1" x14ac:dyDescent="0.25">
      <c r="A137" s="110"/>
      <c r="B137" s="36" t="str">
        <f>+IF($D$15=2,IF(OR($D$23="Encastrée - PL",$D$23="Encastrée - Inox PL"),"1","0"),"0")</f>
        <v>0</v>
      </c>
      <c r="C137" s="37">
        <f t="shared" ref="C137:C150" si="38">+B137*$F$4*$D$15</f>
        <v>0</v>
      </c>
      <c r="D137" t="str">
        <f>+VLOOKUP(E137,[2]!Tableau__192.168.29.23_APSSQL_Arizona_v_Addr_Employee_F[[N° Article]:[Description courte]],3,)</f>
        <v>POIGNEE P+L + LOGO PWP, INOX</v>
      </c>
      <c r="E137" s="47" t="s">
        <v>97</v>
      </c>
      <c r="F137" s="39"/>
      <c r="G137" s="40">
        <f>+VLOOKUP(E137,[2]!Tableau__192.168.29.23_APSSQL_Arizona_v_Addr_Employee_F[[N° Article]:[Poids net]],32,)</f>
        <v>1.825</v>
      </c>
      <c r="H137" s="41" t="s">
        <v>66</v>
      </c>
      <c r="I137" s="42">
        <f t="shared" ref="I137:I150" si="39">+G137*C137</f>
        <v>0</v>
      </c>
      <c r="J137" s="43" t="s">
        <v>61</v>
      </c>
      <c r="K137" s="44">
        <f>+VLOOKUP(E137,[2]!Tableau__192.168.29.23_APSSQL_Arizona_v_Addr_Employee_F[[N° Article]:[Cout total]],9,)</f>
        <v>56.07</v>
      </c>
      <c r="L137" s="39" t="str">
        <f>+VLOOKUP(E137,[2]!Tableau__192.168.29.23_APSSQL_Arizona_v_Addr_Employee_F[[N° Article]:[UC_code]],10,)</f>
        <v>PCE</v>
      </c>
      <c r="M137" s="45">
        <f t="shared" si="37"/>
        <v>0</v>
      </c>
      <c r="O137" s="46"/>
    </row>
    <row r="138" spans="1:15" hidden="1" outlineLevel="1" x14ac:dyDescent="0.25">
      <c r="A138" s="110"/>
      <c r="B138" s="36" t="str">
        <f>+IF($D$15=2,IF($D$23="Encastrée - PL","2","0"),"0")</f>
        <v>0</v>
      </c>
      <c r="C138" s="37">
        <f t="shared" si="38"/>
        <v>0</v>
      </c>
      <c r="D138" t="str">
        <f>+VLOOKUP(E138,[2]!Tableau__192.168.29.23_APSSQL_Arizona_v_Addr_Employee_F[[N° Article]:[Description courte]],3,)</f>
        <v>BOXER 2 CROCHET Ø 18 ZNF</v>
      </c>
      <c r="E138" s="38" t="s">
        <v>84</v>
      </c>
      <c r="F138" s="39"/>
      <c r="G138" s="40">
        <f>+VLOOKUP(E138,[2]!Tableau__192.168.29.23_APSSQL_Arizona_v_Addr_Employee_F[[N° Article]:[Poids net]],32,)</f>
        <v>0.2</v>
      </c>
      <c r="H138" s="41" t="s">
        <v>66</v>
      </c>
      <c r="I138" s="42">
        <f t="shared" si="39"/>
        <v>0</v>
      </c>
      <c r="J138" s="43" t="s">
        <v>61</v>
      </c>
      <c r="K138" s="44">
        <f>+VLOOKUP(E138,[2]!Tableau__192.168.29.23_APSSQL_Arizona_v_Addr_Employee_F[[N° Article]:[Cout total]],9,)</f>
        <v>1.1000000000000001</v>
      </c>
      <c r="L138" s="39" t="str">
        <f>+VLOOKUP(E138,[2]!Tableau__192.168.29.23_APSSQL_Arizona_v_Addr_Employee_F[[N° Article]:[UC_code]],10,)</f>
        <v>PCE</v>
      </c>
      <c r="M138" s="45">
        <f t="shared" si="37"/>
        <v>0</v>
      </c>
      <c r="O138" s="46"/>
    </row>
    <row r="139" spans="1:15" hidden="1" outlineLevel="1" x14ac:dyDescent="0.25">
      <c r="A139" s="110"/>
      <c r="B139" s="36" t="str">
        <f>+IF($D$15=2,IF($D$23="Encastrée - Inox PL","2","0"),"0")</f>
        <v>0</v>
      </c>
      <c r="C139" s="37">
        <f t="shared" si="38"/>
        <v>0</v>
      </c>
      <c r="D139" t="str">
        <f>+VLOOKUP(E139,[2]!Tableau__192.168.29.23_APSSQL_Arizona_v_Addr_Employee_F[[N° Article]:[Description courte]],3,)</f>
        <v>BOXER CROCHET Ø 18, INOX</v>
      </c>
      <c r="E139" s="38" t="s">
        <v>95</v>
      </c>
      <c r="F139" s="39"/>
      <c r="G139" s="40">
        <f>+VLOOKUP(E139,[2]!Tableau__192.168.29.23_APSSQL_Arizona_v_Addr_Employee_F[[N° Article]:[Poids net]],32,)</f>
        <v>0.18</v>
      </c>
      <c r="H139" s="41" t="s">
        <v>66</v>
      </c>
      <c r="I139" s="42">
        <f t="shared" si="39"/>
        <v>0</v>
      </c>
      <c r="J139" s="43" t="s">
        <v>61</v>
      </c>
      <c r="K139" s="44">
        <f>+VLOOKUP(E139,[2]!Tableau__192.168.29.23_APSSQL_Arizona_v_Addr_Employee_F[[N° Article]:[Cout total]],9,)</f>
        <v>2.33</v>
      </c>
      <c r="L139" s="39" t="str">
        <f>+VLOOKUP(E139,[2]!Tableau__192.168.29.23_APSSQL_Arizona_v_Addr_Employee_F[[N° Article]:[UC_code]],10,)</f>
        <v>PCE</v>
      </c>
      <c r="M139" s="45">
        <f t="shared" si="37"/>
        <v>0</v>
      </c>
      <c r="O139" s="46"/>
    </row>
    <row r="140" spans="1:15" hidden="1" outlineLevel="1" x14ac:dyDescent="0.25">
      <c r="A140" s="110"/>
      <c r="B140" s="36" t="str">
        <f>+IF($D$15=2,IF(OR($D$23="Encastrée - PL",$D$23="Encastrée - Inox PL"),"4","0"),"0")</f>
        <v>0</v>
      </c>
      <c r="C140" s="37">
        <f t="shared" si="38"/>
        <v>0</v>
      </c>
      <c r="D140" t="e">
        <f>+VLOOKUP(E140,[2]!Tableau__192.168.29.23_APSSQL_Arizona_v_Addr_Employee_F[[N° Article]:[Description courte]],3,)</f>
        <v>#REF!</v>
      </c>
      <c r="E140" s="38" t="str">
        <f>+IF(D23="Encastrée - Inox PL","2 019 701","2 019 699")</f>
        <v>2 019 699</v>
      </c>
      <c r="F140" s="39"/>
      <c r="G140" s="40" t="e">
        <f>+VLOOKUP(E140,[2]!Tableau__192.168.29.23_APSSQL_Arizona_v_Addr_Employee_F[[N° Article]:[Poids net]],32,)</f>
        <v>#REF!</v>
      </c>
      <c r="H140" s="41" t="s">
        <v>66</v>
      </c>
      <c r="I140" s="42" t="e">
        <f t="shared" si="39"/>
        <v>#REF!</v>
      </c>
      <c r="J140" s="43" t="s">
        <v>61</v>
      </c>
      <c r="K140" s="44" t="e">
        <f>+VLOOKUP(E140,[2]!Tableau__192.168.29.23_APSSQL_Arizona_v_Addr_Employee_F[[N° Article]:[Cout total]],9,)</f>
        <v>#REF!</v>
      </c>
      <c r="L140" s="39" t="e">
        <f>+VLOOKUP(E140,[2]!Tableau__192.168.29.23_APSSQL_Arizona_v_Addr_Employee_F[[N° Article]:[UC_code]],10,)</f>
        <v>#REF!</v>
      </c>
      <c r="M140" s="45" t="e">
        <f t="shared" si="37"/>
        <v>#REF!</v>
      </c>
      <c r="O140" s="46"/>
    </row>
    <row r="141" spans="1:15" hidden="1" outlineLevel="1" x14ac:dyDescent="0.25">
      <c r="A141" s="110"/>
      <c r="B141" s="36" t="str">
        <f>+IF($D$15=2,IF(OR($D$23="Encastrée - PL",$D$23="Encastrée - Inox PL"),"1","0"),"0")</f>
        <v>0</v>
      </c>
      <c r="C141" s="37">
        <f t="shared" si="38"/>
        <v>0</v>
      </c>
      <c r="D141" t="str">
        <f>+VLOOKUP(E141,[2]!Tableau__192.168.29.23_APSSQL_Arizona_v_Addr_Employee_F[[N° Article]:[Description courte]],3,)</f>
        <v>JOINT INTERMEDIAIRE NYLON</v>
      </c>
      <c r="E141" s="47" t="s">
        <v>98</v>
      </c>
      <c r="F141" s="39"/>
      <c r="G141" s="40">
        <f>+VLOOKUP(E141,[2]!Tableau__192.168.29.23_APSSQL_Arizona_v_Addr_Employee_F[[N° Article]:[Poids net]],32,)</f>
        <v>0.04</v>
      </c>
      <c r="H141" s="41" t="s">
        <v>66</v>
      </c>
      <c r="I141" s="42">
        <f t="shared" si="39"/>
        <v>0</v>
      </c>
      <c r="J141" s="43" t="s">
        <v>61</v>
      </c>
      <c r="K141" s="44">
        <f>+VLOOKUP(E141,[2]!Tableau__192.168.29.23_APSSQL_Arizona_v_Addr_Employee_F[[N° Article]:[Cout total]],9,)</f>
        <v>2.15</v>
      </c>
      <c r="L141" s="39" t="str">
        <f>+VLOOKUP(E141,[2]!Tableau__192.168.29.23_APSSQL_Arizona_v_Addr_Employee_F[[N° Article]:[UC_code]],10,)</f>
        <v>PCE</v>
      </c>
      <c r="M141" s="45">
        <f t="shared" si="37"/>
        <v>0</v>
      </c>
      <c r="O141" s="46"/>
    </row>
    <row r="142" spans="1:15" hidden="1" outlineLevel="1" x14ac:dyDescent="0.25">
      <c r="A142" s="110"/>
      <c r="B142" s="36" t="str">
        <f>+IF($D$15=2,IF(OR($D$23="Encastrée - PL",$D$23="Encastrée - Inox PL"),"1","0"),"0")</f>
        <v>0</v>
      </c>
      <c r="C142" s="37">
        <f t="shared" si="38"/>
        <v>0</v>
      </c>
      <c r="D142" t="str">
        <f>+VLOOKUP(E142,[2]!Tableau__192.168.29.23_APSSQL_Arizona_v_Addr_Employee_F[[N° Article]:[Description courte]],3,)</f>
        <v>TOLE ARRIERE PL, COTE PROFIL</v>
      </c>
      <c r="E142" s="47" t="s">
        <v>99</v>
      </c>
      <c r="F142" s="39"/>
      <c r="G142" s="40">
        <f>+VLOOKUP(E142,[2]!Tableau__192.168.29.23_APSSQL_Arizona_v_Addr_Employee_F[[N° Article]:[Poids net]],32,)</f>
        <v>0.21199999999999999</v>
      </c>
      <c r="H142" s="41" t="s">
        <v>66</v>
      </c>
      <c r="I142" s="42">
        <f t="shared" si="39"/>
        <v>0</v>
      </c>
      <c r="J142" s="43" t="s">
        <v>61</v>
      </c>
      <c r="K142" s="44">
        <f>+VLOOKUP(E142,[2]!Tableau__192.168.29.23_APSSQL_Arizona_v_Addr_Employee_F[[N° Article]:[Cout total]],9,)</f>
        <v>3.37</v>
      </c>
      <c r="L142" s="39" t="str">
        <f>+VLOOKUP(E142,[2]!Tableau__192.168.29.23_APSSQL_Arizona_v_Addr_Employee_F[[N° Article]:[UC_code]],10,)</f>
        <v>PCE</v>
      </c>
      <c r="M142" s="45">
        <f t="shared" si="37"/>
        <v>0</v>
      </c>
      <c r="O142" s="46"/>
    </row>
    <row r="143" spans="1:15" hidden="1" outlineLevel="1" x14ac:dyDescent="0.25">
      <c r="A143" s="110"/>
      <c r="B143" s="36" t="str">
        <f>+IF($D$15=2,IF(OR($D$23="Encastrée - PL",$D$23="Encastrée - Inox PL"),"1","0"),"0")</f>
        <v>0</v>
      </c>
      <c r="C143" s="37">
        <f t="shared" si="38"/>
        <v>0</v>
      </c>
      <c r="D143" t="str">
        <f>+VLOOKUP(E143,[2]!Tableau__192.168.29.23_APSSQL_Arizona_v_Addr_Employee_F[[N° Article]:[Description courte]],3,)</f>
        <v>JOINT INTERMEDIAIRE NYLON</v>
      </c>
      <c r="E143" s="38" t="s">
        <v>100</v>
      </c>
      <c r="F143" s="39"/>
      <c r="G143" s="40">
        <f>+VLOOKUP(E143,[2]!Tableau__192.168.29.23_APSSQL_Arizona_v_Addr_Employee_F[[N° Article]:[Poids net]],32,)</f>
        <v>0.12</v>
      </c>
      <c r="H143" s="41" t="s">
        <v>66</v>
      </c>
      <c r="I143" s="42">
        <f t="shared" si="39"/>
        <v>0</v>
      </c>
      <c r="J143" s="43" t="s">
        <v>61</v>
      </c>
      <c r="K143" s="44">
        <f>+VLOOKUP(E143,[2]!Tableau__192.168.29.23_APSSQL_Arizona_v_Addr_Employee_F[[N° Article]:[Cout total]],9,)</f>
        <v>2.15</v>
      </c>
      <c r="L143" s="39" t="str">
        <f>+VLOOKUP(E143,[2]!Tableau__192.168.29.23_APSSQL_Arizona_v_Addr_Employee_F[[N° Article]:[UC_code]],10,)</f>
        <v>PCE</v>
      </c>
      <c r="M143" s="45">
        <f t="shared" si="37"/>
        <v>0</v>
      </c>
      <c r="O143" s="46"/>
    </row>
    <row r="144" spans="1:15" hidden="1" outlineLevel="1" x14ac:dyDescent="0.25">
      <c r="A144" s="110"/>
      <c r="B144" s="36" t="str">
        <f>+IF($D$15=2,IF(OR($D$23="Encastrée - PL",$D$23="Encastrée - Inox PL"),"2","0"),"0")</f>
        <v>0</v>
      </c>
      <c r="C144" s="37">
        <f t="shared" si="38"/>
        <v>0</v>
      </c>
      <c r="D144" t="str">
        <f>+VLOOKUP(E144,[2]!Tableau__192.168.29.23_APSSQL_Arizona_v_Addr_Employee_F[[N° Article]:[Description courte]],3,)</f>
        <v>RENFORT D'ANGLE, ZNG</v>
      </c>
      <c r="E144" s="47" t="s">
        <v>68</v>
      </c>
      <c r="F144" s="39"/>
      <c r="G144" s="40">
        <f>+VLOOKUP(E144,[2]!Tableau__192.168.29.23_APSSQL_Arizona_v_Addr_Employee_F[[N° Article]:[Poids net]],32,)</f>
        <v>0.215</v>
      </c>
      <c r="H144" s="41" t="s">
        <v>66</v>
      </c>
      <c r="I144" s="42">
        <f t="shared" si="39"/>
        <v>0</v>
      </c>
      <c r="J144" s="43" t="s">
        <v>61</v>
      </c>
      <c r="K144" s="44">
        <f>+VLOOKUP(E144,[2]!Tableau__192.168.29.23_APSSQL_Arizona_v_Addr_Employee_F[[N° Article]:[Cout total]],9,)</f>
        <v>1.32</v>
      </c>
      <c r="L144" s="39" t="str">
        <f>+VLOOKUP(E144,[2]!Tableau__192.168.29.23_APSSQL_Arizona_v_Addr_Employee_F[[N° Article]:[UC_code]],10,)</f>
        <v>PCE</v>
      </c>
      <c r="M144" s="45">
        <f t="shared" si="37"/>
        <v>0</v>
      </c>
      <c r="O144" s="46"/>
    </row>
    <row r="145" spans="1:15" hidden="1" outlineLevel="1" x14ac:dyDescent="0.25">
      <c r="A145" s="110"/>
      <c r="B145" s="36" t="str">
        <f>+IF($D$15=2,IF(OR($D$23="Encastrée - PL",$D$23="Encastrée - Inox PL"),"2","0"),"0")</f>
        <v>0</v>
      </c>
      <c r="C145" s="37">
        <f>+B145*$F$4*$D$15</f>
        <v>0</v>
      </c>
      <c r="D145" t="str">
        <f>+VLOOKUP(E145,[2]!Tableau__192.168.29.23_APSSQL_Arizona_v_Addr_Employee_F[[N° Article]:[Description courte]],3,)</f>
        <v>PLAQUE LIAISON PORTE, HAUT,ZNF</v>
      </c>
      <c r="E145" s="47" t="s">
        <v>85</v>
      </c>
      <c r="F145" s="39"/>
      <c r="G145" s="40">
        <f>+VLOOKUP(E145,[2]!Tableau__192.168.29.23_APSSQL_Arizona_v_Addr_Employee_F[[N° Article]:[Poids net]],32,)</f>
        <v>0.13</v>
      </c>
      <c r="H145" s="41" t="s">
        <v>66</v>
      </c>
      <c r="I145" s="42">
        <f t="shared" si="39"/>
        <v>0</v>
      </c>
      <c r="J145" s="43" t="s">
        <v>61</v>
      </c>
      <c r="K145" s="44">
        <f>+VLOOKUP(E145,[2]!Tableau__192.168.29.23_APSSQL_Arizona_v_Addr_Employee_F[[N° Article]:[Cout total]],9,)</f>
        <v>1.31</v>
      </c>
      <c r="L145" s="39" t="str">
        <f>+VLOOKUP(E145,[2]!Tableau__192.168.29.23_APSSQL_Arizona_v_Addr_Employee_F[[N° Article]:[UC_code]],10,)</f>
        <v>PCE</v>
      </c>
      <c r="M145" s="45">
        <f t="shared" si="37"/>
        <v>0</v>
      </c>
      <c r="O145" s="46"/>
    </row>
    <row r="146" spans="1:15" hidden="1" outlineLevel="1" x14ac:dyDescent="0.25">
      <c r="A146" s="110"/>
      <c r="B146" s="36" t="str">
        <f>+IF($D$15=2,IF(OR($D$23="Encastrée - PL",$D$23="Encastrée - Inox PL"),"4","0"),"0")</f>
        <v>0</v>
      </c>
      <c r="C146" s="37">
        <f t="shared" si="38"/>
        <v>0</v>
      </c>
      <c r="D146" t="str">
        <f>+VLOOKUP(E146,[2]!Tableau__192.168.29.23_APSSQL_Arizona_v_Addr_Employee_F[[N° Article]:[Description courte]],3,)</f>
        <v>RIVET AVEUGLE ACIER ø 6.4x26.0</v>
      </c>
      <c r="E146" s="47" t="s">
        <v>87</v>
      </c>
      <c r="F146" s="39"/>
      <c r="G146" s="40">
        <f>+VLOOKUP(E146,[2]!Tableau__192.168.29.23_APSSQL_Arizona_v_Addr_Employee_F[[N° Article]:[Poids net]],32,)</f>
        <v>0.01</v>
      </c>
      <c r="H146" s="41" t="s">
        <v>66</v>
      </c>
      <c r="I146" s="42">
        <f t="shared" si="39"/>
        <v>0</v>
      </c>
      <c r="J146" s="43" t="s">
        <v>61</v>
      </c>
      <c r="K146" s="44">
        <f>+VLOOKUP(E146,[2]!Tableau__192.168.29.23_APSSQL_Arizona_v_Addr_Employee_F[[N° Article]:[Cout total]],9,)</f>
        <v>17.03</v>
      </c>
      <c r="L146" s="39" t="str">
        <f>+VLOOKUP(E146,[2]!Tableau__192.168.29.23_APSSQL_Arizona_v_Addr_Employee_F[[N° Article]:[UC_code]],10,)</f>
        <v>CENT</v>
      </c>
      <c r="M146" s="45">
        <f t="shared" si="37"/>
        <v>0</v>
      </c>
      <c r="O146" s="46"/>
    </row>
    <row r="147" spans="1:15" hidden="1" outlineLevel="1" x14ac:dyDescent="0.25">
      <c r="A147" s="110"/>
      <c r="B147" s="36" t="str">
        <f>+IF($D$15=2,IF(OR($D$23="Encastrée - PL",$D$23="Encastrée - Inox PL"),"4","0"),"0")</f>
        <v>0</v>
      </c>
      <c r="C147" s="37">
        <f t="shared" si="38"/>
        <v>0</v>
      </c>
      <c r="D147" t="str">
        <f>+VLOOKUP(E147,[2]!Tableau__192.168.29.23_APSSQL_Arizona_v_Addr_Employee_F[[N° Article]:[Description courte]],3,)</f>
        <v>RIVET ETANCHE INOX 4.8 x 15</v>
      </c>
      <c r="E147" s="47" t="s">
        <v>101</v>
      </c>
      <c r="F147" s="39"/>
      <c r="G147" s="40">
        <f>+VLOOKUP(E147,[2]!Tableau__192.168.29.23_APSSQL_Arizona_v_Addr_Employee_F[[N° Article]:[Poids net]],32,)</f>
        <v>0.01</v>
      </c>
      <c r="H147" s="41" t="s">
        <v>66</v>
      </c>
      <c r="I147" s="42">
        <f t="shared" si="39"/>
        <v>0</v>
      </c>
      <c r="J147" s="43" t="s">
        <v>61</v>
      </c>
      <c r="K147" s="44">
        <f>+VLOOKUP(E147,[2]!Tableau__192.168.29.23_APSSQL_Arizona_v_Addr_Employee_F[[N° Article]:[Cout total]],9,)</f>
        <v>16.61</v>
      </c>
      <c r="L147" s="39" t="str">
        <f>+VLOOKUP(E147,[2]!Tableau__192.168.29.23_APSSQL_Arizona_v_Addr_Employee_F[[N° Article]:[UC_code]],10,)</f>
        <v>CENT</v>
      </c>
      <c r="M147" s="45">
        <f t="shared" si="37"/>
        <v>0</v>
      </c>
      <c r="O147" s="46"/>
    </row>
    <row r="148" spans="1:15" hidden="1" outlineLevel="1" x14ac:dyDescent="0.25">
      <c r="A148" s="110"/>
      <c r="B148" s="36" t="str">
        <f>+IF($D$15=2,IF(OR($D$23="Encastrée - PL",$D$23="Encastrée - Inox PL"),"4","0"),"0")</f>
        <v>0</v>
      </c>
      <c r="C148" s="37">
        <f t="shared" si="38"/>
        <v>0</v>
      </c>
      <c r="D148" t="str">
        <f>+VLOOKUP(E148,[2]!Tableau__192.168.29.23_APSSQL_Arizona_v_Addr_Employee_F[[N° Article]:[Description courte]],3,)</f>
        <v>VIS M5X25 TBO 6-PS CR INOX</v>
      </c>
      <c r="E148" s="38" t="s">
        <v>102</v>
      </c>
      <c r="F148" s="39"/>
      <c r="G148" s="40">
        <f>+VLOOKUP(E148,[2]!Tableau__192.168.29.23_APSSQL_Arizona_v_Addr_Employee_F[[N° Article]:[Poids net]],32,)</f>
        <v>5.0000000000000001E-3</v>
      </c>
      <c r="H148" s="41" t="s">
        <v>66</v>
      </c>
      <c r="I148" s="42">
        <f t="shared" si="39"/>
        <v>0</v>
      </c>
      <c r="J148" s="43" t="s">
        <v>61</v>
      </c>
      <c r="K148" s="44">
        <f>+VLOOKUP(E148,[2]!Tableau__192.168.29.23_APSSQL_Arizona_v_Addr_Employee_F[[N° Article]:[Cout total]],9,)</f>
        <v>3.99</v>
      </c>
      <c r="L148" s="39" t="str">
        <f>+VLOOKUP(E148,[2]!Tableau__192.168.29.23_APSSQL_Arizona_v_Addr_Employee_F[[N° Article]:[UC_code]],10,)</f>
        <v>CENT</v>
      </c>
      <c r="M148" s="45">
        <f t="shared" si="37"/>
        <v>0</v>
      </c>
      <c r="O148" s="46"/>
    </row>
    <row r="149" spans="1:15" hidden="1" outlineLevel="1" x14ac:dyDescent="0.25">
      <c r="A149" s="111"/>
      <c r="B149" s="36" t="str">
        <f>+IF(AND($D$15=2,$G$19="oui "),IF(OR($D$23="Encastrée - PL",$D$23="Encastrée - Inox PL"),"1","0"),"0")</f>
        <v>0</v>
      </c>
      <c r="C149" s="37">
        <f t="shared" si="38"/>
        <v>0</v>
      </c>
      <c r="D149" t="str">
        <f>+VLOOKUP(E149,[2]!Tableau__192.168.29.23_APSSQL_Arizona_v_Addr_Employee_F[[N° Article]:[Description courte]],3,)</f>
        <v>ROND.S.CHANFREIN</v>
      </c>
      <c r="E149" s="47" t="s">
        <v>103</v>
      </c>
      <c r="F149" s="39"/>
      <c r="G149" s="40">
        <f>+VLOOKUP(E149,[2]!Tableau__192.168.29.23_APSSQL_Arizona_v_Addr_Employee_F[[N° Article]:[Poids net]],32,)</f>
        <v>5.0000000000000001E-3</v>
      </c>
      <c r="H149" s="41" t="s">
        <v>66</v>
      </c>
      <c r="I149" s="42">
        <f t="shared" si="39"/>
        <v>0</v>
      </c>
      <c r="J149" s="43" t="s">
        <v>61</v>
      </c>
      <c r="K149" s="44">
        <f>+VLOOKUP(E149,[2]!Tableau__192.168.29.23_APSSQL_Arizona_v_Addr_Employee_F[[N° Article]:[Cout total]],9,)</f>
        <v>1.27</v>
      </c>
      <c r="L149" s="39" t="str">
        <f>+VLOOKUP(E149,[2]!Tableau__192.168.29.23_APSSQL_Arizona_v_Addr_Employee_F[[N° Article]:[UC_code]],10,)</f>
        <v>PCE</v>
      </c>
      <c r="M149" s="45">
        <f t="shared" si="37"/>
        <v>0</v>
      </c>
      <c r="O149" s="46"/>
    </row>
    <row r="150" spans="1:15" ht="15.75" hidden="1" outlineLevel="1" thickBot="1" x14ac:dyDescent="0.3">
      <c r="A150" s="111"/>
      <c r="B150" s="36" t="str">
        <f>+IF($D$15=2,IF(OR($D$23="Encastrée - PL",$D$23="Encastrée - Inox PL"),"4","0"),"0")</f>
        <v>0</v>
      </c>
      <c r="C150" s="37">
        <f t="shared" si="38"/>
        <v>0</v>
      </c>
      <c r="D150" s="50" t="str">
        <f>+VLOOKUP(E150,[2]!Tableau__192.168.29.23_APSSQL_Arizona_v_Addr_Employee_F[[N° Article]:[Description courte]],3,)</f>
        <v>DOUILLE NO 921 M5 x 15</v>
      </c>
      <c r="E150" s="51" t="s">
        <v>104</v>
      </c>
      <c r="F150" s="52"/>
      <c r="G150" s="53">
        <f>+VLOOKUP(E150,[2]!Tableau__192.168.29.23_APSSQL_Arizona_v_Addr_Employee_F[[N° Article]:[Poids net]],32,)</f>
        <v>5.0000000000000001E-3</v>
      </c>
      <c r="H150" s="54" t="s">
        <v>66</v>
      </c>
      <c r="I150" s="66">
        <f t="shared" si="39"/>
        <v>0</v>
      </c>
      <c r="J150" s="55" t="s">
        <v>61</v>
      </c>
      <c r="K150" s="56">
        <f>+VLOOKUP(E150,[2]!Tableau__192.168.29.23_APSSQL_Arizona_v_Addr_Employee_F[[N° Article]:[Cout total]],9,)</f>
        <v>37.19</v>
      </c>
      <c r="L150" s="52" t="str">
        <f>+VLOOKUP(E150,[2]!Tableau__192.168.29.23_APSSQL_Arizona_v_Addr_Employee_F[[N° Article]:[UC_code]],10,)</f>
        <v>CENT</v>
      </c>
      <c r="M150" s="45">
        <f t="shared" si="37"/>
        <v>0</v>
      </c>
      <c r="O150" s="46"/>
    </row>
    <row r="151" spans="1:15" ht="15.75" hidden="1" collapsed="1" thickBot="1" x14ac:dyDescent="0.3">
      <c r="A151" s="117" t="str">
        <f>+A135</f>
        <v>Fermetures encastrées 2 Fermetures - PL</v>
      </c>
      <c r="B151" s="118"/>
      <c r="C151" s="119"/>
      <c r="I151" s="58" t="e">
        <f>+SUM(I136:I150)</f>
        <v>#REF!</v>
      </c>
      <c r="M151" s="59" t="e">
        <f>+SUM(M136:M150)</f>
        <v>#REF!</v>
      </c>
      <c r="O151" s="46"/>
    </row>
    <row r="152" spans="1:15" hidden="1" x14ac:dyDescent="0.25">
      <c r="A152" s="39"/>
      <c r="B152" s="39"/>
      <c r="C152" s="39"/>
      <c r="I152" s="64"/>
      <c r="O152" s="46"/>
    </row>
    <row r="153" spans="1:15" ht="18.75" hidden="1" outlineLevel="1" x14ac:dyDescent="0.25">
      <c r="A153" s="109" t="s">
        <v>105</v>
      </c>
      <c r="B153" s="27"/>
      <c r="C153" s="28"/>
      <c r="D153" s="29"/>
      <c r="E153" s="30"/>
      <c r="F153" s="30"/>
      <c r="G153" s="31"/>
      <c r="H153" s="31"/>
      <c r="I153" s="32"/>
      <c r="J153" s="33"/>
      <c r="K153" s="34"/>
      <c r="L153" s="30"/>
      <c r="M153" s="35"/>
      <c r="O153" s="46"/>
    </row>
    <row r="154" spans="1:15" hidden="1" outlineLevel="1" x14ac:dyDescent="0.25">
      <c r="A154" s="110"/>
      <c r="B154" s="36" t="str">
        <f>+IF($D$15=4,IF(OR($D$23="Encastrée - PL",$D$23="Encastrée - Inox PL"),"1","0"),"0")</f>
        <v>0</v>
      </c>
      <c r="C154" s="37">
        <f>+B154*$F$4*$D$15</f>
        <v>0</v>
      </c>
      <c r="D154" t="str">
        <f>+VLOOKUP(E154,[2]!Tableau__192.168.29.23_APSSQL_Arizona_v_Addr_Employee_F[[N° Article]:[Description courte]],3,)</f>
        <v>AXE ø 18 COURT, L = 2930</v>
      </c>
      <c r="E154" s="47" t="str">
        <f>+IF($F$6&lt;=2835,"2 119 093","2 119 094")</f>
        <v>2 119 093</v>
      </c>
      <c r="F154" s="39"/>
      <c r="G154" s="40">
        <f>+VLOOKUP(E154,[2]!Tableau__192.168.29.23_APSSQL_Arizona_v_Addr_Employee_F[[N° Article]:[Poids net]],32,)</f>
        <v>5.6</v>
      </c>
      <c r="H154" s="41" t="s">
        <v>66</v>
      </c>
      <c r="I154" s="42">
        <f>+G154*C154</f>
        <v>0</v>
      </c>
      <c r="J154" s="43" t="s">
        <v>61</v>
      </c>
      <c r="K154" s="44">
        <f>+VLOOKUP(E154,[2]!Tableau__192.168.29.23_APSSQL_Arizona_v_Addr_Employee_F[[N° Article]:[Cout total]],9,)</f>
        <v>36.29</v>
      </c>
      <c r="L154" s="39" t="str">
        <f>+VLOOKUP(E154,[2]!Tableau__192.168.29.23_APSSQL_Arizona_v_Addr_Employee_F[[N° Article]:[UC_code]],10,)</f>
        <v>PCE</v>
      </c>
      <c r="M154" s="45">
        <f t="shared" ref="M154:M170" si="40">IF(L154="CENT",C154*K154/100,IF(L154="KG",K154*I154,K154*C154))</f>
        <v>0</v>
      </c>
      <c r="O154" s="46"/>
    </row>
    <row r="155" spans="1:15" hidden="1" outlineLevel="1" x14ac:dyDescent="0.25">
      <c r="A155" s="110"/>
      <c r="B155" s="36" t="str">
        <f>+IF($D$15=4,IF(OR($D$23="Encastrée - PL",$D$23="Encastrée - Inox PL"),"1","0"),"0")</f>
        <v>0</v>
      </c>
      <c r="C155" s="37">
        <f t="shared" ref="C155:C164" si="41">+B155*$F$4*$D$15</f>
        <v>0</v>
      </c>
      <c r="D155" t="str">
        <f>+VLOOKUP(E155,[2]!Tableau__192.168.29.23_APSSQL_Arizona_v_Addr_Employee_F[[N° Article]:[Description courte]],3,)</f>
        <v>POIGNEE P+L + LOGO PWP, INOX</v>
      </c>
      <c r="E155" s="47" t="s">
        <v>97</v>
      </c>
      <c r="F155" s="39"/>
      <c r="G155" s="40">
        <f>+VLOOKUP(E155,[2]!Tableau__192.168.29.23_APSSQL_Arizona_v_Addr_Employee_F[[N° Article]:[Poids net]],32,)</f>
        <v>1.825</v>
      </c>
      <c r="H155" s="41" t="s">
        <v>66</v>
      </c>
      <c r="I155" s="42">
        <f t="shared" ref="I155:I170" si="42">+G155*C155</f>
        <v>0</v>
      </c>
      <c r="J155" s="43" t="s">
        <v>61</v>
      </c>
      <c r="K155" s="44">
        <f>+VLOOKUP(E155,[2]!Tableau__192.168.29.23_APSSQL_Arizona_v_Addr_Employee_F[[N° Article]:[Cout total]],9,)</f>
        <v>56.07</v>
      </c>
      <c r="L155" s="39" t="str">
        <f>+VLOOKUP(E155,[2]!Tableau__192.168.29.23_APSSQL_Arizona_v_Addr_Employee_F[[N° Article]:[UC_code]],10,)</f>
        <v>PCE</v>
      </c>
      <c r="M155" s="45">
        <f t="shared" si="40"/>
        <v>0</v>
      </c>
      <c r="O155" s="46"/>
    </row>
    <row r="156" spans="1:15" hidden="1" outlineLevel="1" x14ac:dyDescent="0.25">
      <c r="A156" s="110"/>
      <c r="B156" s="36" t="str">
        <f>+IF($D$15=4,IF($D$23="Encastrée - PL","2","0"),"0")</f>
        <v>0</v>
      </c>
      <c r="C156" s="37">
        <f t="shared" si="41"/>
        <v>0</v>
      </c>
      <c r="D156" t="str">
        <f>+VLOOKUP(E156,[2]!Tableau__192.168.29.23_APSSQL_Arizona_v_Addr_Employee_F[[N° Article]:[Description courte]],3,)</f>
        <v>BOXER 2 CROCHET Ø 18 ZNF</v>
      </c>
      <c r="E156" s="38" t="s">
        <v>84</v>
      </c>
      <c r="F156" s="39"/>
      <c r="G156" s="40">
        <f>+VLOOKUP(E156,[2]!Tableau__192.168.29.23_APSSQL_Arizona_v_Addr_Employee_F[[N° Article]:[Poids net]],32,)</f>
        <v>0.2</v>
      </c>
      <c r="H156" s="41" t="s">
        <v>66</v>
      </c>
      <c r="I156" s="42">
        <f t="shared" si="42"/>
        <v>0</v>
      </c>
      <c r="J156" s="43" t="s">
        <v>61</v>
      </c>
      <c r="K156" s="44">
        <f>+VLOOKUP(E156,[2]!Tableau__192.168.29.23_APSSQL_Arizona_v_Addr_Employee_F[[N° Article]:[Cout total]],9,)</f>
        <v>1.1000000000000001</v>
      </c>
      <c r="L156" s="39" t="str">
        <f>+VLOOKUP(E156,[2]!Tableau__192.168.29.23_APSSQL_Arizona_v_Addr_Employee_F[[N° Article]:[UC_code]],10,)</f>
        <v>PCE</v>
      </c>
      <c r="M156" s="45">
        <f t="shared" si="40"/>
        <v>0</v>
      </c>
      <c r="O156" s="46"/>
    </row>
    <row r="157" spans="1:15" hidden="1" outlineLevel="1" x14ac:dyDescent="0.25">
      <c r="A157" s="110"/>
      <c r="B157" s="36" t="str">
        <f>+IF($D$15=4,IF($D$23="Encastrée - Inox PL","2","0"),"0")</f>
        <v>0</v>
      </c>
      <c r="C157" s="37">
        <f t="shared" si="41"/>
        <v>0</v>
      </c>
      <c r="D157" t="str">
        <f>+VLOOKUP(E157,[2]!Tableau__192.168.29.23_APSSQL_Arizona_v_Addr_Employee_F[[N° Article]:[Description courte]],3,)</f>
        <v>BOXER CROCHET Ø 18, INOX</v>
      </c>
      <c r="E157" s="38" t="s">
        <v>95</v>
      </c>
      <c r="F157" s="39"/>
      <c r="G157" s="40">
        <f>+VLOOKUP(E157,[2]!Tableau__192.168.29.23_APSSQL_Arizona_v_Addr_Employee_F[[N° Article]:[Poids net]],32,)</f>
        <v>0.18</v>
      </c>
      <c r="H157" s="41" t="s">
        <v>66</v>
      </c>
      <c r="I157" s="42">
        <f t="shared" si="42"/>
        <v>0</v>
      </c>
      <c r="J157" s="43" t="s">
        <v>61</v>
      </c>
      <c r="K157" s="44">
        <f>+VLOOKUP(E157,[2]!Tableau__192.168.29.23_APSSQL_Arizona_v_Addr_Employee_F[[N° Article]:[Cout total]],9,)</f>
        <v>2.33</v>
      </c>
      <c r="L157" s="39" t="str">
        <f>+VLOOKUP(E157,[2]!Tableau__192.168.29.23_APSSQL_Arizona_v_Addr_Employee_F[[N° Article]:[UC_code]],10,)</f>
        <v>PCE</v>
      </c>
      <c r="M157" s="45">
        <f t="shared" si="40"/>
        <v>0</v>
      </c>
      <c r="O157" s="46"/>
    </row>
    <row r="158" spans="1:15" hidden="1" outlineLevel="1" x14ac:dyDescent="0.25">
      <c r="A158" s="110"/>
      <c r="B158" s="36" t="str">
        <f>+IF($D$15=4,IF(OR($D$23="Encastrée - PL",$D$23="Encastrée - Inox PL"),"4","0"),"0")</f>
        <v>0</v>
      </c>
      <c r="C158" s="37">
        <f t="shared" si="41"/>
        <v>0</v>
      </c>
      <c r="D158" t="e">
        <f>+VLOOKUP(E158,[2]!Tableau__192.168.29.23_APSSQL_Arizona_v_Addr_Employee_F[[N° Article]:[Description courte]],3,)</f>
        <v>#REF!</v>
      </c>
      <c r="E158" s="38" t="str">
        <f>+IF(D23="Encastrée - Inox PL","2 019 701","2 019 699")</f>
        <v>2 019 699</v>
      </c>
      <c r="F158" s="39"/>
      <c r="G158" s="40" t="e">
        <f>+VLOOKUP(E158,[2]!Tableau__192.168.29.23_APSSQL_Arizona_v_Addr_Employee_F[[N° Article]:[Poids net]],32,)</f>
        <v>#REF!</v>
      </c>
      <c r="H158" s="41" t="s">
        <v>66</v>
      </c>
      <c r="I158" s="42" t="e">
        <f t="shared" si="42"/>
        <v>#REF!</v>
      </c>
      <c r="J158" s="43" t="s">
        <v>61</v>
      </c>
      <c r="K158" s="44" t="e">
        <f>+VLOOKUP(E158,[2]!Tableau__192.168.29.23_APSSQL_Arizona_v_Addr_Employee_F[[N° Article]:[Cout total]],9,)</f>
        <v>#REF!</v>
      </c>
      <c r="L158" s="39" t="e">
        <f>+VLOOKUP(E158,[2]!Tableau__192.168.29.23_APSSQL_Arizona_v_Addr_Employee_F[[N° Article]:[UC_code]],10,)</f>
        <v>#REF!</v>
      </c>
      <c r="M158" s="45" t="e">
        <f t="shared" si="40"/>
        <v>#REF!</v>
      </c>
      <c r="O158" s="46"/>
    </row>
    <row r="159" spans="1:15" hidden="1" outlineLevel="1" x14ac:dyDescent="0.25">
      <c r="A159" s="110"/>
      <c r="B159" s="36" t="str">
        <f>+IF($D$15=4,IF(OR($D$23="Encastrée - PL",$D$23="Encastrée - Inox PL"),"2","0"),"0")</f>
        <v>0</v>
      </c>
      <c r="C159" s="37">
        <f>+B159*$F$4*$D$15/2</f>
        <v>0</v>
      </c>
      <c r="D159" t="str">
        <f>+VLOOKUP(E159,[2]!Tableau__192.168.29.23_APSSQL_Arizona_v_Addr_Employee_F[[N° Article]:[Description courte]],3,)</f>
        <v>JOINT INTERMEDIAIRE NYLON</v>
      </c>
      <c r="E159" s="38" t="s">
        <v>106</v>
      </c>
      <c r="F159" s="39"/>
      <c r="G159" s="40">
        <f>+VLOOKUP(E159,[2]!Tableau__192.168.29.23_APSSQL_Arizona_v_Addr_Employee_F[[N° Article]:[Poids net]],32,)</f>
        <v>2.5000000000000001E-2</v>
      </c>
      <c r="H159" s="41" t="s">
        <v>66</v>
      </c>
      <c r="I159" s="42">
        <f t="shared" si="42"/>
        <v>0</v>
      </c>
      <c r="J159" s="43" t="s">
        <v>61</v>
      </c>
      <c r="K159" s="44">
        <f>+VLOOKUP(E159,[2]!Tableau__192.168.29.23_APSSQL_Arizona_v_Addr_Employee_F[[N° Article]:[Cout total]],9,)</f>
        <v>2.37</v>
      </c>
      <c r="L159" s="39" t="str">
        <f>+VLOOKUP(E159,[2]!Tableau__192.168.29.23_APSSQL_Arizona_v_Addr_Employee_F[[N° Article]:[UC_code]],10,)</f>
        <v>PCE</v>
      </c>
      <c r="M159" s="45">
        <f t="shared" si="40"/>
        <v>0</v>
      </c>
      <c r="O159" s="46"/>
    </row>
    <row r="160" spans="1:15" hidden="1" outlineLevel="1" x14ac:dyDescent="0.25">
      <c r="A160" s="110"/>
      <c r="B160" s="36" t="str">
        <f>+IF($D$15=4,IF(OR($D$23="Encastrée - PL",$D$23="Encastrée - Inox PL"),"2","0"),"0")</f>
        <v>0</v>
      </c>
      <c r="C160" s="37">
        <f>+B160*$F$4*$D$15/2</f>
        <v>0</v>
      </c>
      <c r="D160" t="str">
        <f>+VLOOKUP(E160,[2]!Tableau__192.168.29.23_APSSQL_Arizona_v_Addr_Employee_F[[N° Article]:[Description courte]],3,)</f>
        <v>JOINT INTERMEDIAIRE NYLON</v>
      </c>
      <c r="E160" s="47" t="s">
        <v>98</v>
      </c>
      <c r="F160" s="39"/>
      <c r="G160" s="40">
        <f>+VLOOKUP(E160,[2]!Tableau__192.168.29.23_APSSQL_Arizona_v_Addr_Employee_F[[N° Article]:[Poids net]],32,)</f>
        <v>0.04</v>
      </c>
      <c r="H160" s="41" t="s">
        <v>66</v>
      </c>
      <c r="I160" s="42">
        <f t="shared" si="42"/>
        <v>0</v>
      </c>
      <c r="J160" s="43" t="s">
        <v>61</v>
      </c>
      <c r="K160" s="44">
        <f>+VLOOKUP(E160,[2]!Tableau__192.168.29.23_APSSQL_Arizona_v_Addr_Employee_F[[N° Article]:[Cout total]],9,)</f>
        <v>2.15</v>
      </c>
      <c r="L160" s="39" t="str">
        <f>+VLOOKUP(E160,[2]!Tableau__192.168.29.23_APSSQL_Arizona_v_Addr_Employee_F[[N° Article]:[UC_code]],10,)</f>
        <v>PCE</v>
      </c>
      <c r="M160" s="45">
        <f t="shared" si="40"/>
        <v>0</v>
      </c>
      <c r="O160" s="46"/>
    </row>
    <row r="161" spans="1:18" hidden="1" outlineLevel="1" x14ac:dyDescent="0.25">
      <c r="A161" s="110"/>
      <c r="B161" s="36" t="str">
        <f>+IF($D$15=4,IF(OR($D$23="Encastrée - PL",$D$23="Encastrée - Inox PL"),IF($D$13=2,"2","0"),"0"),"0")</f>
        <v>0</v>
      </c>
      <c r="C161" s="37">
        <f>+B161*$F$4*$D$15/2</f>
        <v>0</v>
      </c>
      <c r="D161" t="str">
        <f>+VLOOKUP(E161,[2]!Tableau__192.168.29.23_APSSQL_Arizona_v_Addr_Employee_F[[N° Article]:[Description courte]],3,)</f>
        <v>TOLE ARRIERE PL, COTE PANNEAU</v>
      </c>
      <c r="E161" s="38" t="s">
        <v>107</v>
      </c>
      <c r="F161" s="39"/>
      <c r="G161" s="40">
        <f>+VLOOKUP(E161,[2]!Tableau__192.168.29.23_APSSQL_Arizona_v_Addr_Employee_F[[N° Article]:[Poids net]],32,)</f>
        <v>0.27900000000000003</v>
      </c>
      <c r="H161" s="41" t="s">
        <v>66</v>
      </c>
      <c r="I161" s="42">
        <f t="shared" si="42"/>
        <v>0</v>
      </c>
      <c r="J161" s="43" t="s">
        <v>61</v>
      </c>
      <c r="K161" s="44">
        <f>+VLOOKUP(E161,[2]!Tableau__192.168.29.23_APSSQL_Arizona_v_Addr_Employee_F[[N° Article]:[Cout total]],9,)</f>
        <v>4.22</v>
      </c>
      <c r="L161" s="39" t="str">
        <f>+VLOOKUP(E161,[2]!Tableau__192.168.29.23_APSSQL_Arizona_v_Addr_Employee_F[[N° Article]:[UC_code]],10,)</f>
        <v>PCE</v>
      </c>
      <c r="M161" s="45">
        <f t="shared" si="40"/>
        <v>0</v>
      </c>
      <c r="O161" s="46"/>
    </row>
    <row r="162" spans="1:18" hidden="1" outlineLevel="1" x14ac:dyDescent="0.25">
      <c r="A162" s="110"/>
      <c r="B162" s="36" t="str">
        <f>+IF($D$15=4,IF(OR($D$23="Encastrée - PL",$D$23="Encastrée - Inox PL"),"2","0"),"0")</f>
        <v>0</v>
      </c>
      <c r="C162" s="37">
        <f>+B162*$F$4*$D$15/2</f>
        <v>0</v>
      </c>
      <c r="D162" t="str">
        <f>+VLOOKUP(E162,[2]!Tableau__192.168.29.23_APSSQL_Arizona_v_Addr_Employee_F[[N° Article]:[Description courte]],3,)</f>
        <v>TOLE ARRIERE PL, COTE PROFIL</v>
      </c>
      <c r="E162" s="47" t="s">
        <v>99</v>
      </c>
      <c r="F162" s="39"/>
      <c r="G162" s="40">
        <f>+VLOOKUP(E162,[2]!Tableau__192.168.29.23_APSSQL_Arizona_v_Addr_Employee_F[[N° Article]:[Poids net]],32,)</f>
        <v>0.21199999999999999</v>
      </c>
      <c r="H162" s="41" t="s">
        <v>66</v>
      </c>
      <c r="I162" s="42">
        <f t="shared" si="42"/>
        <v>0</v>
      </c>
      <c r="J162" s="43" t="s">
        <v>61</v>
      </c>
      <c r="K162" s="44">
        <f>+VLOOKUP(E162,[2]!Tableau__192.168.29.23_APSSQL_Arizona_v_Addr_Employee_F[[N° Article]:[Cout total]],9,)</f>
        <v>3.37</v>
      </c>
      <c r="L162" s="39" t="str">
        <f>+VLOOKUP(E162,[2]!Tableau__192.168.29.23_APSSQL_Arizona_v_Addr_Employee_F[[N° Article]:[UC_code]],10,)</f>
        <v>PCE</v>
      </c>
      <c r="M162" s="45">
        <f t="shared" si="40"/>
        <v>0</v>
      </c>
      <c r="O162" s="46"/>
    </row>
    <row r="163" spans="1:18" hidden="1" outlineLevel="1" x14ac:dyDescent="0.25">
      <c r="A163" s="110"/>
      <c r="B163" s="36" t="str">
        <f>+IF($D$15=4,IF(OR($D$23="Encastrée - PL",$D$23="Encastrée - Inox PL"),"1","0"),"0")</f>
        <v>0</v>
      </c>
      <c r="C163" s="37">
        <f>+B163*$F$4*$D$15</f>
        <v>0</v>
      </c>
      <c r="D163" t="str">
        <f>+VLOOKUP(E163,[2]!Tableau__192.168.29.23_APSSQL_Arizona_v_Addr_Employee_F[[N° Article]:[Description courte]],3,)</f>
        <v>JOINT INTERMEDIAIRE NYLON</v>
      </c>
      <c r="E163" s="38" t="s">
        <v>100</v>
      </c>
      <c r="F163" s="39"/>
      <c r="G163" s="40">
        <f>+VLOOKUP(E163,[2]!Tableau__192.168.29.23_APSSQL_Arizona_v_Addr_Employee_F[[N° Article]:[Poids net]],32,)</f>
        <v>0.12</v>
      </c>
      <c r="H163" s="41" t="s">
        <v>66</v>
      </c>
      <c r="I163" s="42">
        <f t="shared" si="42"/>
        <v>0</v>
      </c>
      <c r="J163" s="43" t="s">
        <v>61</v>
      </c>
      <c r="K163" s="44">
        <f>+VLOOKUP(E163,[2]!Tableau__192.168.29.23_APSSQL_Arizona_v_Addr_Employee_F[[N° Article]:[Cout total]],9,)</f>
        <v>2.15</v>
      </c>
      <c r="L163" s="39" t="str">
        <f>+VLOOKUP(E163,[2]!Tableau__192.168.29.23_APSSQL_Arizona_v_Addr_Employee_F[[N° Article]:[UC_code]],10,)</f>
        <v>PCE</v>
      </c>
      <c r="M163" s="45">
        <f t="shared" si="40"/>
        <v>0</v>
      </c>
      <c r="O163" s="46"/>
      <c r="P163" s="77"/>
      <c r="Q163" s="77"/>
      <c r="R163" s="77"/>
    </row>
    <row r="164" spans="1:18" hidden="1" outlineLevel="1" x14ac:dyDescent="0.25">
      <c r="A164" s="110"/>
      <c r="B164" s="36" t="str">
        <f>+IF($D$15=4,IF(OR($D$23="Encastrée - PL",$D$23="Encastrée - Inox PL"),"2","0"),"0")</f>
        <v>0</v>
      </c>
      <c r="C164" s="37">
        <f t="shared" si="41"/>
        <v>0</v>
      </c>
      <c r="D164" t="str">
        <f>+VLOOKUP(E164,[2]!Tableau__192.168.29.23_APSSQL_Arizona_v_Addr_Employee_F[[N° Article]:[Description courte]],3,)</f>
        <v>RENFORT D'ANGLE, ZNG</v>
      </c>
      <c r="E164" s="47" t="s">
        <v>68</v>
      </c>
      <c r="F164" s="39"/>
      <c r="G164" s="40">
        <f>+VLOOKUP(E164,[2]!Tableau__192.168.29.23_APSSQL_Arizona_v_Addr_Employee_F[[N° Article]:[Poids net]],32,)</f>
        <v>0.215</v>
      </c>
      <c r="H164" s="41" t="s">
        <v>66</v>
      </c>
      <c r="I164" s="42">
        <f t="shared" si="42"/>
        <v>0</v>
      </c>
      <c r="J164" s="43" t="s">
        <v>61</v>
      </c>
      <c r="K164" s="44">
        <f>+VLOOKUP(E164,[2]!Tableau__192.168.29.23_APSSQL_Arizona_v_Addr_Employee_F[[N° Article]:[Cout total]],9,)</f>
        <v>1.32</v>
      </c>
      <c r="L164" s="39" t="str">
        <f>+VLOOKUP(E164,[2]!Tableau__192.168.29.23_APSSQL_Arizona_v_Addr_Employee_F[[N° Article]:[UC_code]],10,)</f>
        <v>PCE</v>
      </c>
      <c r="M164" s="45">
        <f t="shared" si="40"/>
        <v>0</v>
      </c>
      <c r="O164" s="46"/>
      <c r="P164" s="77"/>
      <c r="Q164" s="77"/>
      <c r="R164" s="77"/>
    </row>
    <row r="165" spans="1:18" hidden="1" outlineLevel="1" x14ac:dyDescent="0.25">
      <c r="A165" s="110"/>
      <c r="B165" s="36" t="str">
        <f>+IF($D$15=4,IF(OR($D$23="Encastrée - PL",$D$23="Encastrée - Inox PL"),"2","0"),"0")</f>
        <v>0</v>
      </c>
      <c r="C165" s="37">
        <f>+B165*$F$4*$D$15</f>
        <v>0</v>
      </c>
      <c r="D165" t="str">
        <f>+VLOOKUP(E165,[2]!Tableau__192.168.29.23_APSSQL_Arizona_v_Addr_Employee_F[[N° Article]:[Description courte]],3,)</f>
        <v>PLAQUE LIAISON PORTE, HAUT,ZNF</v>
      </c>
      <c r="E165" s="47" t="s">
        <v>85</v>
      </c>
      <c r="F165" s="39"/>
      <c r="G165" s="40">
        <f>+VLOOKUP(E165,[2]!Tableau__192.168.29.23_APSSQL_Arizona_v_Addr_Employee_F[[N° Article]:[Poids net]],32,)</f>
        <v>0.13</v>
      </c>
      <c r="H165" s="41" t="s">
        <v>66</v>
      </c>
      <c r="I165" s="42">
        <f t="shared" si="42"/>
        <v>0</v>
      </c>
      <c r="J165" s="43" t="s">
        <v>61</v>
      </c>
      <c r="K165" s="44">
        <f>+VLOOKUP(E165,[2]!Tableau__192.168.29.23_APSSQL_Arizona_v_Addr_Employee_F[[N° Article]:[Cout total]],9,)</f>
        <v>1.31</v>
      </c>
      <c r="L165" s="39" t="str">
        <f>+VLOOKUP(E165,[2]!Tableau__192.168.29.23_APSSQL_Arizona_v_Addr_Employee_F[[N° Article]:[UC_code]],10,)</f>
        <v>PCE</v>
      </c>
      <c r="M165" s="45">
        <f t="shared" si="40"/>
        <v>0</v>
      </c>
      <c r="O165" s="46"/>
      <c r="P165" s="77"/>
      <c r="Q165" s="77"/>
      <c r="R165" s="77"/>
    </row>
    <row r="166" spans="1:18" hidden="1" outlineLevel="1" x14ac:dyDescent="0.25">
      <c r="A166" s="110"/>
      <c r="B166" s="36" t="str">
        <f>+IF($D$15=4,IF(OR($D$23="Encastrée - PL",$D$23="Encastrée - Inox PL"),"4","0"),"0")</f>
        <v>0</v>
      </c>
      <c r="C166" s="37">
        <f t="shared" ref="C166:C170" si="43">+B166*$F$4*$D$15</f>
        <v>0</v>
      </c>
      <c r="D166" t="str">
        <f>+VLOOKUP(E166,[2]!Tableau__192.168.29.23_APSSQL_Arizona_v_Addr_Employee_F[[N° Article]:[Description courte]],3,)</f>
        <v>RIVET AVEUGLE ACIER ø 6.4x26.0</v>
      </c>
      <c r="E166" s="47" t="s">
        <v>87</v>
      </c>
      <c r="F166" s="39"/>
      <c r="G166" s="40">
        <f>+VLOOKUP(E166,[2]!Tableau__192.168.29.23_APSSQL_Arizona_v_Addr_Employee_F[[N° Article]:[Poids net]],32,)</f>
        <v>0.01</v>
      </c>
      <c r="H166" s="41" t="s">
        <v>66</v>
      </c>
      <c r="I166" s="42">
        <f t="shared" si="42"/>
        <v>0</v>
      </c>
      <c r="J166" s="43" t="s">
        <v>61</v>
      </c>
      <c r="K166" s="44">
        <f>+VLOOKUP(E166,[2]!Tableau__192.168.29.23_APSSQL_Arizona_v_Addr_Employee_F[[N° Article]:[Cout total]],9,)</f>
        <v>17.03</v>
      </c>
      <c r="L166" s="39" t="str">
        <f>+VLOOKUP(E166,[2]!Tableau__192.168.29.23_APSSQL_Arizona_v_Addr_Employee_F[[N° Article]:[UC_code]],10,)</f>
        <v>CENT</v>
      </c>
      <c r="M166" s="45">
        <f t="shared" si="40"/>
        <v>0</v>
      </c>
      <c r="O166" s="46"/>
    </row>
    <row r="167" spans="1:18" hidden="1" outlineLevel="1" x14ac:dyDescent="0.25">
      <c r="A167" s="110"/>
      <c r="B167" s="36" t="str">
        <f>+IF($D$15=4,IF(OR($D$23="Encastrée - PL",$D$23="Encastrée - Inox PL"),"2","0"),"0")</f>
        <v>0</v>
      </c>
      <c r="C167" s="37">
        <f t="shared" si="43"/>
        <v>0</v>
      </c>
      <c r="D167" t="str">
        <f>+VLOOKUP(E167,[2]!Tableau__192.168.29.23_APSSQL_Arizona_v_Addr_Employee_F[[N° Article]:[Description courte]],3,)</f>
        <v>RIVET ETANCHE INOX 4.8 x 15</v>
      </c>
      <c r="E167" s="47" t="s">
        <v>101</v>
      </c>
      <c r="F167" s="39"/>
      <c r="G167" s="40">
        <f>+VLOOKUP(E167,[2]!Tableau__192.168.29.23_APSSQL_Arizona_v_Addr_Employee_F[[N° Article]:[Poids net]],32,)</f>
        <v>0.01</v>
      </c>
      <c r="H167" s="41" t="s">
        <v>66</v>
      </c>
      <c r="I167" s="42">
        <f t="shared" si="42"/>
        <v>0</v>
      </c>
      <c r="J167" s="43" t="s">
        <v>61</v>
      </c>
      <c r="K167" s="44">
        <f>+VLOOKUP(E167,[2]!Tableau__192.168.29.23_APSSQL_Arizona_v_Addr_Employee_F[[N° Article]:[Cout total]],9,)</f>
        <v>16.61</v>
      </c>
      <c r="L167" s="39" t="str">
        <f>+VLOOKUP(E167,[2]!Tableau__192.168.29.23_APSSQL_Arizona_v_Addr_Employee_F[[N° Article]:[UC_code]],10,)</f>
        <v>CENT</v>
      </c>
      <c r="M167" s="45">
        <f t="shared" si="40"/>
        <v>0</v>
      </c>
      <c r="O167" s="46"/>
    </row>
    <row r="168" spans="1:18" hidden="1" outlineLevel="1" x14ac:dyDescent="0.25">
      <c r="A168" s="110"/>
      <c r="B168" s="36" t="str">
        <f>+IF($D$15=4,IF(OR($D$23="Encastrée - PL",$D$23="Encastrée - Inox PL"),"6","0"),"0")</f>
        <v>0</v>
      </c>
      <c r="C168" s="37">
        <f t="shared" si="43"/>
        <v>0</v>
      </c>
      <c r="D168" t="str">
        <f>+VLOOKUP(E168,[2]!Tableau__192.168.29.23_APSSQL_Arizona_v_Addr_Employee_F[[N° Article]:[Description courte]],3,)</f>
        <v>VIS M5X25 TBO 6-PS CR INOX</v>
      </c>
      <c r="E168" s="38" t="s">
        <v>102</v>
      </c>
      <c r="F168" s="39"/>
      <c r="G168" s="40">
        <f>+VLOOKUP(E168,[2]!Tableau__192.168.29.23_APSSQL_Arizona_v_Addr_Employee_F[[N° Article]:[Poids net]],32,)</f>
        <v>5.0000000000000001E-3</v>
      </c>
      <c r="H168" s="41" t="s">
        <v>66</v>
      </c>
      <c r="I168" s="42">
        <f t="shared" si="42"/>
        <v>0</v>
      </c>
      <c r="J168" s="43" t="s">
        <v>61</v>
      </c>
      <c r="K168" s="44">
        <f>+VLOOKUP(E168,[2]!Tableau__192.168.29.23_APSSQL_Arizona_v_Addr_Employee_F[[N° Article]:[Cout total]],9,)</f>
        <v>3.99</v>
      </c>
      <c r="L168" s="39" t="str">
        <f>+VLOOKUP(E168,[2]!Tableau__192.168.29.23_APSSQL_Arizona_v_Addr_Employee_F[[N° Article]:[UC_code]],10,)</f>
        <v>CENT</v>
      </c>
      <c r="M168" s="45">
        <f t="shared" si="40"/>
        <v>0</v>
      </c>
      <c r="O168" s="46"/>
    </row>
    <row r="169" spans="1:18" hidden="1" outlineLevel="1" x14ac:dyDescent="0.25">
      <c r="A169" s="111"/>
      <c r="B169" s="36" t="str">
        <f>+IF(AND($D$15=4,$G$19="oui "),IF(OR($D$23="Encastrée - PL",$D$23="Encastrée - Inox PL"),"1","0"),"0")</f>
        <v>0</v>
      </c>
      <c r="C169" s="37">
        <f t="shared" si="43"/>
        <v>0</v>
      </c>
      <c r="D169" t="str">
        <f>+VLOOKUP(E169,[2]!Tableau__192.168.29.23_APSSQL_Arizona_v_Addr_Employee_F[[N° Article]:[Description courte]],3,)</f>
        <v>ROND.S.CHANFREIN</v>
      </c>
      <c r="E169" s="47" t="s">
        <v>103</v>
      </c>
      <c r="F169" s="39"/>
      <c r="G169" s="40">
        <f>+VLOOKUP(E169,[2]!Tableau__192.168.29.23_APSSQL_Arizona_v_Addr_Employee_F[[N° Article]:[Poids net]],32,)</f>
        <v>5.0000000000000001E-3</v>
      </c>
      <c r="H169" s="41" t="s">
        <v>66</v>
      </c>
      <c r="I169" s="42">
        <f t="shared" si="42"/>
        <v>0</v>
      </c>
      <c r="J169" s="43" t="s">
        <v>61</v>
      </c>
      <c r="K169" s="44">
        <f>+VLOOKUP(E169,[2]!Tableau__192.168.29.23_APSSQL_Arizona_v_Addr_Employee_F[[N° Article]:[Cout total]],9,)</f>
        <v>1.27</v>
      </c>
      <c r="L169" s="39" t="str">
        <f>+VLOOKUP(E169,[2]!Tableau__192.168.29.23_APSSQL_Arizona_v_Addr_Employee_F[[N° Article]:[UC_code]],10,)</f>
        <v>PCE</v>
      </c>
      <c r="M169" s="45">
        <f t="shared" si="40"/>
        <v>0</v>
      </c>
      <c r="O169" s="46"/>
    </row>
    <row r="170" spans="1:18" ht="15.75" hidden="1" outlineLevel="1" thickBot="1" x14ac:dyDescent="0.3">
      <c r="A170" s="111"/>
      <c r="B170" s="36" t="str">
        <f>+IF($D$15=4,IF(OR($D$23="Encastrée - PL",$D$23="Encastrée - Inox PL"),"6","0"),"0")</f>
        <v>0</v>
      </c>
      <c r="C170" s="37">
        <f t="shared" si="43"/>
        <v>0</v>
      </c>
      <c r="D170" s="50" t="str">
        <f>+VLOOKUP(E170,[2]!Tableau__192.168.29.23_APSSQL_Arizona_v_Addr_Employee_F[[N° Article]:[Description courte]],3,)</f>
        <v>DOUILLE NO 921 M5 x 15</v>
      </c>
      <c r="E170" s="51" t="s">
        <v>104</v>
      </c>
      <c r="F170" s="52"/>
      <c r="G170" s="53">
        <f>+VLOOKUP(E170,[2]!Tableau__192.168.29.23_APSSQL_Arizona_v_Addr_Employee_F[[N° Article]:[Poids net]],32,)</f>
        <v>5.0000000000000001E-3</v>
      </c>
      <c r="H170" s="54" t="s">
        <v>66</v>
      </c>
      <c r="I170" s="66">
        <f t="shared" si="42"/>
        <v>0</v>
      </c>
      <c r="J170" s="55" t="s">
        <v>61</v>
      </c>
      <c r="K170" s="56">
        <f>+VLOOKUP(E170,[2]!Tableau__192.168.29.23_APSSQL_Arizona_v_Addr_Employee_F[[N° Article]:[Cout total]],9,)</f>
        <v>37.19</v>
      </c>
      <c r="L170" s="52" t="str">
        <f>+VLOOKUP(E170,[2]!Tableau__192.168.29.23_APSSQL_Arizona_v_Addr_Employee_F[[N° Article]:[UC_code]],10,)</f>
        <v>CENT</v>
      </c>
      <c r="M170" s="45">
        <f t="shared" si="40"/>
        <v>0</v>
      </c>
      <c r="O170" s="46"/>
    </row>
    <row r="171" spans="1:18" ht="15.75" hidden="1" collapsed="1" thickBot="1" x14ac:dyDescent="0.3">
      <c r="A171" s="117" t="str">
        <f>+A153</f>
        <v>Fermetures encastrées 4 fermetures - PL</v>
      </c>
      <c r="B171" s="118"/>
      <c r="C171" s="119"/>
      <c r="I171" s="58" t="e">
        <f>+SUM(I154:I170)</f>
        <v>#REF!</v>
      </c>
      <c r="M171" s="59" t="e">
        <f>+SUM(M154:M170)</f>
        <v>#REF!</v>
      </c>
      <c r="O171" s="46"/>
    </row>
    <row r="172" spans="1:18" hidden="1" x14ac:dyDescent="0.25">
      <c r="A172" s="78"/>
      <c r="B172" s="30"/>
      <c r="C172" s="30"/>
      <c r="I172" s="79"/>
      <c r="M172" s="35"/>
      <c r="O172" s="60"/>
    </row>
    <row r="173" spans="1:18" ht="18.75" hidden="1" outlineLevel="1" x14ac:dyDescent="0.25">
      <c r="A173" s="109" t="s">
        <v>108</v>
      </c>
      <c r="B173" s="27"/>
      <c r="C173" s="28"/>
      <c r="D173" s="29"/>
      <c r="E173" s="30"/>
      <c r="F173" s="30"/>
      <c r="G173" s="31"/>
      <c r="H173" s="31"/>
      <c r="I173" s="32"/>
      <c r="J173" s="33"/>
      <c r="K173" s="34"/>
      <c r="L173" s="30"/>
      <c r="M173" s="35"/>
      <c r="O173" s="46"/>
    </row>
    <row r="174" spans="1:18" hidden="1" outlineLevel="1" x14ac:dyDescent="0.25">
      <c r="A174" s="110"/>
      <c r="B174" s="36" t="str">
        <f>+IF($D$15=2,IF(OR($D$23="Encastrée - MRF",$D$23="Encastrée - MRF - Inox"),"1","0"),"0")</f>
        <v>0</v>
      </c>
      <c r="C174" s="37">
        <f>+B174*$F$4*$D$15</f>
        <v>0</v>
      </c>
      <c r="D174" t="str">
        <f>+VLOOKUP(E174,[2]!Tableau__192.168.29.23_APSSQL_Arizona_v_Addr_Employee_F[[N° Article]:[Description courte]],3,)</f>
        <v>AXE ø 18 COURT, L = 2930</v>
      </c>
      <c r="E174" s="47" t="str">
        <f>+IF($F$6&lt;=2835,"2 119 093","2 119 094")</f>
        <v>2 119 093</v>
      </c>
      <c r="F174" s="39"/>
      <c r="G174" s="40">
        <f>+VLOOKUP(E174,[2]!Tableau__192.168.29.23_APSSQL_Arizona_v_Addr_Employee_F[[N° Article]:[Poids net]],32,)</f>
        <v>5.6</v>
      </c>
      <c r="H174" s="41" t="s">
        <v>66</v>
      </c>
      <c r="I174" s="42">
        <f>+G174*C174</f>
        <v>0</v>
      </c>
      <c r="J174" s="43" t="s">
        <v>61</v>
      </c>
      <c r="K174" s="44">
        <f>+VLOOKUP(E174,[2]!Tableau__192.168.29.23_APSSQL_Arizona_v_Addr_Employee_F[[N° Article]:[Cout total]],9,)</f>
        <v>36.29</v>
      </c>
      <c r="L174" s="39" t="str">
        <f>+VLOOKUP(E174,[2]!Tableau__192.168.29.23_APSSQL_Arizona_v_Addr_Employee_F[[N° Article]:[UC_code]],10,)</f>
        <v>PCE</v>
      </c>
      <c r="M174" s="45">
        <f t="shared" ref="M174:M187" si="44">IF(L174="CENT",C174*K174/100,IF(L174="KG",K174*I174,K174*C174))</f>
        <v>0</v>
      </c>
      <c r="O174" s="46"/>
    </row>
    <row r="175" spans="1:18" hidden="1" outlineLevel="1" x14ac:dyDescent="0.25">
      <c r="A175" s="110"/>
      <c r="B175" s="36" t="str">
        <f>+IF($D$15=2,IF(OR($D$23="Encastrée - MRF",$D$23="Encastrée - MRF - Inox"),"1","0"),"0")</f>
        <v>0</v>
      </c>
      <c r="C175" s="37">
        <f t="shared" ref="C175:C182" si="45">+B175*$F$4*$D$15</f>
        <v>0</v>
      </c>
      <c r="D175" t="str">
        <f>+VLOOKUP(E175,[2]!Tableau__192.168.29.23_APSSQL_Arizona_v_Addr_Employee_F[[N° Article]:[Description courte]],3,)</f>
        <v>FERM.ULISES Ø16, T=29, INOX</v>
      </c>
      <c r="E175" s="38" t="s">
        <v>109</v>
      </c>
      <c r="F175" s="39"/>
      <c r="G175" s="40">
        <f>+VLOOKUP(E175,[2]!Tableau__192.168.29.23_APSSQL_Arizona_v_Addr_Employee_F[[N° Article]:[Poids net]],32,)</f>
        <v>1.67</v>
      </c>
      <c r="H175" s="41" t="s">
        <v>66</v>
      </c>
      <c r="I175" s="42">
        <f t="shared" ref="I175:I187" si="46">+G175*C175</f>
        <v>0</v>
      </c>
      <c r="J175" s="43" t="s">
        <v>61</v>
      </c>
      <c r="K175" s="44">
        <f>+VLOOKUP(E175,[2]!Tableau__192.168.29.23_APSSQL_Arizona_v_Addr_Employee_F[[N° Article]:[Cout total]],9,)</f>
        <v>46.72</v>
      </c>
      <c r="L175" s="39" t="str">
        <f>+VLOOKUP(E175,[2]!Tableau__192.168.29.23_APSSQL_Arizona_v_Addr_Employee_F[[N° Article]:[UC_code]],10,)</f>
        <v>PCE</v>
      </c>
      <c r="M175" s="45">
        <f t="shared" si="44"/>
        <v>0</v>
      </c>
      <c r="O175" s="46"/>
    </row>
    <row r="176" spans="1:18" hidden="1" outlineLevel="1" x14ac:dyDescent="0.25">
      <c r="A176" s="110"/>
      <c r="B176" s="36" t="str">
        <f>+IF($D$15=2,IF($D$23="Encastrée - MRF","2","0"),"0")</f>
        <v>0</v>
      </c>
      <c r="C176" s="37">
        <f t="shared" si="45"/>
        <v>0</v>
      </c>
      <c r="D176" t="str">
        <f>+VLOOKUP(E176,[2]!Tableau__192.168.29.23_APSSQL_Arizona_v_Addr_Employee_F[[N° Article]:[Description courte]],3,)</f>
        <v>BOXER 2 CROCHET Ø 18 ZNF</v>
      </c>
      <c r="E176" s="38" t="s">
        <v>84</v>
      </c>
      <c r="F176" s="39"/>
      <c r="G176" s="40">
        <f>+VLOOKUP(E176,[2]!Tableau__192.168.29.23_APSSQL_Arizona_v_Addr_Employee_F[[N° Article]:[Poids net]],32,)</f>
        <v>0.2</v>
      </c>
      <c r="H176" s="41" t="s">
        <v>66</v>
      </c>
      <c r="I176" s="42">
        <f t="shared" si="46"/>
        <v>0</v>
      </c>
      <c r="J176" s="43" t="s">
        <v>61</v>
      </c>
      <c r="K176" s="44">
        <f>+VLOOKUP(E176,[2]!Tableau__192.168.29.23_APSSQL_Arizona_v_Addr_Employee_F[[N° Article]:[Cout total]],9,)</f>
        <v>1.1000000000000001</v>
      </c>
      <c r="L176" s="39" t="str">
        <f>+VLOOKUP(E176,[2]!Tableau__192.168.29.23_APSSQL_Arizona_v_Addr_Employee_F[[N° Article]:[UC_code]],10,)</f>
        <v>PCE</v>
      </c>
      <c r="M176" s="45">
        <f t="shared" si="44"/>
        <v>0</v>
      </c>
      <c r="O176" s="46"/>
    </row>
    <row r="177" spans="1:15" hidden="1" outlineLevel="1" x14ac:dyDescent="0.25">
      <c r="A177" s="110"/>
      <c r="B177" s="36" t="str">
        <f>+IF($D$15=2,IF($D$23="Encastrée - MRF - Inox","2","0"),"0")</f>
        <v>0</v>
      </c>
      <c r="C177" s="37">
        <f t="shared" si="45"/>
        <v>0</v>
      </c>
      <c r="D177" t="str">
        <f>+VLOOKUP(E177,[2]!Tableau__192.168.29.23_APSSQL_Arizona_v_Addr_Employee_F[[N° Article]:[Description courte]],3,)</f>
        <v>BOXER CROCHET Ø 18, INOX</v>
      </c>
      <c r="E177" s="38" t="s">
        <v>95</v>
      </c>
      <c r="F177" s="39"/>
      <c r="G177" s="40">
        <f>+VLOOKUP(E177,[2]!Tableau__192.168.29.23_APSSQL_Arizona_v_Addr_Employee_F[[N° Article]:[Poids net]],32,)</f>
        <v>0.18</v>
      </c>
      <c r="H177" s="41" t="s">
        <v>66</v>
      </c>
      <c r="I177" s="42">
        <f t="shared" si="46"/>
        <v>0</v>
      </c>
      <c r="J177" s="43" t="s">
        <v>61</v>
      </c>
      <c r="K177" s="44">
        <f>+VLOOKUP(E177,[2]!Tableau__192.168.29.23_APSSQL_Arizona_v_Addr_Employee_F[[N° Article]:[Cout total]],9,)</f>
        <v>2.33</v>
      </c>
      <c r="L177" s="39" t="str">
        <f>+VLOOKUP(E177,[2]!Tableau__192.168.29.23_APSSQL_Arizona_v_Addr_Employee_F[[N° Article]:[UC_code]],10,)</f>
        <v>PCE</v>
      </c>
      <c r="M177" s="45">
        <f t="shared" si="44"/>
        <v>0</v>
      </c>
      <c r="O177" s="46"/>
    </row>
    <row r="178" spans="1:15" hidden="1" outlineLevel="1" x14ac:dyDescent="0.25">
      <c r="A178" s="110"/>
      <c r="B178" s="36" t="str">
        <f>+IF($D$15=2,IF(OR($D$23="Encastrée - MRF",$D$23="Encastrée - MRF - Inox"),"4","0"),"0")</f>
        <v>0</v>
      </c>
      <c r="C178" s="37">
        <f t="shared" si="45"/>
        <v>0</v>
      </c>
      <c r="D178" t="str">
        <f>+VLOOKUP(E178,[2]!Tableau__192.168.29.23_APSSQL_Arizona_v_Addr_Employee_F[[N° Article]:[Description courte]],3,)</f>
        <v>GOUPILLE SPIRALE ø 5x28 ZING.</v>
      </c>
      <c r="E178" s="38" t="str">
        <f>+IF(D61="Encastrée - MRF - Inox","2 019 701","2 019 699")</f>
        <v>2 019 699</v>
      </c>
      <c r="F178" s="39"/>
      <c r="G178" s="40">
        <f>+VLOOKUP(E178,[2]!Tableau__192.168.29.23_APSSQL_Arizona_v_Addr_Employee_F[[N° Article]:[Poids net]],32,)</f>
        <v>6.0000000000000001E-3</v>
      </c>
      <c r="H178" s="41" t="s">
        <v>66</v>
      </c>
      <c r="I178" s="42">
        <f t="shared" si="46"/>
        <v>0</v>
      </c>
      <c r="J178" s="43" t="s">
        <v>61</v>
      </c>
      <c r="K178" s="44">
        <f>+VLOOKUP(E178,[2]!Tableau__192.168.29.23_APSSQL_Arizona_v_Addr_Employee_F[[N° Article]:[Cout total]],9,)</f>
        <v>7.99</v>
      </c>
      <c r="L178" s="39" t="str">
        <f>+VLOOKUP(E178,[2]!Tableau__192.168.29.23_APSSQL_Arizona_v_Addr_Employee_F[[N° Article]:[UC_code]],10,)</f>
        <v>CENT</v>
      </c>
      <c r="M178" s="45">
        <f t="shared" si="44"/>
        <v>0</v>
      </c>
      <c r="O178" s="46"/>
    </row>
    <row r="179" spans="1:15" hidden="1" outlineLevel="1" x14ac:dyDescent="0.25">
      <c r="A179" s="110"/>
      <c r="B179" s="36" t="str">
        <f>+IF($D$15=2,IF(OR($D$23="Encastrée - MRF",$D$23="Encastrée - MRF - Inox"),"1","0"),"0")</f>
        <v>0</v>
      </c>
      <c r="C179" s="37">
        <f t="shared" si="45"/>
        <v>0</v>
      </c>
      <c r="D179" t="str">
        <f>+VLOOKUP(E179,[2]!Tableau__192.168.29.23_APSSQL_Arizona_v_Addr_Employee_F[[N° Article]:[Description courte]],3,)</f>
        <v>JOINT POUR FERMETURE ULISES</v>
      </c>
      <c r="E179" s="38" t="s">
        <v>110</v>
      </c>
      <c r="F179" s="39"/>
      <c r="G179" s="40">
        <f>+VLOOKUP(E179,[2]!Tableau__192.168.29.23_APSSQL_Arizona_v_Addr_Employee_F[[N° Article]:[Poids net]],32,)</f>
        <v>2.1999999999999999E-2</v>
      </c>
      <c r="H179" s="41" t="s">
        <v>66</v>
      </c>
      <c r="I179" s="42">
        <f t="shared" si="46"/>
        <v>0</v>
      </c>
      <c r="J179" s="43" t="s">
        <v>61</v>
      </c>
      <c r="K179" s="44">
        <f>+VLOOKUP(E179,[2]!Tableau__192.168.29.23_APSSQL_Arizona_v_Addr_Employee_F[[N° Article]:[Cout total]],9,)</f>
        <v>1.25</v>
      </c>
      <c r="L179" s="39" t="str">
        <f>+VLOOKUP(E179,[2]!Tableau__192.168.29.23_APSSQL_Arizona_v_Addr_Employee_F[[N° Article]:[UC_code]],10,)</f>
        <v>PCE</v>
      </c>
      <c r="M179" s="45">
        <f t="shared" si="44"/>
        <v>0</v>
      </c>
      <c r="O179" s="46"/>
    </row>
    <row r="180" spans="1:15" hidden="1" outlineLevel="1" x14ac:dyDescent="0.25">
      <c r="A180" s="110"/>
      <c r="B180" s="36" t="str">
        <f>+IF($D$15=2,IF(OR($D$23="Encastrée - MRF",$D$23="Encastrée - MRF - Inox"),"1","0"),"0")</f>
        <v>0</v>
      </c>
      <c r="C180" s="37">
        <f t="shared" si="45"/>
        <v>0</v>
      </c>
      <c r="D180" t="str">
        <f>+VLOOKUP(E180,[2]!Tableau__192.168.29.23_APSSQL_Arizona_v_Addr_Employee_F[[N° Article]:[Description courte]],3,)</f>
        <v>TOLE ARRIERE MRF, COTE PROFIL</v>
      </c>
      <c r="E180" s="38" t="s">
        <v>111</v>
      </c>
      <c r="F180" s="39"/>
      <c r="G180" s="40">
        <f>+VLOOKUP(E180,[2]!Tableau__192.168.29.23_APSSQL_Arizona_v_Addr_Employee_F[[N° Article]:[Poids net]],32,)</f>
        <v>0.27500000000000002</v>
      </c>
      <c r="H180" s="41" t="s">
        <v>66</v>
      </c>
      <c r="I180" s="42">
        <f t="shared" si="46"/>
        <v>0</v>
      </c>
      <c r="J180" s="43" t="s">
        <v>61</v>
      </c>
      <c r="K180" s="44">
        <f>+VLOOKUP(E180,[2]!Tableau__192.168.29.23_APSSQL_Arizona_v_Addr_Employee_F[[N° Article]:[Cout total]],9,)</f>
        <v>4.43</v>
      </c>
      <c r="L180" s="39" t="str">
        <f>+VLOOKUP(E180,[2]!Tableau__192.168.29.23_APSSQL_Arizona_v_Addr_Employee_F[[N° Article]:[UC_code]],10,)</f>
        <v>PCE</v>
      </c>
      <c r="M180" s="45">
        <f t="shared" si="44"/>
        <v>0</v>
      </c>
      <c r="O180" s="46"/>
    </row>
    <row r="181" spans="1:15" hidden="1" outlineLevel="1" x14ac:dyDescent="0.25">
      <c r="A181" s="110"/>
      <c r="B181" s="36" t="str">
        <f>+IF($D$15=2,IF(OR($D$23="Encastrée - MRF",$D$23="Encastrée - MRF - Inox"),"1","0"),"0")</f>
        <v>0</v>
      </c>
      <c r="C181" s="37">
        <f t="shared" si="45"/>
        <v>0</v>
      </c>
      <c r="D181" t="str">
        <f>+VLOOKUP(E181,[2]!Tableau__192.168.29.23_APSSQL_Arizona_v_Addr_Employee_F[[N° Article]:[Description courte]],3,)</f>
        <v>CALE ALU POUR FERMETURE MRF</v>
      </c>
      <c r="E181" s="47" t="s">
        <v>112</v>
      </c>
      <c r="F181" s="39"/>
      <c r="G181" s="40">
        <f>+VLOOKUP(E181,[2]!Tableau__192.168.29.23_APSSQL_Arizona_v_Addr_Employee_F[[N° Article]:[Poids net]],32,)</f>
        <v>5.5E-2</v>
      </c>
      <c r="H181" s="41" t="s">
        <v>66</v>
      </c>
      <c r="I181" s="42">
        <f t="shared" si="46"/>
        <v>0</v>
      </c>
      <c r="J181" s="43" t="s">
        <v>61</v>
      </c>
      <c r="K181" s="44">
        <f>+VLOOKUP(E181,[2]!Tableau__192.168.29.23_APSSQL_Arizona_v_Addr_Employee_F[[N° Article]:[Cout total]],9,)</f>
        <v>3.55</v>
      </c>
      <c r="L181" s="39" t="str">
        <f>+VLOOKUP(E181,[2]!Tableau__192.168.29.23_APSSQL_Arizona_v_Addr_Employee_F[[N° Article]:[UC_code]],10,)</f>
        <v>PCE</v>
      </c>
      <c r="M181" s="45">
        <f t="shared" si="44"/>
        <v>0</v>
      </c>
      <c r="O181" s="46"/>
    </row>
    <row r="182" spans="1:15" hidden="1" outlineLevel="1" x14ac:dyDescent="0.25">
      <c r="A182" s="110"/>
      <c r="B182" s="36" t="str">
        <f>+IF($D$15=2,IF(OR($D$23="Encastrée - MRF",$D$23="Encastrée - MRF - Inox"),"2","0"),"0")</f>
        <v>0</v>
      </c>
      <c r="C182" s="37">
        <f t="shared" si="45"/>
        <v>0</v>
      </c>
      <c r="D182" t="str">
        <f>+VLOOKUP(E182,[2]!Tableau__192.168.29.23_APSSQL_Arizona_v_Addr_Employee_F[[N° Article]:[Description courte]],3,)</f>
        <v>RENFORT D'ANGLE, ZNG</v>
      </c>
      <c r="E182" s="38" t="s">
        <v>68</v>
      </c>
      <c r="F182" s="39"/>
      <c r="G182" s="40">
        <f>+VLOOKUP(E182,[2]!Tableau__192.168.29.23_APSSQL_Arizona_v_Addr_Employee_F[[N° Article]:[Poids net]],32,)</f>
        <v>0.215</v>
      </c>
      <c r="H182" s="41" t="s">
        <v>66</v>
      </c>
      <c r="I182" s="42">
        <f t="shared" si="46"/>
        <v>0</v>
      </c>
      <c r="J182" s="43" t="s">
        <v>61</v>
      </c>
      <c r="K182" s="44">
        <f>+VLOOKUP(E182,[2]!Tableau__192.168.29.23_APSSQL_Arizona_v_Addr_Employee_F[[N° Article]:[Cout total]],9,)</f>
        <v>1.32</v>
      </c>
      <c r="L182" s="39" t="str">
        <f>+VLOOKUP(E182,[2]!Tableau__192.168.29.23_APSSQL_Arizona_v_Addr_Employee_F[[N° Article]:[UC_code]],10,)</f>
        <v>PCE</v>
      </c>
      <c r="M182" s="45">
        <f t="shared" si="44"/>
        <v>0</v>
      </c>
      <c r="O182" s="46"/>
    </row>
    <row r="183" spans="1:15" hidden="1" outlineLevel="1" x14ac:dyDescent="0.25">
      <c r="A183" s="110"/>
      <c r="B183" s="36" t="str">
        <f>+IF($D$15=2,IF(OR($D$23="Encastrée - MRF",$D$23="Encastrée - MRF - Inox"),"2","0"),"0")</f>
        <v>0</v>
      </c>
      <c r="C183" s="37">
        <f>+B183*$F$4*$D$15</f>
        <v>0</v>
      </c>
      <c r="D183" t="str">
        <f>+VLOOKUP(E183,[2]!Tableau__192.168.29.23_APSSQL_Arizona_v_Addr_Employee_F[[N° Article]:[Description courte]],3,)</f>
        <v>PLAQUE LIAISON PORTE, HAUT,ZNF</v>
      </c>
      <c r="E183" s="38" t="s">
        <v>85</v>
      </c>
      <c r="F183" s="39"/>
      <c r="G183" s="40">
        <f>+VLOOKUP(E183,[2]!Tableau__192.168.29.23_APSSQL_Arizona_v_Addr_Employee_F[[N° Article]:[Poids net]],32,)</f>
        <v>0.13</v>
      </c>
      <c r="H183" s="41" t="s">
        <v>66</v>
      </c>
      <c r="I183" s="42">
        <f t="shared" si="46"/>
        <v>0</v>
      </c>
      <c r="J183" s="43" t="s">
        <v>61</v>
      </c>
      <c r="K183" s="44">
        <f>+VLOOKUP(E183,[2]!Tableau__192.168.29.23_APSSQL_Arizona_v_Addr_Employee_F[[N° Article]:[Cout total]],9,)</f>
        <v>1.31</v>
      </c>
      <c r="L183" s="39" t="str">
        <f>+VLOOKUP(E183,[2]!Tableau__192.168.29.23_APSSQL_Arizona_v_Addr_Employee_F[[N° Article]:[UC_code]],10,)</f>
        <v>PCE</v>
      </c>
      <c r="M183" s="45">
        <f t="shared" si="44"/>
        <v>0</v>
      </c>
      <c r="O183" s="46"/>
    </row>
    <row r="184" spans="1:15" hidden="1" outlineLevel="1" x14ac:dyDescent="0.25">
      <c r="A184" s="110"/>
      <c r="B184" s="36" t="str">
        <f>+IF($D$15=2,IF(OR($D$23="Encastrée - MRF",$D$23="Encastrée - MRF - Inox"),"4","0"),"0")</f>
        <v>0</v>
      </c>
      <c r="C184" s="37">
        <f t="shared" ref="C184:C187" si="47">+B184*$F$4*$D$15</f>
        <v>0</v>
      </c>
      <c r="D184" t="str">
        <f>+VLOOKUP(E184,[2]!Tableau__192.168.29.23_APSSQL_Arizona_v_Addr_Employee_F[[N° Article]:[Description courte]],3,)</f>
        <v>RIVET ETANCHE INOX 4.8 x 15</v>
      </c>
      <c r="E184" s="38" t="s">
        <v>101</v>
      </c>
      <c r="F184" s="39"/>
      <c r="G184" s="40">
        <f>+VLOOKUP(E184,[2]!Tableau__192.168.29.23_APSSQL_Arizona_v_Addr_Employee_F[[N° Article]:[Poids net]],32,)</f>
        <v>0.01</v>
      </c>
      <c r="H184" s="41" t="s">
        <v>66</v>
      </c>
      <c r="I184" s="42">
        <f t="shared" si="46"/>
        <v>0</v>
      </c>
      <c r="J184" s="43" t="s">
        <v>61</v>
      </c>
      <c r="K184" s="44">
        <f>+VLOOKUP(E184,[2]!Tableau__192.168.29.23_APSSQL_Arizona_v_Addr_Employee_F[[N° Article]:[Cout total]],9,)</f>
        <v>16.61</v>
      </c>
      <c r="L184" s="39" t="str">
        <f>+VLOOKUP(E184,[2]!Tableau__192.168.29.23_APSSQL_Arizona_v_Addr_Employee_F[[N° Article]:[UC_code]],10,)</f>
        <v>CENT</v>
      </c>
      <c r="M184" s="45">
        <f t="shared" si="44"/>
        <v>0</v>
      </c>
      <c r="O184" s="46"/>
    </row>
    <row r="185" spans="1:15" hidden="1" outlineLevel="1" x14ac:dyDescent="0.25">
      <c r="A185" s="110"/>
      <c r="B185" s="36" t="str">
        <f>+IF($D$15=2,IF(OR($D$23="Encastrée - MRF",$D$23="Encastrée - MRF - Inox"),"8","0"),"0")</f>
        <v>0</v>
      </c>
      <c r="C185" s="37">
        <f t="shared" si="47"/>
        <v>0</v>
      </c>
      <c r="D185" t="str">
        <f>+VLOOKUP(E185,[2]!Tableau__192.168.29.23_APSSQL_Arizona_v_Addr_Employee_F[[N° Article]:[Description courte]],3,)</f>
        <v>VIS M5X25 TBO 6-PS CR INOX</v>
      </c>
      <c r="E185" s="38" t="s">
        <v>102</v>
      </c>
      <c r="F185" s="39"/>
      <c r="G185" s="40">
        <f>+VLOOKUP(E185,[2]!Tableau__192.168.29.23_APSSQL_Arizona_v_Addr_Employee_F[[N° Article]:[Poids net]],32,)</f>
        <v>5.0000000000000001E-3</v>
      </c>
      <c r="H185" s="41" t="s">
        <v>66</v>
      </c>
      <c r="I185" s="42">
        <f t="shared" si="46"/>
        <v>0</v>
      </c>
      <c r="J185" s="43" t="s">
        <v>61</v>
      </c>
      <c r="K185" s="44">
        <f>+VLOOKUP(E185,[2]!Tableau__192.168.29.23_APSSQL_Arizona_v_Addr_Employee_F[[N° Article]:[Cout total]],9,)</f>
        <v>3.99</v>
      </c>
      <c r="L185" s="39" t="str">
        <f>+VLOOKUP(E185,[2]!Tableau__192.168.29.23_APSSQL_Arizona_v_Addr_Employee_F[[N° Article]:[UC_code]],10,)</f>
        <v>CENT</v>
      </c>
      <c r="M185" s="45">
        <f t="shared" si="44"/>
        <v>0</v>
      </c>
      <c r="O185" s="46"/>
    </row>
    <row r="186" spans="1:15" hidden="1" outlineLevel="1" x14ac:dyDescent="0.25">
      <c r="A186" s="111"/>
      <c r="B186" s="36" t="str">
        <f>+IF(AND($D$15=2,$G$19="oui "),IF(OR($D$23="Encastrée - MRF",$D$23="Encastrée - MRF - Inox"),"1","0"),"0")</f>
        <v>0</v>
      </c>
      <c r="C186" s="37">
        <f t="shared" si="47"/>
        <v>0</v>
      </c>
      <c r="D186" t="str">
        <f>+VLOOKUP(E186,[2]!Tableau__192.168.29.23_APSSQL_Arizona_v_Addr_Employee_F[[N° Article]:[Description courte]],3,)</f>
        <v>ROND.S.CHANFREIN</v>
      </c>
      <c r="E186" s="47" t="s">
        <v>103</v>
      </c>
      <c r="F186" s="39"/>
      <c r="G186" s="40">
        <f>+VLOOKUP(E186,[2]!Tableau__192.168.29.23_APSSQL_Arizona_v_Addr_Employee_F[[N° Article]:[Poids net]],32,)</f>
        <v>5.0000000000000001E-3</v>
      </c>
      <c r="H186" s="41" t="s">
        <v>66</v>
      </c>
      <c r="I186" s="42">
        <f t="shared" si="46"/>
        <v>0</v>
      </c>
      <c r="J186" s="43" t="s">
        <v>61</v>
      </c>
      <c r="K186" s="44">
        <f>+VLOOKUP(E186,[2]!Tableau__192.168.29.23_APSSQL_Arizona_v_Addr_Employee_F[[N° Article]:[Cout total]],9,)</f>
        <v>1.27</v>
      </c>
      <c r="L186" s="39" t="str">
        <f>+VLOOKUP(E186,[2]!Tableau__192.168.29.23_APSSQL_Arizona_v_Addr_Employee_F[[N° Article]:[UC_code]],10,)</f>
        <v>PCE</v>
      </c>
      <c r="M186" s="45">
        <f t="shared" si="44"/>
        <v>0</v>
      </c>
      <c r="O186" s="46"/>
    </row>
    <row r="187" spans="1:15" ht="15.75" hidden="1" outlineLevel="1" thickBot="1" x14ac:dyDescent="0.3">
      <c r="A187" s="111"/>
      <c r="B187" s="36" t="str">
        <f>+IF($D$15=2,IF(OR($D$23="Encastrée - MRF",$D$23="Encastrée - MRF - Inox"),"8","0"),"0")</f>
        <v>0</v>
      </c>
      <c r="C187" s="37">
        <f t="shared" si="47"/>
        <v>0</v>
      </c>
      <c r="D187" s="50" t="str">
        <f>+VLOOKUP(E187,[2]!Tableau__192.168.29.23_APSSQL_Arizona_v_Addr_Employee_F[[N° Article]:[Description courte]],3,)</f>
        <v>DOUILLE NO 921 M5 x 15</v>
      </c>
      <c r="E187" s="71" t="s">
        <v>104</v>
      </c>
      <c r="F187" s="52"/>
      <c r="G187" s="53">
        <f>+VLOOKUP(E187,[2]!Tableau__192.168.29.23_APSSQL_Arizona_v_Addr_Employee_F[[N° Article]:[Poids net]],32,)</f>
        <v>5.0000000000000001E-3</v>
      </c>
      <c r="H187" s="54" t="s">
        <v>66</v>
      </c>
      <c r="I187" s="66">
        <f t="shared" si="46"/>
        <v>0</v>
      </c>
      <c r="J187" s="55" t="s">
        <v>61</v>
      </c>
      <c r="K187" s="56">
        <f>+VLOOKUP(E187,[2]!Tableau__192.168.29.23_APSSQL_Arizona_v_Addr_Employee_F[[N° Article]:[Cout total]],9,)</f>
        <v>37.19</v>
      </c>
      <c r="L187" s="52" t="str">
        <f>+VLOOKUP(E187,[2]!Tableau__192.168.29.23_APSSQL_Arizona_v_Addr_Employee_F[[N° Article]:[UC_code]],10,)</f>
        <v>CENT</v>
      </c>
      <c r="M187" s="45">
        <f t="shared" si="44"/>
        <v>0</v>
      </c>
      <c r="O187" s="46"/>
    </row>
    <row r="188" spans="1:15" ht="15.75" hidden="1" collapsed="1" thickBot="1" x14ac:dyDescent="0.3">
      <c r="A188" s="117" t="str">
        <f>+A173</f>
        <v>Fermetures encastrées 2 Fermetures - MRF</v>
      </c>
      <c r="B188" s="118"/>
      <c r="C188" s="119"/>
      <c r="I188" s="58">
        <f>+SUM(I174:I187)</f>
        <v>0</v>
      </c>
      <c r="M188" s="59">
        <f>+SUM(M174:M187)</f>
        <v>0</v>
      </c>
      <c r="O188" s="46"/>
    </row>
    <row r="189" spans="1:15" hidden="1" x14ac:dyDescent="0.25">
      <c r="A189" s="39"/>
      <c r="B189" s="39"/>
      <c r="C189" s="39"/>
      <c r="I189" s="64"/>
      <c r="O189" s="60"/>
    </row>
    <row r="190" spans="1:15" ht="18.75" hidden="1" outlineLevel="1" x14ac:dyDescent="0.25">
      <c r="A190" s="109" t="s">
        <v>113</v>
      </c>
      <c r="B190" s="27"/>
      <c r="C190" s="28"/>
      <c r="D190" s="29"/>
      <c r="E190" s="30"/>
      <c r="F190" s="30"/>
      <c r="G190" s="31"/>
      <c r="H190" s="31"/>
      <c r="I190" s="32"/>
      <c r="J190" s="33"/>
      <c r="K190" s="34"/>
      <c r="L190" s="30"/>
      <c r="M190" s="35"/>
      <c r="O190" s="60"/>
    </row>
    <row r="191" spans="1:15" hidden="1" outlineLevel="1" x14ac:dyDescent="0.25">
      <c r="A191" s="110"/>
      <c r="B191" s="36" t="str">
        <f>+IF($D$15=4,IF(OR($D$23="Encastrée - MRF",$D$23="Encastrée - MRF - Inox"),"1","0"),"0")</f>
        <v>1</v>
      </c>
      <c r="C191" s="37">
        <f>+B191*$F$4*$D$15</f>
        <v>4</v>
      </c>
      <c r="D191" t="str">
        <f>+VLOOKUP(E191,[2]!Tableau__192.168.29.23_APSSQL_Arizona_v_Addr_Employee_F[[N° Article]:[Description courte]],3,)</f>
        <v>AXE ø 18 COURT, L = 2930</v>
      </c>
      <c r="E191" s="47" t="str">
        <f>+IF($F$6&lt;=2835,"2 119 093","2 119 094")</f>
        <v>2 119 093</v>
      </c>
      <c r="F191" s="39"/>
      <c r="G191" s="40">
        <f>+VLOOKUP(E191,[2]!Tableau__192.168.29.23_APSSQL_Arizona_v_Addr_Employee_F[[N° Article]:[Poids net]],32,)</f>
        <v>5.6</v>
      </c>
      <c r="H191" s="41" t="s">
        <v>66</v>
      </c>
      <c r="I191" s="42">
        <f>+G191*C191</f>
        <v>22.4</v>
      </c>
      <c r="J191" s="43" t="s">
        <v>61</v>
      </c>
      <c r="K191" s="44">
        <f>+VLOOKUP(E191,[2]!Tableau__192.168.29.23_APSSQL_Arizona_v_Addr_Employee_F[[N° Article]:[Cout total]],9,)</f>
        <v>36.29</v>
      </c>
      <c r="L191" s="39" t="str">
        <f>+VLOOKUP(E191,[2]!Tableau__192.168.29.23_APSSQL_Arizona_v_Addr_Employee_F[[N° Article]:[UC_code]],10,)</f>
        <v>PCE</v>
      </c>
      <c r="M191" s="45">
        <f t="shared" ref="M191:M205" si="48">IF(L191="CENT",C191*K191/100,IF(L191="KG",K191*I191,K191*C191))</f>
        <v>145.16</v>
      </c>
      <c r="O191" s="60"/>
    </row>
    <row r="192" spans="1:15" hidden="1" outlineLevel="1" x14ac:dyDescent="0.25">
      <c r="A192" s="110"/>
      <c r="B192" s="36" t="str">
        <f>+IF($D$15=4,IF(OR($D$23="Encastrée - MRF",$D$23="Encastrée - MRF - Inox"),"1","0"),"0")</f>
        <v>1</v>
      </c>
      <c r="C192" s="37">
        <f t="shared" ref="C192:C195" si="49">+B192*$F$4*$D$15</f>
        <v>4</v>
      </c>
      <c r="D192" t="str">
        <f>+VLOOKUP(E192,[2]!Tableau__192.168.29.23_APSSQL_Arizona_v_Addr_Employee_F[[N° Article]:[Description courte]],3,)</f>
        <v>FERM.ULISES Ø16, T=29, INOX</v>
      </c>
      <c r="E192" s="38" t="s">
        <v>109</v>
      </c>
      <c r="F192" s="39"/>
      <c r="G192" s="40">
        <f>+VLOOKUP(E192,[2]!Tableau__192.168.29.23_APSSQL_Arizona_v_Addr_Employee_F[[N° Article]:[Poids net]],32,)</f>
        <v>1.67</v>
      </c>
      <c r="H192" s="41" t="s">
        <v>66</v>
      </c>
      <c r="I192" s="42">
        <f t="shared" ref="I192:I205" si="50">+G192*C192</f>
        <v>6.68</v>
      </c>
      <c r="J192" s="43" t="s">
        <v>61</v>
      </c>
      <c r="K192" s="44">
        <f>+VLOOKUP(E192,[2]!Tableau__192.168.29.23_APSSQL_Arizona_v_Addr_Employee_F[[N° Article]:[Cout total]],9,)</f>
        <v>46.72</v>
      </c>
      <c r="L192" s="39" t="str">
        <f>+VLOOKUP(E192,[2]!Tableau__192.168.29.23_APSSQL_Arizona_v_Addr_Employee_F[[N° Article]:[UC_code]],10,)</f>
        <v>PCE</v>
      </c>
      <c r="M192" s="45">
        <f t="shared" si="48"/>
        <v>186.88</v>
      </c>
      <c r="O192" s="60"/>
    </row>
    <row r="193" spans="1:18" hidden="1" outlineLevel="1" x14ac:dyDescent="0.25">
      <c r="A193" s="110"/>
      <c r="B193" s="36" t="str">
        <f>+IF($D$15=4,IF($D$23="Encastrée - MRF","2","0"),"0")</f>
        <v>2</v>
      </c>
      <c r="C193" s="37">
        <f t="shared" si="49"/>
        <v>8</v>
      </c>
      <c r="D193" t="str">
        <f>+VLOOKUP(E193,[2]!Tableau__192.168.29.23_APSSQL_Arizona_v_Addr_Employee_F[[N° Article]:[Description courte]],3,)</f>
        <v>BOXER 2 CROCHET Ø 18 ZNF</v>
      </c>
      <c r="E193" s="38" t="s">
        <v>84</v>
      </c>
      <c r="F193" s="39"/>
      <c r="G193" s="40">
        <f>+VLOOKUP(E193,[2]!Tableau__192.168.29.23_APSSQL_Arizona_v_Addr_Employee_F[[N° Article]:[Poids net]],32,)</f>
        <v>0.2</v>
      </c>
      <c r="H193" s="41" t="s">
        <v>66</v>
      </c>
      <c r="I193" s="42">
        <f t="shared" si="50"/>
        <v>1.6</v>
      </c>
      <c r="J193" s="43" t="s">
        <v>61</v>
      </c>
      <c r="K193" s="44">
        <f>+VLOOKUP(E193,[2]!Tableau__192.168.29.23_APSSQL_Arizona_v_Addr_Employee_F[[N° Article]:[Cout total]],9,)</f>
        <v>1.1000000000000001</v>
      </c>
      <c r="L193" s="39" t="str">
        <f>+VLOOKUP(E193,[2]!Tableau__192.168.29.23_APSSQL_Arizona_v_Addr_Employee_F[[N° Article]:[UC_code]],10,)</f>
        <v>PCE</v>
      </c>
      <c r="M193" s="45">
        <f t="shared" si="48"/>
        <v>8.8000000000000007</v>
      </c>
      <c r="O193" s="60"/>
    </row>
    <row r="194" spans="1:18" hidden="1" outlineLevel="1" x14ac:dyDescent="0.25">
      <c r="A194" s="110"/>
      <c r="B194" s="36" t="str">
        <f>+IF($D$15=4,IF($D$23="Encastrée - MRF - Inox","2","0"),"0")</f>
        <v>0</v>
      </c>
      <c r="C194" s="37">
        <f t="shared" si="49"/>
        <v>0</v>
      </c>
      <c r="D194" t="str">
        <f>+VLOOKUP(E194,[2]!Tableau__192.168.29.23_APSSQL_Arizona_v_Addr_Employee_F[[N° Article]:[Description courte]],3,)</f>
        <v>BOXER CROCHET Ø 18, INOX</v>
      </c>
      <c r="E194" s="38" t="s">
        <v>95</v>
      </c>
      <c r="F194" s="39"/>
      <c r="G194" s="40">
        <f>+VLOOKUP(E194,[2]!Tableau__192.168.29.23_APSSQL_Arizona_v_Addr_Employee_F[[N° Article]:[Poids net]],32,)</f>
        <v>0.18</v>
      </c>
      <c r="H194" s="41" t="s">
        <v>66</v>
      </c>
      <c r="I194" s="42">
        <f t="shared" si="50"/>
        <v>0</v>
      </c>
      <c r="J194" s="43" t="s">
        <v>61</v>
      </c>
      <c r="K194" s="44">
        <f>+VLOOKUP(E194,[2]!Tableau__192.168.29.23_APSSQL_Arizona_v_Addr_Employee_F[[N° Article]:[Cout total]],9,)</f>
        <v>2.33</v>
      </c>
      <c r="L194" s="39" t="str">
        <f>+VLOOKUP(E194,[2]!Tableau__192.168.29.23_APSSQL_Arizona_v_Addr_Employee_F[[N° Article]:[UC_code]],10,)</f>
        <v>PCE</v>
      </c>
      <c r="M194" s="45">
        <f t="shared" si="48"/>
        <v>0</v>
      </c>
      <c r="O194" s="60"/>
    </row>
    <row r="195" spans="1:18" hidden="1" outlineLevel="1" x14ac:dyDescent="0.25">
      <c r="A195" s="110"/>
      <c r="B195" s="36" t="str">
        <f>+IF($D$15=4,IF(OR($D$23="Encastrée - MRF",$D$23="Encastrée - MRF - Inox"),"4","0"),"0")</f>
        <v>4</v>
      </c>
      <c r="C195" s="37">
        <f t="shared" si="49"/>
        <v>16</v>
      </c>
      <c r="D195" t="str">
        <f>+VLOOKUP(E195,[2]!Tableau__192.168.29.23_APSSQL_Arizona_v_Addr_Employee_F[[N° Article]:[Description courte]],3,)</f>
        <v>GOUPILLE SPIRALE ø 5x28 ZING.</v>
      </c>
      <c r="E195" s="38" t="str">
        <f>+IF(D78="Encastrée - MRF - Inox","2 019 701","2 019 699")</f>
        <v>2 019 699</v>
      </c>
      <c r="F195" s="39"/>
      <c r="G195" s="40">
        <f>+VLOOKUP(E195,[2]!Tableau__192.168.29.23_APSSQL_Arizona_v_Addr_Employee_F[[N° Article]:[Poids net]],32,)</f>
        <v>6.0000000000000001E-3</v>
      </c>
      <c r="H195" s="41" t="s">
        <v>66</v>
      </c>
      <c r="I195" s="42">
        <f t="shared" si="50"/>
        <v>9.6000000000000002E-2</v>
      </c>
      <c r="J195" s="43" t="s">
        <v>61</v>
      </c>
      <c r="K195" s="44">
        <f>+VLOOKUP(E195,[2]!Tableau__192.168.29.23_APSSQL_Arizona_v_Addr_Employee_F[[N° Article]:[Cout total]],9,)</f>
        <v>7.99</v>
      </c>
      <c r="L195" s="39" t="str">
        <f>+VLOOKUP(E195,[2]!Tableau__192.168.29.23_APSSQL_Arizona_v_Addr_Employee_F[[N° Article]:[UC_code]],10,)</f>
        <v>CENT</v>
      </c>
      <c r="M195" s="45">
        <f t="shared" si="48"/>
        <v>1.2784</v>
      </c>
      <c r="O195" s="60"/>
    </row>
    <row r="196" spans="1:18" hidden="1" outlineLevel="1" x14ac:dyDescent="0.25">
      <c r="A196" s="110"/>
      <c r="B196" s="36" t="str">
        <f>+IF($D$15=4,IF(OR($D$23="Encastrée - MRF",$D$23="Encastrée - MRF - Inox"),"1","0"),"0")</f>
        <v>1</v>
      </c>
      <c r="C196" s="37">
        <f>+B196*$F$4*$D$15</f>
        <v>4</v>
      </c>
      <c r="D196" t="str">
        <f>+VLOOKUP(E196,[2]!Tableau__192.168.29.23_APSSQL_Arizona_v_Addr_Employee_F[[N° Article]:[Description courte]],3,)</f>
        <v>JOINT POUR FERMETURE ULISES</v>
      </c>
      <c r="E196" s="38" t="s">
        <v>110</v>
      </c>
      <c r="F196" s="39"/>
      <c r="G196" s="40">
        <f>+VLOOKUP(E196,[2]!Tableau__192.168.29.23_APSSQL_Arizona_v_Addr_Employee_F[[N° Article]:[Poids net]],32,)</f>
        <v>2.1999999999999999E-2</v>
      </c>
      <c r="H196" s="41" t="s">
        <v>66</v>
      </c>
      <c r="I196" s="42">
        <f t="shared" si="50"/>
        <v>8.7999999999999995E-2</v>
      </c>
      <c r="J196" s="43" t="s">
        <v>61</v>
      </c>
      <c r="K196" s="44">
        <f>+VLOOKUP(E196,[2]!Tableau__192.168.29.23_APSSQL_Arizona_v_Addr_Employee_F[[N° Article]:[Cout total]],9,)</f>
        <v>1.25</v>
      </c>
      <c r="L196" s="39" t="str">
        <f>+VLOOKUP(E196,[2]!Tableau__192.168.29.23_APSSQL_Arizona_v_Addr_Employee_F[[N° Article]:[UC_code]],10,)</f>
        <v>PCE</v>
      </c>
      <c r="M196" s="45">
        <f t="shared" si="48"/>
        <v>5</v>
      </c>
      <c r="O196" s="60"/>
    </row>
    <row r="197" spans="1:18" hidden="1" outlineLevel="1" x14ac:dyDescent="0.25">
      <c r="A197" s="110"/>
      <c r="B197" s="36" t="str">
        <f>+IF($D$15=4,IF(OR($D$23="Encastrée - MRF",$D$23="Encastrée - MRF - Inox"),IF($D$13=4,"2","1"),0),"0")</f>
        <v>2</v>
      </c>
      <c r="C197" s="37">
        <f>+B197*$F$4*$D$15/2</f>
        <v>4</v>
      </c>
      <c r="D197" t="str">
        <f>+VLOOKUP(E197,[2]!Tableau__192.168.29.23_APSSQL_Arizona_v_Addr_Employee_F[[N° Article]:[Description courte]],3,)</f>
        <v>TOLE ARRIERE MRF, COTE PROFIL</v>
      </c>
      <c r="E197" s="38" t="s">
        <v>111</v>
      </c>
      <c r="F197" s="39"/>
      <c r="G197" s="40">
        <f>+VLOOKUP(E197,[2]!Tableau__192.168.29.23_APSSQL_Arizona_v_Addr_Employee_F[[N° Article]:[Poids net]],32,)</f>
        <v>0.27500000000000002</v>
      </c>
      <c r="H197" s="41" t="s">
        <v>66</v>
      </c>
      <c r="I197" s="42">
        <f t="shared" si="50"/>
        <v>1.1000000000000001</v>
      </c>
      <c r="J197" s="43" t="s">
        <v>61</v>
      </c>
      <c r="K197" s="44">
        <f>+VLOOKUP(E197,[2]!Tableau__192.168.29.23_APSSQL_Arizona_v_Addr_Employee_F[[N° Article]:[Cout total]],9,)</f>
        <v>4.43</v>
      </c>
      <c r="L197" s="39" t="str">
        <f>+VLOOKUP(E197,[2]!Tableau__192.168.29.23_APSSQL_Arizona_v_Addr_Employee_F[[N° Article]:[UC_code]],10,)</f>
        <v>PCE</v>
      </c>
      <c r="M197" s="45">
        <f t="shared" si="48"/>
        <v>17.72</v>
      </c>
      <c r="O197" s="60"/>
    </row>
    <row r="198" spans="1:18" hidden="1" outlineLevel="1" x14ac:dyDescent="0.25">
      <c r="A198" s="110"/>
      <c r="B198" s="36" t="str">
        <f>+IF($D$15=4,IF(OR($D$23="Encastrée - MRF",$D$23="Encastrée - MRF - Inox"),IF($D$13=2,1,"0"),"0"),"0")</f>
        <v>0</v>
      </c>
      <c r="C198" s="37">
        <f>+B198*$F$4*$D$15/2</f>
        <v>0</v>
      </c>
      <c r="D198" t="str">
        <f>+VLOOKUP(E198,[2]!Tableau__192.168.29.23_APSSQL_Arizona_v_Addr_Employee_F[[N° Article]:[Description courte]],3,)</f>
        <v>CALE ALU POUR FERMETURE MRF</v>
      </c>
      <c r="E198" s="47" t="s">
        <v>112</v>
      </c>
      <c r="F198" s="39"/>
      <c r="G198" s="40">
        <f>+VLOOKUP(E198,[2]!Tableau__192.168.29.23_APSSQL_Arizona_v_Addr_Employee_F[[N° Article]:[Poids net]],32,)</f>
        <v>5.5E-2</v>
      </c>
      <c r="H198" s="41" t="s">
        <v>66</v>
      </c>
      <c r="I198" s="42">
        <f t="shared" si="50"/>
        <v>0</v>
      </c>
      <c r="J198" s="43" t="s">
        <v>61</v>
      </c>
      <c r="K198" s="44">
        <f>+VLOOKUP(E198,[2]!Tableau__192.168.29.23_APSSQL_Arizona_v_Addr_Employee_F[[N° Article]:[Cout total]],9,)</f>
        <v>3.55</v>
      </c>
      <c r="L198" s="39" t="str">
        <f>+VLOOKUP(E198,[2]!Tableau__192.168.29.23_APSSQL_Arizona_v_Addr_Employee_F[[N° Article]:[UC_code]],10,)</f>
        <v>PCE</v>
      </c>
      <c r="M198" s="45">
        <f t="shared" si="48"/>
        <v>0</v>
      </c>
      <c r="O198" s="60"/>
    </row>
    <row r="199" spans="1:18" hidden="1" outlineLevel="1" x14ac:dyDescent="0.25">
      <c r="A199" s="110"/>
      <c r="B199" s="36" t="str">
        <f>+IF($D$15=4,IF(OR($D$23="Encastrée - MRF",$D$23="Encastrée - MRF - Inox"),"2","0"),"0")</f>
        <v>2</v>
      </c>
      <c r="C199" s="37">
        <f>+B199*$F$4*$D$15/2</f>
        <v>4</v>
      </c>
      <c r="D199" t="str">
        <f>+VLOOKUP(E199,[2]!Tableau__192.168.29.23_APSSQL_Arizona_v_Addr_Employee_F[[N° Article]:[Description courte]],3,)</f>
        <v>RENFORT D'ANGLE, ZNG</v>
      </c>
      <c r="E199" s="38" t="s">
        <v>68</v>
      </c>
      <c r="F199" s="39"/>
      <c r="G199" s="40">
        <f>+VLOOKUP(E199,[2]!Tableau__192.168.29.23_APSSQL_Arizona_v_Addr_Employee_F[[N° Article]:[Poids net]],32,)</f>
        <v>0.215</v>
      </c>
      <c r="H199" s="41" t="s">
        <v>66</v>
      </c>
      <c r="I199" s="42">
        <f t="shared" si="50"/>
        <v>0.86</v>
      </c>
      <c r="J199" s="43" t="s">
        <v>61</v>
      </c>
      <c r="K199" s="44">
        <f>+VLOOKUP(E199,[2]!Tableau__192.168.29.23_APSSQL_Arizona_v_Addr_Employee_F[[N° Article]:[Cout total]],9,)</f>
        <v>1.32</v>
      </c>
      <c r="L199" s="39" t="str">
        <f>+VLOOKUP(E199,[2]!Tableau__192.168.29.23_APSSQL_Arizona_v_Addr_Employee_F[[N° Article]:[UC_code]],10,)</f>
        <v>PCE</v>
      </c>
      <c r="M199" s="45">
        <f t="shared" si="48"/>
        <v>5.28</v>
      </c>
      <c r="O199" s="60"/>
    </row>
    <row r="200" spans="1:18" hidden="1" outlineLevel="1" x14ac:dyDescent="0.25">
      <c r="A200" s="110"/>
      <c r="B200" s="36" t="str">
        <f>+IF($D$15=4,IF(OR($D$23="Encastrée - MRF",$D$23="Encastrée - MRF - Inox"),"2","0"),"0")</f>
        <v>2</v>
      </c>
      <c r="C200" s="37">
        <f>+B200*$F$4*$D$15</f>
        <v>8</v>
      </c>
      <c r="D200" t="str">
        <f>+VLOOKUP(E200,[2]!Tableau__192.168.29.23_APSSQL_Arizona_v_Addr_Employee_F[[N° Article]:[Description courte]],3,)</f>
        <v>PLAQUE LIAISON PORTE, HAUT,ZNF</v>
      </c>
      <c r="E200" s="38" t="s">
        <v>85</v>
      </c>
      <c r="F200" s="39"/>
      <c r="G200" s="40">
        <f>+VLOOKUP(E200,[2]!Tableau__192.168.29.23_APSSQL_Arizona_v_Addr_Employee_F[[N° Article]:[Poids net]],32,)</f>
        <v>0.13</v>
      </c>
      <c r="H200" s="41" t="s">
        <v>66</v>
      </c>
      <c r="I200" s="42">
        <f t="shared" si="50"/>
        <v>1.04</v>
      </c>
      <c r="J200" s="43" t="s">
        <v>61</v>
      </c>
      <c r="K200" s="44">
        <f>+VLOOKUP(E200,[2]!Tableau__192.168.29.23_APSSQL_Arizona_v_Addr_Employee_F[[N° Article]:[Cout total]],9,)</f>
        <v>1.31</v>
      </c>
      <c r="L200" s="39" t="str">
        <f>+VLOOKUP(E200,[2]!Tableau__192.168.29.23_APSSQL_Arizona_v_Addr_Employee_F[[N° Article]:[UC_code]],10,)</f>
        <v>PCE</v>
      </c>
      <c r="M200" s="45">
        <f t="shared" si="48"/>
        <v>10.48</v>
      </c>
      <c r="O200" s="60"/>
      <c r="P200" s="77"/>
      <c r="Q200" s="77"/>
      <c r="R200" s="77"/>
    </row>
    <row r="201" spans="1:18" hidden="1" outlineLevel="1" x14ac:dyDescent="0.25">
      <c r="A201" s="110"/>
      <c r="B201" s="36" t="str">
        <f>+IF($D$15=4,IF(OR($D$23="Encastrée - MRF",$D$23="Encastrée - MRF - Inox"),"4","0"),"0")</f>
        <v>4</v>
      </c>
      <c r="C201" s="37">
        <f t="shared" ref="C201" si="51">+B201*$F$4*$D$15</f>
        <v>16</v>
      </c>
      <c r="D201" t="str">
        <f>+VLOOKUP(E201,[2]!Tableau__192.168.29.23_APSSQL_Arizona_v_Addr_Employee_F[[N° Article]:[Description courte]],3,)</f>
        <v>RIVET ETANCHE INOX 4.8 x 15</v>
      </c>
      <c r="E201" s="38" t="s">
        <v>101</v>
      </c>
      <c r="F201" s="39"/>
      <c r="G201" s="40">
        <f>+VLOOKUP(E201,[2]!Tableau__192.168.29.23_APSSQL_Arizona_v_Addr_Employee_F[[N° Article]:[Poids net]],32,)</f>
        <v>0.01</v>
      </c>
      <c r="H201" s="41" t="s">
        <v>66</v>
      </c>
      <c r="I201" s="42">
        <f t="shared" si="50"/>
        <v>0.16</v>
      </c>
      <c r="J201" s="43" t="s">
        <v>61</v>
      </c>
      <c r="K201" s="44">
        <f>+VLOOKUP(E201,[2]!Tableau__192.168.29.23_APSSQL_Arizona_v_Addr_Employee_F[[N° Article]:[Cout total]],9,)</f>
        <v>16.61</v>
      </c>
      <c r="L201" s="39" t="str">
        <f>+VLOOKUP(E201,[2]!Tableau__192.168.29.23_APSSQL_Arizona_v_Addr_Employee_F[[N° Article]:[UC_code]],10,)</f>
        <v>CENT</v>
      </c>
      <c r="M201" s="45">
        <f t="shared" si="48"/>
        <v>2.6576</v>
      </c>
      <c r="O201" s="60"/>
      <c r="P201" s="77"/>
      <c r="Q201" s="77"/>
      <c r="R201" s="77"/>
    </row>
    <row r="202" spans="1:18" hidden="1" outlineLevel="1" x14ac:dyDescent="0.25">
      <c r="A202" s="110"/>
      <c r="B202" s="36" t="str">
        <f>+IF($D$15=4,IF(OR($D$23="Encastrée - MRF",$D$23="Encastrée - MRF - Inox"),IF($D$13=2,"5","4"),"0"),"0")</f>
        <v>4</v>
      </c>
      <c r="C202" s="37">
        <f>+B202*$F$4*$D$15</f>
        <v>16</v>
      </c>
      <c r="D202" t="str">
        <f>+VLOOKUP(E202,[2]!Tableau__192.168.29.23_APSSQL_Arizona_v_Addr_Employee_F[[N° Article]:[Description courte]],3,)</f>
        <v>VIS M5X25 TBO 6-PS CR INOX</v>
      </c>
      <c r="E202" s="38" t="s">
        <v>102</v>
      </c>
      <c r="F202" s="39"/>
      <c r="G202" s="40">
        <f>+VLOOKUP(E202,[2]!Tableau__192.168.29.23_APSSQL_Arizona_v_Addr_Employee_F[[N° Article]:[Poids net]],32,)</f>
        <v>5.0000000000000001E-3</v>
      </c>
      <c r="H202" s="41" t="s">
        <v>66</v>
      </c>
      <c r="I202" s="42">
        <f t="shared" si="50"/>
        <v>0.08</v>
      </c>
      <c r="J202" s="43" t="s">
        <v>61</v>
      </c>
      <c r="K202" s="44">
        <f>+VLOOKUP(E202,[2]!Tableau__192.168.29.23_APSSQL_Arizona_v_Addr_Employee_F[[N° Article]:[Cout total]],9,)</f>
        <v>3.99</v>
      </c>
      <c r="L202" s="39" t="str">
        <f>+VLOOKUP(E202,[2]!Tableau__192.168.29.23_APSSQL_Arizona_v_Addr_Employee_F[[N° Article]:[UC_code]],10,)</f>
        <v>CENT</v>
      </c>
      <c r="M202" s="45">
        <f t="shared" si="48"/>
        <v>0.63840000000000008</v>
      </c>
      <c r="O202" s="60"/>
      <c r="P202" s="77"/>
      <c r="Q202" s="77"/>
      <c r="R202" s="77"/>
    </row>
    <row r="203" spans="1:18" hidden="1" outlineLevel="1" x14ac:dyDescent="0.25">
      <c r="A203" s="110"/>
      <c r="B203" s="36" t="str">
        <f>+IF(AND($D$15=4,$G$19="oui "),IF(OR($D$23="Encastrée - MRF",$D$23="Encastrée - MRF - Inox"),"1","0"),"0")</f>
        <v>0</v>
      </c>
      <c r="C203" s="37">
        <f t="shared" ref="C203:C204" si="52">+B203*$F$4*$D$15</f>
        <v>0</v>
      </c>
      <c r="D203" t="str">
        <f>+VLOOKUP(E203,[2]!Tableau__192.168.29.23_APSSQL_Arizona_v_Addr_Employee_F[[N° Article]:[Description courte]],3,)</f>
        <v>ROND.S.CHANFREIN</v>
      </c>
      <c r="E203" s="67" t="s">
        <v>103</v>
      </c>
      <c r="F203" s="39"/>
      <c r="G203" s="40">
        <f>+VLOOKUP(E203,[2]!Tableau__192.168.29.23_APSSQL_Arizona_v_Addr_Employee_F[[N° Article]:[Poids net]],32,)</f>
        <v>5.0000000000000001E-3</v>
      </c>
      <c r="H203" s="41" t="s">
        <v>66</v>
      </c>
      <c r="I203" s="42">
        <f t="shared" si="50"/>
        <v>0</v>
      </c>
      <c r="J203" s="43" t="s">
        <v>61</v>
      </c>
      <c r="K203" s="44">
        <f>+VLOOKUP(E203,[2]!Tableau__192.168.29.23_APSSQL_Arizona_v_Addr_Employee_F[[N° Article]:[Cout total]],9,)</f>
        <v>1.27</v>
      </c>
      <c r="L203" s="39" t="str">
        <f>+VLOOKUP(E203,[2]!Tableau__192.168.29.23_APSSQL_Arizona_v_Addr_Employee_F[[N° Article]:[UC_code]],10,)</f>
        <v>PCE</v>
      </c>
      <c r="M203" s="45">
        <f t="shared" si="48"/>
        <v>0</v>
      </c>
      <c r="O203" s="60"/>
    </row>
    <row r="204" spans="1:18" hidden="1" outlineLevel="1" x14ac:dyDescent="0.25">
      <c r="A204" s="110"/>
      <c r="B204" s="36" t="str">
        <f>+IF($D$15=4,IF(OR($D$23="Encastrée - MRF",$D$23="Encastrée - MRF - Inox"),"5","0"),"0")</f>
        <v>5</v>
      </c>
      <c r="C204" s="37">
        <f t="shared" si="52"/>
        <v>20</v>
      </c>
      <c r="D204" t="str">
        <f>+VLOOKUP(E204,[2]!Tableau__192.168.29.23_APSSQL_Arizona_v_Addr_Employee_F[[N° Article]:[Description courte]],3,)</f>
        <v>DOUILLE NO 921 M5 x 15</v>
      </c>
      <c r="E204" s="57" t="s">
        <v>104</v>
      </c>
      <c r="F204" s="39"/>
      <c r="G204" s="40">
        <f>+VLOOKUP(E204,[2]!Tableau__192.168.29.23_APSSQL_Arizona_v_Addr_Employee_F[[N° Article]:[Poids net]],32,)</f>
        <v>5.0000000000000001E-3</v>
      </c>
      <c r="H204" s="41" t="s">
        <v>66</v>
      </c>
      <c r="I204" s="42">
        <f t="shared" si="50"/>
        <v>0.1</v>
      </c>
      <c r="J204" s="43" t="s">
        <v>61</v>
      </c>
      <c r="K204" s="44">
        <f>+VLOOKUP(E204,[2]!Tableau__192.168.29.23_APSSQL_Arizona_v_Addr_Employee_F[[N° Article]:[Cout total]],9,)</f>
        <v>37.19</v>
      </c>
      <c r="L204" s="39" t="str">
        <f>+VLOOKUP(E204,[2]!Tableau__192.168.29.23_APSSQL_Arizona_v_Addr_Employee_F[[N° Article]:[UC_code]],10,)</f>
        <v>CENT</v>
      </c>
      <c r="M204" s="45">
        <f t="shared" si="48"/>
        <v>7.4379999999999997</v>
      </c>
      <c r="O204" s="60"/>
    </row>
    <row r="205" spans="1:18" ht="15.75" hidden="1" outlineLevel="1" thickBot="1" x14ac:dyDescent="0.3">
      <c r="A205" s="112"/>
      <c r="B205" s="48">
        <f>+IF($D$15=4,IF(OR($D$23="Encastrée - MRF",$D$23="Encastrée - MRF - Inox"),IF($D$13=4,0,"1"),"0"),"0")</f>
        <v>0</v>
      </c>
      <c r="C205" s="37">
        <f>+B205*$F$4*$D$15/2</f>
        <v>0</v>
      </c>
      <c r="D205" s="50" t="str">
        <f>+VLOOKUP(E205,[2]!Tableau__192.168.29.23_APSSQL_Arizona_v_Addr_Employee_F[[N° Article]:[Description courte]],3,)</f>
        <v>TOLE ARRIERE MRF, COTE PANNEAU</v>
      </c>
      <c r="E205" s="80" t="s">
        <v>114</v>
      </c>
      <c r="F205" s="52"/>
      <c r="G205" s="53">
        <f>+VLOOKUP(E205,[2]!Tableau__192.168.29.23_APSSQL_Arizona_v_Addr_Employee_F[[N° Article]:[Poids net]],32,)</f>
        <v>0.38400000000000001</v>
      </c>
      <c r="H205" s="54" t="s">
        <v>66</v>
      </c>
      <c r="I205" s="66">
        <f t="shared" si="50"/>
        <v>0</v>
      </c>
      <c r="J205" s="55" t="s">
        <v>61</v>
      </c>
      <c r="K205" s="56">
        <f>+VLOOKUP(E205,[2]!Tableau__192.168.29.23_APSSQL_Arizona_v_Addr_Employee_F[[N° Article]:[Cout total]],9,)</f>
        <v>5.4</v>
      </c>
      <c r="L205" s="52" t="str">
        <f>+VLOOKUP(E205,[2]!Tableau__192.168.29.23_APSSQL_Arizona_v_Addr_Employee_F[[N° Article]:[UC_code]],10,)</f>
        <v>PCE</v>
      </c>
      <c r="M205" s="63">
        <f t="shared" si="48"/>
        <v>0</v>
      </c>
      <c r="O205" s="60"/>
    </row>
    <row r="206" spans="1:18" ht="15.75" hidden="1" collapsed="1" thickBot="1" x14ac:dyDescent="0.3">
      <c r="A206" s="113" t="str">
        <f>+A190</f>
        <v>Fermetures encastrées 4 fermetures - MRF</v>
      </c>
      <c r="B206" s="114"/>
      <c r="C206" s="115"/>
      <c r="I206" s="81">
        <f>+SUM(I191:I205)</f>
        <v>34.204000000000001</v>
      </c>
      <c r="M206" s="82">
        <f>+SUM(M191:M205)</f>
        <v>391.33239999999995</v>
      </c>
      <c r="O206" s="60"/>
    </row>
    <row r="207" spans="1:18" hidden="1" x14ac:dyDescent="0.25">
      <c r="A207" s="78"/>
      <c r="B207" s="30"/>
      <c r="C207" s="30"/>
      <c r="I207" s="79"/>
      <c r="M207" s="35"/>
      <c r="O207" s="60"/>
    </row>
    <row r="208" spans="1:18" ht="18.75" hidden="1" outlineLevel="1" x14ac:dyDescent="0.25">
      <c r="A208" s="109" t="s">
        <v>115</v>
      </c>
      <c r="B208" s="27"/>
      <c r="C208" s="28"/>
      <c r="D208" s="29"/>
      <c r="E208" s="30"/>
      <c r="F208" s="30"/>
      <c r="G208" s="31"/>
      <c r="H208" s="31"/>
      <c r="I208" s="32"/>
      <c r="J208" s="33"/>
      <c r="K208" s="34"/>
      <c r="L208" s="30"/>
      <c r="M208" s="35"/>
      <c r="O208" s="46"/>
    </row>
    <row r="209" spans="1:15" hidden="1" outlineLevel="1" x14ac:dyDescent="0.25">
      <c r="A209" s="110"/>
      <c r="B209" s="36" t="str">
        <f>+IF($D$15=2,IF(OR($D$23="Encastrée - FU",$D$23="Encastrée - FU - Inox"),"1","0"),"0")</f>
        <v>0</v>
      </c>
      <c r="C209" s="37">
        <f>+B209*$F$4*$D$15</f>
        <v>0</v>
      </c>
      <c r="D209" t="str">
        <f>+VLOOKUP(E209,[2]!Tableau__192.168.29.23_APSSQL_Arizona_v_Addr_Employee_F[[N° Article]:[Description courte]],3,)</f>
        <v>AXE ø 18 COURT, L = 2930</v>
      </c>
      <c r="E209" s="83" t="str">
        <f>+IF($F$6&lt;=2830,"2 119 093","2 119 094")</f>
        <v>2 119 093</v>
      </c>
      <c r="F209" s="39"/>
      <c r="G209" s="40">
        <f>+VLOOKUP(E209,[2]!Tableau__192.168.29.23_APSSQL_Arizona_v_Addr_Employee_F[[N° Article]:[Poids net]],32,)</f>
        <v>5.6</v>
      </c>
      <c r="H209" s="41" t="s">
        <v>66</v>
      </c>
      <c r="I209" s="42">
        <f>+G209*C209</f>
        <v>0</v>
      </c>
      <c r="J209" s="43" t="s">
        <v>61</v>
      </c>
      <c r="K209" s="44">
        <f>+VLOOKUP(E209,[2]!Tableau__192.168.29.23_APSSQL_Arizona_v_Addr_Employee_F[[N° Article]:[Cout total]],9,)</f>
        <v>36.29</v>
      </c>
      <c r="L209" s="39" t="str">
        <f>+VLOOKUP(E209,[2]!Tableau__192.168.29.23_APSSQL_Arizona_v_Addr_Employee_F[[N° Article]:[UC_code]],10,)</f>
        <v>PCE</v>
      </c>
      <c r="M209" s="45">
        <f t="shared" ref="M209:M225" si="53">IF(L209="CENT",C209*K209/100,IF(L209="KG",K209*I209,K209*C209))</f>
        <v>0</v>
      </c>
      <c r="O209" s="46"/>
    </row>
    <row r="210" spans="1:15" hidden="1" outlineLevel="1" x14ac:dyDescent="0.25">
      <c r="A210" s="110"/>
      <c r="B210" s="36" t="str">
        <f>+IF($D$15=2,IF(OR($D$23="Encastrée - FU",$D$23="Encastrée - FU - Inox"),"1","0"),"0")</f>
        <v>0</v>
      </c>
      <c r="C210" s="37">
        <f t="shared" ref="C210:C217" si="54">+B210*$F$4*$D$15</f>
        <v>0</v>
      </c>
      <c r="D210" t="str">
        <f>+VLOOKUP(E210,[2]!Tableau__192.168.29.23_APSSQL_Arizona_v_Addr_Employee_F[[N° Article]:[Description courte]],3,)</f>
        <v>POIGNEE FURGO INOX</v>
      </c>
      <c r="E210" s="47" t="s">
        <v>116</v>
      </c>
      <c r="F210" s="39"/>
      <c r="G210" s="40">
        <f>+VLOOKUP(E210,[2]!Tableau__192.168.29.23_APSSQL_Arizona_v_Addr_Employee_F[[N° Article]:[Poids net]],32,)</f>
        <v>1.8</v>
      </c>
      <c r="H210" s="41" t="s">
        <v>66</v>
      </c>
      <c r="I210" s="42">
        <f t="shared" ref="I210:I225" si="55">+G210*C210</f>
        <v>0</v>
      </c>
      <c r="J210" s="43" t="s">
        <v>61</v>
      </c>
      <c r="K210" s="44">
        <f>+VLOOKUP(E210,[2]!Tableau__192.168.29.23_APSSQL_Arizona_v_Addr_Employee_F[[N° Article]:[Cout total]],9,)</f>
        <v>96.7</v>
      </c>
      <c r="L210" s="39" t="str">
        <f>+VLOOKUP(E210,[2]!Tableau__192.168.29.23_APSSQL_Arizona_v_Addr_Employee_F[[N° Article]:[UC_code]],10,)</f>
        <v>PCE</v>
      </c>
      <c r="M210" s="45">
        <f t="shared" si="53"/>
        <v>0</v>
      </c>
      <c r="O210" s="46"/>
    </row>
    <row r="211" spans="1:15" hidden="1" outlineLevel="1" x14ac:dyDescent="0.25">
      <c r="A211" s="110"/>
      <c r="B211" s="36" t="str">
        <f>+IF($D$15=2,IF($D$23="Encastrée - FU","2","0"),"0")</f>
        <v>0</v>
      </c>
      <c r="C211" s="37">
        <f t="shared" si="54"/>
        <v>0</v>
      </c>
      <c r="D211" t="str">
        <f>+VLOOKUP(E211,[2]!Tableau__192.168.29.23_APSSQL_Arizona_v_Addr_Employee_F[[N° Article]:[Description courte]],3,)</f>
        <v>BOXER 2 CROCHET Ø 18 ZNF</v>
      </c>
      <c r="E211" s="38" t="s">
        <v>84</v>
      </c>
      <c r="F211" s="39"/>
      <c r="G211" s="40">
        <f>+VLOOKUP(E211,[2]!Tableau__192.168.29.23_APSSQL_Arizona_v_Addr_Employee_F[[N° Article]:[Poids net]],32,)</f>
        <v>0.2</v>
      </c>
      <c r="H211" s="41" t="s">
        <v>66</v>
      </c>
      <c r="I211" s="42">
        <f t="shared" si="55"/>
        <v>0</v>
      </c>
      <c r="J211" s="43" t="s">
        <v>61</v>
      </c>
      <c r="K211" s="44">
        <f>+VLOOKUP(E211,[2]!Tableau__192.168.29.23_APSSQL_Arizona_v_Addr_Employee_F[[N° Article]:[Cout total]],9,)</f>
        <v>1.1000000000000001</v>
      </c>
      <c r="L211" s="39" t="str">
        <f>+VLOOKUP(E211,[2]!Tableau__192.168.29.23_APSSQL_Arizona_v_Addr_Employee_F[[N° Article]:[UC_code]],10,)</f>
        <v>PCE</v>
      </c>
      <c r="M211" s="45">
        <f t="shared" si="53"/>
        <v>0</v>
      </c>
      <c r="O211" s="46"/>
    </row>
    <row r="212" spans="1:15" hidden="1" outlineLevel="1" x14ac:dyDescent="0.25">
      <c r="A212" s="110"/>
      <c r="B212" s="36" t="str">
        <f>+IF($D$15=2,IF($D$23="Encastrée - FU - Inox","2","0"),"0")</f>
        <v>0</v>
      </c>
      <c r="C212" s="37">
        <f t="shared" si="54"/>
        <v>0</v>
      </c>
      <c r="D212" t="str">
        <f>+VLOOKUP(E212,[2]!Tableau__192.168.29.23_APSSQL_Arizona_v_Addr_Employee_F[[N° Article]:[Description courte]],3,)</f>
        <v>BOXER CROCHET Ø 18, INOX</v>
      </c>
      <c r="E212" s="38" t="s">
        <v>95</v>
      </c>
      <c r="F212" s="39"/>
      <c r="G212" s="40">
        <f>+VLOOKUP(E212,[2]!Tableau__192.168.29.23_APSSQL_Arizona_v_Addr_Employee_F[[N° Article]:[Poids net]],32,)</f>
        <v>0.18</v>
      </c>
      <c r="H212" s="41" t="s">
        <v>66</v>
      </c>
      <c r="I212" s="42">
        <f t="shared" si="55"/>
        <v>0</v>
      </c>
      <c r="J212" s="43" t="s">
        <v>61</v>
      </c>
      <c r="K212" s="44">
        <f>+VLOOKUP(E212,[2]!Tableau__192.168.29.23_APSSQL_Arizona_v_Addr_Employee_F[[N° Article]:[Cout total]],9,)</f>
        <v>2.33</v>
      </c>
      <c r="L212" s="39" t="str">
        <f>+VLOOKUP(E212,[2]!Tableau__192.168.29.23_APSSQL_Arizona_v_Addr_Employee_F[[N° Article]:[UC_code]],10,)</f>
        <v>PCE</v>
      </c>
      <c r="M212" s="45">
        <f t="shared" si="53"/>
        <v>0</v>
      </c>
      <c r="O212" s="46"/>
    </row>
    <row r="213" spans="1:15" hidden="1" outlineLevel="1" x14ac:dyDescent="0.25">
      <c r="A213" s="110"/>
      <c r="B213" s="36" t="str">
        <f>+IF($D$15=2,IF(OR($D$23="Encastrée - FU",$D$23="Encastrée - FU - Inox"),"4","0"),"0")</f>
        <v>0</v>
      </c>
      <c r="C213" s="37">
        <f t="shared" si="54"/>
        <v>0</v>
      </c>
      <c r="D213" t="e">
        <f>+VLOOKUP(E213,[2]!Tableau__192.168.29.23_APSSQL_Arizona_v_Addr_Employee_F[[N° Article]:[Description courte]],3,)</f>
        <v>#REF!</v>
      </c>
      <c r="E213" s="38" t="str">
        <f>+IF(D23="Encastrée - FU - Inox","2 019 701","2 019 699")</f>
        <v>2 019 699</v>
      </c>
      <c r="F213" s="39"/>
      <c r="G213" s="40" t="e">
        <f>+VLOOKUP(E213,[2]!Tableau__192.168.29.23_APSSQL_Arizona_v_Addr_Employee_F[[N° Article]:[Poids net]],32,)</f>
        <v>#REF!</v>
      </c>
      <c r="H213" s="41" t="s">
        <v>66</v>
      </c>
      <c r="I213" s="42" t="e">
        <f t="shared" si="55"/>
        <v>#REF!</v>
      </c>
      <c r="J213" s="43" t="s">
        <v>61</v>
      </c>
      <c r="K213" s="44" t="e">
        <f>+VLOOKUP(E213,[2]!Tableau__192.168.29.23_APSSQL_Arizona_v_Addr_Employee_F[[N° Article]:[Cout total]],9,)</f>
        <v>#REF!</v>
      </c>
      <c r="L213" s="39" t="e">
        <f>+VLOOKUP(E213,[2]!Tableau__192.168.29.23_APSSQL_Arizona_v_Addr_Employee_F[[N° Article]:[UC_code]],10,)</f>
        <v>#REF!</v>
      </c>
      <c r="M213" s="45" t="e">
        <f t="shared" si="53"/>
        <v>#REF!</v>
      </c>
      <c r="O213" s="46"/>
    </row>
    <row r="214" spans="1:15" hidden="1" outlineLevel="1" x14ac:dyDescent="0.25">
      <c r="A214" s="110"/>
      <c r="B214" s="36" t="str">
        <f>+IF($D$15=2,IF(OR($D$23="Encastrée - FU",$D$23="Encastrée - FU - Inox"),"1","0"),"0")</f>
        <v>0</v>
      </c>
      <c r="C214" s="37">
        <f t="shared" si="54"/>
        <v>0</v>
      </c>
      <c r="D214" t="str">
        <f>+VLOOKUP(E214,[2]!Tableau__192.168.29.23_APSSQL_Arizona_v_Addr_Employee_F[[N° Article]:[Description courte]],3,)</f>
        <v>PROFIL INTERMEDIAIRE NYLON</v>
      </c>
      <c r="E214" s="47" t="s">
        <v>117</v>
      </c>
      <c r="F214" s="39"/>
      <c r="G214" s="40">
        <f>+VLOOKUP(E214,[2]!Tableau__192.168.29.23_APSSQL_Arizona_v_Addr_Employee_F[[N° Article]:[Poids net]],32,)</f>
        <v>0.02</v>
      </c>
      <c r="H214" s="41" t="s">
        <v>66</v>
      </c>
      <c r="I214" s="42">
        <f t="shared" si="55"/>
        <v>0</v>
      </c>
      <c r="J214" s="43" t="s">
        <v>61</v>
      </c>
      <c r="K214" s="44">
        <f>+VLOOKUP(E214,[2]!Tableau__192.168.29.23_APSSQL_Arizona_v_Addr_Employee_F[[N° Article]:[Cout total]],9,)</f>
        <v>3.03</v>
      </c>
      <c r="L214" s="39" t="str">
        <f>+VLOOKUP(E214,[2]!Tableau__192.168.29.23_APSSQL_Arizona_v_Addr_Employee_F[[N° Article]:[UC_code]],10,)</f>
        <v>PCE</v>
      </c>
      <c r="M214" s="45">
        <f t="shared" si="53"/>
        <v>0</v>
      </c>
      <c r="O214" s="46"/>
    </row>
    <row r="215" spans="1:15" hidden="1" outlineLevel="1" x14ac:dyDescent="0.25">
      <c r="A215" s="110"/>
      <c r="B215" s="36" t="str">
        <f>+IF(AND($D$15=2,OR($G$13="sandwich", $G$13="Kit")),IF(OR($D$23="Encastrée - FU",$D$23="Encastrée - FU - Inox"),"1","0"),"0")</f>
        <v>0</v>
      </c>
      <c r="C215" s="37">
        <f t="shared" si="54"/>
        <v>0</v>
      </c>
      <c r="D215" t="str">
        <f>+VLOOKUP(E215,[2]!Tableau__192.168.29.23_APSSQL_Arizona_v_Addr_Employee_F[[N° Article]:[Description courte]],3,)</f>
        <v>PROFIL CADRE VERTICAL EN ALU</v>
      </c>
      <c r="E215" s="38" t="s">
        <v>118</v>
      </c>
      <c r="F215" s="39"/>
      <c r="G215" s="40">
        <f>+VLOOKUP(E215,[2]!Tableau__192.168.29.23_APSSQL_Arizona_v_Addr_Employee_F[[N° Article]:[Poids net]],32,)</f>
        <v>5.5E-2</v>
      </c>
      <c r="H215" s="41" t="s">
        <v>66</v>
      </c>
      <c r="I215" s="42">
        <f t="shared" si="55"/>
        <v>0</v>
      </c>
      <c r="J215" s="43" t="s">
        <v>61</v>
      </c>
      <c r="K215" s="44">
        <f>+VLOOKUP(E215,[2]!Tableau__192.168.29.23_APSSQL_Arizona_v_Addr_Employee_F[[N° Article]:[Cout total]],9,)</f>
        <v>1.51</v>
      </c>
      <c r="L215" s="39" t="str">
        <f>+VLOOKUP(E215,[2]!Tableau__192.168.29.23_APSSQL_Arizona_v_Addr_Employee_F[[N° Article]:[UC_code]],10,)</f>
        <v>PCE</v>
      </c>
      <c r="M215" s="45">
        <f t="shared" si="53"/>
        <v>0</v>
      </c>
      <c r="O215" s="46"/>
    </row>
    <row r="216" spans="1:15" hidden="1" outlineLevel="1" x14ac:dyDescent="0.25">
      <c r="A216" s="110"/>
      <c r="B216" s="36" t="str">
        <f>+IF(AND($D$15=2,OR($G$13="sandwich", $G$13="Kit")),IF(OR($D$23="Encastrée - FU",$D$23="Encastrée - FU - Inox"),"2","0"),"0")</f>
        <v>0</v>
      </c>
      <c r="C216" s="37">
        <f>+B216*$F$4*$D$15</f>
        <v>0</v>
      </c>
      <c r="D216" t="str">
        <f>+VLOOKUP(E216,[2]!Tableau__192.168.29.23_APSSQL_Arizona_v_Addr_Employee_F[[N° Article]:[Description courte]],3,)</f>
        <v>PROFIL CADRE HORIZONTAL, ALU</v>
      </c>
      <c r="E216" s="47" t="s">
        <v>119</v>
      </c>
      <c r="F216" s="39"/>
      <c r="G216" s="40">
        <f>+VLOOKUP(E216,[2]!Tableau__192.168.29.23_APSSQL_Arizona_v_Addr_Employee_F[[N° Article]:[Poids net]],32,)</f>
        <v>0.1</v>
      </c>
      <c r="H216" s="41" t="s">
        <v>66</v>
      </c>
      <c r="I216" s="42">
        <f t="shared" si="55"/>
        <v>0</v>
      </c>
      <c r="J216" s="43" t="s">
        <v>61</v>
      </c>
      <c r="K216" s="44">
        <f>+VLOOKUP(E216,[2]!Tableau__192.168.29.23_APSSQL_Arizona_v_Addr_Employee_F[[N° Article]:[Cout total]],9,)</f>
        <v>2.5499999999999998</v>
      </c>
      <c r="L216" s="39" t="str">
        <f>+VLOOKUP(E216,[2]!Tableau__192.168.29.23_APSSQL_Arizona_v_Addr_Employee_F[[N° Article]:[UC_code]],10,)</f>
        <v>PCE</v>
      </c>
      <c r="M216" s="45">
        <f t="shared" si="53"/>
        <v>0</v>
      </c>
      <c r="O216" s="46"/>
    </row>
    <row r="217" spans="1:15" hidden="1" outlineLevel="1" x14ac:dyDescent="0.25">
      <c r="A217" s="110"/>
      <c r="B217" s="36" t="str">
        <f>+IF($D$15=2,IF(OR($D$23="Encastrée - FU",$D$23="Encastrée - FU - Inox"),"2","0"),"0")</f>
        <v>0</v>
      </c>
      <c r="C217" s="37">
        <f t="shared" si="54"/>
        <v>0</v>
      </c>
      <c r="D217" t="str">
        <f>+VLOOKUP(E217,[2]!Tableau__192.168.29.23_APSSQL_Arizona_v_Addr_Employee_F[[N° Article]:[Description courte]],3,)</f>
        <v>RENFORT D'ANGLE, ZNG</v>
      </c>
      <c r="E217" s="47" t="s">
        <v>68</v>
      </c>
      <c r="F217" s="39"/>
      <c r="G217" s="40">
        <f>+VLOOKUP(E217,[2]!Tableau__192.168.29.23_APSSQL_Arizona_v_Addr_Employee_F[[N° Article]:[Poids net]],32,)</f>
        <v>0.215</v>
      </c>
      <c r="H217" s="41" t="s">
        <v>66</v>
      </c>
      <c r="I217" s="42">
        <f t="shared" si="55"/>
        <v>0</v>
      </c>
      <c r="J217" s="43" t="s">
        <v>61</v>
      </c>
      <c r="K217" s="44">
        <f>+VLOOKUP(E217,[2]!Tableau__192.168.29.23_APSSQL_Arizona_v_Addr_Employee_F[[N° Article]:[Cout total]],9,)</f>
        <v>1.32</v>
      </c>
      <c r="L217" s="39" t="str">
        <f>+VLOOKUP(E217,[2]!Tableau__192.168.29.23_APSSQL_Arizona_v_Addr_Employee_F[[N° Article]:[UC_code]],10,)</f>
        <v>PCE</v>
      </c>
      <c r="M217" s="45">
        <f t="shared" si="53"/>
        <v>0</v>
      </c>
      <c r="O217" s="46"/>
    </row>
    <row r="218" spans="1:15" hidden="1" outlineLevel="1" x14ac:dyDescent="0.25">
      <c r="A218" s="110"/>
      <c r="B218" s="36" t="str">
        <f>+IF($D$15=2,IF(OR($D$23="Encastrée - FU",$D$23="Encastrée - FU - Inox"),"2","0"),"0")</f>
        <v>0</v>
      </c>
      <c r="C218" s="37">
        <f>+B218*$F$4*$D$15</f>
        <v>0</v>
      </c>
      <c r="D218" t="str">
        <f>+VLOOKUP(E218,[2]!Tableau__192.168.29.23_APSSQL_Arizona_v_Addr_Employee_F[[N° Article]:[Description courte]],3,)</f>
        <v>PLAQUE LIAISON PORTE, HAUT,ZNF</v>
      </c>
      <c r="E218" s="47" t="s">
        <v>85</v>
      </c>
      <c r="F218" s="39"/>
      <c r="G218" s="40">
        <f>+VLOOKUP(E218,[2]!Tableau__192.168.29.23_APSSQL_Arizona_v_Addr_Employee_F[[N° Article]:[Poids net]],32,)</f>
        <v>0.13</v>
      </c>
      <c r="H218" s="41" t="s">
        <v>66</v>
      </c>
      <c r="I218" s="42">
        <f t="shared" si="55"/>
        <v>0</v>
      </c>
      <c r="J218" s="43" t="s">
        <v>61</v>
      </c>
      <c r="K218" s="44">
        <f>+VLOOKUP(E218,[2]!Tableau__192.168.29.23_APSSQL_Arizona_v_Addr_Employee_F[[N° Article]:[Cout total]],9,)</f>
        <v>1.31</v>
      </c>
      <c r="L218" s="39" t="str">
        <f>+VLOOKUP(E218,[2]!Tableau__192.168.29.23_APSSQL_Arizona_v_Addr_Employee_F[[N° Article]:[UC_code]],10,)</f>
        <v>PCE</v>
      </c>
      <c r="M218" s="45">
        <f t="shared" si="53"/>
        <v>0</v>
      </c>
      <c r="O218" s="46"/>
    </row>
    <row r="219" spans="1:15" hidden="1" outlineLevel="1" x14ac:dyDescent="0.25">
      <c r="A219" s="110"/>
      <c r="B219" s="36" t="str">
        <f>+IF($D$15=2,IF(OR($D$23="Encastrée - FU",$D$23="Encastrée - FU - Inox"),"4","0"),"0")</f>
        <v>0</v>
      </c>
      <c r="C219" s="37">
        <f t="shared" ref="C219:C220" si="56">+B219*$F$4*$D$15</f>
        <v>0</v>
      </c>
      <c r="D219" t="str">
        <f>+VLOOKUP(E219,[2]!Tableau__192.168.29.23_APSSQL_Arizona_v_Addr_Employee_F[[N° Article]:[Description courte]],3,)</f>
        <v>RIVET AVEUGLE ACIER ø 6.4x26.0</v>
      </c>
      <c r="E219" s="47" t="s">
        <v>87</v>
      </c>
      <c r="F219" s="39"/>
      <c r="G219" s="40">
        <f>+VLOOKUP(E219,[2]!Tableau__192.168.29.23_APSSQL_Arizona_v_Addr_Employee_F[[N° Article]:[Poids net]],32,)</f>
        <v>0.01</v>
      </c>
      <c r="H219" s="41" t="s">
        <v>66</v>
      </c>
      <c r="I219" s="42">
        <f t="shared" si="55"/>
        <v>0</v>
      </c>
      <c r="J219" s="43" t="s">
        <v>61</v>
      </c>
      <c r="K219" s="44">
        <f>+VLOOKUP(E219,[2]!Tableau__192.168.29.23_APSSQL_Arizona_v_Addr_Employee_F[[N° Article]:[Cout total]],9,)</f>
        <v>17.03</v>
      </c>
      <c r="L219" s="39" t="str">
        <f>+VLOOKUP(E219,[2]!Tableau__192.168.29.23_APSSQL_Arizona_v_Addr_Employee_F[[N° Article]:[UC_code]],10,)</f>
        <v>CENT</v>
      </c>
      <c r="M219" s="45">
        <f t="shared" si="53"/>
        <v>0</v>
      </c>
      <c r="O219" s="46"/>
    </row>
    <row r="220" spans="1:15" hidden="1" outlineLevel="1" x14ac:dyDescent="0.25">
      <c r="A220" s="110"/>
      <c r="B220" s="36" t="str">
        <f>+IF($D$15=2,IF(OR($D$23="Encastrée - FU",$D$23="Encastrée - FU - Inox"),"10","0"),"0")</f>
        <v>0</v>
      </c>
      <c r="C220" s="37">
        <f t="shared" si="56"/>
        <v>0</v>
      </c>
      <c r="D220" t="str">
        <f>+VLOOKUP(E220,[2]!Tableau__192.168.29.23_APSSQL_Arizona_v_Addr_Employee_F[[N° Article]:[Description courte]],3,)</f>
        <v>RIVET ETANCHE INOX 4.8 x 15</v>
      </c>
      <c r="E220" s="47" t="s">
        <v>101</v>
      </c>
      <c r="F220" s="39"/>
      <c r="G220" s="40">
        <f>+VLOOKUP(E220,[2]!Tableau__192.168.29.23_APSSQL_Arizona_v_Addr_Employee_F[[N° Article]:[Poids net]],32,)</f>
        <v>0.01</v>
      </c>
      <c r="H220" s="41" t="s">
        <v>66</v>
      </c>
      <c r="I220" s="42">
        <f t="shared" si="55"/>
        <v>0</v>
      </c>
      <c r="J220" s="43" t="s">
        <v>61</v>
      </c>
      <c r="K220" s="44">
        <f>+VLOOKUP(E220,[2]!Tableau__192.168.29.23_APSSQL_Arizona_v_Addr_Employee_F[[N° Article]:[Cout total]],9,)</f>
        <v>16.61</v>
      </c>
      <c r="L220" s="39" t="str">
        <f>+VLOOKUP(E220,[2]!Tableau__192.168.29.23_APSSQL_Arizona_v_Addr_Employee_F[[N° Article]:[UC_code]],10,)</f>
        <v>CENT</v>
      </c>
      <c r="M220" s="45">
        <f t="shared" si="53"/>
        <v>0</v>
      </c>
      <c r="O220" s="46"/>
    </row>
    <row r="221" spans="1:15" hidden="1" outlineLevel="1" x14ac:dyDescent="0.25">
      <c r="A221" s="111"/>
      <c r="B221" s="36" t="str">
        <f>+IF(AND($D$15=2,$G$13="Snap-lock"),IF(OR($D$23="Encastrée - FU",$D$23="Encastrée - FU - Inox"),"3","0"),"0")</f>
        <v>0</v>
      </c>
      <c r="C221" s="37">
        <f>+B221*$F$4*$D$15/2</f>
        <v>0</v>
      </c>
      <c r="D221" t="str">
        <f>+VLOOKUP(E221,[2]!Tableau__192.168.29.23_APSSQL_Arizona_v_Addr_Employee_F[[N° Article]:[Description courte]],3,)</f>
        <v>ENTRETOISE FERMETURE "FU"</v>
      </c>
      <c r="E221" s="47" t="s">
        <v>120</v>
      </c>
      <c r="F221" s="39"/>
      <c r="G221" s="40">
        <f>+VLOOKUP(E221,[2]!Tableau__192.168.29.23_APSSQL_Arizona_v_Addr_Employee_F[[N° Article]:[Poids net]],32,)</f>
        <v>5.1999999999999998E-2</v>
      </c>
      <c r="H221" s="41" t="s">
        <v>66</v>
      </c>
      <c r="I221" s="42">
        <f t="shared" si="55"/>
        <v>0</v>
      </c>
      <c r="J221" s="43" t="s">
        <v>61</v>
      </c>
      <c r="K221" s="44">
        <f>+VLOOKUP(E221,[2]!Tableau__192.168.29.23_APSSQL_Arizona_v_Addr_Employee_F[[N° Article]:[Cout total]],9,)</f>
        <v>2.36</v>
      </c>
      <c r="L221" s="39" t="str">
        <f>+VLOOKUP(E221,[2]!Tableau__192.168.29.23_APSSQL_Arizona_v_Addr_Employee_F[[N° Article]:[UC_code]],10,)</f>
        <v>PCE</v>
      </c>
      <c r="M221" s="45">
        <f t="shared" si="53"/>
        <v>0</v>
      </c>
      <c r="O221" s="46"/>
    </row>
    <row r="222" spans="1:15" hidden="1" outlineLevel="1" x14ac:dyDescent="0.25">
      <c r="A222" s="111"/>
      <c r="B222" s="36" t="str">
        <f>+IF(AND($D$15=2,$G$13="Snap-lock"),IF(OR($D$23="Encastrée - FU",$D$23="Encastrée - FU - Inox"),"1","0"),"0")</f>
        <v>0</v>
      </c>
      <c r="C222" s="37">
        <f>+B222*$F$4*$D$15</f>
        <v>0</v>
      </c>
      <c r="D222" t="str">
        <f>+VLOOKUP(E222,[2]!Tableau__192.168.29.23_APSSQL_Arizona_v_Addr_Employee_F[[N° Article]:[Description courte]],3,)</f>
        <v>TOLE ARRIERE FU, COTE PROFIL</v>
      </c>
      <c r="E222" s="38" t="s">
        <v>121</v>
      </c>
      <c r="F222" s="39"/>
      <c r="G222" s="40">
        <f>+VLOOKUP(E222,[2]!Tableau__192.168.29.23_APSSQL_Arizona_v_Addr_Employee_F[[N° Article]:[Poids net]],32,)</f>
        <v>0</v>
      </c>
      <c r="H222" s="41" t="s">
        <v>66</v>
      </c>
      <c r="I222" s="42">
        <f t="shared" si="55"/>
        <v>0</v>
      </c>
      <c r="J222" s="43" t="s">
        <v>61</v>
      </c>
      <c r="K222" s="44">
        <f>+VLOOKUP(E222,[2]!Tableau__192.168.29.23_APSSQL_Arizona_v_Addr_Employee_F[[N° Article]:[Cout total]],9,)</f>
        <v>2.86</v>
      </c>
      <c r="L222" s="39" t="str">
        <f>+VLOOKUP(E222,[2]!Tableau__192.168.29.23_APSSQL_Arizona_v_Addr_Employee_F[[N° Article]:[UC_code]],10,)</f>
        <v>PCE</v>
      </c>
      <c r="M222" s="45">
        <f t="shared" si="53"/>
        <v>0</v>
      </c>
      <c r="O222" s="46"/>
    </row>
    <row r="223" spans="1:15" hidden="1" outlineLevel="1" x14ac:dyDescent="0.25">
      <c r="A223" s="111"/>
      <c r="B223" s="36" t="str">
        <f>+IF(AND($D$15=2,$G$13="Snap-lock"),IF(OR($D$23="Encastrée - FU",$D$23="Encastrée - FU - Inox"),"8","0"),"0")</f>
        <v>0</v>
      </c>
      <c r="C223" s="37">
        <f>+B223*$F$4*$D$15</f>
        <v>0</v>
      </c>
      <c r="D223" t="str">
        <f>+VLOOKUP(E223,[2]!Tableau__192.168.29.23_APSSQL_Arizona_v_Addr_Employee_F[[N° Article]:[Description courte]],3,)</f>
        <v>VIS M5X25 TBO 6-PS CR INOX</v>
      </c>
      <c r="E223" s="38" t="s">
        <v>102</v>
      </c>
      <c r="F223" s="39"/>
      <c r="G223" s="40">
        <f>+VLOOKUP(E223,[2]!Tableau__192.168.29.23_APSSQL_Arizona_v_Addr_Employee_F[[N° Article]:[Poids net]],32,)</f>
        <v>5.0000000000000001E-3</v>
      </c>
      <c r="H223" s="41" t="s">
        <v>66</v>
      </c>
      <c r="I223" s="42">
        <f t="shared" si="55"/>
        <v>0</v>
      </c>
      <c r="J223" s="43" t="s">
        <v>61</v>
      </c>
      <c r="K223" s="44">
        <f>+VLOOKUP(E223,[2]!Tableau__192.168.29.23_APSSQL_Arizona_v_Addr_Employee_F[[N° Article]:[Cout total]],9,)</f>
        <v>3.99</v>
      </c>
      <c r="L223" s="39" t="str">
        <f>+VLOOKUP(E223,[2]!Tableau__192.168.29.23_APSSQL_Arizona_v_Addr_Employee_F[[N° Article]:[UC_code]],10,)</f>
        <v>CENT</v>
      </c>
      <c r="M223" s="45">
        <f t="shared" si="53"/>
        <v>0</v>
      </c>
      <c r="O223" s="46"/>
    </row>
    <row r="224" spans="1:15" hidden="1" outlineLevel="1" x14ac:dyDescent="0.25">
      <c r="A224" s="111"/>
      <c r="B224" s="36" t="str">
        <f>+IF(AND($D$15=2,$G$13="Snap-lock"),IF(OR($D$23="Encastrée - FU",$D$23="Encastrée - FU - Inox"),"8","0"),"0")</f>
        <v>0</v>
      </c>
      <c r="C224" s="37">
        <f>+B224*$F$4*$D$15</f>
        <v>0</v>
      </c>
      <c r="D224" t="str">
        <f>+VLOOKUP(E224,[2]!Tableau__192.168.29.23_APSSQL_Arizona_v_Addr_Employee_F[[N° Article]:[Description courte]],3,)</f>
        <v>DOUILLE NO 921 M5 x 15</v>
      </c>
      <c r="E224" s="47" t="s">
        <v>104</v>
      </c>
      <c r="F224" s="39"/>
      <c r="G224" s="40">
        <f>+VLOOKUP(E224,[2]!Tableau__192.168.29.23_APSSQL_Arizona_v_Addr_Employee_F[[N° Article]:[Poids net]],32,)</f>
        <v>5.0000000000000001E-3</v>
      </c>
      <c r="H224" s="41" t="s">
        <v>66</v>
      </c>
      <c r="I224" s="42">
        <f t="shared" si="55"/>
        <v>0</v>
      </c>
      <c r="J224" s="43" t="s">
        <v>61</v>
      </c>
      <c r="K224" s="44">
        <f>+VLOOKUP(E224,[2]!Tableau__192.168.29.23_APSSQL_Arizona_v_Addr_Employee_F[[N° Article]:[Cout total]],9,)</f>
        <v>37.19</v>
      </c>
      <c r="L224" s="39" t="str">
        <f>+VLOOKUP(E224,[2]!Tableau__192.168.29.23_APSSQL_Arizona_v_Addr_Employee_F[[N° Article]:[UC_code]],10,)</f>
        <v>CENT</v>
      </c>
      <c r="M224" s="45">
        <f t="shared" si="53"/>
        <v>0</v>
      </c>
      <c r="O224" s="46"/>
    </row>
    <row r="225" spans="1:18" ht="15.75" hidden="1" outlineLevel="1" thickBot="1" x14ac:dyDescent="0.3">
      <c r="A225" s="112"/>
      <c r="B225" s="48" t="str">
        <f>+IF(AND($D$15=2,$G$19="oui "),IF(OR($D$23="Encastrée - FU",$D$23="Encastrée - FU - Inox"),"2","0"),"0")</f>
        <v>0</v>
      </c>
      <c r="C225" s="49">
        <f>+B225*$F$4</f>
        <v>0</v>
      </c>
      <c r="D225" s="50" t="str">
        <f>+VLOOKUP(E225,[2]!Tableau__192.168.29.23_APSSQL_Arizona_v_Addr_Employee_F[[N° Article]:[Description courte]],3,)</f>
        <v>ROND.S.CHANFREIN</v>
      </c>
      <c r="E225" s="71" t="s">
        <v>103</v>
      </c>
      <c r="F225" s="52"/>
      <c r="G225" s="53">
        <f>+VLOOKUP(E225,[2]!Tableau__192.168.29.23_APSSQL_Arizona_v_Addr_Employee_F[[N° Article]:[Poids net]],32,)</f>
        <v>5.0000000000000001E-3</v>
      </c>
      <c r="H225" s="54" t="s">
        <v>66</v>
      </c>
      <c r="I225" s="66">
        <f t="shared" si="55"/>
        <v>0</v>
      </c>
      <c r="J225" s="55" t="s">
        <v>61</v>
      </c>
      <c r="K225" s="56">
        <f>+VLOOKUP(E225,[2]!Tableau__192.168.29.23_APSSQL_Arizona_v_Addr_Employee_F[[N° Article]:[Cout total]],9,)</f>
        <v>1.27</v>
      </c>
      <c r="L225" s="52" t="str">
        <f>+VLOOKUP(E225,[2]!Tableau__192.168.29.23_APSSQL_Arizona_v_Addr_Employee_F[[N° Article]:[UC_code]],10,)</f>
        <v>PCE</v>
      </c>
      <c r="M225" s="45">
        <f t="shared" si="53"/>
        <v>0</v>
      </c>
      <c r="O225" s="46"/>
    </row>
    <row r="226" spans="1:18" ht="15.75" hidden="1" collapsed="1" thickBot="1" x14ac:dyDescent="0.3">
      <c r="A226" s="113" t="str">
        <f>+A208</f>
        <v>Fermetures encastrées 2 Fermetures - FU</v>
      </c>
      <c r="B226" s="114"/>
      <c r="C226" s="115"/>
      <c r="I226" s="81" t="e">
        <f>+SUM(I209:I225)</f>
        <v>#REF!</v>
      </c>
      <c r="M226" s="82" t="e">
        <f>+SUM(M209:M225)</f>
        <v>#REF!</v>
      </c>
      <c r="O226" s="46"/>
    </row>
    <row r="227" spans="1:18" hidden="1" x14ac:dyDescent="0.25">
      <c r="A227" s="39"/>
      <c r="B227" s="39"/>
      <c r="C227" s="39"/>
      <c r="I227" s="64"/>
      <c r="O227" s="46"/>
    </row>
    <row r="228" spans="1:18" ht="18.75" hidden="1" outlineLevel="1" x14ac:dyDescent="0.25">
      <c r="A228" s="109" t="s">
        <v>122</v>
      </c>
      <c r="B228" s="27"/>
      <c r="C228" s="28"/>
      <c r="D228" s="29"/>
      <c r="E228" s="30"/>
      <c r="F228" s="30"/>
      <c r="G228" s="31"/>
      <c r="H228" s="31"/>
      <c r="I228" s="32"/>
      <c r="J228" s="33"/>
      <c r="K228" s="34"/>
      <c r="L228" s="30"/>
      <c r="M228" s="35"/>
      <c r="O228" s="46"/>
    </row>
    <row r="229" spans="1:18" hidden="1" outlineLevel="1" x14ac:dyDescent="0.25">
      <c r="A229" s="110"/>
      <c r="B229" s="36" t="str">
        <f>+IF($D$15=4,IF(OR($D$23="Encastrée - FU",$D$23="Encastrée - FU - Inox"),"1","0"),"0")</f>
        <v>0</v>
      </c>
      <c r="C229" s="37">
        <f>+B229*$F$4*$D$15</f>
        <v>0</v>
      </c>
      <c r="D229" t="str">
        <f>+VLOOKUP(E229,[2]!Tableau__192.168.29.23_APSSQL_Arizona_v_Addr_Employee_F[[N° Article]:[Description courte]],3,)</f>
        <v>AXE ø 18 COURT, L = 2930</v>
      </c>
      <c r="E229" s="83" t="str">
        <f>+IF($F$6&lt;=2830,"2 119 093","2 119 094")</f>
        <v>2 119 093</v>
      </c>
      <c r="F229" s="39"/>
      <c r="G229" s="40">
        <f>+VLOOKUP(E229,[2]!Tableau__192.168.29.23_APSSQL_Arizona_v_Addr_Employee_F[[N° Article]:[Poids net]],32,)</f>
        <v>5.6</v>
      </c>
      <c r="H229" s="41" t="s">
        <v>66</v>
      </c>
      <c r="I229" s="42">
        <f>+G229*C229</f>
        <v>0</v>
      </c>
      <c r="J229" s="43" t="s">
        <v>61</v>
      </c>
      <c r="K229" s="44">
        <f>+VLOOKUP(E229,[2]!Tableau__192.168.29.23_APSSQL_Arizona_v_Addr_Employee_F[[N° Article]:[Cout total]],9,)</f>
        <v>36.29</v>
      </c>
      <c r="L229" s="39" t="str">
        <f>+VLOOKUP(E229,[2]!Tableau__192.168.29.23_APSSQL_Arizona_v_Addr_Employee_F[[N° Article]:[UC_code]],10,)</f>
        <v>PCE</v>
      </c>
      <c r="M229" s="45">
        <f t="shared" ref="M229:M247" si="57">IF(L229="CENT",C229*K229/100,IF(L229="KG",K229*I229,K229*C229))</f>
        <v>0</v>
      </c>
      <c r="O229" s="46"/>
    </row>
    <row r="230" spans="1:18" hidden="1" outlineLevel="1" x14ac:dyDescent="0.25">
      <c r="A230" s="110"/>
      <c r="B230" s="36" t="str">
        <f>+IF($D$15=4,IF(OR($D$23="Encastrée - FU",$D$23="Encastrée - FU - Inox"),"1","0"),"0")</f>
        <v>0</v>
      </c>
      <c r="C230" s="37">
        <f t="shared" ref="C230:C233" si="58">+B230*$F$4*$D$15</f>
        <v>0</v>
      </c>
      <c r="D230" t="str">
        <f>+VLOOKUP(E230,[2]!Tableau__192.168.29.23_APSSQL_Arizona_v_Addr_Employee_F[[N° Article]:[Description courte]],3,)</f>
        <v>POIGNEE FURGO INOX</v>
      </c>
      <c r="E230" s="47" t="s">
        <v>116</v>
      </c>
      <c r="F230" s="39"/>
      <c r="G230" s="40">
        <f>+VLOOKUP(E230,[2]!Tableau__192.168.29.23_APSSQL_Arizona_v_Addr_Employee_F[[N° Article]:[Poids net]],32,)</f>
        <v>1.8</v>
      </c>
      <c r="H230" s="41" t="s">
        <v>66</v>
      </c>
      <c r="I230" s="42">
        <f t="shared" ref="I230:I247" si="59">+G230*C230</f>
        <v>0</v>
      </c>
      <c r="J230" s="43" t="s">
        <v>61</v>
      </c>
      <c r="K230" s="44">
        <f>+VLOOKUP(E230,[2]!Tableau__192.168.29.23_APSSQL_Arizona_v_Addr_Employee_F[[N° Article]:[Cout total]],9,)</f>
        <v>96.7</v>
      </c>
      <c r="L230" s="39" t="str">
        <f>+VLOOKUP(E230,[2]!Tableau__192.168.29.23_APSSQL_Arizona_v_Addr_Employee_F[[N° Article]:[UC_code]],10,)</f>
        <v>PCE</v>
      </c>
      <c r="M230" s="45">
        <f t="shared" si="57"/>
        <v>0</v>
      </c>
      <c r="O230" s="46"/>
    </row>
    <row r="231" spans="1:18" hidden="1" outlineLevel="1" x14ac:dyDescent="0.25">
      <c r="A231" s="110"/>
      <c r="B231" s="36" t="str">
        <f>+IF($D$15=4,IF($D$23="Encastrée - FU","2","0"),"0")</f>
        <v>0</v>
      </c>
      <c r="C231" s="37">
        <f t="shared" si="58"/>
        <v>0</v>
      </c>
      <c r="D231" t="str">
        <f>+VLOOKUP(E231,[2]!Tableau__192.168.29.23_APSSQL_Arizona_v_Addr_Employee_F[[N° Article]:[Description courte]],3,)</f>
        <v>BOXER 2 CROCHET Ø 18 ZNF</v>
      </c>
      <c r="E231" s="38" t="s">
        <v>84</v>
      </c>
      <c r="F231" s="39"/>
      <c r="G231" s="40">
        <f>+VLOOKUP(E231,[2]!Tableau__192.168.29.23_APSSQL_Arizona_v_Addr_Employee_F[[N° Article]:[Poids net]],32,)</f>
        <v>0.2</v>
      </c>
      <c r="H231" s="41" t="s">
        <v>66</v>
      </c>
      <c r="I231" s="42">
        <f t="shared" si="59"/>
        <v>0</v>
      </c>
      <c r="J231" s="43" t="s">
        <v>61</v>
      </c>
      <c r="K231" s="44">
        <f>+VLOOKUP(E231,[2]!Tableau__192.168.29.23_APSSQL_Arizona_v_Addr_Employee_F[[N° Article]:[Cout total]],9,)</f>
        <v>1.1000000000000001</v>
      </c>
      <c r="L231" s="39" t="str">
        <f>+VLOOKUP(E231,[2]!Tableau__192.168.29.23_APSSQL_Arizona_v_Addr_Employee_F[[N° Article]:[UC_code]],10,)</f>
        <v>PCE</v>
      </c>
      <c r="M231" s="45">
        <f t="shared" si="57"/>
        <v>0</v>
      </c>
      <c r="O231" s="46"/>
    </row>
    <row r="232" spans="1:18" hidden="1" outlineLevel="1" x14ac:dyDescent="0.25">
      <c r="A232" s="110"/>
      <c r="B232" s="36" t="str">
        <f>+IF($D$15=4,IF($D$23="Encastrée - FU - Inox","2","0"),"0")</f>
        <v>0</v>
      </c>
      <c r="C232" s="37">
        <f t="shared" si="58"/>
        <v>0</v>
      </c>
      <c r="D232" t="str">
        <f>+VLOOKUP(E232,[2]!Tableau__192.168.29.23_APSSQL_Arizona_v_Addr_Employee_F[[N° Article]:[Description courte]],3,)</f>
        <v>BOXER CROCHET Ø 18, INOX</v>
      </c>
      <c r="E232" s="38" t="s">
        <v>95</v>
      </c>
      <c r="F232" s="39"/>
      <c r="G232" s="40">
        <f>+VLOOKUP(E232,[2]!Tableau__192.168.29.23_APSSQL_Arizona_v_Addr_Employee_F[[N° Article]:[Poids net]],32,)</f>
        <v>0.18</v>
      </c>
      <c r="H232" s="41" t="s">
        <v>66</v>
      </c>
      <c r="I232" s="42">
        <f t="shared" si="59"/>
        <v>0</v>
      </c>
      <c r="J232" s="43" t="s">
        <v>61</v>
      </c>
      <c r="K232" s="44">
        <f>+VLOOKUP(E232,[2]!Tableau__192.168.29.23_APSSQL_Arizona_v_Addr_Employee_F[[N° Article]:[Cout total]],9,)</f>
        <v>2.33</v>
      </c>
      <c r="L232" s="39" t="str">
        <f>+VLOOKUP(E232,[2]!Tableau__192.168.29.23_APSSQL_Arizona_v_Addr_Employee_F[[N° Article]:[UC_code]],10,)</f>
        <v>PCE</v>
      </c>
      <c r="M232" s="45">
        <f t="shared" si="57"/>
        <v>0</v>
      </c>
      <c r="O232" s="46"/>
    </row>
    <row r="233" spans="1:18" hidden="1" outlineLevel="1" x14ac:dyDescent="0.25">
      <c r="A233" s="110"/>
      <c r="B233" s="36" t="str">
        <f>+IF($D$15=4,IF(OR($D$23="Encastrée - FU",$D$23="Encastrée - FU - Inox"),"4","0"),"0")</f>
        <v>0</v>
      </c>
      <c r="C233" s="37">
        <f t="shared" si="58"/>
        <v>0</v>
      </c>
      <c r="D233" t="e">
        <f>+VLOOKUP(E233,[2]!Tableau__192.168.29.23_APSSQL_Arizona_v_Addr_Employee_F[[N° Article]:[Description courte]],3,)</f>
        <v>#REF!</v>
      </c>
      <c r="E233" s="38" t="str">
        <f>+IF(D23="Encastrée - FU - Inox","2 019 701","2 019 699")</f>
        <v>2 019 699</v>
      </c>
      <c r="F233" s="39"/>
      <c r="G233" s="40" t="e">
        <f>+VLOOKUP(E233,[2]!Tableau__192.168.29.23_APSSQL_Arizona_v_Addr_Employee_F[[N° Article]:[Poids net]],32,)</f>
        <v>#REF!</v>
      </c>
      <c r="H233" s="41" t="s">
        <v>66</v>
      </c>
      <c r="I233" s="42" t="e">
        <f t="shared" si="59"/>
        <v>#REF!</v>
      </c>
      <c r="J233" s="43" t="s">
        <v>61</v>
      </c>
      <c r="K233" s="44" t="e">
        <f>+VLOOKUP(E233,[2]!Tableau__192.168.29.23_APSSQL_Arizona_v_Addr_Employee_F[[N° Article]:[Cout total]],9,)</f>
        <v>#REF!</v>
      </c>
      <c r="L233" s="39" t="e">
        <f>+VLOOKUP(E233,[2]!Tableau__192.168.29.23_APSSQL_Arizona_v_Addr_Employee_F[[N° Article]:[UC_code]],10,)</f>
        <v>#REF!</v>
      </c>
      <c r="M233" s="45" t="e">
        <f t="shared" si="57"/>
        <v>#REF!</v>
      </c>
      <c r="O233" s="46"/>
    </row>
    <row r="234" spans="1:18" hidden="1" outlineLevel="1" x14ac:dyDescent="0.25">
      <c r="A234" s="110"/>
      <c r="B234" s="36" t="str">
        <f>+IF(AND($D$15=4,$D$13=2),IF(OR($D$23="Encastrée - FU",$D$23="Encastrée - FU - Inox"),"2","0"),"0")</f>
        <v>0</v>
      </c>
      <c r="C234" s="37">
        <f>+B234*$F$4*$D$15/2</f>
        <v>0</v>
      </c>
      <c r="D234" t="str">
        <f>+VLOOKUP(E234,[2]!Tableau__192.168.29.23_APSSQL_Arizona_v_Addr_Employee_F[[N° Article]:[Description courte]],3,)</f>
        <v>PROFIL CADRE HORIZONTAL, ALU</v>
      </c>
      <c r="E234" s="38" t="s">
        <v>123</v>
      </c>
      <c r="F234" s="39"/>
      <c r="G234" s="40">
        <f>+VLOOKUP(E234,[2]!Tableau__192.168.29.23_APSSQL_Arizona_v_Addr_Employee_F[[N° Article]:[Poids net]],32,)</f>
        <v>0.125</v>
      </c>
      <c r="H234" s="41" t="s">
        <v>66</v>
      </c>
      <c r="I234" s="42">
        <f t="shared" si="59"/>
        <v>0</v>
      </c>
      <c r="J234" s="43" t="s">
        <v>61</v>
      </c>
      <c r="K234" s="44">
        <f>+VLOOKUP(E234,[2]!Tableau__192.168.29.23_APSSQL_Arizona_v_Addr_Employee_F[[N° Article]:[Cout total]],9,)</f>
        <v>2.15</v>
      </c>
      <c r="L234" s="39" t="str">
        <f>+VLOOKUP(E234,[2]!Tableau__192.168.29.23_APSSQL_Arizona_v_Addr_Employee_F[[N° Article]:[UC_code]],10,)</f>
        <v>PCE</v>
      </c>
      <c r="M234" s="45">
        <f t="shared" si="57"/>
        <v>0</v>
      </c>
      <c r="O234" s="46"/>
    </row>
    <row r="235" spans="1:18" hidden="1" outlineLevel="1" x14ac:dyDescent="0.25">
      <c r="A235" s="110"/>
      <c r="B235" s="36">
        <f>+IF(AND($D$15=4,OR($G$13="sandwich",$G$13="Kit")),IF(OR($D$23="Encastrée - FU",$D$23="Encastrée - FU - Inox"),IF($D$13=4,1,1.5),0),"0")</f>
        <v>0</v>
      </c>
      <c r="C235" s="37">
        <f>+(B235*$D$15*$F$4)</f>
        <v>0</v>
      </c>
      <c r="D235" t="str">
        <f>+VLOOKUP(E235,[2]!Tableau__192.168.29.23_APSSQL_Arizona_v_Addr_Employee_F[[N° Article]:[Description courte]],3,)</f>
        <v>PROFIL CADRE VERTICAL EN ALU</v>
      </c>
      <c r="E235" s="38" t="s">
        <v>118</v>
      </c>
      <c r="F235" s="39"/>
      <c r="G235" s="40">
        <f>+VLOOKUP(E235,[2]!Tableau__192.168.29.23_APSSQL_Arizona_v_Addr_Employee_F[[N° Article]:[Poids net]],32,)</f>
        <v>5.5E-2</v>
      </c>
      <c r="H235" s="41" t="s">
        <v>66</v>
      </c>
      <c r="I235" s="42">
        <f t="shared" si="59"/>
        <v>0</v>
      </c>
      <c r="J235" s="43" t="s">
        <v>61</v>
      </c>
      <c r="K235" s="44">
        <f>+VLOOKUP(E235,[2]!Tableau__192.168.29.23_APSSQL_Arizona_v_Addr_Employee_F[[N° Article]:[Cout total]],9,)</f>
        <v>1.51</v>
      </c>
      <c r="L235" s="39" t="str">
        <f>+VLOOKUP(E235,[2]!Tableau__192.168.29.23_APSSQL_Arizona_v_Addr_Employee_F[[N° Article]:[UC_code]],10,)</f>
        <v>PCE</v>
      </c>
      <c r="M235" s="45">
        <f t="shared" si="57"/>
        <v>0</v>
      </c>
      <c r="O235" s="46"/>
    </row>
    <row r="236" spans="1:18" hidden="1" outlineLevel="1" x14ac:dyDescent="0.25">
      <c r="A236" s="110"/>
      <c r="B236" s="36">
        <f>+IF(AND($D$15=4,OR($G$13="sandwich", $G$13="Kit")),IF(OR($D$23="Encastrée - FU",$D$23="Encastrée - FU - Inox"),IF($D$13=2,1,2),0),"0")</f>
        <v>0</v>
      </c>
      <c r="C236" s="37">
        <f>+B236*$F$4*$D$15</f>
        <v>0</v>
      </c>
      <c r="D236" t="str">
        <f>+VLOOKUP(E236,[2]!Tableau__192.168.29.23_APSSQL_Arizona_v_Addr_Employee_F[[N° Article]:[Description courte]],3,)</f>
        <v>PROFIL CADRE HORIZONTAL, ALU</v>
      </c>
      <c r="E236" s="47" t="s">
        <v>119</v>
      </c>
      <c r="F236" s="39"/>
      <c r="G236" s="40">
        <f>+VLOOKUP(E236,[2]!Tableau__192.168.29.23_APSSQL_Arizona_v_Addr_Employee_F[[N° Article]:[Poids net]],32,)</f>
        <v>0.1</v>
      </c>
      <c r="H236" s="41" t="s">
        <v>66</v>
      </c>
      <c r="I236" s="42">
        <f t="shared" si="59"/>
        <v>0</v>
      </c>
      <c r="J236" s="43" t="s">
        <v>61</v>
      </c>
      <c r="K236" s="44">
        <f>+VLOOKUP(E236,[2]!Tableau__192.168.29.23_APSSQL_Arizona_v_Addr_Employee_F[[N° Article]:[Cout total]],9,)</f>
        <v>2.5499999999999998</v>
      </c>
      <c r="L236" s="39" t="str">
        <f>+VLOOKUP(E236,[2]!Tableau__192.168.29.23_APSSQL_Arizona_v_Addr_Employee_F[[N° Article]:[UC_code]],10,)</f>
        <v>PCE</v>
      </c>
      <c r="M236" s="45">
        <f t="shared" si="57"/>
        <v>0</v>
      </c>
      <c r="O236" s="46"/>
    </row>
    <row r="237" spans="1:18" hidden="1" outlineLevel="1" x14ac:dyDescent="0.25">
      <c r="A237" s="110"/>
      <c r="B237" s="36" t="str">
        <f>+IF($D$15=4,IF(OR($D$23="Encastrée - FU",$D$23="Encastrée - FU - Inox"),"1","0"),"0")</f>
        <v>0</v>
      </c>
      <c r="C237" s="37">
        <f t="shared" ref="C237:C238" si="60">+B237*$F$4*$D$15</f>
        <v>0</v>
      </c>
      <c r="D237" t="str">
        <f>+VLOOKUP(E237,[2]!Tableau__192.168.29.23_APSSQL_Arizona_v_Addr_Employee_F[[N° Article]:[Description courte]],3,)</f>
        <v>PROFIL INTERMEDIAIRE NYLON</v>
      </c>
      <c r="E237" s="47" t="s">
        <v>117</v>
      </c>
      <c r="F237" s="39"/>
      <c r="G237" s="40">
        <f>+VLOOKUP(E237,[2]!Tableau__192.168.29.23_APSSQL_Arizona_v_Addr_Employee_F[[N° Article]:[Poids net]],32,)</f>
        <v>0.02</v>
      </c>
      <c r="H237" s="41" t="s">
        <v>66</v>
      </c>
      <c r="I237" s="42">
        <f t="shared" si="59"/>
        <v>0</v>
      </c>
      <c r="J237" s="43" t="s">
        <v>61</v>
      </c>
      <c r="K237" s="44">
        <f>+VLOOKUP(E237,[2]!Tableau__192.168.29.23_APSSQL_Arizona_v_Addr_Employee_F[[N° Article]:[Cout total]],9,)</f>
        <v>3.03</v>
      </c>
      <c r="L237" s="39" t="str">
        <f>+VLOOKUP(E237,[2]!Tableau__192.168.29.23_APSSQL_Arizona_v_Addr_Employee_F[[N° Article]:[UC_code]],10,)</f>
        <v>PCE</v>
      </c>
      <c r="M237" s="45">
        <f t="shared" si="57"/>
        <v>0</v>
      </c>
      <c r="O237" s="46"/>
      <c r="P237" s="77"/>
      <c r="Q237" s="77"/>
      <c r="R237" s="77"/>
    </row>
    <row r="238" spans="1:18" hidden="1" outlineLevel="1" x14ac:dyDescent="0.25">
      <c r="A238" s="110"/>
      <c r="B238" s="36" t="str">
        <f>+IF($D$15=4,IF(OR($D$23="Encastrée - FU",$D$23="Encastrée - FU - Inox"),"2","0"),"0")</f>
        <v>0</v>
      </c>
      <c r="C238" s="37">
        <f t="shared" si="60"/>
        <v>0</v>
      </c>
      <c r="D238" t="str">
        <f>+VLOOKUP(E238,[2]!Tableau__192.168.29.23_APSSQL_Arizona_v_Addr_Employee_F[[N° Article]:[Description courte]],3,)</f>
        <v>RENFORT D'ANGLE, ZNG</v>
      </c>
      <c r="E238" s="47" t="s">
        <v>68</v>
      </c>
      <c r="F238" s="39"/>
      <c r="G238" s="40">
        <f>+VLOOKUP(E238,[2]!Tableau__192.168.29.23_APSSQL_Arizona_v_Addr_Employee_F[[N° Article]:[Poids net]],32,)</f>
        <v>0.215</v>
      </c>
      <c r="H238" s="41" t="s">
        <v>66</v>
      </c>
      <c r="I238" s="42">
        <f t="shared" si="59"/>
        <v>0</v>
      </c>
      <c r="J238" s="43" t="s">
        <v>61</v>
      </c>
      <c r="K238" s="44">
        <f>+VLOOKUP(E238,[2]!Tableau__192.168.29.23_APSSQL_Arizona_v_Addr_Employee_F[[N° Article]:[Cout total]],9,)</f>
        <v>1.32</v>
      </c>
      <c r="L238" s="39" t="str">
        <f>+VLOOKUP(E238,[2]!Tableau__192.168.29.23_APSSQL_Arizona_v_Addr_Employee_F[[N° Article]:[UC_code]],10,)</f>
        <v>PCE</v>
      </c>
      <c r="M238" s="45">
        <f t="shared" si="57"/>
        <v>0</v>
      </c>
      <c r="O238" s="46"/>
      <c r="P238" s="77"/>
      <c r="Q238" s="77"/>
      <c r="R238" s="77"/>
    </row>
    <row r="239" spans="1:18" hidden="1" outlineLevel="1" x14ac:dyDescent="0.25">
      <c r="A239" s="110"/>
      <c r="B239" s="36" t="str">
        <f>+IF($D$15=4,IF(OR($D$23="Encastrée - FU",$D$23="Encastrée - FU - Inox"),"2","0"),"0")</f>
        <v>0</v>
      </c>
      <c r="C239" s="37">
        <f>+B239*$F$4*$D$15</f>
        <v>0</v>
      </c>
      <c r="D239" t="str">
        <f>+VLOOKUP(E239,[2]!Tableau__192.168.29.23_APSSQL_Arizona_v_Addr_Employee_F[[N° Article]:[Description courte]],3,)</f>
        <v>PLAQUE LIAISON PORTE, HAUT,ZNF</v>
      </c>
      <c r="E239" s="47" t="s">
        <v>85</v>
      </c>
      <c r="F239" s="39"/>
      <c r="G239" s="40">
        <f>+VLOOKUP(E239,[2]!Tableau__192.168.29.23_APSSQL_Arizona_v_Addr_Employee_F[[N° Article]:[Poids net]],32,)</f>
        <v>0.13</v>
      </c>
      <c r="H239" s="41" t="s">
        <v>66</v>
      </c>
      <c r="I239" s="42">
        <f t="shared" si="59"/>
        <v>0</v>
      </c>
      <c r="J239" s="43" t="s">
        <v>61</v>
      </c>
      <c r="K239" s="44">
        <f>+VLOOKUP(E239,[2]!Tableau__192.168.29.23_APSSQL_Arizona_v_Addr_Employee_F[[N° Article]:[Cout total]],9,)</f>
        <v>1.31</v>
      </c>
      <c r="L239" s="39" t="str">
        <f>+VLOOKUP(E239,[2]!Tableau__192.168.29.23_APSSQL_Arizona_v_Addr_Employee_F[[N° Article]:[UC_code]],10,)</f>
        <v>PCE</v>
      </c>
      <c r="M239" s="45">
        <f t="shared" si="57"/>
        <v>0</v>
      </c>
      <c r="O239" s="46"/>
      <c r="P239" s="77"/>
      <c r="Q239" s="77"/>
      <c r="R239" s="77"/>
    </row>
    <row r="240" spans="1:18" hidden="1" outlineLevel="1" x14ac:dyDescent="0.25">
      <c r="A240" s="110"/>
      <c r="B240" s="36" t="str">
        <f>+IF($D$15=4,IF(OR($D$23="Encastrée - FU",$D$23="Encastrée - FU - Inox"),"4","0"),"0")</f>
        <v>0</v>
      </c>
      <c r="C240" s="37">
        <f t="shared" ref="C240" si="61">+B240*$F$4*$D$15</f>
        <v>0</v>
      </c>
      <c r="D240" t="str">
        <f>+VLOOKUP(E240,[2]!Tableau__192.168.29.23_APSSQL_Arizona_v_Addr_Employee_F[[N° Article]:[Description courte]],3,)</f>
        <v>RIVET AVEUGLE ACIER ø 6.4x26.0</v>
      </c>
      <c r="E240" s="47" t="s">
        <v>87</v>
      </c>
      <c r="F240" s="39"/>
      <c r="G240" s="40">
        <f>+VLOOKUP(E240,[2]!Tableau__192.168.29.23_APSSQL_Arizona_v_Addr_Employee_F[[N° Article]:[Poids net]],32,)</f>
        <v>0.01</v>
      </c>
      <c r="H240" s="41" t="s">
        <v>66</v>
      </c>
      <c r="I240" s="42">
        <f t="shared" si="59"/>
        <v>0</v>
      </c>
      <c r="J240" s="43" t="s">
        <v>61</v>
      </c>
      <c r="K240" s="44">
        <f>+VLOOKUP(E240,[2]!Tableau__192.168.29.23_APSSQL_Arizona_v_Addr_Employee_F[[N° Article]:[Cout total]],9,)</f>
        <v>17.03</v>
      </c>
      <c r="L240" s="39" t="str">
        <f>+VLOOKUP(E240,[2]!Tableau__192.168.29.23_APSSQL_Arizona_v_Addr_Employee_F[[N° Article]:[UC_code]],10,)</f>
        <v>CENT</v>
      </c>
      <c r="M240" s="45">
        <f t="shared" si="57"/>
        <v>0</v>
      </c>
      <c r="O240" s="46"/>
    </row>
    <row r="241" spans="1:15" hidden="1" outlineLevel="1" x14ac:dyDescent="0.25">
      <c r="A241" s="111"/>
      <c r="B241" s="36" t="str">
        <f>+IF(AND($D$15=4,$G$19="oui "),IF(OR($D$23="Encastrée - FU",$D$23="Encastrée - FU - Inox"),"4","0"),"0")</f>
        <v>0</v>
      </c>
      <c r="C241" s="37">
        <f>+B241*$F$4</f>
        <v>0</v>
      </c>
      <c r="D241" t="str">
        <f>+VLOOKUP(E241,[2]!Tableau__192.168.29.23_APSSQL_Arizona_v_Addr_Employee_F[[N° Article]:[Description courte]],3,)</f>
        <v>ROND.S.CHANFREIN</v>
      </c>
      <c r="E241" s="38" t="s">
        <v>103</v>
      </c>
      <c r="F241" s="39"/>
      <c r="G241" s="40">
        <f>+VLOOKUP(E241,[2]!Tableau__192.168.29.23_APSSQL_Arizona_v_Addr_Employee_F[[N° Article]:[Poids net]],32,)</f>
        <v>5.0000000000000001E-3</v>
      </c>
      <c r="H241" s="41" t="s">
        <v>66</v>
      </c>
      <c r="I241" s="42">
        <f t="shared" si="59"/>
        <v>0</v>
      </c>
      <c r="J241" s="43" t="s">
        <v>61</v>
      </c>
      <c r="K241" s="44">
        <f>+VLOOKUP(E241,[2]!Tableau__192.168.29.23_APSSQL_Arizona_v_Addr_Employee_F[[N° Article]:[Cout total]],9,)</f>
        <v>1.27</v>
      </c>
      <c r="L241" s="39" t="str">
        <f>+VLOOKUP(E241,[2]!Tableau__192.168.29.23_APSSQL_Arizona_v_Addr_Employee_F[[N° Article]:[UC_code]],10,)</f>
        <v>PCE</v>
      </c>
      <c r="M241" s="45">
        <f t="shared" si="57"/>
        <v>0</v>
      </c>
      <c r="O241" s="46"/>
    </row>
    <row r="242" spans="1:15" hidden="1" outlineLevel="1" x14ac:dyDescent="0.25">
      <c r="A242" s="111"/>
      <c r="B242" s="36" t="str">
        <f>+IF(AND($D$15=4,$G$13="Snap-lock"),IF(OR($D$23="Encastrée - FU",$D$23="Encastrée - FU - Inox"),"3","0"),"0")</f>
        <v>0</v>
      </c>
      <c r="C242" s="37">
        <f>+B242*$F$4*$D$15/2</f>
        <v>0</v>
      </c>
      <c r="D242" t="str">
        <f>+VLOOKUP(E242,[2]!Tableau__192.168.29.23_APSSQL_Arizona_v_Addr_Employee_F[[N° Article]:[Description courte]],3,)</f>
        <v>ENTRETOISE FERMETURE "FU"</v>
      </c>
      <c r="E242" s="47" t="s">
        <v>120</v>
      </c>
      <c r="F242" s="39"/>
      <c r="G242" s="40">
        <f>+VLOOKUP(E242,[2]!Tableau__192.168.29.23_APSSQL_Arizona_v_Addr_Employee_F[[N° Article]:[Poids net]],32,)</f>
        <v>5.1999999999999998E-2</v>
      </c>
      <c r="H242" s="41" t="s">
        <v>66</v>
      </c>
      <c r="I242" s="42">
        <f t="shared" si="59"/>
        <v>0</v>
      </c>
      <c r="J242" s="43" t="s">
        <v>61</v>
      </c>
      <c r="K242" s="44">
        <f>+VLOOKUP(E242,[2]!Tableau__192.168.29.23_APSSQL_Arizona_v_Addr_Employee_F[[N° Article]:[Cout total]],9,)</f>
        <v>2.36</v>
      </c>
      <c r="L242" s="39" t="str">
        <f>+VLOOKUP(E242,[2]!Tableau__192.168.29.23_APSSQL_Arizona_v_Addr_Employee_F[[N° Article]:[UC_code]],10,)</f>
        <v>PCE</v>
      </c>
      <c r="M242" s="45">
        <f t="shared" si="57"/>
        <v>0</v>
      </c>
      <c r="O242" s="46"/>
    </row>
    <row r="243" spans="1:15" hidden="1" outlineLevel="1" x14ac:dyDescent="0.25">
      <c r="A243" s="111"/>
      <c r="B243" s="36" t="str">
        <f>+IF(AND($D$15=4,$G$13="Snap-lock"),IF(OR($D$23="Encastrée - FU",$D$23="Encastrée - FU - Inox"),"1","0"),"0")</f>
        <v>0</v>
      </c>
      <c r="C243" s="37">
        <f>+B243*$F$4*$D$15/2</f>
        <v>0</v>
      </c>
      <c r="D243" t="str">
        <f>+VLOOKUP(E243,[2]!Tableau__192.168.29.23_APSSQL_Arizona_v_Addr_Employee_F[[N° Article]:[Description courte]],3,)</f>
        <v>TOLE ARRIERE FU, COTE PROFIL</v>
      </c>
      <c r="E243" s="38" t="s">
        <v>121</v>
      </c>
      <c r="F243" s="39"/>
      <c r="G243" s="40">
        <f>+VLOOKUP(E243,[2]!Tableau__192.168.29.23_APSSQL_Arizona_v_Addr_Employee_F[[N° Article]:[Poids net]],32,)</f>
        <v>0</v>
      </c>
      <c r="H243" s="41" t="s">
        <v>66</v>
      </c>
      <c r="I243" s="42">
        <f t="shared" si="59"/>
        <v>0</v>
      </c>
      <c r="J243" s="43" t="s">
        <v>61</v>
      </c>
      <c r="K243" s="44">
        <f>+VLOOKUP(E243,[2]!Tableau__192.168.29.23_APSSQL_Arizona_v_Addr_Employee_F[[N° Article]:[Cout total]],9,)</f>
        <v>2.86</v>
      </c>
      <c r="L243" s="39" t="str">
        <f>+VLOOKUP(E243,[2]!Tableau__192.168.29.23_APSSQL_Arizona_v_Addr_Employee_F[[N° Article]:[UC_code]],10,)</f>
        <v>PCE</v>
      </c>
      <c r="M243" s="45">
        <f t="shared" si="57"/>
        <v>0</v>
      </c>
      <c r="O243" s="46"/>
    </row>
    <row r="244" spans="1:15" hidden="1" outlineLevel="1" x14ac:dyDescent="0.25">
      <c r="A244" s="111"/>
      <c r="B244" s="36" t="str">
        <f>+IF(AND($D$15=4,$G$13="Snap-lock"),IF(OR($D$23="Encastrée - FU",$D$23="Encastrée - FU - Inox"),"8","0"),"0")</f>
        <v>0</v>
      </c>
      <c r="C244" s="37">
        <f>+B244*$F$4*$D$15</f>
        <v>0</v>
      </c>
      <c r="D244" t="str">
        <f>+VLOOKUP(E244,[2]!Tableau__192.168.29.23_APSSQL_Arizona_v_Addr_Employee_F[[N° Article]:[Description courte]],3,)</f>
        <v>VIS M5X25 TBO 6-PS CR INOX</v>
      </c>
      <c r="E244" s="38" t="s">
        <v>102</v>
      </c>
      <c r="F244" s="39"/>
      <c r="G244" s="40">
        <f>+VLOOKUP(E244,[2]!Tableau__192.168.29.23_APSSQL_Arizona_v_Addr_Employee_F[[N° Article]:[Poids net]],32,)</f>
        <v>5.0000000000000001E-3</v>
      </c>
      <c r="H244" s="41" t="s">
        <v>66</v>
      </c>
      <c r="I244" s="42">
        <f t="shared" si="59"/>
        <v>0</v>
      </c>
      <c r="J244" s="43" t="s">
        <v>61</v>
      </c>
      <c r="K244" s="44">
        <f>+VLOOKUP(E244,[2]!Tableau__192.168.29.23_APSSQL_Arizona_v_Addr_Employee_F[[N° Article]:[Cout total]],9,)</f>
        <v>3.99</v>
      </c>
      <c r="L244" s="39" t="str">
        <f>+VLOOKUP(E244,[2]!Tableau__192.168.29.23_APSSQL_Arizona_v_Addr_Employee_F[[N° Article]:[UC_code]],10,)</f>
        <v>CENT</v>
      </c>
      <c r="M244" s="45">
        <f t="shared" si="57"/>
        <v>0</v>
      </c>
      <c r="O244" s="46"/>
    </row>
    <row r="245" spans="1:15" hidden="1" outlineLevel="1" x14ac:dyDescent="0.25">
      <c r="A245" s="111"/>
      <c r="B245" s="36" t="str">
        <f>+IF(AND($D$15=4,$G$13="Snap-lock"),IF(OR($D$23="Encastrée - FU",$D$23="Encastrée - FU - Inox"),"8","0"),"0")</f>
        <v>0</v>
      </c>
      <c r="C245" s="37">
        <f>+B245*$F$4*$D$15</f>
        <v>0</v>
      </c>
      <c r="D245" t="str">
        <f>+VLOOKUP(E245,[2]!Tableau__192.168.29.23_APSSQL_Arizona_v_Addr_Employee_F[[N° Article]:[Description courte]],3,)</f>
        <v>DOUILLE NO 921 M5 x 15</v>
      </c>
      <c r="E245" s="47" t="s">
        <v>104</v>
      </c>
      <c r="F245" s="39"/>
      <c r="G245" s="40">
        <f>+VLOOKUP(E245,[2]!Tableau__192.168.29.23_APSSQL_Arizona_v_Addr_Employee_F[[N° Article]:[Poids net]],32,)</f>
        <v>5.0000000000000001E-3</v>
      </c>
      <c r="H245" s="41" t="s">
        <v>66</v>
      </c>
      <c r="I245" s="42">
        <f t="shared" si="59"/>
        <v>0</v>
      </c>
      <c r="J245" s="43" t="s">
        <v>61</v>
      </c>
      <c r="K245" s="44">
        <f>+VLOOKUP(E245,[2]!Tableau__192.168.29.23_APSSQL_Arizona_v_Addr_Employee_F[[N° Article]:[Cout total]],9,)</f>
        <v>37.19</v>
      </c>
      <c r="L245" s="39" t="str">
        <f>+VLOOKUP(E245,[2]!Tableau__192.168.29.23_APSSQL_Arizona_v_Addr_Employee_F[[N° Article]:[UC_code]],10,)</f>
        <v>CENT</v>
      </c>
      <c r="M245" s="45">
        <f t="shared" si="57"/>
        <v>0</v>
      </c>
      <c r="O245" s="46"/>
    </row>
    <row r="246" spans="1:15" hidden="1" outlineLevel="1" x14ac:dyDescent="0.25">
      <c r="A246" s="111"/>
      <c r="B246" s="36" t="str">
        <f>+IF(AND($D$15=4,$G$13="Snap-lock"),IF(OR($D$23="Encastrée - FU",$D$23="Encastrée - FU - Inox"),"1","0"),"0")</f>
        <v>0</v>
      </c>
      <c r="C246" s="37">
        <f t="shared" ref="C246" si="62">+B246*$F$4*$D$15/2</f>
        <v>0</v>
      </c>
      <c r="D246" t="str">
        <f>+VLOOKUP(E246,[2]!Tableau__192.168.29.23_APSSQL_Arizona_v_Addr_Employee_F[[N° Article]:[Description courte]],3,)</f>
        <v>TOLE ARRIERE FU, COTE PANNEAU</v>
      </c>
      <c r="E246" s="47" t="s">
        <v>124</v>
      </c>
      <c r="F246" s="39"/>
      <c r="G246" s="40">
        <f>+VLOOKUP(E246,[2]!Tableau__192.168.29.23_APSSQL_Arizona_v_Addr_Employee_F[[N° Article]:[Poids net]],32,)</f>
        <v>0</v>
      </c>
      <c r="H246" s="41" t="s">
        <v>66</v>
      </c>
      <c r="I246" s="42">
        <f t="shared" si="59"/>
        <v>0</v>
      </c>
      <c r="J246" s="43" t="s">
        <v>61</v>
      </c>
      <c r="K246" s="44">
        <f>+VLOOKUP(E246,[2]!Tableau__192.168.29.23_APSSQL_Arizona_v_Addr_Employee_F[[N° Article]:[Cout total]],9,)</f>
        <v>1.75</v>
      </c>
      <c r="L246" s="39" t="str">
        <f>+VLOOKUP(E246,[2]!Tableau__192.168.29.23_APSSQL_Arizona_v_Addr_Employee_F[[N° Article]:[UC_code]],10,)</f>
        <v>PCE</v>
      </c>
      <c r="M246" s="45">
        <f t="shared" si="57"/>
        <v>0</v>
      </c>
      <c r="O246" s="46"/>
    </row>
    <row r="247" spans="1:15" ht="15.75" hidden="1" outlineLevel="1" thickBot="1" x14ac:dyDescent="0.3">
      <c r="A247" s="112"/>
      <c r="B247" s="48" t="str">
        <f>+IF($D$15=4,IF(OR($D$23="Encastrée - FU",$D$23="Encastrée - FU - Inox"),"10","0"),"0")</f>
        <v>0</v>
      </c>
      <c r="C247" s="49">
        <f>+B247*$F$4*$D$15</f>
        <v>0</v>
      </c>
      <c r="D247" s="50" t="str">
        <f>+VLOOKUP(E247,[2]!Tableau__192.168.29.23_APSSQL_Arizona_v_Addr_Employee_F[[N° Article]:[Description courte]],3,)</f>
        <v>RIVET ETANCHE INOX 4.8 x 15</v>
      </c>
      <c r="E247" s="51" t="s">
        <v>101</v>
      </c>
      <c r="F247" s="52"/>
      <c r="G247" s="53">
        <f>+VLOOKUP(E247,[2]!Tableau__192.168.29.23_APSSQL_Arizona_v_Addr_Employee_F[[N° Article]:[Poids net]],32,)</f>
        <v>0.01</v>
      </c>
      <c r="H247" s="54" t="s">
        <v>66</v>
      </c>
      <c r="I247" s="66">
        <f t="shared" si="59"/>
        <v>0</v>
      </c>
      <c r="J247" s="55" t="s">
        <v>61</v>
      </c>
      <c r="K247" s="56">
        <f>+VLOOKUP(E247,[2]!Tableau__192.168.29.23_APSSQL_Arizona_v_Addr_Employee_F[[N° Article]:[Cout total]],9,)</f>
        <v>16.61</v>
      </c>
      <c r="L247" s="52" t="str">
        <f>+VLOOKUP(E247,[2]!Tableau__192.168.29.23_APSSQL_Arizona_v_Addr_Employee_F[[N° Article]:[UC_code]],10,)</f>
        <v>CENT</v>
      </c>
      <c r="M247" s="45">
        <f t="shared" si="57"/>
        <v>0</v>
      </c>
      <c r="O247" s="46"/>
    </row>
    <row r="248" spans="1:15" ht="15.75" hidden="1" collapsed="1" thickBot="1" x14ac:dyDescent="0.3">
      <c r="A248" s="113" t="str">
        <f>+A228</f>
        <v>Fermetures encastrées 4 fermetures - FU</v>
      </c>
      <c r="B248" s="114"/>
      <c r="C248" s="115"/>
      <c r="I248" s="81" t="e">
        <f>+SUM(I229:I247)</f>
        <v>#REF!</v>
      </c>
      <c r="M248" s="82" t="e">
        <f>+SUM(M229:M247)</f>
        <v>#REF!</v>
      </c>
      <c r="O248" s="46"/>
    </row>
    <row r="249" spans="1:15" hidden="1" x14ac:dyDescent="0.25">
      <c r="A249" s="39"/>
      <c r="B249" s="39"/>
      <c r="C249" s="39"/>
      <c r="I249" s="64"/>
      <c r="O249" s="46"/>
    </row>
    <row r="250" spans="1:15" ht="18.75" hidden="1" outlineLevel="1" x14ac:dyDescent="0.25">
      <c r="A250" s="107" t="s">
        <v>125</v>
      </c>
      <c r="B250" s="27"/>
      <c r="C250" s="28"/>
      <c r="D250" s="29"/>
      <c r="E250" s="30"/>
      <c r="F250" s="30"/>
      <c r="G250" s="31"/>
      <c r="H250" s="31"/>
      <c r="I250" s="32"/>
      <c r="J250" s="33"/>
      <c r="K250" s="34"/>
      <c r="L250" s="30"/>
      <c r="M250" s="35"/>
      <c r="O250" s="46"/>
    </row>
    <row r="251" spans="1:15" hidden="1" outlineLevel="1" x14ac:dyDescent="0.25">
      <c r="A251" s="116"/>
      <c r="B251" s="36">
        <f>+IF($D$9=TRUE,VLOOKUP(($H$6+$D$11),'[2]NE PAS TOUCHER'!$A$36:$B$41,2,),VLOOKUP($H$6,'[2]NE PAS TOUCHER'!$A$36:$B$41,2,))</f>
        <v>6</v>
      </c>
      <c r="C251" s="37">
        <f>+B251*$F$4</f>
        <v>6</v>
      </c>
      <c r="D251" t="str">
        <f>+VLOOKUP(E251,[2]!Tableau__192.168.29.23_APSSQL_Arizona_v_Addr_Employee_F[[N° Article]:[Description courte]],3,)</f>
        <v>COUSSINET EN POLYAMIDE, GAUCHE</v>
      </c>
      <c r="E251" s="38" t="s">
        <v>126</v>
      </c>
      <c r="F251" s="39"/>
      <c r="G251" s="40">
        <f>+VLOOKUP(E251,[2]!Tableau__192.168.29.23_APSSQL_Arizona_v_Addr_Employee_F[[N° Article]:[Poids net]],32,)</f>
        <v>0.02</v>
      </c>
      <c r="H251" s="41" t="s">
        <v>66</v>
      </c>
      <c r="I251" s="42">
        <f>C251*G251</f>
        <v>0.12</v>
      </c>
      <c r="J251" s="43" t="s">
        <v>61</v>
      </c>
      <c r="K251" s="44">
        <f>+VLOOKUP(E251,[2]!Tableau__192.168.29.23_APSSQL_Arizona_v_Addr_Employee_F[[N° Article]:[Cout total]],9,)</f>
        <v>37</v>
      </c>
      <c r="L251" s="39" t="str">
        <f>+VLOOKUP(E251,[2]!Tableau__192.168.29.23_APSSQL_Arizona_v_Addr_Employee_F[[N° Article]:[UC_code]],10,)</f>
        <v>CENT</v>
      </c>
      <c r="M251" s="45">
        <f t="shared" ref="M251:M253" si="63">IF(L251="CENT",C251*K251/100,IF(L251="KG",K251*I251,K251*C251))</f>
        <v>2.2200000000000002</v>
      </c>
      <c r="O251" s="46"/>
    </row>
    <row r="252" spans="1:15" hidden="1" outlineLevel="1" x14ac:dyDescent="0.25">
      <c r="A252" s="116"/>
      <c r="B252" s="36">
        <f>+IF($D$9=TRUE,VLOOKUP(($H$6+$D$11),'[2]NE PAS TOUCHER'!$A$36:$B$41,2,),VLOOKUP($H$6,'[2]NE PAS TOUCHER'!$A$36:$B$41,2,))</f>
        <v>6</v>
      </c>
      <c r="C252" s="37">
        <f t="shared" ref="C252:C253" si="64">+B252*$F$4</f>
        <v>6</v>
      </c>
      <c r="D252" t="str">
        <f>+VLOOKUP(E252,[2]!Tableau__192.168.29.23_APSSQL_Arizona_v_Addr_Employee_F[[N° Article]:[Description courte]],3,)</f>
        <v>COUSSINET EN POLYAMIDE, DROIT</v>
      </c>
      <c r="E252" s="47" t="s">
        <v>127</v>
      </c>
      <c r="F252" s="39"/>
      <c r="G252" s="40">
        <f>+VLOOKUP(E252,[2]!Tableau__192.168.29.23_APSSQL_Arizona_v_Addr_Employee_F[[N° Article]:[Poids net]],32,)</f>
        <v>0.02</v>
      </c>
      <c r="H252" s="41" t="s">
        <v>66</v>
      </c>
      <c r="I252" s="42">
        <f>C252*G252</f>
        <v>0.12</v>
      </c>
      <c r="J252" s="43" t="s">
        <v>61</v>
      </c>
      <c r="K252" s="44">
        <f>+VLOOKUP(E252,[2]!Tableau__192.168.29.23_APSSQL_Arizona_v_Addr_Employee_F[[N° Article]:[Cout total]],9,)</f>
        <v>37</v>
      </c>
      <c r="L252" s="39" t="str">
        <f>+VLOOKUP(E252,[2]!Tableau__192.168.29.23_APSSQL_Arizona_v_Addr_Employee_F[[N° Article]:[UC_code]],10,)</f>
        <v>CENT</v>
      </c>
      <c r="M252" s="45">
        <f t="shared" si="63"/>
        <v>2.2200000000000002</v>
      </c>
      <c r="O252" s="46"/>
    </row>
    <row r="253" spans="1:15" ht="15.75" hidden="1" outlineLevel="1" thickBot="1" x14ac:dyDescent="0.3">
      <c r="A253" s="108"/>
      <c r="B253" s="36">
        <f>+IF($D$9=TRUE,VLOOKUP(($H$6+$D$11),'[2]NE PAS TOUCHER'!$A$36:$B$41,2,),VLOOKUP($H$6,'[2]NE PAS TOUCHER'!$A$36:$B$41,2,))</f>
        <v>6</v>
      </c>
      <c r="C253" s="37">
        <f t="shared" si="64"/>
        <v>6</v>
      </c>
      <c r="D253" s="50" t="str">
        <f>+VLOOKUP(E253,[2]!Tableau__192.168.29.23_APSSQL_Arizona_v_Addr_Employee_F[[N° Article]:[Description courte]],3,)</f>
        <v>SEGMENT CHARNIERE BRUT</v>
      </c>
      <c r="E253" s="51" t="str">
        <f>+IF($G$15="Brut",'[2]Don''t touch'!$A$6,IF($G$15="eloxé",'[2]Don''t touch'!$B$6,'[2]Don''t touch'!$C$6))</f>
        <v>2 049 117</v>
      </c>
      <c r="F253" s="52"/>
      <c r="G253" s="53">
        <f>+VLOOKUP(E253,[2]!Tableau__192.168.29.23_APSSQL_Arizona_v_Addr_Employee_F[[N° Article]:[Poids net]],32,)</f>
        <v>0.19500000000000001</v>
      </c>
      <c r="H253" s="54" t="s">
        <v>66</v>
      </c>
      <c r="I253" s="66">
        <f>C253*G253</f>
        <v>1.17</v>
      </c>
      <c r="J253" s="55" t="s">
        <v>61</v>
      </c>
      <c r="K253" s="56">
        <f>+VLOOKUP(E253,[2]!Tableau__192.168.29.23_APSSQL_Arizona_v_Addr_Employee_F[[N° Article]:[Cout total]],9,)</f>
        <v>1.78</v>
      </c>
      <c r="L253" s="52" t="str">
        <f>+VLOOKUP(E253,[2]!Tableau__192.168.29.23_APSSQL_Arizona_v_Addr_Employee_F[[N° Article]:[UC_code]],10,)</f>
        <v>PCE</v>
      </c>
      <c r="M253" s="45">
        <f t="shared" si="63"/>
        <v>10.68</v>
      </c>
      <c r="O253" s="46"/>
    </row>
    <row r="254" spans="1:15" ht="15.75" hidden="1" collapsed="1" thickBot="1" x14ac:dyDescent="0.3">
      <c r="A254" s="104" t="str">
        <f>+A250</f>
        <v>Segment Charnières simple</v>
      </c>
      <c r="B254" s="105"/>
      <c r="C254" s="106"/>
      <c r="I254" s="58">
        <f>+SUM(I251:I253)</f>
        <v>1.41</v>
      </c>
      <c r="M254" s="59">
        <f>+SUM(M251:M253)</f>
        <v>15.120000000000001</v>
      </c>
      <c r="O254" s="46"/>
    </row>
    <row r="255" spans="1:15" hidden="1" x14ac:dyDescent="0.25">
      <c r="A255" s="39"/>
      <c r="B255" s="39"/>
      <c r="C255" s="39"/>
      <c r="I255" s="64"/>
      <c r="O255" s="46"/>
    </row>
    <row r="256" spans="1:15" ht="18.75" hidden="1" outlineLevel="1" x14ac:dyDescent="0.25">
      <c r="A256" s="107" t="s">
        <v>128</v>
      </c>
      <c r="B256" s="27"/>
      <c r="C256" s="28"/>
      <c r="D256" s="29"/>
      <c r="E256" s="30"/>
      <c r="F256" s="30"/>
      <c r="G256" s="31"/>
      <c r="H256" s="31"/>
      <c r="I256" s="32"/>
      <c r="J256" s="33"/>
      <c r="K256" s="34"/>
      <c r="L256" s="30"/>
      <c r="M256" s="35"/>
      <c r="O256" s="46"/>
    </row>
    <row r="257" spans="1:15" hidden="1" outlineLevel="1" x14ac:dyDescent="0.25">
      <c r="A257" s="116"/>
      <c r="B257" s="36">
        <f>+B259*2</f>
        <v>12</v>
      </c>
      <c r="C257" s="37">
        <f>+B257*$F$4</f>
        <v>12</v>
      </c>
      <c r="D257" t="str">
        <f>+VLOOKUP(E257,[2]!Tableau__192.168.29.23_APSSQL_Arizona_v_Addr_Employee_F[[N° Article]:[Description courte]],3,)</f>
        <v>GUIDE HARMONIKA GAUCHE ø 18</v>
      </c>
      <c r="E257" s="38" t="s">
        <v>129</v>
      </c>
      <c r="F257" s="39"/>
      <c r="G257" s="40">
        <f>+VLOOKUP(E257,[2]!Tableau__192.168.29.23_APSSQL_Arizona_v_Addr_Employee_F[[N° Article]:[Poids net]],32,)</f>
        <v>0.02</v>
      </c>
      <c r="H257" s="41" t="s">
        <v>66</v>
      </c>
      <c r="I257" s="42">
        <f>C257*G257</f>
        <v>0.24</v>
      </c>
      <c r="J257" s="43" t="s">
        <v>61</v>
      </c>
      <c r="K257" s="44">
        <f>+VLOOKUP(E257,[2]!Tableau__192.168.29.23_APSSQL_Arizona_v_Addr_Employee_F[[N° Article]:[Cout total]],9,)</f>
        <v>37</v>
      </c>
      <c r="L257" s="39" t="str">
        <f>+VLOOKUP(E257,[2]!Tableau__192.168.29.23_APSSQL_Arizona_v_Addr_Employee_F[[N° Article]:[UC_code]],10,)</f>
        <v>CENT</v>
      </c>
      <c r="M257" s="45">
        <f t="shared" ref="M257:M259" si="65">IF(L257="CENT",C257*K257/100,IF(L257="KG",K257*I257,K257*C257))</f>
        <v>4.4400000000000004</v>
      </c>
      <c r="O257" s="46"/>
    </row>
    <row r="258" spans="1:15" hidden="1" outlineLevel="1" x14ac:dyDescent="0.25">
      <c r="A258" s="116"/>
      <c r="B258" s="36">
        <f>+B259*2</f>
        <v>12</v>
      </c>
      <c r="C258" s="37">
        <f t="shared" ref="C258:C259" si="66">+B258*$F$4</f>
        <v>12</v>
      </c>
      <c r="D258" t="str">
        <f>+VLOOKUP(E258,[2]!Tableau__192.168.29.23_APSSQL_Arizona_v_Addr_Employee_F[[N° Article]:[Description courte]],3,)</f>
        <v>GUIDE HARMONIKA DROIT ø 18</v>
      </c>
      <c r="E258" s="47" t="s">
        <v>130</v>
      </c>
      <c r="F258" s="39"/>
      <c r="G258" s="40">
        <f>+VLOOKUP(E258,[2]!Tableau__192.168.29.23_APSSQL_Arizona_v_Addr_Employee_F[[N° Article]:[Poids net]],32,)</f>
        <v>0.02</v>
      </c>
      <c r="H258" s="41" t="s">
        <v>66</v>
      </c>
      <c r="I258" s="42">
        <f>C258*G258</f>
        <v>0.24</v>
      </c>
      <c r="J258" s="43" t="s">
        <v>61</v>
      </c>
      <c r="K258" s="44">
        <f>+VLOOKUP(E258,[2]!Tableau__192.168.29.23_APSSQL_Arizona_v_Addr_Employee_F[[N° Article]:[Cout total]],9,)</f>
        <v>37</v>
      </c>
      <c r="L258" s="39" t="str">
        <f>+VLOOKUP(E258,[2]!Tableau__192.168.29.23_APSSQL_Arizona_v_Addr_Employee_F[[N° Article]:[UC_code]],10,)</f>
        <v>CENT</v>
      </c>
      <c r="M258" s="45">
        <f t="shared" si="65"/>
        <v>4.4400000000000004</v>
      </c>
      <c r="O258" s="46"/>
    </row>
    <row r="259" spans="1:15" ht="15.75" hidden="1" outlineLevel="1" thickBot="1" x14ac:dyDescent="0.3">
      <c r="A259" s="108"/>
      <c r="B259" s="36">
        <f>+IF($D$13=4,IF($D$9=TRUE,VLOOKUP(($H$6+$D$11),'[2]NE PAS TOUCHER'!$A$36:$C$41,3,),VLOOKUP($H$6,'[2]NE PAS TOUCHER'!$A$36:$C$41,3,)),"0")</f>
        <v>6</v>
      </c>
      <c r="C259" s="37">
        <f t="shared" si="66"/>
        <v>6</v>
      </c>
      <c r="D259" s="50" t="str">
        <f>+VLOOKUP(E259,[2]!Tableau__192.168.29.23_APSSQL_Arizona_v_Addr_Employee_F[[N° Article]:[Description courte]],3,)</f>
        <v>SEGMENT CHARN.DOUBLE HARMONIKA</v>
      </c>
      <c r="E259" s="51" t="str">
        <f>+IF($G$15="Brut",'[2]Don''t touch'!$A$10,IF($G$15="eloxé",'[2]Don''t touch'!$B$10,'[2]Don''t touch'!$C$10))</f>
        <v>2 049 225</v>
      </c>
      <c r="F259" s="52"/>
      <c r="G259" s="53">
        <f>+VLOOKUP(E259,[2]!Tableau__192.168.29.23_APSSQL_Arizona_v_Addr_Employee_F[[N° Article]:[Poids net]],32,)</f>
        <v>0.27500000000000002</v>
      </c>
      <c r="H259" s="54" t="s">
        <v>66</v>
      </c>
      <c r="I259" s="66">
        <f>C259*G259</f>
        <v>1.6500000000000001</v>
      </c>
      <c r="J259" s="55" t="s">
        <v>61</v>
      </c>
      <c r="K259" s="56">
        <f>+VLOOKUP(E259,[2]!Tableau__192.168.29.23_APSSQL_Arizona_v_Addr_Employee_F[[N° Article]:[Cout total]],9,)</f>
        <v>1.1100000000000001</v>
      </c>
      <c r="L259" s="52" t="str">
        <f>+VLOOKUP(E259,[2]!Tableau__192.168.29.23_APSSQL_Arizona_v_Addr_Employee_F[[N° Article]:[UC_code]],10,)</f>
        <v>PCE</v>
      </c>
      <c r="M259" s="45">
        <f t="shared" si="65"/>
        <v>6.66</v>
      </c>
      <c r="O259" s="46"/>
    </row>
    <row r="260" spans="1:15" ht="15.75" hidden="1" collapsed="1" thickBot="1" x14ac:dyDescent="0.3">
      <c r="A260" s="104" t="str">
        <f>+A256</f>
        <v>Segment Charnières Harmonica</v>
      </c>
      <c r="B260" s="105"/>
      <c r="C260" s="106"/>
      <c r="I260" s="58">
        <f>+SUM(I257:I259)</f>
        <v>2.13</v>
      </c>
      <c r="M260" s="59">
        <f>+SUM(M257:M259)</f>
        <v>15.540000000000001</v>
      </c>
      <c r="O260" s="46"/>
    </row>
    <row r="261" spans="1:15" hidden="1" x14ac:dyDescent="0.25">
      <c r="A261" s="39"/>
      <c r="B261" s="39"/>
      <c r="C261" s="39"/>
      <c r="I261" s="64"/>
      <c r="O261" s="46"/>
    </row>
    <row r="262" spans="1:15" ht="18.75" hidden="1" outlineLevel="1" x14ac:dyDescent="0.25">
      <c r="A262" s="107" t="s">
        <v>40</v>
      </c>
      <c r="B262" s="27"/>
      <c r="C262" s="28"/>
      <c r="D262" s="29"/>
      <c r="E262" s="84" t="str">
        <f>+IF($D$21="Alu",$D$21&amp;"-"&amp;$G$15,$D$21)</f>
        <v>Std</v>
      </c>
      <c r="F262" s="30"/>
      <c r="G262" s="31"/>
      <c r="H262" s="31"/>
      <c r="I262" s="32"/>
      <c r="J262" s="33"/>
      <c r="K262" s="34"/>
      <c r="L262" s="30"/>
      <c r="M262" s="35"/>
      <c r="O262" s="46"/>
    </row>
    <row r="263" spans="1:15" ht="15.75" hidden="1" outlineLevel="1" thickBot="1" x14ac:dyDescent="0.3">
      <c r="A263" s="108"/>
      <c r="B263" s="36">
        <f>+IF($D$21="Etrier",$H$6*2*$F$4,2*$F$4)</f>
        <v>2</v>
      </c>
      <c r="C263" s="37">
        <f>+B263</f>
        <v>2</v>
      </c>
      <c r="D263" s="50" t="str">
        <f>+VLOOKUP(E263,[2]!Tableau__192.168.29.23_APSSQL_Arizona_v_Addr_Employee_F[[N° Article]:[Description courte]],3,)</f>
        <v>SET CHARNIERE A 3 SEGMENTS</v>
      </c>
      <c r="E263" s="71" t="str">
        <f>+IF($D$9=FALSE,INDEX('[2]NE PAS TOUCHER'!$A$27:$G$33,MATCH('Porte arrière Sandwich'!$E$262,'[2]NE PAS TOUCHER'!$A$27:$A$33,0),($H$6)),INDEX('[2]NE PAS TOUCHER'!$A$27:$G$33,MATCH('Porte arrière Sandwich'!$E$262,'[2]NE PAS TOUCHER'!$A$27:$A$33,0),($H$6+$D$11)))</f>
        <v>2 045 103</v>
      </c>
      <c r="F263" s="52"/>
      <c r="G263" s="53">
        <f>+VLOOKUP(E263,[2]!Tableau__192.168.29.23_APSSQL_Arizona_v_Addr_Employee_F[[N° Article]:[Poids net]],32,)</f>
        <v>0.995</v>
      </c>
      <c r="H263" s="54" t="s">
        <v>66</v>
      </c>
      <c r="I263" s="66">
        <f>C263*G263</f>
        <v>1.99</v>
      </c>
      <c r="J263" s="55" t="s">
        <v>61</v>
      </c>
      <c r="K263" s="56">
        <f>+VLOOKUP(E263,[2]!Tableau__192.168.29.23_APSSQL_Arizona_v_Addr_Employee_F[[N° Article]:[Cout total]],9,)</f>
        <v>9.5299999999999994</v>
      </c>
      <c r="L263" s="52" t="str">
        <f>+VLOOKUP(E263,[2]!Tableau__192.168.29.23_APSSQL_Arizona_v_Addr_Employee_F[[N° Article]:[UC_code]],10,)</f>
        <v>PCE</v>
      </c>
      <c r="M263" s="45">
        <f t="shared" ref="M263" si="67">IF(L263="CENT",C263*K263/100,IF(L263="KG",K263*I263,K263*C263))</f>
        <v>19.059999999999999</v>
      </c>
      <c r="O263" s="46"/>
    </row>
    <row r="264" spans="1:15" ht="15.75" hidden="1" collapsed="1" thickBot="1" x14ac:dyDescent="0.3">
      <c r="A264" s="104" t="str">
        <f>+A262</f>
        <v>Charnières</v>
      </c>
      <c r="B264" s="105"/>
      <c r="C264" s="106"/>
      <c r="I264" s="58">
        <f>+SUM(I263:I263)</f>
        <v>1.99</v>
      </c>
      <c r="M264" s="59">
        <f>+SUM(M263:M263)</f>
        <v>19.059999999999999</v>
      </c>
      <c r="O264" s="46"/>
    </row>
    <row r="265" spans="1:15" hidden="1" x14ac:dyDescent="0.25">
      <c r="O265" s="46"/>
    </row>
    <row r="266" spans="1:15" ht="18.75" hidden="1" outlineLevel="1" x14ac:dyDescent="0.25">
      <c r="A266" s="109" t="s">
        <v>131</v>
      </c>
      <c r="B266" s="27"/>
      <c r="C266" s="28"/>
      <c r="D266" s="29"/>
      <c r="E266" s="30"/>
      <c r="F266" s="30"/>
      <c r="G266" s="31"/>
      <c r="H266" s="31"/>
      <c r="I266" s="32"/>
      <c r="J266" s="33"/>
      <c r="K266" s="34"/>
      <c r="L266" s="30"/>
      <c r="M266" s="35"/>
      <c r="O266" s="46"/>
    </row>
    <row r="267" spans="1:15" hidden="1" outlineLevel="1" x14ac:dyDescent="0.25">
      <c r="A267" s="110"/>
      <c r="B267" s="36" t="str">
        <f>+IF($G$17="poches à visser",IF($D$23="Boxer 2 - Std","2","0"),"0")</f>
        <v>0</v>
      </c>
      <c r="C267" s="37">
        <f>+B267*$F$4*$D$15/2</f>
        <v>0</v>
      </c>
      <c r="D267" s="85" t="str">
        <f>+VLOOKUP(E267,[2]!Tableau__192.168.29.23_APSSQL_Arizona_v_Addr_Employee_F[[N° Article]:[Description courte]],3,)</f>
        <v>BOXER 2 POCHE POIGNEE ZNF</v>
      </c>
      <c r="E267" s="47" t="s">
        <v>132</v>
      </c>
      <c r="F267" s="39"/>
      <c r="G267" s="40">
        <f>+VLOOKUP(E267,[2]!Tableau__192.168.29.23_APSSQL_Arizona_v_Addr_Employee_F[[N° Article]:[Poids net]],32,)</f>
        <v>0.95</v>
      </c>
      <c r="H267" s="41" t="s">
        <v>66</v>
      </c>
      <c r="I267" s="42">
        <f>(F267)*C267*G267</f>
        <v>0</v>
      </c>
      <c r="J267" s="43" t="s">
        <v>61</v>
      </c>
      <c r="K267" s="44">
        <f>+VLOOKUP(E267,[2]!Tableau__192.168.29.23_APSSQL_Arizona_v_Addr_Employee_F[[N° Article]:[Cout total]],9,)</f>
        <v>4</v>
      </c>
      <c r="L267" s="39" t="str">
        <f>+VLOOKUP(E267,[2]!Tableau__192.168.29.23_APSSQL_Arizona_v_Addr_Employee_F[[N° Article]:[UC_code]],10,)</f>
        <v>PCE</v>
      </c>
      <c r="M267" s="45">
        <f t="shared" ref="M267:M292" si="68">IF(L267="CENT",C267*K267/100,IF(L267="KG",K267*I267,K267*C267))</f>
        <v>0</v>
      </c>
      <c r="O267" s="46"/>
    </row>
    <row r="268" spans="1:15" hidden="1" outlineLevel="1" x14ac:dyDescent="0.25">
      <c r="A268" s="110"/>
      <c r="B268" s="36" t="str">
        <f t="shared" ref="B268:B270" si="69">+IF($G$17="poches à visser",IF($D$23="Boxer 2 - Std","2","0"),"0")</f>
        <v>0</v>
      </c>
      <c r="C268" s="37">
        <f t="shared" ref="C268:C292" si="70">+B268*$F$4*$D$15/2</f>
        <v>0</v>
      </c>
      <c r="D268" s="85" t="str">
        <f>+VLOOKUP(E268,[2]!Tableau__192.168.29.23_APSSQL_Arizona_v_Addr_Employee_F[[N° Article]:[Description courte]],3,)</f>
        <v>BOXER 2 POCHE CROCHET ZNF</v>
      </c>
      <c r="E268" s="38" t="s">
        <v>133</v>
      </c>
      <c r="F268" s="39"/>
      <c r="G268" s="40">
        <f>+VLOOKUP(E268,[2]!Tableau__192.168.29.23_APSSQL_Arizona_v_Addr_Employee_F[[N° Article]:[Poids net]],32,)</f>
        <v>0.33</v>
      </c>
      <c r="H268" s="41" t="s">
        <v>66</v>
      </c>
      <c r="I268" s="42">
        <f t="shared" ref="I268:I273" si="71">C268*G268</f>
        <v>0</v>
      </c>
      <c r="J268" s="43" t="s">
        <v>61</v>
      </c>
      <c r="K268" s="44">
        <f>+VLOOKUP(E268,[2]!Tableau__192.168.29.23_APSSQL_Arizona_v_Addr_Employee_F[[N° Article]:[Cout total]],9,)</f>
        <v>1.62</v>
      </c>
      <c r="L268" s="39" t="str">
        <f>+VLOOKUP(E268,[2]!Tableau__192.168.29.23_APSSQL_Arizona_v_Addr_Employee_F[[N° Article]:[UC_code]],10,)</f>
        <v>PCE</v>
      </c>
      <c r="M268" s="45">
        <f t="shared" si="68"/>
        <v>0</v>
      </c>
      <c r="O268" s="46"/>
    </row>
    <row r="269" spans="1:15" hidden="1" outlineLevel="1" x14ac:dyDescent="0.25">
      <c r="A269" s="110"/>
      <c r="B269" s="36" t="str">
        <f t="shared" si="69"/>
        <v>0</v>
      </c>
      <c r="C269" s="37">
        <f t="shared" si="70"/>
        <v>0</v>
      </c>
      <c r="D269" s="85" t="str">
        <f>+VLOOKUP(E269,[2]!Tableau__192.168.29.23_APSSQL_Arizona_v_Addr_Employee_F[[N° Article]:[Description courte]],3,)</f>
        <v>BOXER PLAQUE FILETEE M8 ZING.</v>
      </c>
      <c r="E269" s="38" t="s">
        <v>134</v>
      </c>
      <c r="F269" s="39"/>
      <c r="G269" s="40">
        <f>+VLOOKUP(E269,[2]!Tableau__192.168.29.23_APSSQL_Arizona_v_Addr_Employee_F[[N° Article]:[Poids net]],32,)</f>
        <v>0.34</v>
      </c>
      <c r="H269" s="41" t="s">
        <v>66</v>
      </c>
      <c r="I269" s="42">
        <f t="shared" si="71"/>
        <v>0</v>
      </c>
      <c r="J269" s="43" t="s">
        <v>61</v>
      </c>
      <c r="K269" s="44">
        <f>+VLOOKUP(E269,[2]!Tableau__192.168.29.23_APSSQL_Arizona_v_Addr_Employee_F[[N° Article]:[Cout total]],9,)</f>
        <v>1.5</v>
      </c>
      <c r="L269" s="39" t="str">
        <f>+VLOOKUP(E269,[2]!Tableau__192.168.29.23_APSSQL_Arizona_v_Addr_Employee_F[[N° Article]:[UC_code]],10,)</f>
        <v>PCE</v>
      </c>
      <c r="M269" s="45">
        <f t="shared" si="68"/>
        <v>0</v>
      </c>
      <c r="O269" s="46"/>
    </row>
    <row r="270" spans="1:15" hidden="1" outlineLevel="1" x14ac:dyDescent="0.25">
      <c r="A270" s="110"/>
      <c r="B270" s="36" t="str">
        <f t="shared" si="69"/>
        <v>0</v>
      </c>
      <c r="C270" s="37">
        <f t="shared" si="70"/>
        <v>0</v>
      </c>
      <c r="D270" s="85" t="str">
        <f>+VLOOKUP(E270,[2]!Tableau__192.168.29.23_APSSQL_Arizona_v_Addr_Employee_F[[N° Article]:[Description courte]],3,)</f>
        <v>BOXER, PLAQUE FILETEE M8 ZING.</v>
      </c>
      <c r="E270" s="47" t="s">
        <v>135</v>
      </c>
      <c r="F270" s="39"/>
      <c r="G270" s="40">
        <f>+VLOOKUP(E270,[2]!Tableau__192.168.29.23_APSSQL_Arizona_v_Addr_Employee_F[[N° Article]:[Poids net]],32,)</f>
        <v>0.1</v>
      </c>
      <c r="H270" s="41" t="s">
        <v>66</v>
      </c>
      <c r="I270" s="42">
        <f t="shared" si="71"/>
        <v>0</v>
      </c>
      <c r="J270" s="43" t="s">
        <v>61</v>
      </c>
      <c r="K270" s="44">
        <f>+VLOOKUP(E270,[2]!Tableau__192.168.29.23_APSSQL_Arizona_v_Addr_Employee_F[[N° Article]:[Cout total]],9,)</f>
        <v>0.8</v>
      </c>
      <c r="L270" s="39" t="str">
        <f>+VLOOKUP(E270,[2]!Tableau__192.168.29.23_APSSQL_Arizona_v_Addr_Employee_F[[N° Article]:[UC_code]],10,)</f>
        <v>PCE</v>
      </c>
      <c r="M270" s="45">
        <f t="shared" si="68"/>
        <v>0</v>
      </c>
      <c r="O270" s="46"/>
    </row>
    <row r="271" spans="1:15" hidden="1" outlineLevel="1" x14ac:dyDescent="0.25">
      <c r="A271" s="110"/>
      <c r="B271" s="36" t="str">
        <f>+IF($G$17="poches à visser",IF($D$23="Boxer 2 - Std","4","0"),"0")</f>
        <v>0</v>
      </c>
      <c r="C271" s="37">
        <f t="shared" si="70"/>
        <v>0</v>
      </c>
      <c r="D271" s="85" t="str">
        <f>+VLOOKUP(E271,[2]!Tableau__192.168.29.23_APSSQL_Arizona_v_Addr_Employee_F[[N° Article]:[Description courte]],3,)</f>
        <v>VIS M8X25 TFR 6-PS CR DA.500</v>
      </c>
      <c r="E271" s="67" t="s">
        <v>136</v>
      </c>
      <c r="F271" s="39"/>
      <c r="G271" s="40">
        <f>+VLOOKUP(E271,[2]!Tableau__192.168.29.23_APSSQL_Arizona_v_Addr_Employee_F[[N° Article]:[Poids net]],32,)</f>
        <v>1.4999999999999999E-2</v>
      </c>
      <c r="H271" s="41" t="s">
        <v>66</v>
      </c>
      <c r="I271" s="42">
        <f t="shared" si="71"/>
        <v>0</v>
      </c>
      <c r="J271" s="43" t="s">
        <v>61</v>
      </c>
      <c r="K271" s="44">
        <f>+VLOOKUP(E271,[2]!Tableau__192.168.29.23_APSSQL_Arizona_v_Addr_Employee_F[[N° Article]:[Cout total]],9,)</f>
        <v>7.5</v>
      </c>
      <c r="L271" s="39" t="str">
        <f>+VLOOKUP(E271,[2]!Tableau__192.168.29.23_APSSQL_Arizona_v_Addr_Employee_F[[N° Article]:[UC_code]],10,)</f>
        <v>CENT</v>
      </c>
      <c r="M271" s="45">
        <f t="shared" si="68"/>
        <v>0</v>
      </c>
      <c r="O271" s="46"/>
    </row>
    <row r="272" spans="1:15" hidden="1" outlineLevel="1" x14ac:dyDescent="0.25">
      <c r="A272" s="110"/>
      <c r="B272" s="36" t="str">
        <f>+IF($G$17="poches à visser",IF($D$23="Boxer 2 - Std","6","0"),"0")</f>
        <v>0</v>
      </c>
      <c r="C272" s="37">
        <f t="shared" si="70"/>
        <v>0</v>
      </c>
      <c r="D272" s="85" t="str">
        <f>+VLOOKUP(E272,[2]!Tableau__192.168.29.23_APSSQL_Arizona_v_Addr_Employee_F[[N° Article]:[Description courte]],3,)</f>
        <v>VIS M8X25 TCYLBA 6-PS CR ZB</v>
      </c>
      <c r="E272" s="69" t="s">
        <v>137</v>
      </c>
      <c r="F272" s="39"/>
      <c r="G272" s="40">
        <f>+VLOOKUP(E272,[2]!Tableau__192.168.29.23_APSSQL_Arizona_v_Addr_Employee_F[[N° Article]:[Poids net]],32,)</f>
        <v>0.01</v>
      </c>
      <c r="H272" s="41" t="s">
        <v>66</v>
      </c>
      <c r="I272" s="42">
        <f t="shared" si="71"/>
        <v>0</v>
      </c>
      <c r="J272" s="43" t="s">
        <v>61</v>
      </c>
      <c r="K272" s="44">
        <f>+VLOOKUP(E272,[2]!Tableau__192.168.29.23_APSSQL_Arizona_v_Addr_Employee_F[[N° Article]:[Cout total]],9,)</f>
        <v>4.17</v>
      </c>
      <c r="L272" s="39" t="str">
        <f>+VLOOKUP(E272,[2]!Tableau__192.168.29.23_APSSQL_Arizona_v_Addr_Employee_F[[N° Article]:[UC_code]],10,)</f>
        <v>CENT</v>
      </c>
      <c r="M272" s="45">
        <f t="shared" si="68"/>
        <v>0</v>
      </c>
      <c r="O272" s="46"/>
    </row>
    <row r="273" spans="1:15" hidden="1" outlineLevel="1" x14ac:dyDescent="0.25">
      <c r="A273" s="110"/>
      <c r="B273" s="36" t="str">
        <f>+IF($G$17="poches à visser",IF($D$23="Boxer 2 - Std","1","0"),"0")</f>
        <v>0</v>
      </c>
      <c r="C273" s="37">
        <f t="shared" si="70"/>
        <v>0</v>
      </c>
      <c r="D273" s="85" t="str">
        <f>+VLOOKUP(E273,[2]!Tableau__192.168.29.23_APSSQL_Arizona_v_Addr_Employee_F[[N° Article]:[Description courte]],3,)</f>
        <v>SET DE SECURITE BOXER</v>
      </c>
      <c r="E273" s="57" t="s">
        <v>138</v>
      </c>
      <c r="F273" s="39"/>
      <c r="G273" s="40">
        <f>+VLOOKUP(E273,[2]!Tableau__192.168.29.23_APSSQL_Arizona_v_Addr_Employee_F[[N° Article]:[Poids net]],32,)</f>
        <v>0.05</v>
      </c>
      <c r="H273" s="41" t="s">
        <v>66</v>
      </c>
      <c r="I273" s="42">
        <f t="shared" si="71"/>
        <v>0</v>
      </c>
      <c r="J273" s="43" t="s">
        <v>61</v>
      </c>
      <c r="K273" s="44">
        <f>+VLOOKUP(E273,[2]!Tableau__192.168.29.23_APSSQL_Arizona_v_Addr_Employee_F[[N° Article]:[Cout total]],9,)</f>
        <v>0.99</v>
      </c>
      <c r="L273" s="39" t="str">
        <f>+VLOOKUP(E273,[2]!Tableau__192.168.29.23_APSSQL_Arizona_v_Addr_Employee_F[[N° Article]:[UC_code]],10,)</f>
        <v>PCE</v>
      </c>
      <c r="M273" s="45">
        <f t="shared" si="68"/>
        <v>0</v>
      </c>
      <c r="O273" s="46"/>
    </row>
    <row r="274" spans="1:15" hidden="1" outlineLevel="1" x14ac:dyDescent="0.25">
      <c r="A274" s="110"/>
      <c r="B274" s="36" t="str">
        <f>+IF($G$17="poches à visser",IF($D$23="Boxer 3 - Std","2","0"),"0")</f>
        <v>0</v>
      </c>
      <c r="C274" s="37">
        <f t="shared" si="70"/>
        <v>0</v>
      </c>
      <c r="D274" s="86" t="str">
        <f>+VLOOKUP(E274,[2]!Tableau__192.168.29.23_APSSQL_Arizona_v_Addr_Employee_F[[N° Article]:[Description courte]],3,)</f>
        <v>BOXER 3 POCHE POIGNEE, L = 260</v>
      </c>
      <c r="E274" s="47" t="s">
        <v>139</v>
      </c>
      <c r="F274" s="39"/>
      <c r="G274" s="40">
        <f>+VLOOKUP(E274,[2]!Tableau__192.168.29.23_APSSQL_Arizona_v_Addr_Employee_F[[N° Article]:[Poids net]],32,)</f>
        <v>0.93</v>
      </c>
      <c r="H274" s="41" t="s">
        <v>60</v>
      </c>
      <c r="I274" s="42">
        <f>(F274)*C274*G274</f>
        <v>0</v>
      </c>
      <c r="J274" s="43" t="s">
        <v>61</v>
      </c>
      <c r="K274" s="44">
        <f>+VLOOKUP(E274,[2]!Tableau__192.168.29.23_APSSQL_Arizona_v_Addr_Employee_F[[N° Article]:[Cout total]],9,)</f>
        <v>2.72</v>
      </c>
      <c r="L274" s="39" t="str">
        <f>+VLOOKUP(E274,[2]!Tableau__192.168.29.23_APSSQL_Arizona_v_Addr_Employee_F[[N° Article]:[UC_code]],10,)</f>
        <v>PCE</v>
      </c>
      <c r="M274" s="45">
        <f t="shared" si="68"/>
        <v>0</v>
      </c>
      <c r="O274" s="46"/>
    </row>
    <row r="275" spans="1:15" hidden="1" outlineLevel="1" x14ac:dyDescent="0.25">
      <c r="A275" s="110"/>
      <c r="B275" s="36" t="str">
        <f>+IF($G$17="poches à visser",IF($D$23="Boxer 3 - Std","2","0"),"0")</f>
        <v>0</v>
      </c>
      <c r="C275" s="37">
        <f t="shared" si="70"/>
        <v>0</v>
      </c>
      <c r="D275" s="86" t="str">
        <f>+VLOOKUP(E275,[2]!Tableau__192.168.29.23_APSSQL_Arizona_v_Addr_Employee_F[[N° Article]:[Description courte]],3,)</f>
        <v>BOXER 3 POCHE CROCHET, L = 120</v>
      </c>
      <c r="E275" s="47" t="s">
        <v>140</v>
      </c>
      <c r="F275" s="39"/>
      <c r="G275" s="40">
        <f>+VLOOKUP(E275,[2]!Tableau__192.168.29.23_APSSQL_Arizona_v_Addr_Employee_F[[N° Article]:[Poids net]],32,)</f>
        <v>0.34100000000000003</v>
      </c>
      <c r="H275" s="41" t="s">
        <v>66</v>
      </c>
      <c r="I275" s="42">
        <f>C275*G275</f>
        <v>0</v>
      </c>
      <c r="J275" s="43" t="s">
        <v>61</v>
      </c>
      <c r="K275" s="44">
        <f>+VLOOKUP(E275,[2]!Tableau__192.168.29.23_APSSQL_Arizona_v_Addr_Employee_F[[N° Article]:[Cout total]],9,)</f>
        <v>0.71</v>
      </c>
      <c r="L275" s="39" t="str">
        <f>+VLOOKUP(E275,[2]!Tableau__192.168.29.23_APSSQL_Arizona_v_Addr_Employee_F[[N° Article]:[UC_code]],10,)</f>
        <v>PCE</v>
      </c>
      <c r="M275" s="45">
        <f t="shared" si="68"/>
        <v>0</v>
      </c>
      <c r="O275" s="46"/>
    </row>
    <row r="276" spans="1:15" hidden="1" outlineLevel="1" x14ac:dyDescent="0.25">
      <c r="A276" s="110"/>
      <c r="B276" s="36" t="str">
        <f>+IF($G$17="poches à visser",IF($D$23="Boxer 3 - Std","2","0"),"0")</f>
        <v>0</v>
      </c>
      <c r="C276" s="37">
        <f t="shared" si="70"/>
        <v>0</v>
      </c>
      <c r="D276" s="86" t="str">
        <f>+VLOOKUP(E276,[2]!Tableau__192.168.29.23_APSSQL_Arizona_v_Addr_Employee_F[[N° Article]:[Description courte]],3,)</f>
        <v>PLAQUE POUR POCHE CROCHET BOX3</v>
      </c>
      <c r="E276" s="38" t="s">
        <v>141</v>
      </c>
      <c r="F276" s="39"/>
      <c r="G276" s="40">
        <f>+VLOOKUP(E276,[2]!Tableau__192.168.29.23_APSSQL_Arizona_v_Addr_Employee_F[[N° Article]:[Poids net]],32,)</f>
        <v>0.129</v>
      </c>
      <c r="H276" s="41" t="s">
        <v>66</v>
      </c>
      <c r="I276" s="42">
        <f>C276*G276</f>
        <v>0</v>
      </c>
      <c r="J276" s="43" t="s">
        <v>61</v>
      </c>
      <c r="K276" s="44">
        <f>+VLOOKUP(E276,[2]!Tableau__192.168.29.23_APSSQL_Arizona_v_Addr_Employee_F[[N° Article]:[Cout total]],9,)</f>
        <v>0.92</v>
      </c>
      <c r="L276" s="39" t="str">
        <f>+VLOOKUP(E276,[2]!Tableau__192.168.29.23_APSSQL_Arizona_v_Addr_Employee_F[[N° Article]:[UC_code]],10,)</f>
        <v>PCE</v>
      </c>
      <c r="M276" s="45">
        <f t="shared" si="68"/>
        <v>0</v>
      </c>
      <c r="O276" s="46"/>
    </row>
    <row r="277" spans="1:15" hidden="1" outlineLevel="1" x14ac:dyDescent="0.25">
      <c r="A277" s="110"/>
      <c r="B277" s="36" t="str">
        <f>+IF($G$17="poches à visser",IF($D$23="Boxer 3 - Std","2","0"),"0")</f>
        <v>0</v>
      </c>
      <c r="C277" s="37">
        <f t="shared" si="70"/>
        <v>0</v>
      </c>
      <c r="D277" s="86" t="str">
        <f>+VLOOKUP(E277,[2]!Tableau__192.168.29.23_APSSQL_Arizona_v_Addr_Employee_F[[N° Article]:[Description courte]],3,)</f>
        <v>PLAQUE POUR POCHE POIGNEE BOX3</v>
      </c>
      <c r="E277" s="47" t="s">
        <v>142</v>
      </c>
      <c r="F277" s="39"/>
      <c r="G277" s="40">
        <f>+VLOOKUP(E277,[2]!Tableau__192.168.29.23_APSSQL_Arizona_v_Addr_Employee_F[[N° Article]:[Poids net]],32,)</f>
        <v>0.28199999999999997</v>
      </c>
      <c r="H277" s="41" t="s">
        <v>66</v>
      </c>
      <c r="I277" s="42">
        <f t="shared" ref="I277:I285" si="72">C277*G277</f>
        <v>0</v>
      </c>
      <c r="J277" s="43" t="s">
        <v>61</v>
      </c>
      <c r="K277" s="44">
        <f>+VLOOKUP(E277,[2]!Tableau__192.168.29.23_APSSQL_Arizona_v_Addr_Employee_F[[N° Article]:[Cout total]],9,)</f>
        <v>1.35</v>
      </c>
      <c r="L277" s="39" t="str">
        <f>+VLOOKUP(E277,[2]!Tableau__192.168.29.23_APSSQL_Arizona_v_Addr_Employee_F[[N° Article]:[UC_code]],10,)</f>
        <v>PCE</v>
      </c>
      <c r="M277" s="45">
        <f t="shared" si="68"/>
        <v>0</v>
      </c>
      <c r="O277" s="46"/>
    </row>
    <row r="278" spans="1:15" hidden="1" outlineLevel="1" x14ac:dyDescent="0.25">
      <c r="A278" s="110"/>
      <c r="B278" s="36" t="str">
        <f>+IF($G$17="poches à visser",IF($D$23="Boxer 3 - Std","4","0"),"0")</f>
        <v>0</v>
      </c>
      <c r="C278" s="37">
        <f>+B278*$F$4*$D$15/2</f>
        <v>0</v>
      </c>
      <c r="D278" s="86" t="str">
        <f>+VLOOKUP(E278,[2]!Tableau__192.168.29.23_APSSQL_Arizona_v_Addr_Employee_F[[N° Article]:[Description courte]],3,)</f>
        <v>VIS M8X25 TCYLBA 6-PS CR ZB</v>
      </c>
      <c r="E278" s="69" t="s">
        <v>137</v>
      </c>
      <c r="F278" s="39"/>
      <c r="G278" s="40">
        <f>+VLOOKUP(E278,[2]!Tableau__192.168.29.23_APSSQL_Arizona_v_Addr_Employee_F[[N° Article]:[Poids net]],32,)</f>
        <v>0.01</v>
      </c>
      <c r="H278" s="41" t="s">
        <v>66</v>
      </c>
      <c r="I278" s="42">
        <f t="shared" si="72"/>
        <v>0</v>
      </c>
      <c r="J278" s="43" t="s">
        <v>61</v>
      </c>
      <c r="K278" s="44">
        <f>+VLOOKUP(E278,[2]!Tableau__192.168.29.23_APSSQL_Arizona_v_Addr_Employee_F[[N° Article]:[Cout total]],9,)</f>
        <v>4.17</v>
      </c>
      <c r="L278" s="39" t="str">
        <f>+VLOOKUP(E278,[2]!Tableau__192.168.29.23_APSSQL_Arizona_v_Addr_Employee_F[[N° Article]:[UC_code]],10,)</f>
        <v>CENT</v>
      </c>
      <c r="M278" s="45">
        <f t="shared" si="68"/>
        <v>0</v>
      </c>
      <c r="O278" s="46"/>
    </row>
    <row r="279" spans="1:15" hidden="1" outlineLevel="1" x14ac:dyDescent="0.25">
      <c r="A279" s="110"/>
      <c r="B279" s="36" t="str">
        <f>+IF($G$17="poches à visser",IF($D$23="Boxer 3 - Std","6","0"),"0")</f>
        <v>0</v>
      </c>
      <c r="C279" s="37">
        <f>+B279*$F$4*$D$15/2</f>
        <v>0</v>
      </c>
      <c r="D279" s="86" t="str">
        <f>+VLOOKUP(E279,[2]!Tableau__192.168.29.23_APSSQL_Arizona_v_Addr_Employee_F[[N° Article]:[Description courte]],3,)</f>
        <v>VIS M8X25 TCYLBA 6-PS CR ZB</v>
      </c>
      <c r="E279" s="69" t="s">
        <v>137</v>
      </c>
      <c r="F279" s="39"/>
      <c r="G279" s="40">
        <f>+VLOOKUP(E279,[2]!Tableau__192.168.29.23_APSSQL_Arizona_v_Addr_Employee_F[[N° Article]:[Poids net]],32,)</f>
        <v>0.01</v>
      </c>
      <c r="H279" s="41" t="s">
        <v>66</v>
      </c>
      <c r="I279" s="42">
        <f t="shared" si="72"/>
        <v>0</v>
      </c>
      <c r="J279" s="43" t="s">
        <v>61</v>
      </c>
      <c r="K279" s="44">
        <f>+VLOOKUP(E279,[2]!Tableau__192.168.29.23_APSSQL_Arizona_v_Addr_Employee_F[[N° Article]:[Cout total]],9,)</f>
        <v>4.17</v>
      </c>
      <c r="L279" s="39" t="str">
        <f>+VLOOKUP(E279,[2]!Tableau__192.168.29.23_APSSQL_Arizona_v_Addr_Employee_F[[N° Article]:[UC_code]],10,)</f>
        <v>CENT</v>
      </c>
      <c r="M279" s="45">
        <f t="shared" si="68"/>
        <v>0</v>
      </c>
      <c r="O279" s="46"/>
    </row>
    <row r="280" spans="1:15" hidden="1" outlineLevel="1" x14ac:dyDescent="0.25">
      <c r="A280" s="110"/>
      <c r="B280" s="36" t="str">
        <f>+IF($G$17="poches à visser",IF(OR($D$23="Encastrée - PL",$D$23="Encastrée - FU"),"2","0"),"0")</f>
        <v>0</v>
      </c>
      <c r="C280" s="37">
        <f>+B280*$F$4*$D$15</f>
        <v>0</v>
      </c>
      <c r="D280" s="87" t="str">
        <f>+VLOOKUP(E280,[2]!Tableau__192.168.29.23_APSSQL_Arizona_v_Addr_Employee_F[[N° Article]:[Description courte]],3,)</f>
        <v>BOXER 2 POCHE CROCHET ZNF</v>
      </c>
      <c r="E280" s="38" t="s">
        <v>133</v>
      </c>
      <c r="F280" s="39"/>
      <c r="G280" s="40">
        <f>+VLOOKUP(E280,[2]!Tableau__192.168.29.23_APSSQL_Arizona_v_Addr_Employee_F[[N° Article]:[Poids net]],32,)</f>
        <v>0.33</v>
      </c>
      <c r="H280" s="41" t="s">
        <v>66</v>
      </c>
      <c r="I280" s="42">
        <f t="shared" si="72"/>
        <v>0</v>
      </c>
      <c r="J280" s="43" t="s">
        <v>61</v>
      </c>
      <c r="K280" s="44">
        <f>+VLOOKUP(E280,[2]!Tableau__192.168.29.23_APSSQL_Arizona_v_Addr_Employee_F[[N° Article]:[Cout total]],9,)</f>
        <v>1.62</v>
      </c>
      <c r="L280" s="39" t="str">
        <f>+VLOOKUP(E280,[2]!Tableau__192.168.29.23_APSSQL_Arizona_v_Addr_Employee_F[[N° Article]:[UC_code]],10,)</f>
        <v>PCE</v>
      </c>
      <c r="M280" s="45">
        <f t="shared" si="68"/>
        <v>0</v>
      </c>
      <c r="O280" s="46"/>
    </row>
    <row r="281" spans="1:15" hidden="1" outlineLevel="1" x14ac:dyDescent="0.25">
      <c r="A281" s="110"/>
      <c r="B281" s="36" t="str">
        <f t="shared" ref="B281" si="73">+IF($G$17="poches à visser",IF(OR($D$23="Encastrée - PL",$D$23="Encastrée - FU"),"2","0"),"0")</f>
        <v>0</v>
      </c>
      <c r="C281" s="37">
        <f t="shared" ref="C281:C285" si="74">+B281*$F$4*$D$15</f>
        <v>0</v>
      </c>
      <c r="D281" s="87" t="str">
        <f>+VLOOKUP(E281,[2]!Tableau__192.168.29.23_APSSQL_Arizona_v_Addr_Employee_F[[N° Article]:[Description courte]],3,)</f>
        <v>BOXER, PLAQUE FILETEE M8 ZING.</v>
      </c>
      <c r="E281" s="47" t="s">
        <v>135</v>
      </c>
      <c r="F281" s="39"/>
      <c r="G281" s="40">
        <f>+VLOOKUP(E281,[2]!Tableau__192.168.29.23_APSSQL_Arizona_v_Addr_Employee_F[[N° Article]:[Poids net]],32,)</f>
        <v>0.1</v>
      </c>
      <c r="H281" s="41" t="s">
        <v>66</v>
      </c>
      <c r="I281" s="42">
        <f t="shared" si="72"/>
        <v>0</v>
      </c>
      <c r="J281" s="43" t="s">
        <v>61</v>
      </c>
      <c r="K281" s="44">
        <f>+VLOOKUP(E281,[2]!Tableau__192.168.29.23_APSSQL_Arizona_v_Addr_Employee_F[[N° Article]:[Cout total]],9,)</f>
        <v>0.8</v>
      </c>
      <c r="L281" s="39" t="str">
        <f>+VLOOKUP(E281,[2]!Tableau__192.168.29.23_APSSQL_Arizona_v_Addr_Employee_F[[N° Article]:[UC_code]],10,)</f>
        <v>PCE</v>
      </c>
      <c r="M281" s="45">
        <f t="shared" si="68"/>
        <v>0</v>
      </c>
      <c r="O281" s="46"/>
    </row>
    <row r="282" spans="1:15" hidden="1" outlineLevel="1" x14ac:dyDescent="0.25">
      <c r="A282" s="110"/>
      <c r="B282" s="36" t="str">
        <f>+IF($G$17="poches à visser",IF(OR($D$23="Encastrée - PL",$D$23="Encastrée - FU"),"4","0"),"0")</f>
        <v>0</v>
      </c>
      <c r="C282" s="37">
        <f t="shared" si="74"/>
        <v>0</v>
      </c>
      <c r="D282" s="87" t="str">
        <f>+VLOOKUP(E282,[2]!Tableau__192.168.29.23_APSSQL_Arizona_v_Addr_Employee_F[[N° Article]:[Description courte]],3,)</f>
        <v>VIS M8X25 TFR 6-PS CR DA.500</v>
      </c>
      <c r="E282" s="67" t="s">
        <v>136</v>
      </c>
      <c r="F282" s="39"/>
      <c r="G282" s="40">
        <f>+VLOOKUP(E282,[2]!Tableau__192.168.29.23_APSSQL_Arizona_v_Addr_Employee_F[[N° Article]:[Poids net]],32,)</f>
        <v>1.4999999999999999E-2</v>
      </c>
      <c r="H282" s="41" t="s">
        <v>66</v>
      </c>
      <c r="I282" s="42">
        <f t="shared" si="72"/>
        <v>0</v>
      </c>
      <c r="J282" s="43" t="s">
        <v>61</v>
      </c>
      <c r="K282" s="44">
        <f>+VLOOKUP(E282,[2]!Tableau__192.168.29.23_APSSQL_Arizona_v_Addr_Employee_F[[N° Article]:[Cout total]],9,)</f>
        <v>7.5</v>
      </c>
      <c r="L282" s="39" t="str">
        <f>+VLOOKUP(E282,[2]!Tableau__192.168.29.23_APSSQL_Arizona_v_Addr_Employee_F[[N° Article]:[UC_code]],10,)</f>
        <v>CENT</v>
      </c>
      <c r="M282" s="45">
        <f t="shared" si="68"/>
        <v>0</v>
      </c>
      <c r="O282" s="46"/>
    </row>
    <row r="283" spans="1:15" hidden="1" outlineLevel="1" x14ac:dyDescent="0.25">
      <c r="A283" s="110"/>
      <c r="B283" s="36" t="str">
        <f>+IF($G$17="poches à visser",IF(OR($D$23="Encastrée - Inox PL",$D$23="Encastrée - FU - Inox"),"2","0"),"0")</f>
        <v>0</v>
      </c>
      <c r="C283" s="37">
        <f>+B283*$F$4*$D$15</f>
        <v>0</v>
      </c>
      <c r="D283" s="87" t="str">
        <f>+VLOOKUP(E283,[2]!Tableau__192.168.29.23_APSSQL_Arizona_v_Addr_Employee_F[[N° Article]:[Description courte]],3,)</f>
        <v>BOXER , POCHE CROCHET INOX</v>
      </c>
      <c r="E283" s="57" t="s">
        <v>143</v>
      </c>
      <c r="F283" s="39"/>
      <c r="G283" s="40">
        <f>+VLOOKUP(E283,[2]!Tableau__192.168.29.23_APSSQL_Arizona_v_Addr_Employee_F[[N° Article]:[Poids net]],32,)</f>
        <v>0.34</v>
      </c>
      <c r="H283" s="41" t="s">
        <v>66</v>
      </c>
      <c r="I283" s="42">
        <f t="shared" si="72"/>
        <v>0</v>
      </c>
      <c r="J283" s="43" t="s">
        <v>61</v>
      </c>
      <c r="K283" s="44">
        <f>+VLOOKUP(E283,[2]!Tableau__192.168.29.23_APSSQL_Arizona_v_Addr_Employee_F[[N° Article]:[Cout total]],9,)</f>
        <v>2.98</v>
      </c>
      <c r="L283" s="39" t="str">
        <f>+VLOOKUP(E283,[2]!Tableau__192.168.29.23_APSSQL_Arizona_v_Addr_Employee_F[[N° Article]:[UC_code]],10,)</f>
        <v>PCE</v>
      </c>
      <c r="M283" s="45">
        <f t="shared" si="68"/>
        <v>0</v>
      </c>
      <c r="O283" s="46"/>
    </row>
    <row r="284" spans="1:15" hidden="1" outlineLevel="1" x14ac:dyDescent="0.25">
      <c r="A284" s="110"/>
      <c r="B284" s="36" t="str">
        <f t="shared" ref="B284" si="75">+IF($G$17="poches à visser",IF(OR($D$23="Encastrée - Inox PL",$D$23="Encastrée - FU - Inox"),"2","0"),"0")</f>
        <v>0</v>
      </c>
      <c r="C284" s="37">
        <f t="shared" si="74"/>
        <v>0</v>
      </c>
      <c r="D284" s="87" t="str">
        <f>+VLOOKUP(E284,[2]!Tableau__192.168.29.23_APSSQL_Arizona_v_Addr_Employee_F[[N° Article]:[Description courte]],3,)</f>
        <v>BOXER, PLAQUE FILETEE M8 ZING.</v>
      </c>
      <c r="E284" s="47" t="s">
        <v>135</v>
      </c>
      <c r="F284" s="39"/>
      <c r="G284" s="40">
        <f>+VLOOKUP(E284,[2]!Tableau__192.168.29.23_APSSQL_Arizona_v_Addr_Employee_F[[N° Article]:[Poids net]],32,)</f>
        <v>0.1</v>
      </c>
      <c r="H284" s="41" t="s">
        <v>66</v>
      </c>
      <c r="I284" s="42">
        <f t="shared" si="72"/>
        <v>0</v>
      </c>
      <c r="J284" s="43" t="s">
        <v>61</v>
      </c>
      <c r="K284" s="44">
        <f>+VLOOKUP(E284,[2]!Tableau__192.168.29.23_APSSQL_Arizona_v_Addr_Employee_F[[N° Article]:[Cout total]],9,)</f>
        <v>0.8</v>
      </c>
      <c r="L284" s="39" t="str">
        <f>+VLOOKUP(E284,[2]!Tableau__192.168.29.23_APSSQL_Arizona_v_Addr_Employee_F[[N° Article]:[UC_code]],10,)</f>
        <v>PCE</v>
      </c>
      <c r="M284" s="45">
        <f t="shared" si="68"/>
        <v>0</v>
      </c>
      <c r="O284" s="46"/>
    </row>
    <row r="285" spans="1:15" hidden="1" outlineLevel="1" x14ac:dyDescent="0.25">
      <c r="A285" s="110"/>
      <c r="B285" s="36" t="str">
        <f>+IF($G$17="poches à visser",IF(OR($D$23="Encastrée - Inox PL",$D$23="Encastrée - FU - Inox"),"4","0"),"0")</f>
        <v>0</v>
      </c>
      <c r="C285" s="37">
        <f t="shared" si="74"/>
        <v>0</v>
      </c>
      <c r="D285" s="87" t="str">
        <f>+VLOOKUP(E285,[2]!Tableau__192.168.29.23_APSSQL_Arizona_v_Addr_Employee_F[[N° Article]:[Description courte]],3,)</f>
        <v>VIS M8X25 TFR 6-PS CR INOX</v>
      </c>
      <c r="E285" s="38" t="s">
        <v>144</v>
      </c>
      <c r="F285" s="39"/>
      <c r="G285" s="40">
        <f>+VLOOKUP(E285,[2]!Tableau__192.168.29.23_APSSQL_Arizona_v_Addr_Employee_F[[N° Article]:[Poids net]],32,)</f>
        <v>1.4999999999999999E-2</v>
      </c>
      <c r="H285" s="41" t="s">
        <v>66</v>
      </c>
      <c r="I285" s="42">
        <f t="shared" si="72"/>
        <v>0</v>
      </c>
      <c r="J285" s="43" t="s">
        <v>61</v>
      </c>
      <c r="K285" s="44">
        <f>+VLOOKUP(E285,[2]!Tableau__192.168.29.23_APSSQL_Arizona_v_Addr_Employee_F[[N° Article]:[Cout total]],9,)</f>
        <v>12</v>
      </c>
      <c r="L285" s="39" t="str">
        <f>+VLOOKUP(E285,[2]!Tableau__192.168.29.23_APSSQL_Arizona_v_Addr_Employee_F[[N° Article]:[UC_code]],10,)</f>
        <v>CENT</v>
      </c>
      <c r="M285" s="45">
        <f t="shared" si="68"/>
        <v>0</v>
      </c>
      <c r="O285" s="46"/>
    </row>
    <row r="286" spans="1:15" hidden="1" outlineLevel="1" x14ac:dyDescent="0.25">
      <c r="A286" s="110"/>
      <c r="B286" s="36" t="str">
        <f>+IF($G$17="poches à visser",IF($D$23="Boxer 2 - Inox","2","0"),"0")</f>
        <v>0</v>
      </c>
      <c r="C286" s="37">
        <f t="shared" si="70"/>
        <v>0</v>
      </c>
      <c r="D286" s="88" t="str">
        <f>+VLOOKUP(E286,[2]!Tableau__192.168.29.23_APSSQL_Arizona_v_Addr_Employee_F[[N° Article]:[Description courte]],3,)</f>
        <v>BOXER 2, POCHE POIGNEE INOX</v>
      </c>
      <c r="E286" s="57" t="s">
        <v>145</v>
      </c>
      <c r="F286" s="39"/>
      <c r="G286" s="40">
        <f>+VLOOKUP(E286,[2]!Tableau__192.168.29.23_APSSQL_Arizona_v_Addr_Employee_F[[N° Article]:[Poids net]],32,)</f>
        <v>0.74</v>
      </c>
      <c r="H286" s="41" t="s">
        <v>60</v>
      </c>
      <c r="I286" s="42">
        <f>(F286)*C286*G286</f>
        <v>0</v>
      </c>
      <c r="J286" s="43" t="s">
        <v>61</v>
      </c>
      <c r="K286" s="44">
        <f>+VLOOKUP(E286,[2]!Tableau__192.168.29.23_APSSQL_Arizona_v_Addr_Employee_F[[N° Article]:[Cout total]],9,)</f>
        <v>8.7899999999999991</v>
      </c>
      <c r="L286" s="39" t="str">
        <f>+VLOOKUP(E286,[2]!Tableau__192.168.29.23_APSSQL_Arizona_v_Addr_Employee_F[[N° Article]:[UC_code]],10,)</f>
        <v>PCE</v>
      </c>
      <c r="M286" s="45">
        <f t="shared" si="68"/>
        <v>0</v>
      </c>
      <c r="O286" s="46"/>
    </row>
    <row r="287" spans="1:15" hidden="1" outlineLevel="1" x14ac:dyDescent="0.25">
      <c r="A287" s="110"/>
      <c r="B287" s="36" t="str">
        <f t="shared" ref="B287:B289" si="76">+IF($G$17="poches à visser",IF($D$23="Boxer 2 - Inox","2","0"),"0")</f>
        <v>0</v>
      </c>
      <c r="C287" s="37">
        <f t="shared" si="70"/>
        <v>0</v>
      </c>
      <c r="D287" s="88" t="str">
        <f>+VLOOKUP(E287,[2]!Tableau__192.168.29.23_APSSQL_Arizona_v_Addr_Employee_F[[N° Article]:[Description courte]],3,)</f>
        <v>BOXER , POCHE CROCHET INOX</v>
      </c>
      <c r="E287" s="57" t="s">
        <v>143</v>
      </c>
      <c r="F287" s="39"/>
      <c r="G287" s="40">
        <f>+VLOOKUP(E287,[2]!Tableau__192.168.29.23_APSSQL_Arizona_v_Addr_Employee_F[[N° Article]:[Poids net]],32,)</f>
        <v>0.34</v>
      </c>
      <c r="H287" s="41" t="s">
        <v>66</v>
      </c>
      <c r="I287" s="42">
        <f>C287*G287</f>
        <v>0</v>
      </c>
      <c r="J287" s="43" t="s">
        <v>61</v>
      </c>
      <c r="K287" s="44">
        <f>+VLOOKUP(E287,[2]!Tableau__192.168.29.23_APSSQL_Arizona_v_Addr_Employee_F[[N° Article]:[Cout total]],9,)</f>
        <v>2.98</v>
      </c>
      <c r="L287" s="39" t="str">
        <f>+VLOOKUP(E287,[2]!Tableau__192.168.29.23_APSSQL_Arizona_v_Addr_Employee_F[[N° Article]:[UC_code]],10,)</f>
        <v>PCE</v>
      </c>
      <c r="M287" s="45">
        <f t="shared" si="68"/>
        <v>0</v>
      </c>
      <c r="O287" s="46"/>
    </row>
    <row r="288" spans="1:15" hidden="1" outlineLevel="1" x14ac:dyDescent="0.25">
      <c r="A288" s="110"/>
      <c r="B288" s="36" t="str">
        <f t="shared" si="76"/>
        <v>0</v>
      </c>
      <c r="C288" s="37">
        <f t="shared" si="70"/>
        <v>0</v>
      </c>
      <c r="D288" s="88" t="str">
        <f>+VLOOKUP(E288,[2]!Tableau__192.168.29.23_APSSQL_Arizona_v_Addr_Employee_F[[N° Article]:[Description courte]],3,)</f>
        <v>BOXER PLAQUE FILETEE M8 ZING.</v>
      </c>
      <c r="E288" s="57" t="s">
        <v>134</v>
      </c>
      <c r="F288" s="39"/>
      <c r="G288" s="40">
        <f>+VLOOKUP(E288,[2]!Tableau__192.168.29.23_APSSQL_Arizona_v_Addr_Employee_F[[N° Article]:[Poids net]],32,)</f>
        <v>0.34</v>
      </c>
      <c r="H288" s="41" t="s">
        <v>66</v>
      </c>
      <c r="I288" s="42">
        <f>C288*G288</f>
        <v>0</v>
      </c>
      <c r="J288" s="43" t="s">
        <v>61</v>
      </c>
      <c r="K288" s="44">
        <f>+VLOOKUP(E288,[2]!Tableau__192.168.29.23_APSSQL_Arizona_v_Addr_Employee_F[[N° Article]:[Cout total]],9,)</f>
        <v>1.5</v>
      </c>
      <c r="L288" s="39" t="str">
        <f>+VLOOKUP(E288,[2]!Tableau__192.168.29.23_APSSQL_Arizona_v_Addr_Employee_F[[N° Article]:[UC_code]],10,)</f>
        <v>PCE</v>
      </c>
      <c r="M288" s="45">
        <f t="shared" si="68"/>
        <v>0</v>
      </c>
      <c r="O288" s="46"/>
    </row>
    <row r="289" spans="1:15" hidden="1" outlineLevel="1" x14ac:dyDescent="0.25">
      <c r="A289" s="110"/>
      <c r="B289" s="36" t="str">
        <f t="shared" si="76"/>
        <v>0</v>
      </c>
      <c r="C289" s="37">
        <f t="shared" si="70"/>
        <v>0</v>
      </c>
      <c r="D289" s="88" t="str">
        <f>+VLOOKUP(E289,[2]!Tableau__192.168.29.23_APSSQL_Arizona_v_Addr_Employee_F[[N° Article]:[Description courte]],3,)</f>
        <v>BOXER, PLAQUE FILETEE M8 ZING.</v>
      </c>
      <c r="E289" s="70" t="s">
        <v>135</v>
      </c>
      <c r="F289" s="39"/>
      <c r="G289" s="40">
        <f>+VLOOKUP(E289,[2]!Tableau__192.168.29.23_APSSQL_Arizona_v_Addr_Employee_F[[N° Article]:[Poids net]],32,)</f>
        <v>0.1</v>
      </c>
      <c r="H289" s="41" t="s">
        <v>66</v>
      </c>
      <c r="I289" s="42">
        <f t="shared" ref="I289:I292" si="77">C289*G289</f>
        <v>0</v>
      </c>
      <c r="J289" s="43" t="s">
        <v>61</v>
      </c>
      <c r="K289" s="44">
        <f>+VLOOKUP(E289,[2]!Tableau__192.168.29.23_APSSQL_Arizona_v_Addr_Employee_F[[N° Article]:[Cout total]],9,)</f>
        <v>0.8</v>
      </c>
      <c r="L289" s="39" t="str">
        <f>+VLOOKUP(E289,[2]!Tableau__192.168.29.23_APSSQL_Arizona_v_Addr_Employee_F[[N° Article]:[UC_code]],10,)</f>
        <v>PCE</v>
      </c>
      <c r="M289" s="45">
        <f t="shared" si="68"/>
        <v>0</v>
      </c>
      <c r="O289" s="46"/>
    </row>
    <row r="290" spans="1:15" hidden="1" outlineLevel="1" x14ac:dyDescent="0.25">
      <c r="A290" s="110"/>
      <c r="B290" s="36" t="str">
        <f>+IF($G$17="poches à visser",IF($D$23="Boxer 2 - Inox","4","0"),"0")</f>
        <v>0</v>
      </c>
      <c r="C290" s="37">
        <f t="shared" si="70"/>
        <v>0</v>
      </c>
      <c r="D290" s="88" t="str">
        <f>+VLOOKUP(E290,[2]!Tableau__192.168.29.23_APSSQL_Arizona_v_Addr_Employee_F[[N° Article]:[Description courte]],3,)</f>
        <v>VIS M8X25 TFR 6-PS CR INOX</v>
      </c>
      <c r="E290" s="38" t="s">
        <v>144</v>
      </c>
      <c r="F290" s="39"/>
      <c r="G290" s="40">
        <f>+VLOOKUP(E290,[2]!Tableau__192.168.29.23_APSSQL_Arizona_v_Addr_Employee_F[[N° Article]:[Poids net]],32,)</f>
        <v>1.4999999999999999E-2</v>
      </c>
      <c r="H290" s="41" t="s">
        <v>66</v>
      </c>
      <c r="I290" s="42">
        <f t="shared" si="77"/>
        <v>0</v>
      </c>
      <c r="J290" s="43" t="s">
        <v>61</v>
      </c>
      <c r="K290" s="44">
        <f>+VLOOKUP(E290,[2]!Tableau__192.168.29.23_APSSQL_Arizona_v_Addr_Employee_F[[N° Article]:[Cout total]],9,)</f>
        <v>12</v>
      </c>
      <c r="L290" s="39" t="str">
        <f>+VLOOKUP(E290,[2]!Tableau__192.168.29.23_APSSQL_Arizona_v_Addr_Employee_F[[N° Article]:[UC_code]],10,)</f>
        <v>CENT</v>
      </c>
      <c r="M290" s="45">
        <f t="shared" si="68"/>
        <v>0</v>
      </c>
      <c r="O290" s="46"/>
    </row>
    <row r="291" spans="1:15" hidden="1" outlineLevel="1" x14ac:dyDescent="0.25">
      <c r="A291" s="110"/>
      <c r="B291" s="36" t="str">
        <f>+IF($G$17="poches à visser",IF($D$23="Boxer 2 - Inox","6","0"),"0")</f>
        <v>0</v>
      </c>
      <c r="C291" s="37">
        <f t="shared" si="70"/>
        <v>0</v>
      </c>
      <c r="D291" s="88" t="str">
        <f>+VLOOKUP(E291,[2]!Tableau__192.168.29.23_APSSQL_Arizona_v_Addr_Employee_F[[N° Article]:[Description courte]],3,)</f>
        <v>VIS M8X25 TCYLBA 6-PS CR INOX</v>
      </c>
      <c r="E291" s="47" t="s">
        <v>146</v>
      </c>
      <c r="F291" s="39"/>
      <c r="G291" s="40">
        <f>+VLOOKUP(E291,[2]!Tableau__192.168.29.23_APSSQL_Arizona_v_Addr_Employee_F[[N° Article]:[Poids net]],32,)</f>
        <v>0.01</v>
      </c>
      <c r="H291" s="41" t="s">
        <v>66</v>
      </c>
      <c r="I291" s="42">
        <f t="shared" si="77"/>
        <v>0</v>
      </c>
      <c r="J291" s="43" t="s">
        <v>61</v>
      </c>
      <c r="K291" s="44">
        <f>+VLOOKUP(E291,[2]!Tableau__192.168.29.23_APSSQL_Arizona_v_Addr_Employee_F[[N° Article]:[Cout total]],9,)</f>
        <v>16</v>
      </c>
      <c r="L291" s="39" t="str">
        <f>+VLOOKUP(E291,[2]!Tableau__192.168.29.23_APSSQL_Arizona_v_Addr_Employee_F[[N° Article]:[UC_code]],10,)</f>
        <v>CENT</v>
      </c>
      <c r="M291" s="45">
        <f t="shared" si="68"/>
        <v>0</v>
      </c>
      <c r="O291" s="46"/>
    </row>
    <row r="292" spans="1:15" ht="15.75" hidden="1" outlineLevel="1" thickBot="1" x14ac:dyDescent="0.3">
      <c r="A292" s="111"/>
      <c r="B292" s="36" t="str">
        <f>+IF($G$17="poches à visser",IF($D$23="Boxer 2 - Inox","1","0"),"0")</f>
        <v>0</v>
      </c>
      <c r="C292" s="37">
        <f t="shared" si="70"/>
        <v>0</v>
      </c>
      <c r="D292" s="89" t="str">
        <f>+VLOOKUP(E292,[2]!Tableau__192.168.29.23_APSSQL_Arizona_v_Addr_Employee_F[[N° Article]:[Description courte]],3,)</f>
        <v>SET DE SECURITE BOXER</v>
      </c>
      <c r="E292" s="90" t="s">
        <v>138</v>
      </c>
      <c r="F292" s="52"/>
      <c r="G292" s="53">
        <f>+VLOOKUP(E292,[2]!Tableau__192.168.29.23_APSSQL_Arizona_v_Addr_Employee_F[[N° Article]:[Poids net]],32,)</f>
        <v>0.05</v>
      </c>
      <c r="H292" s="54" t="s">
        <v>66</v>
      </c>
      <c r="I292" s="66">
        <f t="shared" si="77"/>
        <v>0</v>
      </c>
      <c r="J292" s="55" t="s">
        <v>61</v>
      </c>
      <c r="K292" s="56">
        <f>+VLOOKUP(E292,[2]!Tableau__192.168.29.23_APSSQL_Arizona_v_Addr_Employee_F[[N° Article]:[Cout total]],9,)</f>
        <v>0.99</v>
      </c>
      <c r="L292" s="52" t="str">
        <f>+VLOOKUP(E292,[2]!Tableau__192.168.29.23_APSSQL_Arizona_v_Addr_Employee_F[[N° Article]:[UC_code]],10,)</f>
        <v>PCE</v>
      </c>
      <c r="M292" s="45">
        <f t="shared" si="68"/>
        <v>0</v>
      </c>
      <c r="O292" s="46"/>
    </row>
    <row r="293" spans="1:15" ht="15.75" hidden="1" collapsed="1" thickBot="1" x14ac:dyDescent="0.3">
      <c r="A293" s="104" t="str">
        <f>+A266</f>
        <v>Poches à visser</v>
      </c>
      <c r="B293" s="105"/>
      <c r="C293" s="106"/>
      <c r="I293" s="58">
        <f>+SUM(I267:I292)</f>
        <v>0</v>
      </c>
      <c r="M293" s="59">
        <f>+SUM(M267:M292)</f>
        <v>0</v>
      </c>
      <c r="O293" s="46"/>
    </row>
    <row r="294" spans="1:15" hidden="1" x14ac:dyDescent="0.25">
      <c r="O294" s="46"/>
    </row>
    <row r="295" spans="1:15" ht="18.75" hidden="1" outlineLevel="1" x14ac:dyDescent="0.25">
      <c r="A295" s="109" t="s">
        <v>147</v>
      </c>
      <c r="B295" s="27"/>
      <c r="C295" s="28"/>
      <c r="D295" s="29"/>
      <c r="E295" s="30"/>
      <c r="F295" s="30"/>
      <c r="G295" s="31"/>
      <c r="H295" s="31"/>
      <c r="I295" s="32"/>
      <c r="J295" s="33"/>
      <c r="K295" s="34"/>
      <c r="L295" s="30"/>
      <c r="M295" s="35"/>
      <c r="O295" s="46"/>
    </row>
    <row r="296" spans="1:15" hidden="1" outlineLevel="1" x14ac:dyDescent="0.25">
      <c r="A296" s="110"/>
      <c r="B296" s="36" t="str">
        <f>+IF($G$17="poches à souder",IF($D$23="Boxer 2 - Std","2","0"),"0")</f>
        <v>0</v>
      </c>
      <c r="C296" s="37">
        <f>+B296*$F$4*$D$15/2</f>
        <v>0</v>
      </c>
      <c r="D296" s="85" t="str">
        <f>+VLOOKUP(E296,[2]!Tableau__192.168.29.23_APSSQL_Arizona_v_Addr_Employee_F[[N° Article]:[Description courte]],3,)</f>
        <v>BOXER 2 POCHE POIGNEE ZNF</v>
      </c>
      <c r="E296" s="47" t="s">
        <v>132</v>
      </c>
      <c r="F296" s="39"/>
      <c r="G296" s="40">
        <f>+VLOOKUP(E296,[2]!Tableau__192.168.29.23_APSSQL_Arizona_v_Addr_Employee_F[[N° Article]:[Poids net]],32,)</f>
        <v>0.95</v>
      </c>
      <c r="H296" s="41" t="s">
        <v>66</v>
      </c>
      <c r="I296" s="42">
        <f>+C296*G296</f>
        <v>0</v>
      </c>
      <c r="J296" s="43" t="s">
        <v>61</v>
      </c>
      <c r="K296" s="44">
        <f>+VLOOKUP(E296,[2]!Tableau__192.168.29.23_APSSQL_Arizona_v_Addr_Employee_F[[N° Article]:[Cout total]],9,)</f>
        <v>4</v>
      </c>
      <c r="L296" s="39" t="str">
        <f>+VLOOKUP(E296,[2]!Tableau__192.168.29.23_APSSQL_Arizona_v_Addr_Employee_F[[N° Article]:[UC_code]],10,)</f>
        <v>PCE</v>
      </c>
      <c r="M296" s="45">
        <f t="shared" ref="M296:M301" si="78">IF(L296="CENT",C296*K296/100,IF(L296="KG",K296*I296,K296*C296))</f>
        <v>0</v>
      </c>
      <c r="O296" s="46"/>
    </row>
    <row r="297" spans="1:15" hidden="1" outlineLevel="1" x14ac:dyDescent="0.25">
      <c r="A297" s="110"/>
      <c r="B297" s="36" t="str">
        <f>+IF($G$17="poches à souder",IF($D$23="Boxer 2 - Std","2","0"),"0")</f>
        <v>0</v>
      </c>
      <c r="C297" s="37">
        <f>+B297*$F$4*$D$15/2</f>
        <v>0</v>
      </c>
      <c r="D297" s="85" t="str">
        <f>+VLOOKUP(E297,[2]!Tableau__192.168.29.23_APSSQL_Arizona_v_Addr_Employee_F[[N° Article]:[Description courte]],3,)</f>
        <v>BOXER 2 POCHE CROCHET ZNF</v>
      </c>
      <c r="E297" s="38" t="s">
        <v>133</v>
      </c>
      <c r="F297" s="39"/>
      <c r="G297" s="40">
        <f>+VLOOKUP(E297,[2]!Tableau__192.168.29.23_APSSQL_Arizona_v_Addr_Employee_F[[N° Article]:[Poids net]],32,)</f>
        <v>0.33</v>
      </c>
      <c r="H297" s="41" t="s">
        <v>66</v>
      </c>
      <c r="I297" s="42">
        <f t="shared" ref="I297:I301" si="79">C297*G297</f>
        <v>0</v>
      </c>
      <c r="J297" s="43" t="s">
        <v>61</v>
      </c>
      <c r="K297" s="44">
        <f>+VLOOKUP(E297,[2]!Tableau__192.168.29.23_APSSQL_Arizona_v_Addr_Employee_F[[N° Article]:[Cout total]],9,)</f>
        <v>1.62</v>
      </c>
      <c r="L297" s="39" t="str">
        <f>+VLOOKUP(E297,[2]!Tableau__192.168.29.23_APSSQL_Arizona_v_Addr_Employee_F[[N° Article]:[UC_code]],10,)</f>
        <v>PCE</v>
      </c>
      <c r="M297" s="45">
        <f t="shared" si="78"/>
        <v>0</v>
      </c>
      <c r="O297" s="46"/>
    </row>
    <row r="298" spans="1:15" hidden="1" outlineLevel="1" x14ac:dyDescent="0.25">
      <c r="A298" s="110"/>
      <c r="B298" s="36" t="str">
        <f>+IF($G$17="poches à souder",IF(OR($D$23="Encastrée - PL",$D$23="Encastrée - FU"),"1","0"),"0")</f>
        <v>0</v>
      </c>
      <c r="C298" s="37">
        <f>+B298*$F$4*$D$15*2</f>
        <v>0</v>
      </c>
      <c r="D298" s="87" t="str">
        <f>+VLOOKUP(E298,[2]!Tableau__192.168.29.23_APSSQL_Arizona_v_Addr_Employee_F[[N° Article]:[Description courte]],3,)</f>
        <v>BOXER 2 POCHE CROCHET ZNF</v>
      </c>
      <c r="E298" s="91" t="s">
        <v>133</v>
      </c>
      <c r="F298" s="39"/>
      <c r="G298" s="40">
        <f>+VLOOKUP(E298,[2]!Tableau__192.168.29.23_APSSQL_Arizona_v_Addr_Employee_F[[N° Article]:[Poids net]],32,)</f>
        <v>0.33</v>
      </c>
      <c r="H298" s="41" t="s">
        <v>66</v>
      </c>
      <c r="I298" s="42">
        <f t="shared" si="79"/>
        <v>0</v>
      </c>
      <c r="J298" s="43" t="s">
        <v>61</v>
      </c>
      <c r="K298" s="44">
        <f>+VLOOKUP(E298,[2]!Tableau__192.168.29.23_APSSQL_Arizona_v_Addr_Employee_F[[N° Article]:[Cout total]],9,)</f>
        <v>1.62</v>
      </c>
      <c r="L298" s="39" t="str">
        <f>+VLOOKUP(E298,[2]!Tableau__192.168.29.23_APSSQL_Arizona_v_Addr_Employee_F[[N° Article]:[UC_code]],10,)</f>
        <v>PCE</v>
      </c>
      <c r="M298" s="45">
        <f t="shared" si="78"/>
        <v>0</v>
      </c>
      <c r="O298" s="46"/>
    </row>
    <row r="299" spans="1:15" hidden="1" outlineLevel="1" x14ac:dyDescent="0.25">
      <c r="A299" s="110"/>
      <c r="B299" s="36" t="str">
        <f>+IF($G$17="poches à souder",IF(OR($D$23="Encastrée - Inox PL",$D$23="Encastrée - FU - Inox"),"1","0"),"0")</f>
        <v>0</v>
      </c>
      <c r="C299" s="37">
        <f>+B299*$F$4*$D$15*2</f>
        <v>0</v>
      </c>
      <c r="D299" s="87" t="str">
        <f>+VLOOKUP(E299,[2]!Tableau__192.168.29.23_APSSQL_Arizona_v_Addr_Employee_F[[N° Article]:[Description courte]],3,)</f>
        <v>BOXER , POCHE CROCHET INOX</v>
      </c>
      <c r="E299" s="57" t="s">
        <v>143</v>
      </c>
      <c r="F299" s="39"/>
      <c r="G299" s="40">
        <f>+VLOOKUP(E299,[2]!Tableau__192.168.29.23_APSSQL_Arizona_v_Addr_Employee_F[[N° Article]:[Poids net]],32,)</f>
        <v>0.34</v>
      </c>
      <c r="H299" s="41" t="s">
        <v>66</v>
      </c>
      <c r="I299" s="42">
        <f t="shared" si="79"/>
        <v>0</v>
      </c>
      <c r="J299" s="43" t="s">
        <v>61</v>
      </c>
      <c r="K299" s="44">
        <f>+VLOOKUP(E299,[2]!Tableau__192.168.29.23_APSSQL_Arizona_v_Addr_Employee_F[[N° Article]:[Cout total]],9,)</f>
        <v>2.98</v>
      </c>
      <c r="L299" s="39" t="str">
        <f>+VLOOKUP(E299,[2]!Tableau__192.168.29.23_APSSQL_Arizona_v_Addr_Employee_F[[N° Article]:[UC_code]],10,)</f>
        <v>PCE</v>
      </c>
      <c r="M299" s="45">
        <f t="shared" si="78"/>
        <v>0</v>
      </c>
      <c r="O299" s="46"/>
    </row>
    <row r="300" spans="1:15" hidden="1" outlineLevel="1" x14ac:dyDescent="0.25">
      <c r="A300" s="110"/>
      <c r="B300" s="36" t="str">
        <f>+IF($G$17="poches à souder",IF($D$23="Boxer 2 - Inox","2","0"),"0")</f>
        <v>0</v>
      </c>
      <c r="C300" s="37">
        <f t="shared" ref="C300:C301" si="80">+B300*$F$4*$D$15/2</f>
        <v>0</v>
      </c>
      <c r="D300" s="88" t="str">
        <f>+VLOOKUP(E300,[2]!Tableau__192.168.29.23_APSSQL_Arizona_v_Addr_Employee_F[[N° Article]:[Description courte]],3,)</f>
        <v>BOXER 2, POCHE POIGNEE INOX</v>
      </c>
      <c r="E300" s="92" t="s">
        <v>145</v>
      </c>
      <c r="F300" s="39"/>
      <c r="G300" s="40">
        <f>+VLOOKUP(E300,[2]!Tableau__192.168.29.23_APSSQL_Arizona_v_Addr_Employee_F[[N° Article]:[Poids net]],32,)</f>
        <v>0.74</v>
      </c>
      <c r="H300" s="41" t="s">
        <v>66</v>
      </c>
      <c r="I300" s="42">
        <f t="shared" si="79"/>
        <v>0</v>
      </c>
      <c r="J300" s="43" t="s">
        <v>61</v>
      </c>
      <c r="K300" s="44">
        <f>+VLOOKUP(E300,[2]!Tableau__192.168.29.23_APSSQL_Arizona_v_Addr_Employee_F[[N° Article]:[Cout total]],9,)</f>
        <v>8.7899999999999991</v>
      </c>
      <c r="L300" s="39" t="str">
        <f>+VLOOKUP(E300,[2]!Tableau__192.168.29.23_APSSQL_Arizona_v_Addr_Employee_F[[N° Article]:[UC_code]],10,)</f>
        <v>PCE</v>
      </c>
      <c r="M300" s="45">
        <f t="shared" si="78"/>
        <v>0</v>
      </c>
      <c r="O300" s="46"/>
    </row>
    <row r="301" spans="1:15" ht="15.75" hidden="1" outlineLevel="1" thickBot="1" x14ac:dyDescent="0.3">
      <c r="A301" s="111"/>
      <c r="B301" s="36" t="str">
        <f>+IF($G$17="poches à souder",IF($D$23="Boxer 2 - Inox","2","0"),"0")</f>
        <v>0</v>
      </c>
      <c r="C301" s="37">
        <f t="shared" si="80"/>
        <v>0</v>
      </c>
      <c r="D301" s="89" t="str">
        <f>+VLOOKUP(E301,[2]!Tableau__192.168.29.23_APSSQL_Arizona_v_Addr_Employee_F[[N° Article]:[Description courte]],3,)</f>
        <v>BOXER , POCHE CROCHET INOX</v>
      </c>
      <c r="E301" s="71" t="s">
        <v>143</v>
      </c>
      <c r="F301" s="52"/>
      <c r="G301" s="53">
        <f>+VLOOKUP(E301,[2]!Tableau__192.168.29.23_APSSQL_Arizona_v_Addr_Employee_F[[N° Article]:[Poids net]],32,)</f>
        <v>0.34</v>
      </c>
      <c r="H301" s="54" t="s">
        <v>66</v>
      </c>
      <c r="I301" s="66">
        <f t="shared" si="79"/>
        <v>0</v>
      </c>
      <c r="J301" s="55" t="s">
        <v>61</v>
      </c>
      <c r="K301" s="56">
        <f>+VLOOKUP(E301,[2]!Tableau__192.168.29.23_APSSQL_Arizona_v_Addr_Employee_F[[N° Article]:[Cout total]],9,)</f>
        <v>2.98</v>
      </c>
      <c r="L301" s="52" t="str">
        <f>+VLOOKUP(E301,[2]!Tableau__192.168.29.23_APSSQL_Arizona_v_Addr_Employee_F[[N° Article]:[UC_code]],10,)</f>
        <v>PCE</v>
      </c>
      <c r="M301" s="45">
        <f t="shared" si="78"/>
        <v>0</v>
      </c>
      <c r="O301" s="46"/>
    </row>
    <row r="302" spans="1:15" ht="15.75" hidden="1" collapsed="1" thickBot="1" x14ac:dyDescent="0.3">
      <c r="A302" s="104" t="str">
        <f>+A295</f>
        <v>Poches à souder</v>
      </c>
      <c r="B302" s="105"/>
      <c r="C302" s="106"/>
      <c r="I302" s="58">
        <f>+SUM(I296:I301)</f>
        <v>0</v>
      </c>
      <c r="M302" s="59">
        <f>+SUM(M296:M301)</f>
        <v>0</v>
      </c>
      <c r="O302" s="46"/>
    </row>
    <row r="303" spans="1:15" hidden="1" x14ac:dyDescent="0.25">
      <c r="O303" s="46"/>
    </row>
    <row r="304" spans="1:15" s="93" customFormat="1" ht="5.25" customHeight="1" x14ac:dyDescent="0.25">
      <c r="M304" s="94"/>
      <c r="N304"/>
      <c r="O304" s="95"/>
    </row>
    <row r="305" spans="1:16" x14ac:dyDescent="0.25">
      <c r="A305" s="22"/>
      <c r="B305" s="23" t="s">
        <v>148</v>
      </c>
      <c r="C305" s="24" t="s">
        <v>149</v>
      </c>
      <c r="D305" s="23" t="s">
        <v>150</v>
      </c>
      <c r="E305" s="23"/>
      <c r="F305" s="23" t="s">
        <v>151</v>
      </c>
      <c r="G305" s="23"/>
      <c r="H305" s="25"/>
      <c r="I305" s="100" t="s">
        <v>152</v>
      </c>
      <c r="J305" s="100"/>
      <c r="K305" s="25" t="s">
        <v>153</v>
      </c>
      <c r="L305" s="25"/>
      <c r="M305" s="26" t="s">
        <v>154</v>
      </c>
      <c r="O305" s="46"/>
    </row>
    <row r="306" spans="1:16" ht="15.75" thickBot="1" x14ac:dyDescent="0.3">
      <c r="O306" s="46"/>
    </row>
    <row r="307" spans="1:16" ht="15" customHeight="1" outlineLevel="1" x14ac:dyDescent="0.25">
      <c r="A307" s="101" t="s">
        <v>155</v>
      </c>
      <c r="B307" s="96" t="s">
        <v>156</v>
      </c>
      <c r="C307" s="34" t="s">
        <v>157</v>
      </c>
      <c r="D307" s="34" t="s">
        <v>158</v>
      </c>
      <c r="E307" s="34"/>
      <c r="F307" s="34" t="str">
        <f>+IF(AND($D$17="Montée",$G$13="sandwich"),IF($D$13=2,"1","0"),"0")</f>
        <v>0</v>
      </c>
      <c r="G307" s="34"/>
      <c r="H307" s="34"/>
      <c r="I307" s="34">
        <v>0.1</v>
      </c>
      <c r="J307" s="34"/>
      <c r="K307" s="34">
        <v>0.13</v>
      </c>
      <c r="L307" s="34">
        <f t="shared" ref="L307:L330" si="81">+(I307+K307*$F$4)*F307</f>
        <v>0</v>
      </c>
      <c r="M307" s="35">
        <f>+(I307+K307*$F$4)*99*F307</f>
        <v>0</v>
      </c>
      <c r="O307" s="46"/>
    </row>
    <row r="308" spans="1:16" ht="15" customHeight="1" outlineLevel="1" x14ac:dyDescent="0.25">
      <c r="A308" s="102"/>
      <c r="B308" s="87" t="s">
        <v>156</v>
      </c>
      <c r="C308" t="s">
        <v>157</v>
      </c>
      <c r="D308" t="s">
        <v>159</v>
      </c>
      <c r="F308" t="str">
        <f>+IF(AND($D$17="Montée",$G$13="sandwich"),IF($D$13=4,"1","0"),"0")</f>
        <v>1</v>
      </c>
      <c r="I308">
        <v>0.1</v>
      </c>
      <c r="K308">
        <v>0.26</v>
      </c>
      <c r="L308">
        <f t="shared" si="81"/>
        <v>0.36</v>
      </c>
      <c r="M308" s="45">
        <f>+(I308+K308*$F$4)*99*F308</f>
        <v>35.64</v>
      </c>
      <c r="O308" s="46"/>
    </row>
    <row r="309" spans="1:16" ht="15" customHeight="1" outlineLevel="1" x14ac:dyDescent="0.25">
      <c r="A309" s="102"/>
      <c r="B309" s="87" t="s">
        <v>156</v>
      </c>
      <c r="C309" t="s">
        <v>160</v>
      </c>
      <c r="D309" t="s">
        <v>159</v>
      </c>
      <c r="F309" t="str">
        <f>+IF(AND($D$17="Montée",$G$13="sandwich"),IF($D$13=4,"1","0"),"0")</f>
        <v>1</v>
      </c>
      <c r="I309">
        <v>0.05</v>
      </c>
      <c r="K309">
        <v>0.1</v>
      </c>
      <c r="L309">
        <f t="shared" si="81"/>
        <v>0.15000000000000002</v>
      </c>
      <c r="M309" s="45">
        <f>+(I309+K309*$F$4)*99*F309</f>
        <v>14.850000000000001</v>
      </c>
      <c r="O309" s="46"/>
    </row>
    <row r="310" spans="1:16" outlineLevel="1" x14ac:dyDescent="0.25">
      <c r="A310" s="102"/>
      <c r="B310" s="87" t="s">
        <v>161</v>
      </c>
      <c r="C310" t="s">
        <v>162</v>
      </c>
      <c r="D310" t="s">
        <v>163</v>
      </c>
      <c r="F310" t="str">
        <f>+IF($D$9=FALSE,IF(AND($D$17="Montée",$G$13="sandwich"),IF($D$15=2,"1","0"),"0"),"0")</f>
        <v>0</v>
      </c>
      <c r="I310">
        <v>0.1</v>
      </c>
      <c r="K310">
        <v>0.39</v>
      </c>
      <c r="L310">
        <f t="shared" si="81"/>
        <v>0</v>
      </c>
      <c r="M310" s="45">
        <f t="shared" ref="M310:M330" si="82">+(I310+K310*$F$4)*99*F310</f>
        <v>0</v>
      </c>
      <c r="O310" s="46"/>
    </row>
    <row r="311" spans="1:16" outlineLevel="1" x14ac:dyDescent="0.25">
      <c r="A311" s="102"/>
      <c r="B311" s="87" t="s">
        <v>161</v>
      </c>
      <c r="C311" t="s">
        <v>162</v>
      </c>
      <c r="D311" t="s">
        <v>164</v>
      </c>
      <c r="F311" t="str">
        <f>+IF($D$9=FALSE,IF(AND($D$17="Montée",$G$13="sandwich"),IF($D$15=4,IF($D$13=4,"1","0"),"0"),"0"),"0")</f>
        <v>1</v>
      </c>
      <c r="I311">
        <v>0.3</v>
      </c>
      <c r="K311">
        <v>1.41</v>
      </c>
      <c r="L311">
        <f t="shared" si="81"/>
        <v>1.71</v>
      </c>
      <c r="M311" s="45">
        <f t="shared" si="82"/>
        <v>169.29</v>
      </c>
      <c r="O311" s="46"/>
    </row>
    <row r="312" spans="1:16" outlineLevel="1" x14ac:dyDescent="0.25">
      <c r="A312" s="102"/>
      <c r="B312" s="87" t="s">
        <v>161</v>
      </c>
      <c r="C312" t="s">
        <v>162</v>
      </c>
      <c r="D312" t="s">
        <v>165</v>
      </c>
      <c r="F312" t="str">
        <f>+IF($D$9=FALSE,IF(AND($D$17="Montée",$G$13="sandwich"),IF($D$15=4,IF($D$13=2,"1","0"),"0"),"0"),"0")</f>
        <v>0</v>
      </c>
      <c r="I312">
        <v>0.1</v>
      </c>
      <c r="K312">
        <v>0.45</v>
      </c>
      <c r="L312">
        <f t="shared" si="81"/>
        <v>0</v>
      </c>
      <c r="M312" s="45">
        <f t="shared" si="82"/>
        <v>0</v>
      </c>
      <c r="O312" s="46"/>
      <c r="P312" s="97"/>
    </row>
    <row r="313" spans="1:16" outlineLevel="1" x14ac:dyDescent="0.25">
      <c r="A313" s="102"/>
      <c r="B313" s="87" t="s">
        <v>161</v>
      </c>
      <c r="C313" t="s">
        <v>162</v>
      </c>
      <c r="D313" t="s">
        <v>166</v>
      </c>
      <c r="F313" t="str">
        <f>+IF($D$9=TRUE,IF(AND($D$17="Montée",$G$13="sandwich"),IF($D$15=2,"1","0"),"0"),"0")</f>
        <v>0</v>
      </c>
      <c r="I313">
        <v>0.1</v>
      </c>
      <c r="K313">
        <v>0.49</v>
      </c>
      <c r="L313">
        <f t="shared" si="81"/>
        <v>0</v>
      </c>
      <c r="M313" s="45">
        <f t="shared" si="82"/>
        <v>0</v>
      </c>
      <c r="O313" s="46"/>
    </row>
    <row r="314" spans="1:16" outlineLevel="1" x14ac:dyDescent="0.25">
      <c r="A314" s="102"/>
      <c r="B314" s="87" t="s">
        <v>161</v>
      </c>
      <c r="C314" t="s">
        <v>162</v>
      </c>
      <c r="D314" t="s">
        <v>167</v>
      </c>
      <c r="F314" t="str">
        <f>+IF($D$9=TRUE,IF(AND($D$17="Montée",$G$13="sandwich"),IF($D$15=4,IF($D$13=4,"1","0"),"0"),"0"),"0")</f>
        <v>0</v>
      </c>
      <c r="I314">
        <v>0.3</v>
      </c>
      <c r="K314">
        <v>1.61</v>
      </c>
      <c r="L314">
        <f t="shared" si="81"/>
        <v>0</v>
      </c>
      <c r="M314" s="45">
        <f t="shared" si="82"/>
        <v>0</v>
      </c>
      <c r="O314" s="46"/>
    </row>
    <row r="315" spans="1:16" outlineLevel="1" x14ac:dyDescent="0.25">
      <c r="A315" s="102"/>
      <c r="B315" s="87" t="s">
        <v>161</v>
      </c>
      <c r="C315" t="s">
        <v>162</v>
      </c>
      <c r="D315" t="s">
        <v>168</v>
      </c>
      <c r="F315" t="str">
        <f>+IF($D$9=TRUE,IF(AND($D$17="Montée",$G$13="sandwich"),IF($D$15=4,IF($D$13=2,"1","0"),"0"),"0"),"0")</f>
        <v>0</v>
      </c>
      <c r="I315">
        <v>0.1</v>
      </c>
      <c r="K315">
        <v>0.55000000000000004</v>
      </c>
      <c r="L315">
        <f t="shared" si="81"/>
        <v>0</v>
      </c>
      <c r="M315" s="45">
        <f t="shared" si="82"/>
        <v>0</v>
      </c>
      <c r="O315" s="46"/>
      <c r="P315" s="97"/>
    </row>
    <row r="316" spans="1:16" outlineLevel="1" x14ac:dyDescent="0.25">
      <c r="A316" s="102"/>
      <c r="B316" s="87" t="s">
        <v>169</v>
      </c>
      <c r="C316" t="s">
        <v>170</v>
      </c>
      <c r="D316" t="s">
        <v>163</v>
      </c>
      <c r="F316" t="str">
        <f>+IF(AND($D$17="Montée",$G$13="sandwich"),IF($D$15=2,"1","0"),"0")</f>
        <v>0</v>
      </c>
      <c r="K316">
        <v>0.12</v>
      </c>
      <c r="L316">
        <f t="shared" si="81"/>
        <v>0</v>
      </c>
      <c r="M316" s="45">
        <f t="shared" si="82"/>
        <v>0</v>
      </c>
      <c r="O316" s="46"/>
    </row>
    <row r="317" spans="1:16" outlineLevel="1" x14ac:dyDescent="0.25">
      <c r="A317" s="102"/>
      <c r="B317" s="87" t="s">
        <v>169</v>
      </c>
      <c r="C317" t="s">
        <v>170</v>
      </c>
      <c r="D317" t="s">
        <v>171</v>
      </c>
      <c r="F317" t="str">
        <f>+IF(AND($D$17="Montée",$G$13="sandwich"),IF($D$15=4,"1","0"),"0")</f>
        <v>1</v>
      </c>
      <c r="K317">
        <v>0.23</v>
      </c>
      <c r="L317">
        <f t="shared" si="81"/>
        <v>0.23</v>
      </c>
      <c r="M317" s="45">
        <f t="shared" si="82"/>
        <v>22.77</v>
      </c>
      <c r="O317" s="46"/>
    </row>
    <row r="318" spans="1:16" outlineLevel="1" x14ac:dyDescent="0.25">
      <c r="A318" s="102"/>
      <c r="B318" s="87" t="s">
        <v>156</v>
      </c>
      <c r="C318" t="s">
        <v>172</v>
      </c>
      <c r="D318" t="s">
        <v>158</v>
      </c>
      <c r="F318" t="str">
        <f>+IF(AND($D$17="Montée",$G$13="sandwich"),IF($D$13=2,"1","0"),"0")</f>
        <v>0</v>
      </c>
      <c r="I318">
        <v>0.1</v>
      </c>
      <c r="K318">
        <v>0.3</v>
      </c>
      <c r="L318">
        <f t="shared" si="81"/>
        <v>0</v>
      </c>
      <c r="M318" s="45">
        <f>+(I318+K318*$F$4)*99*F318</f>
        <v>0</v>
      </c>
      <c r="O318" s="46"/>
    </row>
    <row r="319" spans="1:16" outlineLevel="1" x14ac:dyDescent="0.25">
      <c r="A319" s="102"/>
      <c r="B319" s="87" t="s">
        <v>156</v>
      </c>
      <c r="C319" t="s">
        <v>172</v>
      </c>
      <c r="D319" t="s">
        <v>159</v>
      </c>
      <c r="F319" t="str">
        <f>+IF(AND($D$17="Montée",$G$13="sandwich"),IF($D$13=4,"1","0"),"0")</f>
        <v>1</v>
      </c>
      <c r="I319">
        <v>0.1</v>
      </c>
      <c r="K319">
        <v>0.75</v>
      </c>
      <c r="L319">
        <f t="shared" si="81"/>
        <v>0.85</v>
      </c>
      <c r="M319" s="45">
        <f>+(I319+K319*$F$4)*99*F319</f>
        <v>84.149999999999991</v>
      </c>
      <c r="O319" s="46"/>
    </row>
    <row r="320" spans="1:16" outlineLevel="1" x14ac:dyDescent="0.25">
      <c r="A320" s="102"/>
      <c r="B320" s="87" t="s">
        <v>173</v>
      </c>
      <c r="C320" t="s">
        <v>174</v>
      </c>
      <c r="D320" t="s">
        <v>175</v>
      </c>
      <c r="F320" t="str">
        <f>+IF(AND($D$17="Montée",$G$13="sandwich",OR($D$23="Encastrée - FU",$D$23="Encastrée - FU - Inox",$D$23="Encastrée - PL",$D$23="Encastrée - Inox PL",$D$23="Encastrée - MRF",$D$23="Encastrée - MRF - Inox")),IF($D$15=2,"1","0"),"0")</f>
        <v>0</v>
      </c>
      <c r="I320">
        <v>0.1</v>
      </c>
      <c r="K320">
        <v>3</v>
      </c>
      <c r="L320">
        <f t="shared" si="81"/>
        <v>0</v>
      </c>
      <c r="M320" s="45">
        <f t="shared" ref="M320:M321" si="83">+(I320+K320*$F$4)*99*F320</f>
        <v>0</v>
      </c>
      <c r="O320" s="46"/>
    </row>
    <row r="321" spans="1:15" outlineLevel="1" x14ac:dyDescent="0.25">
      <c r="A321" s="102"/>
      <c r="B321" s="87" t="s">
        <v>173</v>
      </c>
      <c r="C321" t="s">
        <v>174</v>
      </c>
      <c r="D321" t="s">
        <v>176</v>
      </c>
      <c r="F321" t="str">
        <f>+IF(AND($D$17="Montée",$G$13="sandwich",OR($D$23="Encastrée - FU",$D$23="Encastrée - FU - Inox",$D$23="Encastrée - PL",$D$23="Encastrée - Inox PL",$D$23="Encastrée - MRF",$D$23="Encastrée - MRF - Inox")),IF($D$15=4,"1","0"),"0")</f>
        <v>1</v>
      </c>
      <c r="I321">
        <v>0.1</v>
      </c>
      <c r="K321">
        <v>3.5</v>
      </c>
      <c r="L321">
        <f t="shared" si="81"/>
        <v>3.6</v>
      </c>
      <c r="M321" s="45">
        <f t="shared" si="83"/>
        <v>356.40000000000003</v>
      </c>
      <c r="O321" s="46"/>
    </row>
    <row r="322" spans="1:15" outlineLevel="1" x14ac:dyDescent="0.25">
      <c r="A322" s="102"/>
      <c r="B322" s="87" t="s">
        <v>173</v>
      </c>
      <c r="C322" t="s">
        <v>174</v>
      </c>
      <c r="D322" t="s">
        <v>163</v>
      </c>
      <c r="F322" t="str">
        <f>+IF(AND($D$17="Montée",$G$13="sandwich",OR($D$23="Boxer 2 - Std",$D$23="Boxer 2 - Inox",$D$23="Boxer 3 - Std")),IF($D$15=2,"1","0"),"0")</f>
        <v>0</v>
      </c>
      <c r="I322">
        <v>0.1</v>
      </c>
      <c r="K322">
        <v>1.3</v>
      </c>
      <c r="L322">
        <f t="shared" si="81"/>
        <v>0</v>
      </c>
      <c r="M322" s="45">
        <f t="shared" si="82"/>
        <v>0</v>
      </c>
      <c r="O322" s="46"/>
    </row>
    <row r="323" spans="1:15" outlineLevel="1" x14ac:dyDescent="0.25">
      <c r="A323" s="102"/>
      <c r="B323" s="87" t="s">
        <v>173</v>
      </c>
      <c r="C323" t="s">
        <v>174</v>
      </c>
      <c r="D323" t="s">
        <v>171</v>
      </c>
      <c r="F323" s="152" t="str">
        <f>IF(AND($D$17="Montée",$G$13="sandwich",OR($D$23="Boxer 2 - Std",$D$23="Boxer 2 - Inox",$D$23="Boxer 3 - Std")),"0",IF(AND($D$15=4,$D$13=4),"0",IF(AND($D$15=2,$D$13=2),"0","1")))</f>
        <v>0</v>
      </c>
      <c r="G323" s="98"/>
      <c r="I323">
        <v>0.1</v>
      </c>
      <c r="K323">
        <v>1.5</v>
      </c>
      <c r="L323">
        <f>+(I323+K323*$F$4)*G323</f>
        <v>0</v>
      </c>
      <c r="M323" s="45">
        <f>+(I323+K323*$F$4)*99*G323</f>
        <v>0</v>
      </c>
      <c r="O323" s="46"/>
    </row>
    <row r="324" spans="1:15" outlineLevel="1" x14ac:dyDescent="0.25">
      <c r="A324" s="102"/>
      <c r="B324" s="87" t="s">
        <v>173</v>
      </c>
      <c r="C324" t="s">
        <v>174</v>
      </c>
      <c r="D324" t="s">
        <v>177</v>
      </c>
      <c r="F324" t="str">
        <f>+IF(AND($D$17="Montée",$G$13="sandwich"),IF(OR($D$23="Encastrée - FU",$D$23="Encastrée - FU - Inox",$D$23="Encastrée - MRF",$D$23="Encastrée - MRF - Inox",$D$23="Encastrée - PL"),"0",IF($D$13=4,"1","0")))</f>
        <v>0</v>
      </c>
      <c r="I324">
        <v>0.1</v>
      </c>
      <c r="K324">
        <v>2.4</v>
      </c>
      <c r="L324">
        <f t="shared" si="81"/>
        <v>0</v>
      </c>
      <c r="M324" s="45">
        <f t="shared" si="82"/>
        <v>0</v>
      </c>
      <c r="O324" s="46"/>
    </row>
    <row r="325" spans="1:15" outlineLevel="1" x14ac:dyDescent="0.25">
      <c r="A325" s="102"/>
      <c r="B325" s="87" t="s">
        <v>173</v>
      </c>
      <c r="C325" t="s">
        <v>174</v>
      </c>
      <c r="D325" t="s">
        <v>178</v>
      </c>
      <c r="F325" t="str">
        <f>+IF(AND($D$17="Montée",$G$13="sandwich",$G$21="oui "),IF(D1=4,"1","0"),"0")</f>
        <v>0</v>
      </c>
      <c r="I325">
        <v>0.1</v>
      </c>
      <c r="K325">
        <v>0.5</v>
      </c>
      <c r="L325">
        <f t="shared" si="81"/>
        <v>0</v>
      </c>
      <c r="M325" s="45">
        <f t="shared" si="82"/>
        <v>0</v>
      </c>
      <c r="O325" s="46"/>
    </row>
    <row r="326" spans="1:15" outlineLevel="1" x14ac:dyDescent="0.25">
      <c r="A326" s="102"/>
      <c r="B326" s="87" t="s">
        <v>173</v>
      </c>
      <c r="C326" t="s">
        <v>174</v>
      </c>
      <c r="D326" t="s">
        <v>179</v>
      </c>
      <c r="F326" t="str">
        <f>+IF(AND($D$17="Montée",$G$13="sandwich",$G$21="oui "),IF($D$13=2,"1","0"),"0")</f>
        <v>0</v>
      </c>
      <c r="I326">
        <v>0.1</v>
      </c>
      <c r="K326">
        <v>0.3</v>
      </c>
      <c r="L326">
        <f t="shared" si="81"/>
        <v>0</v>
      </c>
      <c r="M326" s="45">
        <f t="shared" si="82"/>
        <v>0</v>
      </c>
      <c r="O326" s="46"/>
    </row>
    <row r="327" spans="1:15" outlineLevel="1" x14ac:dyDescent="0.25">
      <c r="A327" s="102"/>
      <c r="B327" s="87" t="s">
        <v>180</v>
      </c>
      <c r="C327" t="s">
        <v>174</v>
      </c>
      <c r="D327" t="s">
        <v>159</v>
      </c>
      <c r="F327" t="str">
        <f>+IF(AND($D$17="Montée",$G$13="sandwich",$G$23="oui ",$D$13=4),"1","0")</f>
        <v>0</v>
      </c>
      <c r="I327">
        <v>0.1</v>
      </c>
      <c r="K327">
        <f>+K328*2</f>
        <v>2</v>
      </c>
      <c r="L327">
        <f t="shared" si="81"/>
        <v>0</v>
      </c>
      <c r="M327" s="45">
        <f t="shared" si="82"/>
        <v>0</v>
      </c>
      <c r="O327" s="46"/>
    </row>
    <row r="328" spans="1:15" outlineLevel="1" x14ac:dyDescent="0.25">
      <c r="A328" s="102"/>
      <c r="B328" s="87" t="s">
        <v>180</v>
      </c>
      <c r="C328" t="s">
        <v>174</v>
      </c>
      <c r="D328" t="s">
        <v>158</v>
      </c>
      <c r="F328" t="str">
        <f>+IF(AND($D$17="Montée",$G$13="sandwich",$G$23="oui ",$D$13=2),"1","0")</f>
        <v>0</v>
      </c>
      <c r="I328">
        <v>0.1</v>
      </c>
      <c r="K328">
        <f>0.4+0.6</f>
        <v>1</v>
      </c>
      <c r="L328">
        <f t="shared" si="81"/>
        <v>0</v>
      </c>
      <c r="M328" s="45">
        <f t="shared" si="82"/>
        <v>0</v>
      </c>
      <c r="O328" s="46"/>
    </row>
    <row r="329" spans="1:15" outlineLevel="1" x14ac:dyDescent="0.25">
      <c r="A329" s="102"/>
      <c r="B329" s="87" t="s">
        <v>181</v>
      </c>
      <c r="C329" t="s">
        <v>174</v>
      </c>
      <c r="D329" t="s">
        <v>159</v>
      </c>
      <c r="F329" t="str">
        <f>+IF(AND($D$17="Montée",$G$13="sandwich",$G$23="oui ",$G$25="complet",D1=4),"1","0")</f>
        <v>0</v>
      </c>
      <c r="I329">
        <v>0.1</v>
      </c>
      <c r="K329">
        <v>1.8</v>
      </c>
      <c r="L329">
        <f t="shared" si="81"/>
        <v>0</v>
      </c>
      <c r="M329" s="45">
        <f t="shared" si="82"/>
        <v>0</v>
      </c>
      <c r="O329" s="46"/>
    </row>
    <row r="330" spans="1:15" ht="15.75" outlineLevel="1" thickBot="1" x14ac:dyDescent="0.3">
      <c r="A330" s="103"/>
      <c r="B330" s="99" t="s">
        <v>181</v>
      </c>
      <c r="C330" s="50" t="s">
        <v>174</v>
      </c>
      <c r="D330" s="50" t="s">
        <v>158</v>
      </c>
      <c r="E330" s="50"/>
      <c r="F330" s="50" t="str">
        <f>+IF(AND($D$17="Montée",$G$13="sandwich",$G$23="oui ",$G$25="complet",D1=2),"1","0")</f>
        <v>0</v>
      </c>
      <c r="G330" s="50"/>
      <c r="H330" s="50"/>
      <c r="I330" s="50">
        <v>0.1</v>
      </c>
      <c r="J330" s="50"/>
      <c r="K330" s="50">
        <v>1</v>
      </c>
      <c r="L330" s="50">
        <f t="shared" si="81"/>
        <v>0</v>
      </c>
      <c r="M330" s="63">
        <f t="shared" si="82"/>
        <v>0</v>
      </c>
      <c r="O330" s="46"/>
    </row>
    <row r="331" spans="1:15" ht="15.75" thickBot="1" x14ac:dyDescent="0.3">
      <c r="A331" s="104" t="str">
        <f>+A307</f>
        <v>Sandwich - 2F ou 4 F / 2V ou 4V</v>
      </c>
      <c r="B331" s="105"/>
      <c r="C331" s="106"/>
      <c r="M331" s="59">
        <f>+SUM(M307:M330)</f>
        <v>683.1</v>
      </c>
      <c r="O331" s="46"/>
    </row>
    <row r="332" spans="1:15" x14ac:dyDescent="0.25">
      <c r="O332" s="46"/>
    </row>
    <row r="333" spans="1:15" x14ac:dyDescent="0.25">
      <c r="O333" s="46"/>
    </row>
  </sheetData>
  <sheetProtection formatCells="0" formatColumns="0" formatRows="0" sort="0" autoFilter="0" pivotTables="0"/>
  <mergeCells count="45">
    <mergeCell ref="A84:C84"/>
    <mergeCell ref="B1:H1"/>
    <mergeCell ref="J17:N19"/>
    <mergeCell ref="J20:N23"/>
    <mergeCell ref="I27:J27"/>
    <mergeCell ref="A28:A32"/>
    <mergeCell ref="A33:C33"/>
    <mergeCell ref="A35:A40"/>
    <mergeCell ref="A41:C41"/>
    <mergeCell ref="A43:A62"/>
    <mergeCell ref="A63:C63"/>
    <mergeCell ref="A65:A83"/>
    <mergeCell ref="A171:C171"/>
    <mergeCell ref="A86:A99"/>
    <mergeCell ref="A100:C100"/>
    <mergeCell ref="A102:A110"/>
    <mergeCell ref="A111:C111"/>
    <mergeCell ref="A113:A121"/>
    <mergeCell ref="A122:C122"/>
    <mergeCell ref="A124:A132"/>
    <mergeCell ref="A133:C133"/>
    <mergeCell ref="A135:A150"/>
    <mergeCell ref="A151:C151"/>
    <mergeCell ref="A153:A170"/>
    <mergeCell ref="A260:C260"/>
    <mergeCell ref="A173:A187"/>
    <mergeCell ref="A188:C188"/>
    <mergeCell ref="A190:A205"/>
    <mergeCell ref="A206:C206"/>
    <mergeCell ref="A208:A225"/>
    <mergeCell ref="A226:C226"/>
    <mergeCell ref="A228:A247"/>
    <mergeCell ref="A248:C248"/>
    <mergeCell ref="A250:A253"/>
    <mergeCell ref="A254:C254"/>
    <mergeCell ref="A256:A259"/>
    <mergeCell ref="I305:J305"/>
    <mergeCell ref="A307:A330"/>
    <mergeCell ref="A331:C331"/>
    <mergeCell ref="A262:A263"/>
    <mergeCell ref="A264:C264"/>
    <mergeCell ref="A266:A292"/>
    <mergeCell ref="A293:C293"/>
    <mergeCell ref="A295:A301"/>
    <mergeCell ref="A302:C302"/>
  </mergeCells>
  <conditionalFormatting sqref="B10:D11">
    <cfRule type="expression" dxfId="1" priority="2">
      <formula>$D$9=FALSE</formula>
    </cfRule>
  </conditionalFormatting>
  <conditionalFormatting sqref="F25:G25">
    <cfRule type="expression" dxfId="0" priority="1">
      <formula>$G$23="non"</formula>
    </cfRule>
  </conditionalFormatting>
  <dataValidations count="11">
    <dataValidation type="list" allowBlank="1" showInputMessage="1" showErrorMessage="1" sqref="D15 D13" xr:uid="{3FF7F514-7EE9-487B-A73D-C8C968A4F42A}">
      <formula1>nb_fermetures</formula1>
    </dataValidation>
    <dataValidation type="list" allowBlank="1" showInputMessage="1" showErrorMessage="1" sqref="D17" xr:uid="{4B58ECCE-7670-4D6B-BE16-FBA0F7151697}">
      <formula1>Etat</formula1>
    </dataValidation>
    <dataValidation type="list" allowBlank="1" showInputMessage="1" showErrorMessage="1" sqref="D19" xr:uid="{BA0737DB-57A6-4946-A89D-A78F9294418E}">
      <formula1>epaisseur_panneaux</formula1>
    </dataValidation>
    <dataValidation type="list" allowBlank="1" showInputMessage="1" showErrorMessage="1" sqref="G13" xr:uid="{65877F36-6F48-43D2-BF76-CE437D93AE7B}">
      <formula1>remplissage_panneaux</formula1>
    </dataValidation>
    <dataValidation type="list" allowBlank="1" showInputMessage="1" showErrorMessage="1" sqref="G17" xr:uid="{E1A1F97A-0B39-48B8-9F76-92BF12AE4EA9}">
      <formula1>type_poches</formula1>
    </dataValidation>
    <dataValidation type="list" allowBlank="1" showInputMessage="1" showErrorMessage="1" sqref="G15" xr:uid="{56E360FF-FF26-4283-8582-817F3D8FED07}">
      <formula1>type_revetement</formula1>
    </dataValidation>
    <dataValidation type="list" allowBlank="1" showInputMessage="1" showErrorMessage="1" sqref="D21" xr:uid="{2054787E-2931-4592-8055-6559D1857EFB}">
      <formula1>charnieres</formula1>
    </dataValidation>
    <dataValidation type="list" allowBlank="1" showInputMessage="1" showErrorMessage="1" sqref="D23:D24" xr:uid="{4BB6C65E-EF32-4092-B222-2ED97BD82B34}">
      <formula1>fermetures</formula1>
    </dataValidation>
    <dataValidation type="list" allowBlank="1" showInputMessage="1" showErrorMessage="1" sqref="G19 G21 G23:G24" xr:uid="{224E103C-C89E-4A57-8627-B06C6B020D82}">
      <formula1>oui_non</formula1>
    </dataValidation>
    <dataValidation type="list" allowBlank="1" showInputMessage="1" showErrorMessage="1" sqref="D11" xr:uid="{DB3E90B0-8645-4ACA-B4A7-45AF213F29F0}">
      <formula1>Segment_supplémentaire</formula1>
    </dataValidation>
    <dataValidation type="list" allowBlank="1" showInputMessage="1" showErrorMessage="1" sqref="G25" xr:uid="{9B429A24-3308-4538-9BB8-A893988E7830}">
      <formula1>type_soudure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266700</xdr:colOff>
                    <xdr:row>7</xdr:row>
                    <xdr:rowOff>180975</xdr:rowOff>
                  </from>
                  <to>
                    <xdr:col>2</xdr:col>
                    <xdr:colOff>571500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Porte arrière Sandwich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Guessona</dc:creator>
  <cp:lastModifiedBy>Administrateur</cp:lastModifiedBy>
  <dcterms:created xsi:type="dcterms:W3CDTF">2023-11-15T10:46:44Z</dcterms:created>
  <dcterms:modified xsi:type="dcterms:W3CDTF">2023-11-15T11:42:32Z</dcterms:modified>
</cp:coreProperties>
</file>