
<file path=[Content_Types].xml><?xml version="1.0" encoding="utf-8"?>
<Types xmlns="http://schemas.openxmlformats.org/package/2006/content-types">
  <Default Extension="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codeName="{8C4F1C90-05EB-6A55-5F09-09C24B55AC0B}"/>
  <workbookPr codeName="ThisWorkbook" defaultThemeVersion="124226"/>
  <bookViews>
    <workbookView xWindow="240" yWindow="105" windowWidth="14805" windowHeight="8010"/>
  </bookViews>
  <sheets>
    <sheet name="Feuil1" sheetId="1" r:id="rId1"/>
    <sheet name="Feuil3" sheetId="2" r:id="rId2"/>
  </sheets>
  <externalReferences>
    <externalReference r:id="rId3"/>
  </externalReferences>
  <definedNames>
    <definedName name="_xlnm._FilterDatabase" localSheetId="1" hidden="1">Feuil3!#REF!</definedName>
    <definedName name="PeriodStart">'[1]Request Form'!$C$2</definedName>
  </definedNames>
  <calcPr calcId="145621"/>
</workbook>
</file>

<file path=xl/calcChain.xml><?xml version="1.0" encoding="utf-8"?>
<calcChain xmlns="http://schemas.openxmlformats.org/spreadsheetml/2006/main">
  <c r="L28" i="1" l="1"/>
  <c r="K28" i="1"/>
  <c r="J28" i="1"/>
  <c r="I28" i="1"/>
  <c r="H28" i="1"/>
  <c r="N27" i="1"/>
  <c r="F27" i="1"/>
  <c r="E27" i="1"/>
  <c r="D27" i="1"/>
  <c r="G27" i="1" s="1"/>
  <c r="N26" i="1"/>
  <c r="G26" i="1"/>
  <c r="F26" i="1"/>
  <c r="E26" i="1"/>
  <c r="D26" i="1"/>
  <c r="N25" i="1"/>
  <c r="F25" i="1"/>
  <c r="E25" i="1"/>
  <c r="D25" i="1"/>
  <c r="G25" i="1" s="1"/>
  <c r="N24" i="1"/>
  <c r="G24" i="1"/>
  <c r="F24" i="1"/>
  <c r="E24" i="1"/>
  <c r="D24" i="1"/>
  <c r="N23" i="1"/>
  <c r="F23" i="1"/>
  <c r="E23" i="1"/>
  <c r="D23" i="1"/>
  <c r="G23" i="1" s="1"/>
  <c r="N22" i="1"/>
  <c r="G22" i="1"/>
  <c r="F22" i="1"/>
  <c r="E22" i="1"/>
  <c r="D22" i="1"/>
  <c r="N21" i="1"/>
  <c r="F21" i="1"/>
  <c r="E21" i="1"/>
  <c r="D21" i="1"/>
  <c r="G21" i="1" s="1"/>
  <c r="N20" i="1"/>
  <c r="G20" i="1"/>
  <c r="F20" i="1"/>
  <c r="E20" i="1"/>
  <c r="D20" i="1"/>
  <c r="N19" i="1"/>
  <c r="F19" i="1"/>
  <c r="E19" i="1"/>
  <c r="D19" i="1"/>
  <c r="G19" i="1" s="1"/>
  <c r="N18" i="1"/>
  <c r="G18" i="1"/>
  <c r="F18" i="1"/>
  <c r="E18" i="1"/>
  <c r="D18" i="1"/>
  <c r="N17" i="1"/>
  <c r="F17" i="1"/>
  <c r="E17" i="1"/>
  <c r="D17" i="1"/>
  <c r="G17" i="1" s="1"/>
  <c r="N16" i="1"/>
  <c r="G16" i="1"/>
  <c r="F16" i="1"/>
  <c r="E16" i="1"/>
  <c r="D16" i="1"/>
  <c r="N15" i="1"/>
  <c r="F15" i="1"/>
  <c r="E15" i="1"/>
  <c r="D15" i="1"/>
  <c r="G15" i="1" s="1"/>
  <c r="N14" i="1"/>
  <c r="G14" i="1"/>
  <c r="F14" i="1"/>
  <c r="E14" i="1"/>
  <c r="D14" i="1"/>
  <c r="N13" i="1"/>
  <c r="F13" i="1"/>
  <c r="E13" i="1"/>
  <c r="D13" i="1"/>
  <c r="G13" i="1" s="1"/>
  <c r="N12" i="1"/>
  <c r="G12" i="1"/>
  <c r="F12" i="1"/>
  <c r="E12" i="1"/>
  <c r="D12" i="1"/>
  <c r="N11" i="1"/>
  <c r="D11" i="1"/>
  <c r="G11" i="1" s="1"/>
  <c r="N10" i="1"/>
  <c r="G10" i="1"/>
  <c r="F10" i="1"/>
  <c r="E10" i="1"/>
  <c r="D10" i="1"/>
  <c r="N9" i="1"/>
  <c r="F9" i="1"/>
  <c r="E9" i="1"/>
  <c r="D9" i="1"/>
  <c r="G9" i="1" s="1"/>
  <c r="N8" i="1"/>
  <c r="G8" i="1"/>
  <c r="F8" i="1"/>
  <c r="E8" i="1"/>
  <c r="D8" i="1"/>
  <c r="N7" i="1"/>
  <c r="N28" i="1" s="1"/>
  <c r="F7" i="1"/>
  <c r="E7" i="1"/>
  <c r="D7" i="1"/>
  <c r="G7" i="1" s="1"/>
  <c r="L5" i="1"/>
  <c r="K5" i="1"/>
  <c r="J5" i="1"/>
  <c r="I5" i="1"/>
</calcChain>
</file>

<file path=xl/sharedStrings.xml><?xml version="1.0" encoding="utf-8"?>
<sst xmlns="http://schemas.openxmlformats.org/spreadsheetml/2006/main" count="7" uniqueCount="6">
  <si>
    <t>N° compte</t>
  </si>
  <si>
    <t>N° compte FR</t>
  </si>
  <si>
    <t>Libellé</t>
  </si>
  <si>
    <t>Date début</t>
  </si>
  <si>
    <t>010001</t>
  </si>
  <si>
    <t>Total général</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</si>
</sst>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3" formatCode="_-* #,##0.00\ _€_-;\-* #,##0.00\ _€_-;_-* &quot;-&quot;??\ _€_-;_-@_-"/>
  </numFmts>
  <fonts count="3" x14ac:knownFonts="1">
    <font>
      <sz val="11"/>
      <color theme="1"/>
      <name val="Calibri"/>
      <family val="2"/>
      <scheme val="minor"/>
    </font>
    <font>
      <sz val="11"/>
      <color theme="1"/>
      <name val="Calibri"/>
      <family val="2"/>
      <scheme val="minor"/>
    </font>
    <font>
      <b/>
      <sz val="11"/>
      <color theme="1"/>
      <name val="Calibri"/>
      <family val="2"/>
      <scheme val="minor"/>
    </font>
  </fonts>
  <fills count="2">
    <fill>
      <patternFill patternType="none"/>
    </fill>
    <fill>
      <patternFill patternType="gray125"/>
    </fill>
  </fills>
  <borders count="8">
    <border>
      <left/>
      <right/>
      <top/>
      <bottom/>
      <diagonal/>
    </border>
    <border>
      <left/>
      <right/>
      <top/>
      <bottom style="thin">
        <color indexed="64"/>
      </bottom>
      <diagonal/>
    </border>
    <border>
      <left/>
      <right style="thin">
        <color indexed="64"/>
      </right>
      <top style="thin">
        <color indexed="64"/>
      </top>
      <bottom/>
      <diagonal/>
    </border>
    <border>
      <left style="hair">
        <color auto="1"/>
      </left>
      <right style="hair">
        <color auto="1"/>
      </right>
      <top/>
      <bottom/>
      <diagonal/>
    </border>
    <border>
      <left/>
      <right style="thin">
        <color indexed="64"/>
      </right>
      <top/>
      <bottom/>
      <diagonal/>
    </border>
    <border>
      <left/>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43" fontId="1" fillId="0" borderId="0" applyFont="0" applyFill="0" applyBorder="0" applyAlignment="0" applyProtection="0"/>
  </cellStyleXfs>
  <cellXfs count="16">
    <xf numFmtId="0" fontId="0" fillId="0" borderId="0" xfId="0"/>
    <xf numFmtId="0" fontId="2" fillId="0" borderId="1" xfId="0" applyFont="1" applyBorder="1" applyAlignment="1">
      <alignment vertical="center"/>
    </xf>
    <xf numFmtId="0" fontId="2" fillId="0" borderId="1" xfId="0" applyFont="1" applyBorder="1" applyAlignment="1">
      <alignment horizontal="center" vertical="center"/>
    </xf>
    <xf numFmtId="0" fontId="0" fillId="0" borderId="1" xfId="0" applyBorder="1" applyAlignment="1">
      <alignment vertical="center"/>
    </xf>
    <xf numFmtId="0" fontId="2" fillId="0" borderId="0" xfId="0" applyFont="1" applyBorder="1" applyAlignment="1">
      <alignment vertical="center"/>
    </xf>
    <xf numFmtId="0" fontId="2" fillId="0" borderId="0" xfId="0" applyFont="1" applyBorder="1" applyAlignment="1">
      <alignment horizontal="right" vertical="center"/>
    </xf>
    <xf numFmtId="0" fontId="0" fillId="0" borderId="0" xfId="0" applyBorder="1" applyAlignment="1">
      <alignment vertical="center"/>
    </xf>
    <xf numFmtId="0" fontId="2" fillId="0" borderId="2" xfId="0" applyFont="1" applyBorder="1" applyAlignment="1">
      <alignment vertical="center"/>
    </xf>
    <xf numFmtId="0" fontId="0" fillId="0" borderId="0" xfId="0" applyAlignment="1">
      <alignment vertical="center"/>
    </xf>
    <xf numFmtId="4" fontId="0" fillId="0" borderId="3" xfId="1" applyNumberFormat="1" applyFont="1" applyBorder="1" applyAlignment="1">
      <alignment vertical="center"/>
    </xf>
    <xf numFmtId="4" fontId="0" fillId="0" borderId="4" xfId="0" applyNumberFormat="1" applyBorder="1" applyAlignment="1">
      <alignment vertical="center"/>
    </xf>
    <xf numFmtId="4" fontId="0" fillId="0" borderId="6" xfId="0" applyNumberFormat="1" applyBorder="1" applyAlignment="1">
      <alignment vertical="center"/>
    </xf>
    <xf numFmtId="0" fontId="0" fillId="0" borderId="5" xfId="0" applyBorder="1" applyAlignment="1">
      <alignment vertical="center"/>
    </xf>
    <xf numFmtId="4" fontId="0" fillId="0" borderId="7" xfId="0" applyNumberFormat="1" applyBorder="1" applyAlignment="1">
      <alignment vertical="center"/>
    </xf>
    <xf numFmtId="0" fontId="2" fillId="0" borderId="5" xfId="0" applyFont="1" applyBorder="1" applyAlignment="1">
      <alignment horizontal="right" vertical="center" indent="1"/>
    </xf>
    <xf numFmtId="0" fontId="2" fillId="0" borderId="5" xfId="0" applyFont="1" applyBorder="1" applyAlignment="1">
      <alignment horizontal="right" vertical="center" indent="1"/>
    </xf>
  </cellXfs>
  <cellStyles count="2">
    <cellStyle name="Milliers" xfId="1" builtinId="3"/>
    <cellStyle name="Normal" xfId="0" builtinId="0"/>
  </cellStyles>
  <dxfs count="1">
    <dxf>
      <fill>
        <patternFill>
          <bgColor rgb="FF92D050"/>
        </patternFill>
      </fill>
    </dxf>
  </dxfs>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14</xdr:col>
      <xdr:colOff>523875</xdr:colOff>
      <xdr:row>13</xdr:row>
      <xdr:rowOff>180975</xdr:rowOff>
    </xdr:from>
    <xdr:to>
      <xdr:col>22</xdr:col>
      <xdr:colOff>47625</xdr:colOff>
      <xdr:row>33</xdr:row>
      <xdr:rowOff>180975</xdr:rowOff>
    </xdr:to>
    <xdr:sp macro="" textlink="">
      <xdr:nvSpPr>
        <xdr:cNvPr id="2" name="ZoneTexte 1"/>
        <xdr:cNvSpPr txBox="1"/>
      </xdr:nvSpPr>
      <xdr:spPr>
        <a:xfrm>
          <a:off x="12039600" y="2657475"/>
          <a:ext cx="4400550" cy="3810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Bonjour,</a:t>
          </a:r>
          <a:br>
            <a:rPr lang="fr-FR"/>
          </a:br>
          <a:r>
            <a:rPr lang="fr-FR"/>
            <a:t/>
          </a:r>
          <a:br>
            <a:rPr lang="fr-FR"/>
          </a:br>
          <a:r>
            <a:rPr lang="fr-FR"/>
            <a:t>Voici mon problème,</a:t>
          </a:r>
          <a:br>
            <a:rPr lang="fr-FR"/>
          </a:br>
          <a:r>
            <a:rPr lang="fr-FR"/>
            <a:t/>
          </a:r>
          <a:br>
            <a:rPr lang="fr-FR"/>
          </a:br>
          <a:r>
            <a:rPr lang="fr-FR"/>
            <a:t>J'ai un fichier avec en colonne des numéros de sociétés (qui peut varier), en lignes j'ai des numéro de compte (qui peut varier aussi) et au milieu les soldes des comptes.</a:t>
          </a:r>
          <a:br>
            <a:rPr lang="fr-FR"/>
          </a:br>
          <a:r>
            <a:rPr lang="fr-FR"/>
            <a:t/>
          </a:r>
          <a:br>
            <a:rPr lang="fr-FR"/>
          </a:br>
          <a:r>
            <a:rPr lang="fr-FR"/>
            <a:t>Je souhaite créer une macro qui va créer un nouveau tableau dans un nouvel onglet. ce tableau doit récupérer en boucle le numéro de la société, le numéro de compte et la valeur associée.9a me fait du coup plus de données mais c'est le seul moyen pour le retravailler derrière.</a:t>
          </a:r>
          <a:br>
            <a:rPr lang="fr-FR"/>
          </a:br>
          <a:r>
            <a:rPr lang="fr-FR"/>
            <a:t>Je vous joins mon fichier avec ma macro qui ne fonctionne qu'à moitié. </a:t>
          </a:r>
          <a:br>
            <a:rPr lang="fr-FR"/>
          </a:br>
          <a:r>
            <a:rPr lang="fr-FR"/>
            <a:t/>
          </a:r>
          <a:br>
            <a:rPr lang="fr-FR"/>
          </a:br>
          <a:r>
            <a:rPr lang="fr-FR"/>
            <a:t>Merci d'avance pour votre aide car je suis perdu!!</a:t>
          </a:r>
          <a:endParaRPr lang="fr-FR" sz="1100"/>
        </a:p>
      </xdr:txBody>
    </xdr:sp>
    <xdr:clientData/>
  </xdr:twoCellAnchor>
  <xdr:twoCellAnchor>
    <xdr:from>
      <xdr:col>15</xdr:col>
      <xdr:colOff>400051</xdr:colOff>
      <xdr:row>3</xdr:row>
      <xdr:rowOff>19050</xdr:rowOff>
    </xdr:from>
    <xdr:to>
      <xdr:col>18</xdr:col>
      <xdr:colOff>381001</xdr:colOff>
      <xdr:row>6</xdr:row>
      <xdr:rowOff>47625</xdr:rowOff>
    </xdr:to>
    <xdr:sp macro="[0]!recopie" textlink="">
      <xdr:nvSpPr>
        <xdr:cNvPr id="3" name="ZoneTexte 2"/>
        <xdr:cNvSpPr txBox="1"/>
      </xdr:nvSpPr>
      <xdr:spPr>
        <a:xfrm>
          <a:off x="12525376" y="590550"/>
          <a:ext cx="1809750" cy="600075"/>
        </a:xfrm>
        <a:prstGeom prst="rect">
          <a:avLst/>
        </a:prstGeom>
        <a:solidFill>
          <a:schemeClr val="bg2">
            <a:lumMod val="9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3600" b="1">
              <a:solidFill>
                <a:srgbClr val="FF0000"/>
              </a:solidFill>
            </a:rPr>
            <a:t>Action</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bta/Desktop/Groupe%20OB%20balances%20conso%20_v2%20-%20Copie.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quest Form"/>
      <sheetName val="Mappage de compte"/>
      <sheetName val="Report"/>
      <sheetName val="Feuil3"/>
      <sheetName val="Feuil12"/>
      <sheetName val="Feuil13"/>
      <sheetName val="Feuil14"/>
      <sheetName val="Feuil15"/>
      <sheetName val="Feuil16"/>
      <sheetName val="Feuil17"/>
      <sheetName val="Feuil18"/>
      <sheetName val="Feuil19"/>
      <sheetName val="Feuil20"/>
    </sheetNames>
    <sheetDataSet>
      <sheetData sheetId="0" refreshError="1">
        <row r="2">
          <cell r="C2" t="str">
            <v>01/01/2015</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D5:N28"/>
  <sheetViews>
    <sheetView tabSelected="1" workbookViewId="0">
      <selection activeCell="H2" sqref="H2"/>
    </sheetView>
  </sheetViews>
  <sheetFormatPr baseColWidth="10" defaultColWidth="9.140625" defaultRowHeight="15" x14ac:dyDescent="0.25"/>
  <cols>
    <col min="4" max="4" width="10.28515625" bestFit="1" customWidth="1"/>
    <col min="5" max="5" width="12.85546875" bestFit="1" customWidth="1"/>
    <col min="6" max="6" width="29.5703125" bestFit="1" customWidth="1"/>
    <col min="7" max="7" width="10.85546875" bestFit="1" customWidth="1"/>
    <col min="8" max="8" width="14.140625" bestFit="1" customWidth="1"/>
    <col min="9" max="11" width="10.7109375" bestFit="1" customWidth="1"/>
    <col min="12" max="12" width="12.140625" bestFit="1" customWidth="1"/>
    <col min="14" max="14" width="14.140625" bestFit="1" customWidth="1"/>
  </cols>
  <sheetData>
    <row r="5" spans="4:14" x14ac:dyDescent="0.25">
      <c r="D5" s="1" t="s">
        <v>0</v>
      </c>
      <c r="E5" s="1" t="s">
        <v>1</v>
      </c>
      <c r="F5" s="1" t="s">
        <v>2</v>
      </c>
      <c r="G5" s="1" t="s">
        <v>3</v>
      </c>
      <c r="H5" s="2" t="s">
        <v>4</v>
      </c>
      <c r="I5" s="2" t="str">
        <f>"010010"</f>
        <v>010010</v>
      </c>
      <c r="J5" s="2" t="str">
        <f>"010011"</f>
        <v>010011</v>
      </c>
      <c r="K5" s="2" t="str">
        <f>"010012"</f>
        <v>010012</v>
      </c>
      <c r="L5" s="2" t="str">
        <f>"010013"</f>
        <v>010013</v>
      </c>
      <c r="M5" s="3"/>
      <c r="N5" s="1" t="s">
        <v>5</v>
      </c>
    </row>
    <row r="6" spans="4:14" x14ac:dyDescent="0.25">
      <c r="D6" s="4"/>
      <c r="E6" s="4"/>
      <c r="F6" s="4"/>
      <c r="G6" s="4"/>
      <c r="H6" s="5"/>
      <c r="I6" s="5"/>
      <c r="J6" s="5"/>
      <c r="K6" s="5"/>
      <c r="L6" s="5"/>
      <c r="M6" s="6"/>
      <c r="N6" s="7"/>
    </row>
    <row r="7" spans="4:14" x14ac:dyDescent="0.25">
      <c r="D7" s="8" t="str">
        <f>"100000"</f>
        <v>100000</v>
      </c>
      <c r="E7" s="8" t="str">
        <f>"101300"</f>
        <v>101300</v>
      </c>
      <c r="F7" s="8" t="str">
        <f>"Capital Souscrit"</f>
        <v>Capital Souscrit</v>
      </c>
      <c r="G7" s="8" t="str">
        <f t="shared" ref="G7:G27" si="0">IF(OR(LEFT($D7,1)="6",LEFT($D7,1)="7"),PeriodStart,"")</f>
        <v/>
      </c>
      <c r="H7" s="9">
        <v>-81500000</v>
      </c>
      <c r="I7" s="9">
        <v>-265000</v>
      </c>
      <c r="J7" s="9">
        <v>-90000</v>
      </c>
      <c r="K7" s="9">
        <v>-136341.44</v>
      </c>
      <c r="L7" s="9">
        <v>-114999.99999999999</v>
      </c>
      <c r="M7" s="8"/>
      <c r="N7" s="10">
        <f>SUM(H7:M7)</f>
        <v>-82106341.439999998</v>
      </c>
    </row>
    <row r="8" spans="4:14" x14ac:dyDescent="0.25">
      <c r="D8" s="8" t="str">
        <f>"101000"</f>
        <v>101000</v>
      </c>
      <c r="E8" s="8" t="str">
        <f>"101300"</f>
        <v>101300</v>
      </c>
      <c r="F8" s="8" t="str">
        <f>"Capital non appelé"</f>
        <v>Capital non appelé</v>
      </c>
      <c r="G8" s="8" t="str">
        <f t="shared" si="0"/>
        <v/>
      </c>
      <c r="H8" s="9">
        <v>0</v>
      </c>
      <c r="I8" s="9">
        <v>0</v>
      </c>
      <c r="J8" s="9">
        <v>0</v>
      </c>
      <c r="K8" s="9">
        <v>0</v>
      </c>
      <c r="L8" s="9">
        <v>0</v>
      </c>
      <c r="M8" s="8"/>
      <c r="N8" s="10">
        <f t="shared" ref="N8:N27" si="1">SUM(H8:M8)</f>
        <v>0</v>
      </c>
    </row>
    <row r="9" spans="4:14" x14ac:dyDescent="0.25">
      <c r="D9" s="8" t="str">
        <f>"101100"</f>
        <v>101100</v>
      </c>
      <c r="E9" s="8" t="str">
        <f>"467000"</f>
        <v>467000</v>
      </c>
      <c r="F9" s="8" t="str">
        <f>"Fonds Associatif"</f>
        <v>Fonds Associatif</v>
      </c>
      <c r="G9" s="8" t="str">
        <f t="shared" si="0"/>
        <v/>
      </c>
      <c r="H9" s="9">
        <v>0</v>
      </c>
      <c r="I9" s="9">
        <v>0</v>
      </c>
      <c r="J9" s="9">
        <v>0</v>
      </c>
      <c r="K9" s="9">
        <v>0</v>
      </c>
      <c r="L9" s="9">
        <v>0</v>
      </c>
      <c r="M9" s="8"/>
      <c r="N9" s="10">
        <f t="shared" si="1"/>
        <v>0</v>
      </c>
    </row>
    <row r="10" spans="4:14" x14ac:dyDescent="0.25">
      <c r="D10" s="8" t="str">
        <f>"110000"</f>
        <v>110000</v>
      </c>
      <c r="E10" s="8" t="str">
        <f>"109000"</f>
        <v>109000</v>
      </c>
      <c r="F10" s="8" t="str">
        <f>"Prime d'émission"</f>
        <v>Prime d'émission</v>
      </c>
      <c r="G10" s="8" t="str">
        <f t="shared" si="0"/>
        <v/>
      </c>
      <c r="H10" s="9">
        <v>0</v>
      </c>
      <c r="I10" s="9">
        <v>-38.67</v>
      </c>
      <c r="J10" s="9">
        <v>0</v>
      </c>
      <c r="K10" s="9">
        <v>0</v>
      </c>
      <c r="L10" s="9">
        <v>0</v>
      </c>
      <c r="M10" s="8"/>
      <c r="N10" s="10">
        <f t="shared" si="1"/>
        <v>-38.67</v>
      </c>
    </row>
    <row r="11" spans="4:14" x14ac:dyDescent="0.25">
      <c r="D11" s="8" t="str">
        <f>"111111"</f>
        <v>111111</v>
      </c>
      <c r="E11" s="8"/>
      <c r="F11" s="8"/>
      <c r="G11" s="8" t="str">
        <f t="shared" si="0"/>
        <v/>
      </c>
      <c r="H11" s="9">
        <v>0</v>
      </c>
      <c r="I11" s="9">
        <v>0</v>
      </c>
      <c r="J11" s="9">
        <v>0</v>
      </c>
      <c r="K11" s="9">
        <v>0</v>
      </c>
      <c r="L11" s="9">
        <v>0</v>
      </c>
      <c r="M11" s="8"/>
      <c r="N11" s="10">
        <f t="shared" si="1"/>
        <v>0</v>
      </c>
    </row>
    <row r="12" spans="4:14" x14ac:dyDescent="0.25">
      <c r="D12" s="8" t="str">
        <f>"121000"</f>
        <v>121000</v>
      </c>
      <c r="E12" s="8" t="str">
        <f>"106880"</f>
        <v>106880</v>
      </c>
      <c r="F12" s="8" t="str">
        <f>"+value réévaluat° s/immo corp"</f>
        <v>+value réévaluat° s/immo corp</v>
      </c>
      <c r="G12" s="8" t="str">
        <f t="shared" si="0"/>
        <v/>
      </c>
      <c r="H12" s="9">
        <v>0</v>
      </c>
      <c r="I12" s="9">
        <v>0</v>
      </c>
      <c r="J12" s="9">
        <v>0</v>
      </c>
      <c r="K12" s="9">
        <v>0</v>
      </c>
      <c r="L12" s="9">
        <v>0</v>
      </c>
      <c r="M12" s="8"/>
      <c r="N12" s="10">
        <f t="shared" si="1"/>
        <v>0</v>
      </c>
    </row>
    <row r="13" spans="4:14" x14ac:dyDescent="0.25">
      <c r="D13" s="8" t="str">
        <f>"121001"</f>
        <v>121001</v>
      </c>
      <c r="E13" s="8" t="str">
        <f>"106880"</f>
        <v>106880</v>
      </c>
      <c r="F13" s="8" t="str">
        <f>"+value réévaluat° s/immo corp"</f>
        <v>+value réévaluat° s/immo corp</v>
      </c>
      <c r="G13" s="8" t="str">
        <f t="shared" si="0"/>
        <v/>
      </c>
      <c r="H13" s="9">
        <v>0</v>
      </c>
      <c r="I13" s="9">
        <v>0</v>
      </c>
      <c r="J13" s="9">
        <v>0</v>
      </c>
      <c r="K13" s="9">
        <v>0</v>
      </c>
      <c r="L13" s="9">
        <v>0</v>
      </c>
      <c r="M13" s="8"/>
      <c r="N13" s="10">
        <f t="shared" si="1"/>
        <v>0</v>
      </c>
    </row>
    <row r="14" spans="4:14" x14ac:dyDescent="0.25">
      <c r="D14" s="8" t="str">
        <f>"121009"</f>
        <v>121009</v>
      </c>
      <c r="E14" s="8" t="str">
        <f>"105000"</f>
        <v>105000</v>
      </c>
      <c r="F14" s="8" t="str">
        <f>"Quotité amortie de la +value"</f>
        <v>Quotité amortie de la +value</v>
      </c>
      <c r="G14" s="8" t="str">
        <f t="shared" si="0"/>
        <v/>
      </c>
      <c r="H14" s="9">
        <v>0</v>
      </c>
      <c r="I14" s="9">
        <v>0</v>
      </c>
      <c r="J14" s="9">
        <v>0</v>
      </c>
      <c r="K14" s="9">
        <v>0</v>
      </c>
      <c r="L14" s="9">
        <v>0</v>
      </c>
      <c r="M14" s="8"/>
      <c r="N14" s="10">
        <f t="shared" si="1"/>
        <v>0</v>
      </c>
    </row>
    <row r="15" spans="4:14" x14ac:dyDescent="0.25">
      <c r="D15" s="8" t="str">
        <f>"122000"</f>
        <v>122000</v>
      </c>
      <c r="E15" s="8" t="str">
        <f t="shared" ref="E15:E21" si="2">"106880"</f>
        <v>106880</v>
      </c>
      <c r="F15" s="8" t="str">
        <f>"+Value Réévaluat° s/Participat"</f>
        <v>+Value Réévaluat° s/Participat</v>
      </c>
      <c r="G15" s="8" t="str">
        <f t="shared" si="0"/>
        <v/>
      </c>
      <c r="H15" s="9">
        <v>-9467772.1600000001</v>
      </c>
      <c r="I15" s="9">
        <v>0</v>
      </c>
      <c r="J15" s="9">
        <v>0</v>
      </c>
      <c r="K15" s="9">
        <v>0</v>
      </c>
      <c r="L15" s="9">
        <v>0</v>
      </c>
      <c r="M15" s="8"/>
      <c r="N15" s="10">
        <f t="shared" si="1"/>
        <v>-9467772.1600000001</v>
      </c>
    </row>
    <row r="16" spans="4:14" x14ac:dyDescent="0.25">
      <c r="D16" s="8" t="str">
        <f>"130000"</f>
        <v>130000</v>
      </c>
      <c r="E16" s="8" t="str">
        <f t="shared" si="2"/>
        <v>106880</v>
      </c>
      <c r="F16" s="8" t="str">
        <f>"Réserve légale"</f>
        <v>Réserve légale</v>
      </c>
      <c r="G16" s="8" t="str">
        <f t="shared" si="0"/>
        <v/>
      </c>
      <c r="H16" s="9">
        <v>-8150000</v>
      </c>
      <c r="I16" s="9">
        <v>-26500</v>
      </c>
      <c r="J16" s="9">
        <v>-9000</v>
      </c>
      <c r="K16" s="9">
        <v>-13634.14</v>
      </c>
      <c r="L16" s="9">
        <v>-7436.8099999999995</v>
      </c>
      <c r="M16" s="8"/>
      <c r="N16" s="10">
        <f t="shared" si="1"/>
        <v>-8206570.9499999993</v>
      </c>
    </row>
    <row r="17" spans="4:14" x14ac:dyDescent="0.25">
      <c r="D17" s="8" t="str">
        <f>"131000"</f>
        <v>131000</v>
      </c>
      <c r="E17" s="8" t="str">
        <f t="shared" si="2"/>
        <v>106880</v>
      </c>
      <c r="F17" s="8" t="str">
        <f>"Réserve indisponible"</f>
        <v>Réserve indisponible</v>
      </c>
      <c r="G17" s="8" t="str">
        <f t="shared" si="0"/>
        <v/>
      </c>
      <c r="H17" s="9">
        <v>0</v>
      </c>
      <c r="I17" s="9">
        <v>0</v>
      </c>
      <c r="J17" s="9">
        <v>0</v>
      </c>
      <c r="K17" s="9">
        <v>0</v>
      </c>
      <c r="L17" s="9">
        <v>0</v>
      </c>
      <c r="M17" s="8"/>
      <c r="N17" s="10">
        <f t="shared" si="1"/>
        <v>0</v>
      </c>
    </row>
    <row r="18" spans="4:14" x14ac:dyDescent="0.25">
      <c r="D18" s="8" t="str">
        <f>"132000"</f>
        <v>132000</v>
      </c>
      <c r="E18" s="8" t="str">
        <f t="shared" si="2"/>
        <v>106880</v>
      </c>
      <c r="F18" s="8" t="str">
        <f>"Réserve immunisée"</f>
        <v>Réserve immunisée</v>
      </c>
      <c r="G18" s="8" t="str">
        <f t="shared" si="0"/>
        <v/>
      </c>
      <c r="H18" s="9">
        <v>0</v>
      </c>
      <c r="I18" s="9">
        <v>0</v>
      </c>
      <c r="J18" s="9">
        <v>0</v>
      </c>
      <c r="K18" s="9">
        <v>-37859.5</v>
      </c>
      <c r="L18" s="9">
        <v>0</v>
      </c>
      <c r="M18" s="8"/>
      <c r="N18" s="10">
        <f t="shared" si="1"/>
        <v>-37859.5</v>
      </c>
    </row>
    <row r="19" spans="4:14" x14ac:dyDescent="0.25">
      <c r="D19" s="8" t="str">
        <f>"132100"</f>
        <v>132100</v>
      </c>
      <c r="E19" s="8" t="str">
        <f t="shared" si="2"/>
        <v>106880</v>
      </c>
      <c r="F19" s="8" t="str">
        <f>"Rés. immunisée investissement"</f>
        <v>Rés. immunisée investissement</v>
      </c>
      <c r="G19" s="8" t="str">
        <f t="shared" si="0"/>
        <v/>
      </c>
      <c r="H19" s="9">
        <v>0</v>
      </c>
      <c r="I19" s="9">
        <v>0</v>
      </c>
      <c r="J19" s="9">
        <v>0</v>
      </c>
      <c r="K19" s="9">
        <v>0</v>
      </c>
      <c r="L19" s="9">
        <v>0</v>
      </c>
      <c r="M19" s="8"/>
      <c r="N19" s="10">
        <f t="shared" si="1"/>
        <v>0</v>
      </c>
    </row>
    <row r="20" spans="4:14" x14ac:dyDescent="0.25">
      <c r="D20" s="8" t="str">
        <f>"133000"</f>
        <v>133000</v>
      </c>
      <c r="E20" s="8" t="str">
        <f t="shared" si="2"/>
        <v>106880</v>
      </c>
      <c r="F20" s="8" t="str">
        <f>"Réserve disponible"</f>
        <v>Réserve disponible</v>
      </c>
      <c r="G20" s="8" t="str">
        <f t="shared" si="0"/>
        <v/>
      </c>
      <c r="H20" s="9">
        <v>0</v>
      </c>
      <c r="I20" s="9">
        <v>-782.33</v>
      </c>
      <c r="J20" s="9">
        <v>0</v>
      </c>
      <c r="K20" s="9">
        <v>0</v>
      </c>
      <c r="L20" s="9">
        <v>0</v>
      </c>
      <c r="M20" s="8"/>
      <c r="N20" s="10">
        <f t="shared" si="1"/>
        <v>-782.33</v>
      </c>
    </row>
    <row r="21" spans="4:14" x14ac:dyDescent="0.25">
      <c r="D21" s="8" t="str">
        <f>"133100"</f>
        <v>133100</v>
      </c>
      <c r="E21" s="8" t="str">
        <f t="shared" si="2"/>
        <v>106880</v>
      </c>
      <c r="F21" s="8" t="str">
        <f>"Amortissement s/Plus Value I"</f>
        <v>Amortissement s/Plus Value I</v>
      </c>
      <c r="G21" s="8" t="str">
        <f t="shared" si="0"/>
        <v/>
      </c>
      <c r="H21" s="9">
        <v>0</v>
      </c>
      <c r="I21" s="9">
        <v>0</v>
      </c>
      <c r="J21" s="9">
        <v>0</v>
      </c>
      <c r="K21" s="9">
        <v>0</v>
      </c>
      <c r="L21" s="9">
        <v>0</v>
      </c>
      <c r="M21" s="8"/>
      <c r="N21" s="10">
        <f t="shared" si="1"/>
        <v>0</v>
      </c>
    </row>
    <row r="22" spans="4:14" x14ac:dyDescent="0.25">
      <c r="D22" s="8" t="str">
        <f>"140000"</f>
        <v>140000</v>
      </c>
      <c r="E22" s="8" t="str">
        <f>"119000"</f>
        <v>119000</v>
      </c>
      <c r="F22" s="8" t="str">
        <f>"Bénéfice reporté"</f>
        <v>Bénéfice reporté</v>
      </c>
      <c r="G22" s="8" t="str">
        <f t="shared" si="0"/>
        <v/>
      </c>
      <c r="H22" s="9">
        <v>-41660062.420000002</v>
      </c>
      <c r="I22" s="9">
        <v>-141592.69999999998</v>
      </c>
      <c r="J22" s="9">
        <v>-418028.67</v>
      </c>
      <c r="K22" s="9">
        <v>-51299.179999999993</v>
      </c>
      <c r="L22" s="9">
        <v>0</v>
      </c>
      <c r="M22" s="8"/>
      <c r="N22" s="10">
        <f t="shared" si="1"/>
        <v>-42270982.970000006</v>
      </c>
    </row>
    <row r="23" spans="4:14" x14ac:dyDescent="0.25">
      <c r="D23" s="8" t="str">
        <f>"141000"</f>
        <v>141000</v>
      </c>
      <c r="E23" s="8" t="str">
        <f>"119000"</f>
        <v>119000</v>
      </c>
      <c r="F23" s="8" t="str">
        <f>"Perte reportée"</f>
        <v>Perte reportée</v>
      </c>
      <c r="G23" s="8" t="str">
        <f t="shared" si="0"/>
        <v/>
      </c>
      <c r="H23" s="9">
        <v>0</v>
      </c>
      <c r="I23" s="9">
        <v>0</v>
      </c>
      <c r="J23" s="9">
        <v>0</v>
      </c>
      <c r="K23" s="9">
        <v>0</v>
      </c>
      <c r="L23" s="9">
        <v>77054.33</v>
      </c>
      <c r="M23" s="8"/>
      <c r="N23" s="10">
        <f t="shared" si="1"/>
        <v>77054.33</v>
      </c>
    </row>
    <row r="24" spans="4:14" x14ac:dyDescent="0.25">
      <c r="D24" s="8" t="str">
        <f>"150000"</f>
        <v>150000</v>
      </c>
      <c r="E24" s="8" t="str">
        <f>"131000"</f>
        <v>131000</v>
      </c>
      <c r="F24" s="8" t="str">
        <f>"Subsides en K"</f>
        <v>Subsides en K</v>
      </c>
      <c r="G24" s="8" t="str">
        <f t="shared" si="0"/>
        <v/>
      </c>
      <c r="H24" s="9">
        <v>0</v>
      </c>
      <c r="I24" s="9">
        <v>0</v>
      </c>
      <c r="J24" s="9">
        <v>0</v>
      </c>
      <c r="K24" s="9">
        <v>0</v>
      </c>
      <c r="L24" s="9">
        <v>0</v>
      </c>
      <c r="M24" s="8"/>
      <c r="N24" s="10">
        <f t="shared" si="1"/>
        <v>0</v>
      </c>
    </row>
    <row r="25" spans="4:14" x14ac:dyDescent="0.25">
      <c r="D25" s="8" t="str">
        <f>"150900"</f>
        <v>150900</v>
      </c>
      <c r="E25" s="8" t="str">
        <f>"139000"</f>
        <v>139000</v>
      </c>
      <c r="F25" s="8" t="str">
        <f>"Amortissement Subsides en K"</f>
        <v>Amortissement Subsides en K</v>
      </c>
      <c r="G25" s="8" t="str">
        <f t="shared" si="0"/>
        <v/>
      </c>
      <c r="H25" s="9">
        <v>0</v>
      </c>
      <c r="I25" s="9">
        <v>0</v>
      </c>
      <c r="J25" s="9">
        <v>0</v>
      </c>
      <c r="K25" s="9">
        <v>0</v>
      </c>
      <c r="L25" s="9">
        <v>0</v>
      </c>
      <c r="M25" s="8"/>
      <c r="N25" s="10">
        <f t="shared" si="1"/>
        <v>0</v>
      </c>
    </row>
    <row r="26" spans="4:14" x14ac:dyDescent="0.25">
      <c r="D26" s="8" t="str">
        <f>"160000"</f>
        <v>160000</v>
      </c>
      <c r="E26" s="8" t="str">
        <f>"151800"</f>
        <v>151800</v>
      </c>
      <c r="F26" s="8" t="str">
        <f>"Prov. pension-obligation"</f>
        <v>Prov. pension-obligation</v>
      </c>
      <c r="G26" s="8" t="str">
        <f t="shared" si="0"/>
        <v/>
      </c>
      <c r="H26" s="9">
        <v>0</v>
      </c>
      <c r="I26" s="9">
        <v>0</v>
      </c>
      <c r="J26" s="9">
        <v>0</v>
      </c>
      <c r="K26" s="9">
        <v>0</v>
      </c>
      <c r="L26" s="9">
        <v>0</v>
      </c>
      <c r="M26" s="8"/>
      <c r="N26" s="10">
        <f t="shared" si="1"/>
        <v>0</v>
      </c>
    </row>
    <row r="27" spans="4:14" x14ac:dyDescent="0.25">
      <c r="D27" s="8" t="str">
        <f>"161000"</f>
        <v>161000</v>
      </c>
      <c r="E27" s="8" t="str">
        <f>"151800"</f>
        <v>151800</v>
      </c>
      <c r="F27" s="8" t="str">
        <f>"Prov. charges fiscales"</f>
        <v>Prov. charges fiscales</v>
      </c>
      <c r="G27" s="8" t="str">
        <f t="shared" si="0"/>
        <v/>
      </c>
      <c r="H27" s="9">
        <v>0</v>
      </c>
      <c r="I27" s="9">
        <v>0</v>
      </c>
      <c r="J27" s="9">
        <v>0</v>
      </c>
      <c r="K27" s="9">
        <v>0</v>
      </c>
      <c r="L27" s="9">
        <v>0</v>
      </c>
      <c r="M27" s="8"/>
      <c r="N27" s="10">
        <f t="shared" si="1"/>
        <v>0</v>
      </c>
    </row>
    <row r="28" spans="4:14" x14ac:dyDescent="0.25">
      <c r="D28" s="15" t="s">
        <v>5</v>
      </c>
      <c r="E28" s="15"/>
      <c r="F28" s="15"/>
      <c r="G28" s="14"/>
      <c r="H28" s="11">
        <f>SUM(H7:H27)</f>
        <v>-140777834.57999998</v>
      </c>
      <c r="I28" s="11">
        <f>SUM(I7:I27)</f>
        <v>-433913.69999999995</v>
      </c>
      <c r="J28" s="11">
        <f>SUM(J7:J27)</f>
        <v>-517028.67</v>
      </c>
      <c r="K28" s="11">
        <f>SUM(K7:K27)</f>
        <v>-239134.26</v>
      </c>
      <c r="L28" s="11">
        <f>SUM(L7:L27)</f>
        <v>-45382.479999999981</v>
      </c>
      <c r="M28" s="12"/>
      <c r="N28" s="13">
        <f>SUM(N7:N27)</f>
        <v>-142013293.69</v>
      </c>
    </row>
  </sheetData>
  <mergeCells count="1">
    <mergeCell ref="D28:F28"/>
  </mergeCells>
  <conditionalFormatting sqref="H5:M5">
    <cfRule type="expression" dxfId="0" priority="1">
      <formula>H2="Oui"</formula>
    </cfRule>
  </conditionalFormatting>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
  <sheetViews>
    <sheetView workbookViewId="0">
      <selection activeCell="E9" sqref="E9"/>
    </sheetView>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Feuil1</vt:lpstr>
      <vt:lpstr>Feuil3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Michel Zombaï</dc:creator>
  <cp:lastModifiedBy>Michel Zombaï</cp:lastModifiedBy>
  <dcterms:created xsi:type="dcterms:W3CDTF">2006-09-16T00:00:00Z</dcterms:created>
  <dcterms:modified xsi:type="dcterms:W3CDTF">2016-01-20T20:49:01Z</dcterms:modified>
</cp:coreProperties>
</file>