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3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27315" windowHeight="12345"/>
  </bookViews>
  <sheets>
    <sheet name="Interface" sheetId="7" r:id="rId1"/>
    <sheet name="Compétences" sheetId="8" r:id="rId2"/>
    <sheet name="MatriceOriginale" sheetId="4" r:id="rId3"/>
    <sheet name="Paramètres" sheetId="3" r:id="rId4"/>
    <sheet name="DURAND Paul" sheetId="6" r:id="rId5"/>
  </sheets>
  <definedNames>
    <definedName name="NivCompetences">Paramètres!$A$2:$A$6</definedName>
    <definedName name="Périmètres">OFFSET(Interface!$B$4,,,COUNTA(Interface!$B$4:$B$13)+0)</definedName>
  </definedNames>
  <calcPr calcId="145621" calcMode="manual"/>
</workbook>
</file>

<file path=xl/calcChain.xml><?xml version="1.0" encoding="utf-8"?>
<calcChain xmlns="http://schemas.openxmlformats.org/spreadsheetml/2006/main">
  <c r="B1" i="8" l="1"/>
  <c r="F1" i="8" l="1"/>
  <c r="A1" i="8" l="1"/>
  <c r="D1" i="8" l="1"/>
  <c r="J1" i="8" l="1"/>
  <c r="I1" i="8"/>
  <c r="H1" i="8"/>
  <c r="G1" i="8"/>
  <c r="E1" i="8"/>
  <c r="C1" i="8"/>
  <c r="N52" i="6" l="1"/>
  <c r="M52" i="6"/>
  <c r="M11" i="6" s="1"/>
  <c r="L52" i="6"/>
  <c r="K52" i="6"/>
  <c r="K11" i="6" s="1"/>
  <c r="J52" i="6"/>
  <c r="J11" i="6" s="1"/>
  <c r="I52" i="6"/>
  <c r="I11" i="6" s="1"/>
  <c r="H52" i="6"/>
  <c r="H11" i="6" s="1"/>
  <c r="G52" i="6"/>
  <c r="G11" i="6" s="1"/>
  <c r="F52" i="6"/>
  <c r="F11" i="6" s="1"/>
  <c r="E52" i="6"/>
  <c r="E11" i="6" s="1"/>
  <c r="D52" i="6"/>
  <c r="D11" i="6" s="1"/>
  <c r="C52" i="6"/>
  <c r="C11" i="6" s="1"/>
  <c r="B52" i="6"/>
  <c r="B11" i="6" s="1"/>
  <c r="N43" i="6"/>
  <c r="N10" i="6" s="1"/>
  <c r="M43" i="6"/>
  <c r="M10" i="6" s="1"/>
  <c r="L43" i="6"/>
  <c r="L10" i="6" s="1"/>
  <c r="K43" i="6"/>
  <c r="K10" i="6" s="1"/>
  <c r="J43" i="6"/>
  <c r="J10" i="6" s="1"/>
  <c r="I43" i="6"/>
  <c r="I10" i="6" s="1"/>
  <c r="H43" i="6"/>
  <c r="H10" i="6" s="1"/>
  <c r="G43" i="6"/>
  <c r="G10" i="6" s="1"/>
  <c r="F43" i="6"/>
  <c r="F10" i="6" s="1"/>
  <c r="E43" i="6"/>
  <c r="E10" i="6" s="1"/>
  <c r="D43" i="6"/>
  <c r="D10" i="6" s="1"/>
  <c r="C43" i="6"/>
  <c r="C10" i="6" s="1"/>
  <c r="B43" i="6"/>
  <c r="B10" i="6" s="1"/>
  <c r="N35" i="6"/>
  <c r="N9" i="6" s="1"/>
  <c r="M35" i="6"/>
  <c r="M9" i="6" s="1"/>
  <c r="L35" i="6"/>
  <c r="L9" i="6" s="1"/>
  <c r="K35" i="6"/>
  <c r="K9" i="6" s="1"/>
  <c r="J35" i="6"/>
  <c r="J9" i="6" s="1"/>
  <c r="I35" i="6"/>
  <c r="I9" i="6" s="1"/>
  <c r="H35" i="6"/>
  <c r="H9" i="6" s="1"/>
  <c r="G35" i="6"/>
  <c r="G9" i="6" s="1"/>
  <c r="F35" i="6"/>
  <c r="F9" i="6" s="1"/>
  <c r="E35" i="6"/>
  <c r="E9" i="6" s="1"/>
  <c r="D35" i="6"/>
  <c r="D9" i="6" s="1"/>
  <c r="C35" i="6"/>
  <c r="C9" i="6" s="1"/>
  <c r="B35" i="6"/>
  <c r="B9" i="6" s="1"/>
  <c r="N27" i="6"/>
  <c r="N8" i="6" s="1"/>
  <c r="M27" i="6"/>
  <c r="M8" i="6" s="1"/>
  <c r="L27" i="6"/>
  <c r="L8" i="6" s="1"/>
  <c r="K27" i="6"/>
  <c r="K8" i="6" s="1"/>
  <c r="J27" i="6"/>
  <c r="J8" i="6" s="1"/>
  <c r="I27" i="6"/>
  <c r="I8" i="6" s="1"/>
  <c r="H27" i="6"/>
  <c r="H8" i="6" s="1"/>
  <c r="G27" i="6"/>
  <c r="G8" i="6" s="1"/>
  <c r="F27" i="6"/>
  <c r="E27" i="6"/>
  <c r="E8" i="6" s="1"/>
  <c r="D27" i="6"/>
  <c r="D8" i="6" s="1"/>
  <c r="C27" i="6"/>
  <c r="C8" i="6" s="1"/>
  <c r="B27" i="6"/>
  <c r="B8" i="6" s="1"/>
  <c r="N18" i="6"/>
  <c r="N7" i="6" s="1"/>
  <c r="M18" i="6"/>
  <c r="M7" i="6" s="1"/>
  <c r="L18" i="6"/>
  <c r="L7" i="6" s="1"/>
  <c r="K18" i="6"/>
  <c r="K7" i="6" s="1"/>
  <c r="J18" i="6"/>
  <c r="J7" i="6" s="1"/>
  <c r="I18" i="6"/>
  <c r="I7" i="6" s="1"/>
  <c r="H18" i="6"/>
  <c r="G18" i="6"/>
  <c r="G7" i="6" s="1"/>
  <c r="F18" i="6"/>
  <c r="F7" i="6" s="1"/>
  <c r="E18" i="6"/>
  <c r="E7" i="6" s="1"/>
  <c r="D18" i="6"/>
  <c r="D7" i="6" s="1"/>
  <c r="C18" i="6"/>
  <c r="C7" i="6" s="1"/>
  <c r="B18" i="6"/>
  <c r="B7" i="6" s="1"/>
  <c r="N11" i="6"/>
  <c r="L11" i="6"/>
  <c r="A11" i="6"/>
  <c r="A10" i="6"/>
  <c r="A9" i="6"/>
  <c r="F8" i="6"/>
  <c r="A8" i="6"/>
  <c r="H7" i="6"/>
  <c r="A7" i="6"/>
  <c r="A13" i="4"/>
  <c r="A12" i="4"/>
  <c r="A11" i="4"/>
  <c r="A10" i="4"/>
  <c r="A9" i="4"/>
  <c r="A8" i="4"/>
  <c r="A7" i="4"/>
  <c r="C119" i="4"/>
  <c r="C13" i="4" s="1"/>
  <c r="D119" i="4"/>
  <c r="E119" i="4"/>
  <c r="E13" i="4" s="1"/>
  <c r="C107" i="4"/>
  <c r="C12" i="4" s="1"/>
  <c r="D107" i="4"/>
  <c r="D12" i="4" s="1"/>
  <c r="E107" i="4"/>
  <c r="E12" i="4" s="1"/>
  <c r="C86" i="4"/>
  <c r="C11" i="4" s="1"/>
  <c r="D86" i="4"/>
  <c r="D11" i="4" s="1"/>
  <c r="E86" i="4"/>
  <c r="E11" i="4" s="1"/>
  <c r="C67" i="4"/>
  <c r="C10" i="4" s="1"/>
  <c r="D67" i="4"/>
  <c r="D10" i="4" s="1"/>
  <c r="E67" i="4"/>
  <c r="C55" i="4"/>
  <c r="C9" i="4" s="1"/>
  <c r="D55" i="4"/>
  <c r="D9" i="4" s="1"/>
  <c r="E55" i="4"/>
  <c r="E9" i="4" s="1"/>
  <c r="C49" i="4"/>
  <c r="C8" i="4" s="1"/>
  <c r="D49" i="4"/>
  <c r="D8" i="4" s="1"/>
  <c r="E49" i="4"/>
  <c r="E8" i="4" s="1"/>
  <c r="C31" i="4"/>
  <c r="C7" i="4" s="1"/>
  <c r="D31" i="4"/>
  <c r="D7" i="4" s="1"/>
  <c r="E31" i="4"/>
  <c r="E7" i="4" s="1"/>
  <c r="E10" i="4"/>
  <c r="D13" i="4"/>
  <c r="N119" i="4"/>
  <c r="N13" i="4" s="1"/>
  <c r="M119" i="4"/>
  <c r="M13" i="4" s="1"/>
  <c r="L119" i="4"/>
  <c r="L13" i="4" s="1"/>
  <c r="K119" i="4"/>
  <c r="K13" i="4" s="1"/>
  <c r="J119" i="4"/>
  <c r="J13" i="4" s="1"/>
  <c r="I119" i="4"/>
  <c r="I13" i="4" s="1"/>
  <c r="H119" i="4"/>
  <c r="H13" i="4" s="1"/>
  <c r="G119" i="4"/>
  <c r="G13" i="4" s="1"/>
  <c r="F119" i="4"/>
  <c r="F13" i="4" s="1"/>
  <c r="B119" i="4"/>
  <c r="B13" i="4" s="1"/>
  <c r="N107" i="4"/>
  <c r="N12" i="4" s="1"/>
  <c r="M107" i="4"/>
  <c r="M12" i="4" s="1"/>
  <c r="L107" i="4"/>
  <c r="L12" i="4" s="1"/>
  <c r="K107" i="4"/>
  <c r="K12" i="4" s="1"/>
  <c r="J107" i="4"/>
  <c r="J12" i="4" s="1"/>
  <c r="I107" i="4"/>
  <c r="I12" i="4" s="1"/>
  <c r="H107" i="4"/>
  <c r="H12" i="4" s="1"/>
  <c r="G107" i="4"/>
  <c r="G12" i="4" s="1"/>
  <c r="F107" i="4"/>
  <c r="F12" i="4" s="1"/>
  <c r="B107" i="4"/>
  <c r="B12" i="4" s="1"/>
  <c r="N86" i="4"/>
  <c r="N11" i="4" s="1"/>
  <c r="M86" i="4"/>
  <c r="M11" i="4" s="1"/>
  <c r="L86" i="4"/>
  <c r="L11" i="4" s="1"/>
  <c r="K86" i="4"/>
  <c r="K11" i="4" s="1"/>
  <c r="J86" i="4"/>
  <c r="J11" i="4" s="1"/>
  <c r="I86" i="4"/>
  <c r="I11" i="4" s="1"/>
  <c r="H86" i="4"/>
  <c r="H11" i="4" s="1"/>
  <c r="G86" i="4"/>
  <c r="G11" i="4" s="1"/>
  <c r="B86" i="4"/>
  <c r="B11" i="4" s="1"/>
  <c r="N49" i="4"/>
  <c r="N8" i="4" s="1"/>
  <c r="M49" i="4"/>
  <c r="M8" i="4" s="1"/>
  <c r="L49" i="4"/>
  <c r="L8" i="4" s="1"/>
  <c r="K49" i="4"/>
  <c r="K8" i="4" s="1"/>
  <c r="J49" i="4"/>
  <c r="J8" i="4" s="1"/>
  <c r="I49" i="4"/>
  <c r="I8" i="4" s="1"/>
  <c r="H49" i="4"/>
  <c r="H8" i="4" s="1"/>
  <c r="G49" i="4"/>
  <c r="G8" i="4" s="1"/>
  <c r="F49" i="4"/>
  <c r="F8" i="4" s="1"/>
  <c r="B49" i="4"/>
  <c r="B8" i="4" s="1"/>
  <c r="N55" i="4"/>
  <c r="N9" i="4" s="1"/>
  <c r="M55" i="4"/>
  <c r="M9" i="4" s="1"/>
  <c r="L55" i="4"/>
  <c r="L9" i="4" s="1"/>
  <c r="K55" i="4"/>
  <c r="K9" i="4" s="1"/>
  <c r="J55" i="4"/>
  <c r="J9" i="4" s="1"/>
  <c r="I55" i="4"/>
  <c r="I9" i="4" s="1"/>
  <c r="H55" i="4"/>
  <c r="H9" i="4" s="1"/>
  <c r="G55" i="4"/>
  <c r="G9" i="4" s="1"/>
  <c r="F55" i="4"/>
  <c r="F9" i="4" s="1"/>
  <c r="B55" i="4"/>
  <c r="B9" i="4" s="1"/>
  <c r="N31" i="4"/>
  <c r="N7" i="4" s="1"/>
  <c r="M31" i="4"/>
  <c r="M7" i="4" s="1"/>
  <c r="L31" i="4"/>
  <c r="L7" i="4" s="1"/>
  <c r="K31" i="4"/>
  <c r="K7" i="4" s="1"/>
  <c r="J31" i="4"/>
  <c r="J7" i="4" s="1"/>
  <c r="I31" i="4"/>
  <c r="I7" i="4" s="1"/>
  <c r="H31" i="4"/>
  <c r="H7" i="4" s="1"/>
  <c r="G31" i="4"/>
  <c r="G7" i="4" s="1"/>
  <c r="F31" i="4"/>
  <c r="F7" i="4" s="1"/>
  <c r="B31" i="4"/>
  <c r="B7" i="4" s="1"/>
  <c r="N67" i="4"/>
  <c r="N10" i="4" s="1"/>
  <c r="M67" i="4"/>
  <c r="M10" i="4" s="1"/>
  <c r="L67" i="4"/>
  <c r="L10" i="4" s="1"/>
  <c r="K67" i="4"/>
  <c r="K10" i="4" s="1"/>
  <c r="J67" i="4"/>
  <c r="J10" i="4" s="1"/>
  <c r="I67" i="4"/>
  <c r="I10" i="4" s="1"/>
  <c r="H67" i="4"/>
  <c r="H10" i="4" s="1"/>
  <c r="G67" i="4"/>
  <c r="G10" i="4" s="1"/>
  <c r="F67" i="4"/>
  <c r="F10" i="4" s="1"/>
  <c r="B67" i="4"/>
  <c r="B10" i="4" s="1"/>
  <c r="F86" i="4" l="1"/>
  <c r="F11" i="4" s="1"/>
</calcChain>
</file>

<file path=xl/sharedStrings.xml><?xml version="1.0" encoding="utf-8"?>
<sst xmlns="http://schemas.openxmlformats.org/spreadsheetml/2006/main" count="296" uniqueCount="88">
  <si>
    <t>Imprimante</t>
  </si>
  <si>
    <t>Graduation des compétences</t>
  </si>
  <si>
    <t>Niveau 1</t>
  </si>
  <si>
    <t>Niveau technicien</t>
  </si>
  <si>
    <t>Niveau 0</t>
  </si>
  <si>
    <t>Niveau 2</t>
  </si>
  <si>
    <t>Niveau 3</t>
  </si>
  <si>
    <t>oct-12</t>
  </si>
  <si>
    <t>janv-13</t>
  </si>
  <si>
    <t>avr-13</t>
  </si>
  <si>
    <t>juil-13</t>
  </si>
  <si>
    <t>oct-13</t>
  </si>
  <si>
    <t>Nom</t>
  </si>
  <si>
    <t>Prénom</t>
  </si>
  <si>
    <t>Poste</t>
  </si>
  <si>
    <t>Périmètres</t>
  </si>
  <si>
    <t>janv-14</t>
  </si>
  <si>
    <t>avr-14</t>
  </si>
  <si>
    <t>juil-14</t>
  </si>
  <si>
    <t>oct-14</t>
  </si>
  <si>
    <t>Niv.
Requis</t>
  </si>
  <si>
    <t>Niv. Requis</t>
  </si>
  <si>
    <t>Niveau 4</t>
  </si>
  <si>
    <t xml:space="preserve">Niveau Expert </t>
  </si>
  <si>
    <t>Date Arrivée</t>
  </si>
  <si>
    <t>janv-15</t>
  </si>
  <si>
    <t>avr-15</t>
  </si>
  <si>
    <t>juil-15</t>
  </si>
  <si>
    <t>Périmètre 2</t>
  </si>
  <si>
    <t>Périmètre 3</t>
  </si>
  <si>
    <t>Périmètre 4</t>
  </si>
  <si>
    <t>Périmètre 5</t>
  </si>
  <si>
    <t>Périmètre 6</t>
  </si>
  <si>
    <t>Périmètre 7</t>
  </si>
  <si>
    <t>Paul</t>
  </si>
  <si>
    <t>Périmètre 1 (à compléter)</t>
  </si>
  <si>
    <t>Date arrivée</t>
  </si>
  <si>
    <t>DURAND</t>
  </si>
  <si>
    <t>Date initialisation de la matrice</t>
  </si>
  <si>
    <t>Fréquence d'évaluation des compétences (en mois)</t>
  </si>
  <si>
    <t>Saisissez les informations des collaborateurs</t>
  </si>
  <si>
    <t>Messagerie</t>
  </si>
  <si>
    <t>Date dernière 
évaluation</t>
  </si>
  <si>
    <t>Technicien</t>
  </si>
  <si>
    <t>Peinture</t>
  </si>
  <si>
    <t>Cuisine</t>
  </si>
  <si>
    <t>Mécanique</t>
  </si>
  <si>
    <t>Jardinage</t>
  </si>
  <si>
    <t>Moteur</t>
  </si>
  <si>
    <t>Freinage</t>
  </si>
  <si>
    <t>Vidange</t>
  </si>
  <si>
    <t>Pneumatiques</t>
  </si>
  <si>
    <t>Carrosserie</t>
  </si>
  <si>
    <t>Plantes aromatiques</t>
  </si>
  <si>
    <t>Légumes</t>
  </si>
  <si>
    <t>Terre</t>
  </si>
  <si>
    <t>Fleurs</t>
  </si>
  <si>
    <t>Arbres fruitiers</t>
  </si>
  <si>
    <t>Française</t>
  </si>
  <si>
    <t>Italienne</t>
  </si>
  <si>
    <t>Russe</t>
  </si>
  <si>
    <t>Indiennes</t>
  </si>
  <si>
    <t>Epices</t>
  </si>
  <si>
    <t>Patisserie</t>
  </si>
  <si>
    <t>Couleurs</t>
  </si>
  <si>
    <t>Application</t>
  </si>
  <si>
    <t>Outils</t>
  </si>
  <si>
    <t>Melange</t>
  </si>
  <si>
    <t>Informatique</t>
  </si>
  <si>
    <t>Bureautique</t>
  </si>
  <si>
    <t>Matériel</t>
  </si>
  <si>
    <t>Scanner</t>
  </si>
  <si>
    <t>Logiciels photos</t>
  </si>
  <si>
    <t>Produits bio</t>
  </si>
  <si>
    <t>Niveau Confirmé</t>
  </si>
  <si>
    <t>Niveau Expert Senior</t>
  </si>
  <si>
    <t>DUPOND</t>
  </si>
  <si>
    <t>Jacques</t>
  </si>
  <si>
    <t>Ingénieur</t>
  </si>
  <si>
    <t>Mecanique</t>
  </si>
  <si>
    <t>Legumes</t>
  </si>
  <si>
    <t>Materiel</t>
  </si>
  <si>
    <t>Indiquer ici les métiers couverts</t>
  </si>
  <si>
    <t>Interface de gestion des aptitudes</t>
  </si>
  <si>
    <t>http://forum.excel-pratique.com/excel/ajout-suppression-modification-donnees-feuille-via-uf-t54747.html</t>
  </si>
  <si>
    <t>totobis</t>
  </si>
  <si>
    <t>Pilote</t>
  </si>
  <si>
    <t>mécanique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</si>
</sst>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9"/>
      <name val="Calibri"/>
      <family val="2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6"/>
        <bgColor indexed="43"/>
      </patternFill>
    </fill>
    <fill>
      <patternFill patternType="solid">
        <fgColor indexed="43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</borders>
  <cellStyleXfs count="42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4" fillId="3" borderId="0" applyNumberFormat="0" applyBorder="0" applyAlignment="0" applyProtection="0"/>
    <xf numFmtId="0" fontId="11" fillId="16" borderId="1" applyNumberFormat="0" applyAlignment="0" applyProtection="0"/>
    <xf numFmtId="0" fontId="20" fillId="17" borderId="3" applyNumberFormat="0" applyAlignment="0" applyProtection="0"/>
    <xf numFmtId="0" fontId="4" fillId="19" borderId="4" applyNumberFormat="0" applyAlignment="0" applyProtection="0"/>
    <xf numFmtId="0" fontId="18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7" fillId="0" borderId="5" applyNumberFormat="0" applyFill="0" applyAlignment="0" applyProtection="0"/>
    <xf numFmtId="0" fontId="19" fillId="0" borderId="6" applyNumberFormat="0" applyFill="0" applyAlignment="0" applyProtection="0"/>
    <xf numFmtId="0" fontId="8" fillId="0" borderId="7" applyNumberFormat="0" applyFill="0" applyAlignment="0" applyProtection="0"/>
    <xf numFmtId="0" fontId="8" fillId="0" borderId="0" applyNumberFormat="0" applyFill="0" applyBorder="0" applyAlignment="0" applyProtection="0"/>
    <xf numFmtId="0" fontId="13" fillId="7" borderId="1" applyNumberFormat="0" applyAlignment="0" applyProtection="0"/>
    <xf numFmtId="0" fontId="12" fillId="0" borderId="2" applyNumberFormat="0" applyFill="0" applyAlignment="0" applyProtection="0"/>
    <xf numFmtId="0" fontId="15" fillId="20" borderId="0" applyNumberFormat="0" applyBorder="0" applyAlignment="0" applyProtection="0"/>
    <xf numFmtId="0" fontId="4" fillId="0" borderId="0"/>
    <xf numFmtId="0" fontId="4" fillId="0" borderId="0"/>
    <xf numFmtId="0" fontId="4" fillId="18" borderId="4" applyNumberFormat="0" applyFont="0" applyAlignment="0" applyProtection="0"/>
    <xf numFmtId="0" fontId="17" fillId="16" borderId="8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6" fillId="0" borderId="0" applyNumberFormat="0" applyFill="0" applyBorder="0" applyAlignment="0" applyProtection="0"/>
  </cellStyleXfs>
  <cellXfs count="86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1" fillId="21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21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0" fillId="24" borderId="0" xfId="0" applyFill="1" applyAlignment="1">
      <alignment vertical="center"/>
    </xf>
    <xf numFmtId="0" fontId="0" fillId="24" borderId="0" xfId="0" applyFill="1" applyAlignment="1">
      <alignment horizontal="center" vertical="center"/>
    </xf>
    <xf numFmtId="0" fontId="21" fillId="24" borderId="0" xfId="0" applyFont="1" applyFill="1" applyAlignment="1">
      <alignment vertical="center"/>
    </xf>
    <xf numFmtId="0" fontId="0" fillId="22" borderId="0" xfId="0" applyFill="1" applyAlignment="1">
      <alignment horizontal="right" vertical="center"/>
    </xf>
    <xf numFmtId="0" fontId="0" fillId="25" borderId="0" xfId="0" applyFill="1"/>
    <xf numFmtId="0" fontId="0" fillId="25" borderId="0" xfId="0" applyFill="1" applyAlignment="1">
      <alignment horizontal="center"/>
    </xf>
    <xf numFmtId="0" fontId="0" fillId="23" borderId="0" xfId="0" applyFill="1" applyAlignment="1">
      <alignment horizontal="right" vertical="center"/>
    </xf>
    <xf numFmtId="0" fontId="0" fillId="23" borderId="0" xfId="0" applyFill="1" applyAlignment="1">
      <alignment horizontal="center" vertical="center"/>
    </xf>
    <xf numFmtId="0" fontId="21" fillId="23" borderId="0" xfId="0" applyFont="1" applyFill="1" applyAlignment="1">
      <alignment vertical="center"/>
    </xf>
    <xf numFmtId="0" fontId="0" fillId="22" borderId="0" xfId="0" applyFill="1" applyAlignment="1">
      <alignment horizontal="center" vertical="center"/>
    </xf>
    <xf numFmtId="0" fontId="21" fillId="22" borderId="0" xfId="0" applyFont="1" applyFill="1" applyAlignment="1">
      <alignment vertical="center"/>
    </xf>
    <xf numFmtId="17" fontId="22" fillId="0" borderId="0" xfId="0" applyNumberFormat="1" applyFont="1" applyAlignment="1">
      <alignment horizontal="center" vertical="center"/>
    </xf>
    <xf numFmtId="0" fontId="23" fillId="0" borderId="0" xfId="0" applyFont="1"/>
    <xf numFmtId="0" fontId="2" fillId="0" borderId="0" xfId="0" applyFont="1" applyFill="1"/>
    <xf numFmtId="0" fontId="0" fillId="0" borderId="0" xfId="0" applyBorder="1"/>
    <xf numFmtId="0" fontId="23" fillId="0" borderId="0" xfId="0" applyFon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NumberFormat="1" applyFont="1" applyAlignment="1">
      <alignment horizontal="center" vertical="center"/>
    </xf>
    <xf numFmtId="0" fontId="25" fillId="0" borderId="0" xfId="0" applyFont="1"/>
    <xf numFmtId="0" fontId="26" fillId="0" borderId="0" xfId="0" applyNumberFormat="1" applyFont="1" applyAlignment="1">
      <alignment horizontal="center" vertical="center"/>
    </xf>
    <xf numFmtId="2" fontId="2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7" fillId="0" borderId="0" xfId="0" applyFont="1"/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 wrapText="1"/>
    </xf>
    <xf numFmtId="17" fontId="22" fillId="0" borderId="0" xfId="0" applyNumberFormat="1" applyFont="1" applyFill="1" applyAlignment="1">
      <alignment horizontal="center" vertical="center"/>
    </xf>
    <xf numFmtId="0" fontId="23" fillId="0" borderId="0" xfId="0" applyFont="1" applyFill="1"/>
    <xf numFmtId="0" fontId="0" fillId="0" borderId="0" xfId="0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0" xfId="0" applyNumberFormat="1" applyFont="1" applyAlignment="1">
      <alignment horizontal="center" vertical="center"/>
    </xf>
    <xf numFmtId="0" fontId="2" fillId="27" borderId="0" xfId="0" applyFont="1" applyFill="1" applyAlignment="1">
      <alignment vertical="center"/>
    </xf>
    <xf numFmtId="0" fontId="2" fillId="27" borderId="0" xfId="0" applyFont="1" applyFill="1" applyAlignment="1">
      <alignment horizontal="center" vertical="center"/>
    </xf>
    <xf numFmtId="0" fontId="27" fillId="0" borderId="0" xfId="0" applyFont="1" applyFill="1"/>
    <xf numFmtId="0" fontId="28" fillId="0" borderId="0" xfId="0" applyFont="1" applyFill="1"/>
    <xf numFmtId="0" fontId="28" fillId="0" borderId="0" xfId="0" applyFont="1" applyFill="1" applyAlignment="1">
      <alignment horizontal="center" vertical="center"/>
    </xf>
    <xf numFmtId="0" fontId="28" fillId="0" borderId="0" xfId="0" applyFont="1"/>
    <xf numFmtId="17" fontId="0" fillId="0" borderId="0" xfId="0" applyNumberFormat="1" applyAlignment="1">
      <alignment horizontal="center" vertical="center" wrapText="1"/>
    </xf>
    <xf numFmtId="0" fontId="24" fillId="26" borderId="0" xfId="0" applyFont="1" applyFill="1" applyBorder="1"/>
    <xf numFmtId="0" fontId="0" fillId="26" borderId="0" xfId="0" applyFill="1" applyBorder="1"/>
    <xf numFmtId="0" fontId="0" fillId="26" borderId="11" xfId="0" applyFill="1" applyBorder="1"/>
    <xf numFmtId="0" fontId="0" fillId="26" borderId="12" xfId="0" applyFill="1" applyBorder="1"/>
    <xf numFmtId="0" fontId="0" fillId="26" borderId="13" xfId="0" applyFill="1" applyBorder="1"/>
    <xf numFmtId="0" fontId="0" fillId="26" borderId="14" xfId="0" applyFill="1" applyBorder="1"/>
    <xf numFmtId="0" fontId="0" fillId="26" borderId="15" xfId="0" applyFill="1" applyBorder="1"/>
    <xf numFmtId="0" fontId="0" fillId="26" borderId="16" xfId="0" applyFill="1" applyBorder="1"/>
    <xf numFmtId="0" fontId="24" fillId="26" borderId="17" xfId="0" applyFont="1" applyFill="1" applyBorder="1"/>
    <xf numFmtId="0" fontId="23" fillId="26" borderId="17" xfId="0" applyFont="1" applyFill="1" applyBorder="1"/>
    <xf numFmtId="0" fontId="0" fillId="26" borderId="17" xfId="0" applyFill="1" applyBorder="1"/>
    <xf numFmtId="0" fontId="0" fillId="26" borderId="18" xfId="0" applyFill="1" applyBorder="1"/>
    <xf numFmtId="0" fontId="0" fillId="26" borderId="0" xfId="0" applyFill="1"/>
    <xf numFmtId="0" fontId="33" fillId="26" borderId="0" xfId="0" applyFont="1" applyFill="1"/>
    <xf numFmtId="0" fontId="24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32" fillId="30" borderId="0" xfId="0" applyFont="1" applyFill="1"/>
    <xf numFmtId="0" fontId="34" fillId="0" borderId="0" xfId="0" applyFont="1" applyAlignment="1">
      <alignment vertical="center"/>
    </xf>
    <xf numFmtId="0" fontId="34" fillId="0" borderId="0" xfId="0" applyFont="1" applyFill="1" applyAlignment="1">
      <alignment vertical="center"/>
    </xf>
    <xf numFmtId="0" fontId="34" fillId="0" borderId="0" xfId="0" applyFont="1"/>
    <xf numFmtId="14" fontId="34" fillId="29" borderId="0" xfId="0" applyNumberFormat="1" applyFont="1" applyFill="1" applyAlignment="1">
      <alignment horizontal="center" vertical="center"/>
    </xf>
    <xf numFmtId="0" fontId="34" fillId="28" borderId="0" xfId="0" applyFont="1" applyFill="1" applyAlignment="1">
      <alignment horizontal="center" vertical="center"/>
    </xf>
    <xf numFmtId="14" fontId="34" fillId="0" borderId="0" xfId="0" applyNumberFormat="1" applyFont="1" applyAlignment="1">
      <alignment vertical="center"/>
    </xf>
    <xf numFmtId="14" fontId="34" fillId="0" borderId="0" xfId="0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0" borderId="0" xfId="0" applyFont="1"/>
    <xf numFmtId="0" fontId="35" fillId="27" borderId="0" xfId="0" applyFont="1" applyFill="1" applyAlignment="1">
      <alignment vertical="center"/>
    </xf>
    <xf numFmtId="0" fontId="36" fillId="0" borderId="0" xfId="41"/>
    <xf numFmtId="0" fontId="29" fillId="0" borderId="0" xfId="0" applyFont="1" applyAlignment="1">
      <alignment horizontal="center" vertical="center"/>
    </xf>
    <xf numFmtId="0" fontId="23" fillId="26" borderId="10" xfId="0" applyFont="1" applyFill="1" applyBorder="1" applyAlignment="1">
      <alignment horizontal="center"/>
    </xf>
    <xf numFmtId="0" fontId="0" fillId="26" borderId="9" xfId="0" applyFill="1" applyBorder="1" applyAlignment="1">
      <alignment horizontal="center"/>
    </xf>
    <xf numFmtId="0" fontId="23" fillId="26" borderId="9" xfId="0" applyFont="1" applyFill="1" applyBorder="1" applyAlignment="1">
      <alignment horizontal="center"/>
    </xf>
    <xf numFmtId="14" fontId="0" fillId="26" borderId="9" xfId="0" applyNumberFormat="1" applyFill="1" applyBorder="1" applyAlignment="1">
      <alignment horizontal="center"/>
    </xf>
  </cellXfs>
  <cellStyles count="42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Commentaire 2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en hypertexte" xfId="41" builtinId="8"/>
    <cellStyle name="Linked Cell" xfId="31"/>
    <cellStyle name="Neutral" xfId="32"/>
    <cellStyle name="Normal" xfId="0" builtinId="0"/>
    <cellStyle name="Normal 2" xfId="33"/>
    <cellStyle name="Normal 2 2" xfId="34"/>
    <cellStyle name="Normal 3" xfId="1"/>
    <cellStyle name="Note" xfId="35"/>
    <cellStyle name="Output" xfId="36"/>
    <cellStyle name="Pourcentage 2" xfId="38"/>
    <cellStyle name="Pourcentage 3" xfId="37"/>
    <cellStyle name="Title" xfId="39"/>
    <cellStyle name="Warning Text" xfId="40"/>
  </cellStyles>
  <dxfs count="271">
    <dxf>
      <font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3" tint="0.39994506668294322"/>
        </patternFill>
      </fill>
    </dxf>
    <dxf>
      <numFmt numFmtId="0" formatCode="General"/>
    </dxf>
    <dxf>
      <numFmt numFmtId="0" formatCode="General"/>
      <alignment horizontal="center" vertical="center" textRotation="0" wrapText="0" relativeIndent="0" justifyLastLine="0" shrinkToFit="0" readingOrder="0"/>
    </dxf>
    <dxf>
      <numFmt numFmtId="0" formatCode="General"/>
      <alignment horizontal="center" vertical="center" textRotation="0" wrapText="0" relativeIndent="0" justifyLastLine="0" shrinkToFit="0" readingOrder="0"/>
    </dxf>
    <dxf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alignment horizontal="center" vertical="center" textRotation="0" wrapText="0" relative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relativeIndent="0" justifyLastLine="0" shrinkToFit="0" readingOrder="0"/>
    </dxf>
    <dxf>
      <numFmt numFmtId="0" formatCode="General"/>
      <alignment horizontal="center" vertical="center" textRotation="0" wrapText="0" relativeIndent="0" justifyLastLine="0" shrinkToFit="0" readingOrder="0"/>
    </dxf>
    <dxf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numFmt numFmtId="22" formatCode="mmm\-yy"/>
      <fill>
        <patternFill patternType="none">
          <fgColor rgb="FF000000"/>
          <bgColor rgb="FFFFFFFF"/>
        </patternFill>
      </fill>
      <alignment textRotation="0" relative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alignment horizontal="center" vertical="center" textRotation="0" wrapText="0" relative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relativeIndent="0" justifyLastLine="0" shrinkToFit="0" readingOrder="0"/>
    </dxf>
    <dxf>
      <numFmt numFmtId="0" formatCode="General"/>
      <alignment horizontal="center" vertical="center" textRotation="0" wrapText="0" relativeIndent="0" justifyLastLine="0" shrinkToFit="0" readingOrder="0"/>
    </dxf>
    <dxf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alignment horizontal="center" vertical="center" textRotation="0" wrapText="0" relative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relativeIndent="0" justifyLastLine="0" shrinkToFit="0" readingOrder="0"/>
    </dxf>
    <dxf>
      <numFmt numFmtId="0" formatCode="General"/>
      <alignment horizontal="center" vertical="center" textRotation="0" wrapText="0" relativeIndent="0" justifyLastLine="0" shrinkToFit="0" readingOrder="0"/>
    </dxf>
    <dxf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alignment horizontal="center" vertical="center" textRotation="0" wrapText="0" relative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relativeIndent="0" justifyLastLine="0" shrinkToFit="0" readingOrder="0"/>
    </dxf>
    <dxf>
      <numFmt numFmtId="0" formatCode="General"/>
      <alignment horizontal="center" vertical="center" textRotation="0" wrapText="0" relativeIndent="0" justifyLastLine="0" shrinkToFit="0" readingOrder="0"/>
    </dxf>
    <dxf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numFmt numFmtId="22" formatCode="mmm\-yy"/>
      <fill>
        <patternFill patternType="none">
          <fgColor indexed="64"/>
          <bgColor indexed="65"/>
        </patternFill>
      </fill>
      <alignment textRotation="0" relative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2" formatCode="mmm\-yy"/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CC99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4"/>
    </mc:Choice>
    <mc:Fallback>
      <c:style val="14"/>
    </mc:Fallback>
  </mc:AlternateContent>
  <c:chart>
    <c:title>
      <c:tx>
        <c:strRef>
          <c:f>Exploitation[[#Headers],[Périmètre 4]]</c:f>
          <c:strCache>
            <c:ptCount val="1"/>
            <c:pt idx="0">
              <c:v>Périmètre 4</c:v>
            </c:pt>
          </c:strCache>
        </c:strRef>
      </c:tx>
      <c:overlay val="0"/>
      <c:txPr>
        <a:bodyPr/>
        <a:lstStyle/>
        <a:p>
          <a:pPr>
            <a:defRPr/>
          </a:pPr>
          <a:endParaRPr lang="fr-FR"/>
        </a:p>
      </c:txPr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MatriceOriginale!$C$57</c:f>
              <c:strCache>
                <c:ptCount val="1"/>
                <c:pt idx="0">
                  <c:v>oct-12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MatriceOriginale!$C$58:$C$66</c:f>
              <c:numCache>
                <c:formatCode>General</c:formatCode>
                <c:ptCount val="9"/>
              </c:numCache>
            </c:numRef>
          </c:val>
        </c:ser>
        <c:ser>
          <c:idx val="2"/>
          <c:order val="1"/>
          <c:tx>
            <c:strRef>
              <c:f>MatriceOriginale!$D$57</c:f>
              <c:strCache>
                <c:ptCount val="1"/>
                <c:pt idx="0">
                  <c:v>janv-13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MatriceOriginale!$D$58:$D$66</c:f>
              <c:numCache>
                <c:formatCode>General</c:formatCode>
                <c:ptCount val="9"/>
              </c:numCache>
            </c:numRef>
          </c:val>
        </c:ser>
        <c:ser>
          <c:idx val="3"/>
          <c:order val="2"/>
          <c:tx>
            <c:strRef>
              <c:f>MatriceOriginale!$E$57</c:f>
              <c:strCache>
                <c:ptCount val="1"/>
                <c:pt idx="0">
                  <c:v>avr-13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MatriceOriginale!$E$58:$E$66</c:f>
              <c:numCache>
                <c:formatCode>General</c:formatCode>
                <c:ptCount val="9"/>
              </c:numCache>
            </c:numRef>
          </c:val>
        </c:ser>
        <c:ser>
          <c:idx val="4"/>
          <c:order val="3"/>
          <c:tx>
            <c:strRef>
              <c:f>MatriceOriginale!$F$57</c:f>
              <c:strCache>
                <c:ptCount val="1"/>
                <c:pt idx="0">
                  <c:v>juil-13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MatriceOriginale!$F$58:$F$66</c:f>
              <c:numCache>
                <c:formatCode>General</c:formatCode>
                <c:ptCount val="9"/>
              </c:numCache>
            </c:numRef>
          </c:val>
        </c:ser>
        <c:ser>
          <c:idx val="5"/>
          <c:order val="4"/>
          <c:tx>
            <c:strRef>
              <c:f>MatriceOriginale!$G$57</c:f>
              <c:strCache>
                <c:ptCount val="1"/>
                <c:pt idx="0">
                  <c:v>oct-13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MatriceOriginale!$G$58:$G$66</c:f>
              <c:numCache>
                <c:formatCode>General</c:formatCode>
                <c:ptCount val="9"/>
              </c:numCache>
            </c:numRef>
          </c:val>
        </c:ser>
        <c:ser>
          <c:idx val="6"/>
          <c:order val="5"/>
          <c:tx>
            <c:strRef>
              <c:f>MatriceOriginale!$H$57</c:f>
              <c:strCache>
                <c:ptCount val="1"/>
                <c:pt idx="0">
                  <c:v>janv-14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MatriceOriginale!$H$58:$H$66</c:f>
              <c:numCache>
                <c:formatCode>General</c:formatCode>
                <c:ptCount val="9"/>
              </c:numCache>
            </c:numRef>
          </c:val>
        </c:ser>
        <c:ser>
          <c:idx val="7"/>
          <c:order val="6"/>
          <c:tx>
            <c:strRef>
              <c:f>MatriceOriginale!$I$57</c:f>
              <c:strCache>
                <c:ptCount val="1"/>
                <c:pt idx="0">
                  <c:v>avr-14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MatriceOriginale!$I$58:$I$66</c:f>
              <c:numCache>
                <c:formatCode>General</c:formatCode>
                <c:ptCount val="9"/>
              </c:numCache>
            </c:numRef>
          </c:val>
        </c:ser>
        <c:ser>
          <c:idx val="8"/>
          <c:order val="7"/>
          <c:tx>
            <c:strRef>
              <c:f>MatriceOriginale!$J$57</c:f>
              <c:strCache>
                <c:ptCount val="1"/>
                <c:pt idx="0">
                  <c:v>juil-14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MatriceOriginale!$J$58:$J$66</c:f>
              <c:numCache>
                <c:formatCode>General</c:formatCode>
                <c:ptCount val="9"/>
              </c:numCache>
            </c:numRef>
          </c:val>
        </c:ser>
        <c:ser>
          <c:idx val="9"/>
          <c:order val="8"/>
          <c:tx>
            <c:strRef>
              <c:f>MatriceOriginale!$K$57</c:f>
              <c:strCache>
                <c:ptCount val="1"/>
                <c:pt idx="0">
                  <c:v>oct-14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MatriceOriginale!$K$58:$K$66</c:f>
              <c:numCache>
                <c:formatCode>General</c:formatCode>
                <c:ptCount val="9"/>
              </c:numCache>
            </c:numRef>
          </c:val>
        </c:ser>
        <c:ser>
          <c:idx val="10"/>
          <c:order val="9"/>
          <c:tx>
            <c:strRef>
              <c:f>MatriceOriginale!$L$57</c:f>
              <c:strCache>
                <c:ptCount val="1"/>
                <c:pt idx="0">
                  <c:v>janv-15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MatriceOriginale!$L$58:$L$66</c:f>
              <c:numCache>
                <c:formatCode>General</c:formatCode>
                <c:ptCount val="9"/>
              </c:numCache>
            </c:numRef>
          </c:val>
        </c:ser>
        <c:ser>
          <c:idx val="11"/>
          <c:order val="10"/>
          <c:tx>
            <c:strRef>
              <c:f>MatriceOriginale!$M$57</c:f>
              <c:strCache>
                <c:ptCount val="1"/>
                <c:pt idx="0">
                  <c:v>avr-15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MatriceOriginale!$M$58:$M$66</c:f>
              <c:numCache>
                <c:formatCode>General</c:formatCode>
                <c:ptCount val="9"/>
              </c:numCache>
            </c:numRef>
          </c:val>
        </c:ser>
        <c:ser>
          <c:idx val="12"/>
          <c:order val="11"/>
          <c:tx>
            <c:strRef>
              <c:f>MatriceOriginale!$N$57</c:f>
              <c:strCache>
                <c:ptCount val="1"/>
                <c:pt idx="0">
                  <c:v>juil-15</c:v>
                </c:pt>
              </c:strCache>
            </c:strRef>
          </c:tx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MatriceOriginale!$N$58:$N$66</c:f>
              <c:numCache>
                <c:formatCode>General</c:formatCode>
                <c:ptCount val="9"/>
              </c:numCache>
            </c:numRef>
          </c:val>
        </c:ser>
        <c:ser>
          <c:idx val="0"/>
          <c:order val="12"/>
          <c:tx>
            <c:strRef>
              <c:f>MatriceOriginale!$B$57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numRef>
              <c:f>MatriceOriginale!$A$58:$A$66</c:f>
              <c:numCache>
                <c:formatCode>General</c:formatCode>
                <c:ptCount val="9"/>
              </c:numCache>
            </c:numRef>
          </c:cat>
          <c:val>
            <c:numRef>
              <c:f>MatriceOriginale!$B$58:$B$66</c:f>
              <c:numCache>
                <c:formatCode>General</c:formatCode>
                <c:ptCount val="9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340288"/>
        <c:axId val="125346176"/>
      </c:radarChart>
      <c:catAx>
        <c:axId val="12534028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25346176"/>
        <c:crosses val="autoZero"/>
        <c:auto val="1"/>
        <c:lblAlgn val="ctr"/>
        <c:lblOffset val="100"/>
        <c:noMultiLvlLbl val="0"/>
      </c:catAx>
      <c:valAx>
        <c:axId val="125346176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5340288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tx>
        <c:strRef>
          <c:f>AdminWindows[[#Headers],[Périmètre 1 (à compléter)]]</c:f>
          <c:strCache>
            <c:ptCount val="1"/>
            <c:pt idx="0">
              <c:v>Périmètre 1 (à compléter)</c:v>
            </c:pt>
          </c:strCache>
        </c:strRef>
      </c:tx>
      <c:overlay val="0"/>
      <c:txPr>
        <a:bodyPr/>
        <a:lstStyle/>
        <a:p>
          <a:pPr>
            <a:defRPr/>
          </a:pPr>
          <a:endParaRPr lang="fr-FR"/>
        </a:p>
      </c:txPr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MatriceOriginale!$C$15</c:f>
              <c:strCache>
                <c:ptCount val="1"/>
                <c:pt idx="0">
                  <c:v>oct-12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MatriceOriginale!$C$16:$C$30</c:f>
              <c:numCache>
                <c:formatCode>General</c:formatCode>
                <c:ptCount val="15"/>
              </c:numCache>
            </c:numRef>
          </c:val>
        </c:ser>
        <c:ser>
          <c:idx val="2"/>
          <c:order val="1"/>
          <c:tx>
            <c:strRef>
              <c:f>MatriceOriginale!$D$15</c:f>
              <c:strCache>
                <c:ptCount val="1"/>
                <c:pt idx="0">
                  <c:v>janv-13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MatriceOriginale!$D$16:$D$30</c:f>
              <c:numCache>
                <c:formatCode>General</c:formatCode>
                <c:ptCount val="15"/>
              </c:numCache>
            </c:numRef>
          </c:val>
        </c:ser>
        <c:ser>
          <c:idx val="3"/>
          <c:order val="2"/>
          <c:tx>
            <c:strRef>
              <c:f>MatriceOriginale!$E$15</c:f>
              <c:strCache>
                <c:ptCount val="1"/>
                <c:pt idx="0">
                  <c:v>avr-13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MatriceOriginale!$E$16:$E$30</c:f>
              <c:numCache>
                <c:formatCode>General</c:formatCode>
                <c:ptCount val="15"/>
              </c:numCache>
            </c:numRef>
          </c:val>
        </c:ser>
        <c:ser>
          <c:idx val="4"/>
          <c:order val="3"/>
          <c:tx>
            <c:strRef>
              <c:f>MatriceOriginale!$F$15</c:f>
              <c:strCache>
                <c:ptCount val="1"/>
                <c:pt idx="0">
                  <c:v>juil-13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MatriceOriginale!$F$16:$F$30</c:f>
              <c:numCache>
                <c:formatCode>General</c:formatCode>
                <c:ptCount val="15"/>
              </c:numCache>
            </c:numRef>
          </c:val>
        </c:ser>
        <c:ser>
          <c:idx val="5"/>
          <c:order val="4"/>
          <c:tx>
            <c:strRef>
              <c:f>MatriceOriginale!$G$15</c:f>
              <c:strCache>
                <c:ptCount val="1"/>
                <c:pt idx="0">
                  <c:v>oct-13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MatriceOriginale!$G$16:$G$30</c:f>
              <c:numCache>
                <c:formatCode>General</c:formatCode>
                <c:ptCount val="15"/>
              </c:numCache>
            </c:numRef>
          </c:val>
        </c:ser>
        <c:ser>
          <c:idx val="6"/>
          <c:order val="5"/>
          <c:tx>
            <c:strRef>
              <c:f>MatriceOriginale!$H$15</c:f>
              <c:strCache>
                <c:ptCount val="1"/>
                <c:pt idx="0">
                  <c:v>janv-14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MatriceOriginale!$H$16:$H$30</c:f>
              <c:numCache>
                <c:formatCode>General</c:formatCode>
                <c:ptCount val="15"/>
              </c:numCache>
            </c:numRef>
          </c:val>
        </c:ser>
        <c:ser>
          <c:idx val="7"/>
          <c:order val="6"/>
          <c:tx>
            <c:strRef>
              <c:f>MatriceOriginale!$I$15</c:f>
              <c:strCache>
                <c:ptCount val="1"/>
                <c:pt idx="0">
                  <c:v>avr-14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MatriceOriginale!$I$16:$I$30</c:f>
              <c:numCache>
                <c:formatCode>General</c:formatCode>
                <c:ptCount val="15"/>
              </c:numCache>
            </c:numRef>
          </c:val>
        </c:ser>
        <c:ser>
          <c:idx val="8"/>
          <c:order val="7"/>
          <c:tx>
            <c:strRef>
              <c:f>MatriceOriginale!$J$15</c:f>
              <c:strCache>
                <c:ptCount val="1"/>
                <c:pt idx="0">
                  <c:v>juil-14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MatriceOriginale!$J$16:$J$30</c:f>
              <c:numCache>
                <c:formatCode>General</c:formatCode>
                <c:ptCount val="15"/>
              </c:numCache>
            </c:numRef>
          </c:val>
        </c:ser>
        <c:ser>
          <c:idx val="9"/>
          <c:order val="8"/>
          <c:tx>
            <c:strRef>
              <c:f>MatriceOriginale!$K$15</c:f>
              <c:strCache>
                <c:ptCount val="1"/>
                <c:pt idx="0">
                  <c:v>oct-14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MatriceOriginale!$K$16:$K$30</c:f>
              <c:numCache>
                <c:formatCode>General</c:formatCode>
                <c:ptCount val="15"/>
              </c:numCache>
            </c:numRef>
          </c:val>
        </c:ser>
        <c:ser>
          <c:idx val="10"/>
          <c:order val="9"/>
          <c:tx>
            <c:strRef>
              <c:f>MatriceOriginale!$L$15</c:f>
              <c:strCache>
                <c:ptCount val="1"/>
                <c:pt idx="0">
                  <c:v>janv-15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MatriceOriginale!$L$16:$L$30</c:f>
              <c:numCache>
                <c:formatCode>General</c:formatCode>
                <c:ptCount val="15"/>
              </c:numCache>
            </c:numRef>
          </c:val>
        </c:ser>
        <c:ser>
          <c:idx val="11"/>
          <c:order val="10"/>
          <c:tx>
            <c:strRef>
              <c:f>MatriceOriginale!$M$15</c:f>
              <c:strCache>
                <c:ptCount val="1"/>
                <c:pt idx="0">
                  <c:v>avr-15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MatriceOriginale!$M$16:$M$30</c:f>
              <c:numCache>
                <c:formatCode>General</c:formatCode>
                <c:ptCount val="15"/>
              </c:numCache>
            </c:numRef>
          </c:val>
        </c:ser>
        <c:ser>
          <c:idx val="12"/>
          <c:order val="11"/>
          <c:tx>
            <c:strRef>
              <c:f>MatriceOriginale!$N$15</c:f>
              <c:strCache>
                <c:ptCount val="1"/>
                <c:pt idx="0">
                  <c:v>juil-15</c:v>
                </c:pt>
              </c:strCache>
            </c:strRef>
          </c:tx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MatriceOriginale!$N$16:$N$30</c:f>
              <c:numCache>
                <c:formatCode>General</c:formatCode>
                <c:ptCount val="15"/>
              </c:numCache>
            </c:numRef>
          </c:val>
        </c:ser>
        <c:ser>
          <c:idx val="0"/>
          <c:order val="12"/>
          <c:tx>
            <c:strRef>
              <c:f>MatriceOriginale!$B$15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numRef>
              <c:f>MatriceOriginale!$A$16:$A$30</c:f>
              <c:numCache>
                <c:formatCode>General</c:formatCode>
                <c:ptCount val="15"/>
              </c:numCache>
            </c:numRef>
          </c:cat>
          <c:val>
            <c:numRef>
              <c:f>MatriceOriginale!$B$16:$B$30</c:f>
              <c:numCache>
                <c:formatCode>General</c:formatCode>
                <c:ptCount val="1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41312"/>
        <c:axId val="125743104"/>
      </c:radarChart>
      <c:catAx>
        <c:axId val="12574131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25743104"/>
        <c:crosses val="autoZero"/>
        <c:auto val="1"/>
        <c:lblAlgn val="ctr"/>
        <c:lblOffset val="100"/>
        <c:noMultiLvlLbl val="0"/>
      </c:catAx>
      <c:valAx>
        <c:axId val="125743104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574131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Compétences</a:t>
            </a:r>
            <a:r>
              <a:rPr lang="fr-FR" baseline="0"/>
              <a:t> par Périmètre</a:t>
            </a:r>
            <a:endParaRPr lang="fr-FR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MatriceOriginale!$C$6</c:f>
              <c:strCache>
                <c:ptCount val="1"/>
                <c:pt idx="0">
                  <c:v>oct-12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MatriceOriginale!$C$7:$C$13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1"/>
          <c:tx>
            <c:strRef>
              <c:f>MatriceOriginale!$D$6</c:f>
              <c:strCache>
                <c:ptCount val="1"/>
                <c:pt idx="0">
                  <c:v>janv-13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MatriceOriginale!$D$7:$D$13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3"/>
          <c:order val="2"/>
          <c:tx>
            <c:strRef>
              <c:f>MatriceOriginale!$E$6</c:f>
              <c:strCache>
                <c:ptCount val="1"/>
                <c:pt idx="0">
                  <c:v>avr-13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MatriceOriginale!$E$7:$E$13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4"/>
          <c:order val="3"/>
          <c:tx>
            <c:strRef>
              <c:f>MatriceOriginale!$F$6</c:f>
              <c:strCache>
                <c:ptCount val="1"/>
                <c:pt idx="0">
                  <c:v>juil-13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MatriceOriginale!$F$7:$F$13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5"/>
          <c:order val="4"/>
          <c:tx>
            <c:strRef>
              <c:f>MatriceOriginale!$G$6</c:f>
              <c:strCache>
                <c:ptCount val="1"/>
                <c:pt idx="0">
                  <c:v>oct-13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MatriceOriginale!$G$7:$G$13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6"/>
          <c:order val="5"/>
          <c:tx>
            <c:strRef>
              <c:f>MatriceOriginale!$H$6</c:f>
              <c:strCache>
                <c:ptCount val="1"/>
                <c:pt idx="0">
                  <c:v>janv-14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MatriceOriginale!$H$7:$H$13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7"/>
          <c:order val="6"/>
          <c:tx>
            <c:strRef>
              <c:f>MatriceOriginale!$I$6</c:f>
              <c:strCache>
                <c:ptCount val="1"/>
                <c:pt idx="0">
                  <c:v>avr-14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MatriceOriginale!$I$7:$I$13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8"/>
          <c:order val="7"/>
          <c:tx>
            <c:strRef>
              <c:f>MatriceOriginale!$J$6</c:f>
              <c:strCache>
                <c:ptCount val="1"/>
                <c:pt idx="0">
                  <c:v>juil-14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MatriceOriginale!$J$7:$J$13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9"/>
          <c:order val="8"/>
          <c:tx>
            <c:strRef>
              <c:f>MatriceOriginale!$K$6</c:f>
              <c:strCache>
                <c:ptCount val="1"/>
                <c:pt idx="0">
                  <c:v>oct-14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MatriceOriginale!$K$7:$K$13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0"/>
          <c:order val="9"/>
          <c:tx>
            <c:strRef>
              <c:f>MatriceOriginale!$L$6</c:f>
              <c:strCache>
                <c:ptCount val="1"/>
                <c:pt idx="0">
                  <c:v>janv-15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MatriceOriginale!$L$7:$L$13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1"/>
          <c:order val="10"/>
          <c:tx>
            <c:strRef>
              <c:f>MatriceOriginale!$M$6</c:f>
              <c:strCache>
                <c:ptCount val="1"/>
                <c:pt idx="0">
                  <c:v>avr-15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MatriceOriginale!$M$7:$M$13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2"/>
          <c:order val="11"/>
          <c:tx>
            <c:strRef>
              <c:f>MatriceOriginale!$N$6</c:f>
              <c:strCache>
                <c:ptCount val="1"/>
                <c:pt idx="0">
                  <c:v>juil-15</c:v>
                </c:pt>
              </c:strCache>
            </c:strRef>
          </c:tx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MatriceOriginale!$N$7:$N$13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0"/>
          <c:order val="12"/>
          <c:tx>
            <c:strRef>
              <c:f>MatriceOriginale!$B$6</c:f>
              <c:strCache>
                <c:ptCount val="1"/>
                <c:pt idx="0">
                  <c:v>Niv.
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strRef>
              <c:f>MatriceOriginale!$A$7:$A$14</c:f>
              <c:strCache>
                <c:ptCount val="7"/>
                <c:pt idx="0">
                  <c:v>Périmètre 1 (à compléter)</c:v>
                </c:pt>
                <c:pt idx="1">
                  <c:v>Périmètre 2</c:v>
                </c:pt>
                <c:pt idx="2">
                  <c:v>Périmètre 3</c:v>
                </c:pt>
                <c:pt idx="3">
                  <c:v>Périmètre 4</c:v>
                </c:pt>
                <c:pt idx="4">
                  <c:v>Périmètre 5</c:v>
                </c:pt>
                <c:pt idx="5">
                  <c:v>Périmètre 6</c:v>
                </c:pt>
                <c:pt idx="6">
                  <c:v>Périmètre 7</c:v>
                </c:pt>
              </c:strCache>
            </c:strRef>
          </c:cat>
          <c:val>
            <c:numRef>
              <c:f>MatriceOriginale!$B$7:$B$13</c:f>
              <c:numCache>
                <c:formatCode>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826944"/>
        <c:axId val="125828480"/>
      </c:radarChart>
      <c:catAx>
        <c:axId val="12582694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25828480"/>
        <c:crosses val="autoZero"/>
        <c:auto val="1"/>
        <c:lblAlgn val="ctr"/>
        <c:lblOffset val="100"/>
        <c:noMultiLvlLbl val="0"/>
      </c:catAx>
      <c:valAx>
        <c:axId val="125828480"/>
        <c:scaling>
          <c:orientation val="minMax"/>
          <c:max val="4"/>
        </c:scaling>
        <c:delete val="0"/>
        <c:axPos val="l"/>
        <c:majorGridlines/>
        <c:numFmt formatCode="0" sourceLinked="0"/>
        <c:majorTickMark val="none"/>
        <c:minorTickMark val="none"/>
        <c:tickLblPos val="nextTo"/>
        <c:crossAx val="12582694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11" l="0.70000000000000062" r="0.70000000000000062" t="0.75000000000000611" header="0.30000000000000032" footer="0.30000000000000032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1"/>
    </mc:Choice>
    <mc:Fallback>
      <c:style val="11"/>
    </mc:Fallback>
  </mc:AlternateContent>
  <c:chart>
    <c:title>
      <c:tx>
        <c:strRef>
          <c:f>Deploiement[[#Headers],[Périmètre 3]]</c:f>
          <c:strCache>
            <c:ptCount val="1"/>
            <c:pt idx="0">
              <c:v>Périmètre 3</c:v>
            </c:pt>
          </c:strCache>
        </c:strRef>
      </c:tx>
      <c:overlay val="0"/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MatriceOriginale!$C$51</c:f>
              <c:strCache>
                <c:ptCount val="1"/>
                <c:pt idx="0">
                  <c:v>oct-12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MatriceOriginale!$C$52:$C$55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1"/>
          <c:tx>
            <c:strRef>
              <c:f>MatriceOriginale!$D$51</c:f>
              <c:strCache>
                <c:ptCount val="1"/>
                <c:pt idx="0">
                  <c:v>janv-13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MatriceOriginale!$D$52:$D$55</c:f>
              <c:numCache>
                <c:formatCode>General</c:formatCode>
                <c:ptCount val="3"/>
              </c:numCache>
            </c:numRef>
          </c:val>
        </c:ser>
        <c:ser>
          <c:idx val="3"/>
          <c:order val="2"/>
          <c:tx>
            <c:strRef>
              <c:f>MatriceOriginale!$E$51</c:f>
              <c:strCache>
                <c:ptCount val="1"/>
                <c:pt idx="0">
                  <c:v>avr-13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MatriceOriginale!$E$52:$E$55</c:f>
              <c:numCache>
                <c:formatCode>General</c:formatCode>
                <c:ptCount val="3"/>
              </c:numCache>
            </c:numRef>
          </c:val>
        </c:ser>
        <c:ser>
          <c:idx val="4"/>
          <c:order val="3"/>
          <c:tx>
            <c:strRef>
              <c:f>MatriceOriginale!$F$51</c:f>
              <c:strCache>
                <c:ptCount val="1"/>
                <c:pt idx="0">
                  <c:v>juil-13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MatriceOriginale!$F$52:$F$55</c:f>
              <c:numCache>
                <c:formatCode>General</c:formatCode>
                <c:ptCount val="3"/>
              </c:numCache>
            </c:numRef>
          </c:val>
        </c:ser>
        <c:ser>
          <c:idx val="5"/>
          <c:order val="4"/>
          <c:tx>
            <c:strRef>
              <c:f>MatriceOriginale!$G$51</c:f>
              <c:strCache>
                <c:ptCount val="1"/>
                <c:pt idx="0">
                  <c:v>oct-13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MatriceOriginale!$G$52:$G$55</c:f>
              <c:numCache>
                <c:formatCode>General</c:formatCode>
                <c:ptCount val="3"/>
              </c:numCache>
            </c:numRef>
          </c:val>
        </c:ser>
        <c:ser>
          <c:idx val="6"/>
          <c:order val="5"/>
          <c:tx>
            <c:strRef>
              <c:f>MatriceOriginale!$H$51</c:f>
              <c:strCache>
                <c:ptCount val="1"/>
                <c:pt idx="0">
                  <c:v>janv-14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MatriceOriginale!$H$52:$H$55</c:f>
              <c:numCache>
                <c:formatCode>General</c:formatCode>
                <c:ptCount val="3"/>
              </c:numCache>
            </c:numRef>
          </c:val>
        </c:ser>
        <c:ser>
          <c:idx val="7"/>
          <c:order val="6"/>
          <c:tx>
            <c:strRef>
              <c:f>MatriceOriginale!$I$51</c:f>
              <c:strCache>
                <c:ptCount val="1"/>
                <c:pt idx="0">
                  <c:v>avr-14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MatriceOriginale!$I$52:$I$55</c:f>
              <c:numCache>
                <c:formatCode>General</c:formatCode>
                <c:ptCount val="3"/>
              </c:numCache>
            </c:numRef>
          </c:val>
        </c:ser>
        <c:ser>
          <c:idx val="8"/>
          <c:order val="7"/>
          <c:tx>
            <c:strRef>
              <c:f>MatriceOriginale!$J$51</c:f>
              <c:strCache>
                <c:ptCount val="1"/>
                <c:pt idx="0">
                  <c:v>juil-14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MatriceOriginale!$J$52:$J$55</c:f>
              <c:numCache>
                <c:formatCode>General</c:formatCode>
                <c:ptCount val="3"/>
              </c:numCache>
            </c:numRef>
          </c:val>
        </c:ser>
        <c:ser>
          <c:idx val="9"/>
          <c:order val="8"/>
          <c:tx>
            <c:strRef>
              <c:f>MatriceOriginale!$K$51</c:f>
              <c:strCache>
                <c:ptCount val="1"/>
                <c:pt idx="0">
                  <c:v>oct-14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MatriceOriginale!$K$52:$K$55</c:f>
              <c:numCache>
                <c:formatCode>General</c:formatCode>
                <c:ptCount val="3"/>
              </c:numCache>
            </c:numRef>
          </c:val>
        </c:ser>
        <c:ser>
          <c:idx val="10"/>
          <c:order val="9"/>
          <c:tx>
            <c:strRef>
              <c:f>MatriceOriginale!$L$51</c:f>
              <c:strCache>
                <c:ptCount val="1"/>
                <c:pt idx="0">
                  <c:v>janv-15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MatriceOriginale!$L$52:$L$55</c:f>
              <c:numCache>
                <c:formatCode>General</c:formatCode>
                <c:ptCount val="3"/>
              </c:numCache>
            </c:numRef>
          </c:val>
        </c:ser>
        <c:ser>
          <c:idx val="11"/>
          <c:order val="10"/>
          <c:tx>
            <c:strRef>
              <c:f>MatriceOriginale!$M$51</c:f>
              <c:strCache>
                <c:ptCount val="1"/>
                <c:pt idx="0">
                  <c:v>avr-15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MatriceOriginale!$M$52:$M$55</c:f>
              <c:numCache>
                <c:formatCode>General</c:formatCode>
                <c:ptCount val="3"/>
              </c:numCache>
            </c:numRef>
          </c:val>
        </c:ser>
        <c:ser>
          <c:idx val="12"/>
          <c:order val="11"/>
          <c:tx>
            <c:strRef>
              <c:f>MatriceOriginale!$N$51</c:f>
              <c:strCache>
                <c:ptCount val="1"/>
                <c:pt idx="0">
                  <c:v>juil-15</c:v>
                </c:pt>
              </c:strCache>
            </c:strRef>
          </c:tx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MatriceOriginale!$N$52:$N$55</c:f>
              <c:numCache>
                <c:formatCode>General</c:formatCode>
                <c:ptCount val="3"/>
              </c:numCache>
            </c:numRef>
          </c:val>
        </c:ser>
        <c:ser>
          <c:idx val="0"/>
          <c:order val="12"/>
          <c:tx>
            <c:strRef>
              <c:f>MatriceOriginale!$B$51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numRef>
              <c:f>MatriceOriginale!$A$52:$A$55</c:f>
              <c:numCache>
                <c:formatCode>General</c:formatCode>
                <c:ptCount val="3"/>
              </c:numCache>
            </c:numRef>
          </c:cat>
          <c:val>
            <c:numRef>
              <c:f>MatriceOriginale!$B$52:$B$55</c:f>
              <c:numCache>
                <c:formatCode>General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582336"/>
        <c:axId val="125588224"/>
      </c:radarChart>
      <c:catAx>
        <c:axId val="12558233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25588224"/>
        <c:crosses val="autoZero"/>
        <c:auto val="1"/>
        <c:lblAlgn val="ctr"/>
        <c:lblOffset val="100"/>
        <c:noMultiLvlLbl val="0"/>
      </c:catAx>
      <c:valAx>
        <c:axId val="125588224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558233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" l="0.70000000000000062" r="0.70000000000000062" t="0.750000000000006" header="0.30000000000000032" footer="0.30000000000000032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1"/>
    </mc:Choice>
    <mc:Fallback>
      <c:style val="11"/>
    </mc:Fallback>
  </mc:AlternateContent>
  <c:chart>
    <c:title>
      <c:tx>
        <c:strRef>
          <c:f>Applicatif[[#Headers],[Périmètre 2]]</c:f>
          <c:strCache>
            <c:ptCount val="1"/>
            <c:pt idx="0">
              <c:v>Périmètre 2</c:v>
            </c:pt>
          </c:strCache>
        </c:strRef>
      </c:tx>
      <c:overlay val="0"/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MatriceOriginale!$C$33</c:f>
              <c:strCache>
                <c:ptCount val="1"/>
                <c:pt idx="0">
                  <c:v>oct-12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MatriceOriginale!$C$34:$C$48</c:f>
              <c:numCache>
                <c:formatCode>General</c:formatCode>
                <c:ptCount val="15"/>
              </c:numCache>
            </c:numRef>
          </c:val>
        </c:ser>
        <c:ser>
          <c:idx val="2"/>
          <c:order val="1"/>
          <c:tx>
            <c:strRef>
              <c:f>MatriceOriginale!$D$33</c:f>
              <c:strCache>
                <c:ptCount val="1"/>
                <c:pt idx="0">
                  <c:v>janv-13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MatriceOriginale!$D$34:$D$48</c:f>
              <c:numCache>
                <c:formatCode>General</c:formatCode>
                <c:ptCount val="15"/>
              </c:numCache>
            </c:numRef>
          </c:val>
        </c:ser>
        <c:ser>
          <c:idx val="3"/>
          <c:order val="2"/>
          <c:tx>
            <c:strRef>
              <c:f>MatriceOriginale!$E$33</c:f>
              <c:strCache>
                <c:ptCount val="1"/>
                <c:pt idx="0">
                  <c:v>avr-13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MatriceOriginale!$E$34:$E$48</c:f>
              <c:numCache>
                <c:formatCode>General</c:formatCode>
                <c:ptCount val="15"/>
              </c:numCache>
            </c:numRef>
          </c:val>
        </c:ser>
        <c:ser>
          <c:idx val="4"/>
          <c:order val="3"/>
          <c:tx>
            <c:strRef>
              <c:f>MatriceOriginale!$F$33</c:f>
              <c:strCache>
                <c:ptCount val="1"/>
                <c:pt idx="0">
                  <c:v>juil-13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MatriceOriginale!$F$34:$F$48</c:f>
              <c:numCache>
                <c:formatCode>General</c:formatCode>
                <c:ptCount val="15"/>
              </c:numCache>
            </c:numRef>
          </c:val>
        </c:ser>
        <c:ser>
          <c:idx val="5"/>
          <c:order val="4"/>
          <c:tx>
            <c:strRef>
              <c:f>MatriceOriginale!$G$33</c:f>
              <c:strCache>
                <c:ptCount val="1"/>
                <c:pt idx="0">
                  <c:v>oct-13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MatriceOriginale!$G$34:$G$48</c:f>
              <c:numCache>
                <c:formatCode>General</c:formatCode>
                <c:ptCount val="15"/>
              </c:numCache>
            </c:numRef>
          </c:val>
        </c:ser>
        <c:ser>
          <c:idx val="6"/>
          <c:order val="5"/>
          <c:tx>
            <c:strRef>
              <c:f>MatriceOriginale!$H$33</c:f>
              <c:strCache>
                <c:ptCount val="1"/>
                <c:pt idx="0">
                  <c:v>janv-14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MatriceOriginale!$H$34:$H$48</c:f>
              <c:numCache>
                <c:formatCode>General</c:formatCode>
                <c:ptCount val="15"/>
              </c:numCache>
            </c:numRef>
          </c:val>
        </c:ser>
        <c:ser>
          <c:idx val="7"/>
          <c:order val="6"/>
          <c:tx>
            <c:strRef>
              <c:f>MatriceOriginale!$I$33</c:f>
              <c:strCache>
                <c:ptCount val="1"/>
                <c:pt idx="0">
                  <c:v>avr-14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MatriceOriginale!$I$34:$I$48</c:f>
              <c:numCache>
                <c:formatCode>General</c:formatCode>
                <c:ptCount val="15"/>
              </c:numCache>
            </c:numRef>
          </c:val>
        </c:ser>
        <c:ser>
          <c:idx val="8"/>
          <c:order val="7"/>
          <c:tx>
            <c:strRef>
              <c:f>MatriceOriginale!$J$33</c:f>
              <c:strCache>
                <c:ptCount val="1"/>
                <c:pt idx="0">
                  <c:v>juil-14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MatriceOriginale!$J$34:$J$48</c:f>
              <c:numCache>
                <c:formatCode>General</c:formatCode>
                <c:ptCount val="15"/>
              </c:numCache>
            </c:numRef>
          </c:val>
        </c:ser>
        <c:ser>
          <c:idx val="9"/>
          <c:order val="8"/>
          <c:tx>
            <c:strRef>
              <c:f>MatriceOriginale!$K$33</c:f>
              <c:strCache>
                <c:ptCount val="1"/>
                <c:pt idx="0">
                  <c:v>oct-14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MatriceOriginale!$K$34:$K$48</c:f>
              <c:numCache>
                <c:formatCode>General</c:formatCode>
                <c:ptCount val="15"/>
              </c:numCache>
            </c:numRef>
          </c:val>
        </c:ser>
        <c:ser>
          <c:idx val="10"/>
          <c:order val="9"/>
          <c:tx>
            <c:strRef>
              <c:f>MatriceOriginale!$L$33</c:f>
              <c:strCache>
                <c:ptCount val="1"/>
                <c:pt idx="0">
                  <c:v>janv-15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MatriceOriginale!$L$34:$L$48</c:f>
              <c:numCache>
                <c:formatCode>General</c:formatCode>
                <c:ptCount val="15"/>
              </c:numCache>
            </c:numRef>
          </c:val>
        </c:ser>
        <c:ser>
          <c:idx val="11"/>
          <c:order val="10"/>
          <c:tx>
            <c:strRef>
              <c:f>MatriceOriginale!$M$33</c:f>
              <c:strCache>
                <c:ptCount val="1"/>
                <c:pt idx="0">
                  <c:v>avr-15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MatriceOriginale!$M$34:$M$48</c:f>
              <c:numCache>
                <c:formatCode>General</c:formatCode>
                <c:ptCount val="15"/>
              </c:numCache>
            </c:numRef>
          </c:val>
        </c:ser>
        <c:ser>
          <c:idx val="12"/>
          <c:order val="11"/>
          <c:tx>
            <c:strRef>
              <c:f>MatriceOriginale!$N$33</c:f>
              <c:strCache>
                <c:ptCount val="1"/>
                <c:pt idx="0">
                  <c:v>juil-15</c:v>
                </c:pt>
              </c:strCache>
            </c:strRef>
          </c:tx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MatriceOriginale!$N$34:$N$48</c:f>
              <c:numCache>
                <c:formatCode>General</c:formatCode>
                <c:ptCount val="15"/>
              </c:numCache>
            </c:numRef>
          </c:val>
        </c:ser>
        <c:ser>
          <c:idx val="0"/>
          <c:order val="12"/>
          <c:tx>
            <c:strRef>
              <c:f>MatriceOriginale!$B$33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numRef>
              <c:f>MatriceOriginale!$A$34:$A$48</c:f>
              <c:numCache>
                <c:formatCode>General</c:formatCode>
                <c:ptCount val="15"/>
              </c:numCache>
            </c:numRef>
          </c:cat>
          <c:val>
            <c:numRef>
              <c:f>MatriceOriginale!$B$34:$B$48</c:f>
              <c:numCache>
                <c:formatCode>General</c:formatCode>
                <c:ptCount val="1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656448"/>
        <c:axId val="125658240"/>
      </c:radarChart>
      <c:catAx>
        <c:axId val="12565644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25658240"/>
        <c:crosses val="autoZero"/>
        <c:auto val="1"/>
        <c:lblAlgn val="ctr"/>
        <c:lblOffset val="100"/>
        <c:noMultiLvlLbl val="0"/>
      </c:catAx>
      <c:valAx>
        <c:axId val="125658240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5656448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1"/>
    </mc:Choice>
    <mc:Fallback>
      <c:style val="11"/>
    </mc:Fallback>
  </mc:AlternateContent>
  <c:chart>
    <c:title>
      <c:tx>
        <c:strRef>
          <c:f>Infrastructure[[#Headers],[Périmètre 5]]</c:f>
          <c:strCache>
            <c:ptCount val="1"/>
            <c:pt idx="0">
              <c:v>Périmètre 5</c:v>
            </c:pt>
          </c:strCache>
        </c:strRef>
      </c:tx>
      <c:overlay val="0"/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MatriceOriginale!$C$69</c:f>
              <c:strCache>
                <c:ptCount val="1"/>
                <c:pt idx="0">
                  <c:v>oct-12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MatriceOriginale!$C$70:$C$85</c:f>
              <c:numCache>
                <c:formatCode>General</c:formatCode>
                <c:ptCount val="16"/>
              </c:numCache>
            </c:numRef>
          </c:val>
        </c:ser>
        <c:ser>
          <c:idx val="2"/>
          <c:order val="1"/>
          <c:tx>
            <c:strRef>
              <c:f>MatriceOriginale!$D$69</c:f>
              <c:strCache>
                <c:ptCount val="1"/>
                <c:pt idx="0">
                  <c:v>janv-13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MatriceOriginale!$D$70:$D$85</c:f>
              <c:numCache>
                <c:formatCode>General</c:formatCode>
                <c:ptCount val="16"/>
              </c:numCache>
            </c:numRef>
          </c:val>
        </c:ser>
        <c:ser>
          <c:idx val="3"/>
          <c:order val="2"/>
          <c:tx>
            <c:strRef>
              <c:f>MatriceOriginale!$E$69</c:f>
              <c:strCache>
                <c:ptCount val="1"/>
                <c:pt idx="0">
                  <c:v>avr-13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MatriceOriginale!$E$70:$E$85</c:f>
              <c:numCache>
                <c:formatCode>General</c:formatCode>
                <c:ptCount val="16"/>
              </c:numCache>
            </c:numRef>
          </c:val>
        </c:ser>
        <c:ser>
          <c:idx val="4"/>
          <c:order val="3"/>
          <c:tx>
            <c:strRef>
              <c:f>MatriceOriginale!$F$69</c:f>
              <c:strCache>
                <c:ptCount val="1"/>
                <c:pt idx="0">
                  <c:v>juil-13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MatriceOriginale!$F$70:$F$85</c:f>
              <c:numCache>
                <c:formatCode>General</c:formatCode>
                <c:ptCount val="16"/>
              </c:numCache>
            </c:numRef>
          </c:val>
        </c:ser>
        <c:ser>
          <c:idx val="5"/>
          <c:order val="4"/>
          <c:tx>
            <c:strRef>
              <c:f>MatriceOriginale!$G$69</c:f>
              <c:strCache>
                <c:ptCount val="1"/>
                <c:pt idx="0">
                  <c:v>oct-13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MatriceOriginale!$G$70:$G$85</c:f>
              <c:numCache>
                <c:formatCode>General</c:formatCode>
                <c:ptCount val="16"/>
              </c:numCache>
            </c:numRef>
          </c:val>
        </c:ser>
        <c:ser>
          <c:idx val="6"/>
          <c:order val="5"/>
          <c:tx>
            <c:strRef>
              <c:f>MatriceOriginale!$H$69</c:f>
              <c:strCache>
                <c:ptCount val="1"/>
                <c:pt idx="0">
                  <c:v>janv-14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MatriceOriginale!$H$70:$H$85</c:f>
              <c:numCache>
                <c:formatCode>General</c:formatCode>
                <c:ptCount val="16"/>
              </c:numCache>
            </c:numRef>
          </c:val>
        </c:ser>
        <c:ser>
          <c:idx val="7"/>
          <c:order val="6"/>
          <c:tx>
            <c:strRef>
              <c:f>MatriceOriginale!$I$69</c:f>
              <c:strCache>
                <c:ptCount val="1"/>
                <c:pt idx="0">
                  <c:v>avr-14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MatriceOriginale!$I$70:$I$85</c:f>
              <c:numCache>
                <c:formatCode>General</c:formatCode>
                <c:ptCount val="16"/>
              </c:numCache>
            </c:numRef>
          </c:val>
        </c:ser>
        <c:ser>
          <c:idx val="8"/>
          <c:order val="7"/>
          <c:tx>
            <c:strRef>
              <c:f>MatriceOriginale!$J$69</c:f>
              <c:strCache>
                <c:ptCount val="1"/>
                <c:pt idx="0">
                  <c:v>juil-14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MatriceOriginale!$J$70:$J$85</c:f>
              <c:numCache>
                <c:formatCode>General</c:formatCode>
                <c:ptCount val="16"/>
              </c:numCache>
            </c:numRef>
          </c:val>
        </c:ser>
        <c:ser>
          <c:idx val="9"/>
          <c:order val="8"/>
          <c:tx>
            <c:strRef>
              <c:f>MatriceOriginale!$K$69</c:f>
              <c:strCache>
                <c:ptCount val="1"/>
                <c:pt idx="0">
                  <c:v>oct-14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MatriceOriginale!$K$70:$K$85</c:f>
              <c:numCache>
                <c:formatCode>General</c:formatCode>
                <c:ptCount val="16"/>
              </c:numCache>
            </c:numRef>
          </c:val>
        </c:ser>
        <c:ser>
          <c:idx val="10"/>
          <c:order val="9"/>
          <c:tx>
            <c:strRef>
              <c:f>MatriceOriginale!$L$69</c:f>
              <c:strCache>
                <c:ptCount val="1"/>
                <c:pt idx="0">
                  <c:v>janv-15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MatriceOriginale!$L$70:$L$85</c:f>
              <c:numCache>
                <c:formatCode>General</c:formatCode>
                <c:ptCount val="16"/>
              </c:numCache>
            </c:numRef>
          </c:val>
        </c:ser>
        <c:ser>
          <c:idx val="11"/>
          <c:order val="10"/>
          <c:tx>
            <c:strRef>
              <c:f>MatriceOriginale!$M$69</c:f>
              <c:strCache>
                <c:ptCount val="1"/>
                <c:pt idx="0">
                  <c:v>avr-15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MatriceOriginale!$M$70:$M$85</c:f>
              <c:numCache>
                <c:formatCode>General</c:formatCode>
                <c:ptCount val="16"/>
              </c:numCache>
            </c:numRef>
          </c:val>
        </c:ser>
        <c:ser>
          <c:idx val="12"/>
          <c:order val="11"/>
          <c:tx>
            <c:strRef>
              <c:f>MatriceOriginale!$N$69</c:f>
              <c:strCache>
                <c:ptCount val="1"/>
                <c:pt idx="0">
                  <c:v>juil-15</c:v>
                </c:pt>
              </c:strCache>
            </c:strRef>
          </c:tx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MatriceOriginale!$N$70:$N$85</c:f>
              <c:numCache>
                <c:formatCode>General</c:formatCode>
                <c:ptCount val="16"/>
              </c:numCache>
            </c:numRef>
          </c:val>
        </c:ser>
        <c:ser>
          <c:idx val="0"/>
          <c:order val="12"/>
          <c:tx>
            <c:strRef>
              <c:f>MatriceOriginale!$B$69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numRef>
              <c:f>MatriceOriginale!$A$70:$A$85</c:f>
              <c:numCache>
                <c:formatCode>General</c:formatCode>
                <c:ptCount val="16"/>
              </c:numCache>
            </c:numRef>
          </c:cat>
          <c:val>
            <c:numRef>
              <c:f>MatriceOriginale!$B$70:$B$85</c:f>
              <c:numCache>
                <c:formatCode>General</c:formatCode>
                <c:ptCount val="1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924480"/>
        <c:axId val="125926016"/>
      </c:radarChart>
      <c:catAx>
        <c:axId val="12592448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25926016"/>
        <c:crosses val="autoZero"/>
        <c:auto val="1"/>
        <c:lblAlgn val="ctr"/>
        <c:lblOffset val="100"/>
        <c:noMultiLvlLbl val="0"/>
      </c:catAx>
      <c:valAx>
        <c:axId val="125926016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5924480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5"/>
    </mc:Choice>
    <mc:Fallback>
      <c:style val="15"/>
    </mc:Fallback>
  </mc:AlternateContent>
  <c:chart>
    <c:title>
      <c:tx>
        <c:strRef>
          <c:f>IIT[[#Headers],[Périmètre 6]]</c:f>
          <c:strCache>
            <c:ptCount val="1"/>
            <c:pt idx="0">
              <c:v>Périmètre 6</c:v>
            </c:pt>
          </c:strCache>
        </c:strRef>
      </c:tx>
      <c:overlay val="0"/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MatriceOriginale!$C$88</c:f>
              <c:strCache>
                <c:ptCount val="1"/>
                <c:pt idx="0">
                  <c:v>oct-12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MatriceOriginale!$C$89:$C$106</c:f>
              <c:numCache>
                <c:formatCode>General</c:formatCode>
                <c:ptCount val="18"/>
              </c:numCache>
            </c:numRef>
          </c:val>
        </c:ser>
        <c:ser>
          <c:idx val="2"/>
          <c:order val="1"/>
          <c:tx>
            <c:strRef>
              <c:f>MatriceOriginale!$D$88</c:f>
              <c:strCache>
                <c:ptCount val="1"/>
                <c:pt idx="0">
                  <c:v>janv-13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MatriceOriginale!$D$89:$D$106</c:f>
              <c:numCache>
                <c:formatCode>General</c:formatCode>
                <c:ptCount val="18"/>
              </c:numCache>
            </c:numRef>
          </c:val>
        </c:ser>
        <c:ser>
          <c:idx val="3"/>
          <c:order val="2"/>
          <c:tx>
            <c:strRef>
              <c:f>MatriceOriginale!$E$88</c:f>
              <c:strCache>
                <c:ptCount val="1"/>
                <c:pt idx="0">
                  <c:v>avr-13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MatriceOriginale!$E$89:$E$106</c:f>
              <c:numCache>
                <c:formatCode>General</c:formatCode>
                <c:ptCount val="18"/>
              </c:numCache>
            </c:numRef>
          </c:val>
        </c:ser>
        <c:ser>
          <c:idx val="4"/>
          <c:order val="3"/>
          <c:tx>
            <c:strRef>
              <c:f>MatriceOriginale!$F$88</c:f>
              <c:strCache>
                <c:ptCount val="1"/>
                <c:pt idx="0">
                  <c:v>juil-13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MatriceOriginale!$F$89:$F$106</c:f>
              <c:numCache>
                <c:formatCode>General</c:formatCode>
                <c:ptCount val="18"/>
              </c:numCache>
            </c:numRef>
          </c:val>
        </c:ser>
        <c:ser>
          <c:idx val="5"/>
          <c:order val="4"/>
          <c:tx>
            <c:strRef>
              <c:f>MatriceOriginale!$G$88</c:f>
              <c:strCache>
                <c:ptCount val="1"/>
                <c:pt idx="0">
                  <c:v>oct-13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MatriceOriginale!$G$89:$G$106</c:f>
              <c:numCache>
                <c:formatCode>General</c:formatCode>
                <c:ptCount val="18"/>
              </c:numCache>
            </c:numRef>
          </c:val>
        </c:ser>
        <c:ser>
          <c:idx val="6"/>
          <c:order val="5"/>
          <c:tx>
            <c:strRef>
              <c:f>MatriceOriginale!$H$88</c:f>
              <c:strCache>
                <c:ptCount val="1"/>
                <c:pt idx="0">
                  <c:v>janv-14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MatriceOriginale!$H$89:$H$106</c:f>
              <c:numCache>
                <c:formatCode>General</c:formatCode>
                <c:ptCount val="18"/>
              </c:numCache>
            </c:numRef>
          </c:val>
        </c:ser>
        <c:ser>
          <c:idx val="7"/>
          <c:order val="6"/>
          <c:tx>
            <c:strRef>
              <c:f>MatriceOriginale!$I$88</c:f>
              <c:strCache>
                <c:ptCount val="1"/>
                <c:pt idx="0">
                  <c:v>avr-14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MatriceOriginale!$I$89:$I$106</c:f>
              <c:numCache>
                <c:formatCode>General</c:formatCode>
                <c:ptCount val="18"/>
              </c:numCache>
            </c:numRef>
          </c:val>
        </c:ser>
        <c:ser>
          <c:idx val="8"/>
          <c:order val="7"/>
          <c:tx>
            <c:strRef>
              <c:f>MatriceOriginale!$J$88</c:f>
              <c:strCache>
                <c:ptCount val="1"/>
                <c:pt idx="0">
                  <c:v>juil-14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MatriceOriginale!$J$89:$J$106</c:f>
              <c:numCache>
                <c:formatCode>General</c:formatCode>
                <c:ptCount val="18"/>
              </c:numCache>
            </c:numRef>
          </c:val>
        </c:ser>
        <c:ser>
          <c:idx val="9"/>
          <c:order val="8"/>
          <c:tx>
            <c:strRef>
              <c:f>MatriceOriginale!$K$88</c:f>
              <c:strCache>
                <c:ptCount val="1"/>
                <c:pt idx="0">
                  <c:v>oct-14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MatriceOriginale!$K$89:$K$106</c:f>
              <c:numCache>
                <c:formatCode>General</c:formatCode>
                <c:ptCount val="18"/>
              </c:numCache>
            </c:numRef>
          </c:val>
        </c:ser>
        <c:ser>
          <c:idx val="10"/>
          <c:order val="9"/>
          <c:tx>
            <c:strRef>
              <c:f>MatriceOriginale!$L$88</c:f>
              <c:strCache>
                <c:ptCount val="1"/>
                <c:pt idx="0">
                  <c:v>janv-15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MatriceOriginale!$L$89:$L$106</c:f>
              <c:numCache>
                <c:formatCode>General</c:formatCode>
                <c:ptCount val="18"/>
              </c:numCache>
            </c:numRef>
          </c:val>
        </c:ser>
        <c:ser>
          <c:idx val="11"/>
          <c:order val="10"/>
          <c:tx>
            <c:strRef>
              <c:f>MatriceOriginale!$M$88</c:f>
              <c:strCache>
                <c:ptCount val="1"/>
                <c:pt idx="0">
                  <c:v>avr-15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MatriceOriginale!$M$89:$M$106</c:f>
              <c:numCache>
                <c:formatCode>General</c:formatCode>
                <c:ptCount val="18"/>
              </c:numCache>
            </c:numRef>
          </c:val>
        </c:ser>
        <c:ser>
          <c:idx val="12"/>
          <c:order val="11"/>
          <c:tx>
            <c:strRef>
              <c:f>MatriceOriginale!$N$88</c:f>
              <c:strCache>
                <c:ptCount val="1"/>
                <c:pt idx="0">
                  <c:v>juil-15</c:v>
                </c:pt>
              </c:strCache>
            </c:strRef>
          </c:tx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MatriceOriginale!$N$89:$N$106</c:f>
              <c:numCache>
                <c:formatCode>General</c:formatCode>
                <c:ptCount val="18"/>
              </c:numCache>
            </c:numRef>
          </c:val>
        </c:ser>
        <c:ser>
          <c:idx val="0"/>
          <c:order val="12"/>
          <c:tx>
            <c:strRef>
              <c:f>MatriceOriginale!$B$88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numRef>
              <c:f>MatriceOriginale!$A$89:$A$106</c:f>
              <c:numCache>
                <c:formatCode>General</c:formatCode>
                <c:ptCount val="18"/>
              </c:numCache>
            </c:numRef>
          </c:cat>
          <c:val>
            <c:numRef>
              <c:f>MatriceOriginale!$B$89:$B$106</c:f>
              <c:numCache>
                <c:formatCode>General</c:formatCode>
                <c:ptCount val="18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263680"/>
        <c:axId val="126265216"/>
      </c:radarChart>
      <c:catAx>
        <c:axId val="12626368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26265216"/>
        <c:crosses val="autoZero"/>
        <c:auto val="1"/>
        <c:lblAlgn val="ctr"/>
        <c:lblOffset val="100"/>
        <c:noMultiLvlLbl val="0"/>
      </c:catAx>
      <c:valAx>
        <c:axId val="126265216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6263680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6"/>
    </mc:Choice>
    <mc:Fallback>
      <c:style val="16"/>
    </mc:Fallback>
  </mc:AlternateContent>
  <c:chart>
    <c:title>
      <c:tx>
        <c:strRef>
          <c:f>Astreintes[[#Headers],[Périmètre 7]]</c:f>
          <c:strCache>
            <c:ptCount val="1"/>
            <c:pt idx="0">
              <c:v>Périmètre 7</c:v>
            </c:pt>
          </c:strCache>
        </c:strRef>
      </c:tx>
      <c:overlay val="0"/>
      <c:txPr>
        <a:bodyPr/>
        <a:lstStyle/>
        <a:p>
          <a:pPr>
            <a:defRPr/>
          </a:pPr>
          <a:endParaRPr lang="fr-FR"/>
        </a:p>
      </c:txPr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MatriceOriginale!$C$109</c:f>
              <c:strCache>
                <c:ptCount val="1"/>
                <c:pt idx="0">
                  <c:v>oct-12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MatriceOriginale!$C$110:$C$118</c:f>
              <c:numCache>
                <c:formatCode>General</c:formatCode>
                <c:ptCount val="9"/>
              </c:numCache>
            </c:numRef>
          </c:val>
        </c:ser>
        <c:ser>
          <c:idx val="2"/>
          <c:order val="1"/>
          <c:tx>
            <c:strRef>
              <c:f>MatriceOriginale!$D$109</c:f>
              <c:strCache>
                <c:ptCount val="1"/>
                <c:pt idx="0">
                  <c:v>janv-13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MatriceOriginale!$D$110:$D$118</c:f>
              <c:numCache>
                <c:formatCode>General</c:formatCode>
                <c:ptCount val="9"/>
              </c:numCache>
            </c:numRef>
          </c:val>
        </c:ser>
        <c:ser>
          <c:idx val="3"/>
          <c:order val="2"/>
          <c:tx>
            <c:strRef>
              <c:f>MatriceOriginale!$E$109</c:f>
              <c:strCache>
                <c:ptCount val="1"/>
                <c:pt idx="0">
                  <c:v>avr-13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MatriceOriginale!$E$110:$E$118</c:f>
              <c:numCache>
                <c:formatCode>General</c:formatCode>
                <c:ptCount val="9"/>
              </c:numCache>
            </c:numRef>
          </c:val>
        </c:ser>
        <c:ser>
          <c:idx val="4"/>
          <c:order val="3"/>
          <c:tx>
            <c:strRef>
              <c:f>MatriceOriginale!$F$109</c:f>
              <c:strCache>
                <c:ptCount val="1"/>
                <c:pt idx="0">
                  <c:v>juil-13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MatriceOriginale!$F$110:$F$118</c:f>
              <c:numCache>
                <c:formatCode>General</c:formatCode>
                <c:ptCount val="9"/>
              </c:numCache>
            </c:numRef>
          </c:val>
        </c:ser>
        <c:ser>
          <c:idx val="5"/>
          <c:order val="4"/>
          <c:tx>
            <c:strRef>
              <c:f>MatriceOriginale!$G$109</c:f>
              <c:strCache>
                <c:ptCount val="1"/>
                <c:pt idx="0">
                  <c:v>oct-13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MatriceOriginale!$G$110:$G$118</c:f>
              <c:numCache>
                <c:formatCode>General</c:formatCode>
                <c:ptCount val="9"/>
              </c:numCache>
            </c:numRef>
          </c:val>
        </c:ser>
        <c:ser>
          <c:idx val="6"/>
          <c:order val="5"/>
          <c:tx>
            <c:strRef>
              <c:f>MatriceOriginale!$H$109</c:f>
              <c:strCache>
                <c:ptCount val="1"/>
                <c:pt idx="0">
                  <c:v>janv-14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MatriceOriginale!$H$110:$H$118</c:f>
              <c:numCache>
                <c:formatCode>General</c:formatCode>
                <c:ptCount val="9"/>
              </c:numCache>
            </c:numRef>
          </c:val>
        </c:ser>
        <c:ser>
          <c:idx val="7"/>
          <c:order val="6"/>
          <c:tx>
            <c:strRef>
              <c:f>MatriceOriginale!$I$109</c:f>
              <c:strCache>
                <c:ptCount val="1"/>
                <c:pt idx="0">
                  <c:v>avr-14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MatriceOriginale!$I$110:$I$118</c:f>
              <c:numCache>
                <c:formatCode>General</c:formatCode>
                <c:ptCount val="9"/>
              </c:numCache>
            </c:numRef>
          </c:val>
        </c:ser>
        <c:ser>
          <c:idx val="8"/>
          <c:order val="7"/>
          <c:tx>
            <c:strRef>
              <c:f>MatriceOriginale!$J$109</c:f>
              <c:strCache>
                <c:ptCount val="1"/>
                <c:pt idx="0">
                  <c:v>juil-14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MatriceOriginale!$J$110:$J$118</c:f>
              <c:numCache>
                <c:formatCode>General</c:formatCode>
                <c:ptCount val="9"/>
              </c:numCache>
            </c:numRef>
          </c:val>
        </c:ser>
        <c:ser>
          <c:idx val="9"/>
          <c:order val="8"/>
          <c:tx>
            <c:strRef>
              <c:f>MatriceOriginale!$K$109</c:f>
              <c:strCache>
                <c:ptCount val="1"/>
                <c:pt idx="0">
                  <c:v>oct-14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MatriceOriginale!$K$110:$K$118</c:f>
              <c:numCache>
                <c:formatCode>General</c:formatCode>
                <c:ptCount val="9"/>
              </c:numCache>
            </c:numRef>
          </c:val>
        </c:ser>
        <c:ser>
          <c:idx val="10"/>
          <c:order val="9"/>
          <c:tx>
            <c:strRef>
              <c:f>MatriceOriginale!$L$109</c:f>
              <c:strCache>
                <c:ptCount val="1"/>
                <c:pt idx="0">
                  <c:v>janv-15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MatriceOriginale!$L$110:$L$118</c:f>
              <c:numCache>
                <c:formatCode>General</c:formatCode>
                <c:ptCount val="9"/>
              </c:numCache>
            </c:numRef>
          </c:val>
        </c:ser>
        <c:ser>
          <c:idx val="11"/>
          <c:order val="10"/>
          <c:tx>
            <c:strRef>
              <c:f>MatriceOriginale!$M$109</c:f>
              <c:strCache>
                <c:ptCount val="1"/>
                <c:pt idx="0">
                  <c:v>avr-15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MatriceOriginale!$M$110:$M$118</c:f>
              <c:numCache>
                <c:formatCode>General</c:formatCode>
                <c:ptCount val="9"/>
              </c:numCache>
            </c:numRef>
          </c:val>
        </c:ser>
        <c:ser>
          <c:idx val="12"/>
          <c:order val="11"/>
          <c:tx>
            <c:strRef>
              <c:f>MatriceOriginale!$N$109</c:f>
              <c:strCache>
                <c:ptCount val="1"/>
                <c:pt idx="0">
                  <c:v>juil-15</c:v>
                </c:pt>
              </c:strCache>
            </c:strRef>
          </c:tx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MatriceOriginale!$N$110:$N$118</c:f>
              <c:numCache>
                <c:formatCode>General</c:formatCode>
                <c:ptCount val="9"/>
              </c:numCache>
            </c:numRef>
          </c:val>
        </c:ser>
        <c:ser>
          <c:idx val="0"/>
          <c:order val="12"/>
          <c:tx>
            <c:strRef>
              <c:f>MatriceOriginale!$B$109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numRef>
              <c:f>MatriceOriginale!$A$110:$A$118</c:f>
              <c:numCache>
                <c:formatCode>General</c:formatCode>
                <c:ptCount val="9"/>
              </c:numCache>
            </c:numRef>
          </c:cat>
          <c:val>
            <c:numRef>
              <c:f>MatriceOriginale!$B$110:$B$118</c:f>
              <c:numCache>
                <c:formatCode>General</c:formatCode>
                <c:ptCount val="9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70144"/>
        <c:axId val="126080128"/>
      </c:radarChart>
      <c:catAx>
        <c:axId val="1260701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26080128"/>
        <c:crosses val="autoZero"/>
        <c:auto val="1"/>
        <c:lblAlgn val="ctr"/>
        <c:lblOffset val="100"/>
        <c:noMultiLvlLbl val="0"/>
      </c:catAx>
      <c:valAx>
        <c:axId val="126080128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607014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4"/>
    </mc:Choice>
    <mc:Fallback>
      <c:style val="14"/>
    </mc:Fallback>
  </mc:AlternateContent>
  <c:chart>
    <c:title>
      <c:tx>
        <c:strRef>
          <c:f>'DURAND Paul'!$A$37</c:f>
          <c:strCache>
            <c:ptCount val="1"/>
            <c:pt idx="0">
              <c:v>Mécanique</c:v>
            </c:pt>
          </c:strCache>
        </c:strRef>
      </c:tx>
      <c:overlay val="0"/>
      <c:txPr>
        <a:bodyPr/>
        <a:lstStyle/>
        <a:p>
          <a:pPr>
            <a:defRPr/>
          </a:pPr>
          <a:endParaRPr lang="fr-FR"/>
        </a:p>
      </c:txPr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'DURAND Paul'!$C$37</c:f>
              <c:strCache>
                <c:ptCount val="1"/>
                <c:pt idx="0">
                  <c:v>oct-12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Paul'!$C$38:$C$42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</c:ser>
        <c:ser>
          <c:idx val="2"/>
          <c:order val="1"/>
          <c:tx>
            <c:strRef>
              <c:f>'DURAND Paul'!$D$37</c:f>
              <c:strCache>
                <c:ptCount val="1"/>
                <c:pt idx="0">
                  <c:v>janv-13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Paul'!$D$38:$D$42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</c:ser>
        <c:ser>
          <c:idx val="3"/>
          <c:order val="2"/>
          <c:tx>
            <c:strRef>
              <c:f>'DURAND Paul'!$E$37</c:f>
              <c:strCache>
                <c:ptCount val="1"/>
                <c:pt idx="0">
                  <c:v>avr-13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Paul'!$E$38:$E$42</c:f>
              <c:numCache>
                <c:formatCode>General</c:formatCode>
                <c:ptCount val="5"/>
              </c:numCache>
            </c:numRef>
          </c:val>
        </c:ser>
        <c:ser>
          <c:idx val="4"/>
          <c:order val="3"/>
          <c:tx>
            <c:strRef>
              <c:f>'DURAND Paul'!$F$37</c:f>
              <c:strCache>
                <c:ptCount val="1"/>
                <c:pt idx="0">
                  <c:v>juil-13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Paul'!$F$38:$F$42</c:f>
              <c:numCache>
                <c:formatCode>General</c:formatCode>
                <c:ptCount val="5"/>
              </c:numCache>
            </c:numRef>
          </c:val>
        </c:ser>
        <c:ser>
          <c:idx val="5"/>
          <c:order val="4"/>
          <c:tx>
            <c:strRef>
              <c:f>'DURAND Paul'!$G$37</c:f>
              <c:strCache>
                <c:ptCount val="1"/>
                <c:pt idx="0">
                  <c:v>oct-13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Paul'!$G$38:$G$42</c:f>
              <c:numCache>
                <c:formatCode>General</c:formatCode>
                <c:ptCount val="5"/>
              </c:numCache>
            </c:numRef>
          </c:val>
        </c:ser>
        <c:ser>
          <c:idx val="6"/>
          <c:order val="5"/>
          <c:tx>
            <c:strRef>
              <c:f>'DURAND Paul'!$H$37</c:f>
              <c:strCache>
                <c:ptCount val="1"/>
                <c:pt idx="0">
                  <c:v>janv-14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Paul'!$H$38:$H$42</c:f>
              <c:numCache>
                <c:formatCode>General</c:formatCode>
                <c:ptCount val="5"/>
              </c:numCache>
            </c:numRef>
          </c:val>
        </c:ser>
        <c:ser>
          <c:idx val="7"/>
          <c:order val="6"/>
          <c:tx>
            <c:strRef>
              <c:f>'DURAND Paul'!$I$37</c:f>
              <c:strCache>
                <c:ptCount val="1"/>
                <c:pt idx="0">
                  <c:v>avr-14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Paul'!$I$38:$I$42</c:f>
              <c:numCache>
                <c:formatCode>General</c:formatCode>
                <c:ptCount val="5"/>
              </c:numCache>
            </c:numRef>
          </c:val>
        </c:ser>
        <c:ser>
          <c:idx val="8"/>
          <c:order val="7"/>
          <c:tx>
            <c:strRef>
              <c:f>'DURAND Paul'!$J$37</c:f>
              <c:strCache>
                <c:ptCount val="1"/>
                <c:pt idx="0">
                  <c:v>juil-14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Paul'!$J$38:$J$42</c:f>
              <c:numCache>
                <c:formatCode>General</c:formatCode>
                <c:ptCount val="5"/>
              </c:numCache>
            </c:numRef>
          </c:val>
        </c:ser>
        <c:ser>
          <c:idx val="9"/>
          <c:order val="8"/>
          <c:tx>
            <c:strRef>
              <c:f>'DURAND Paul'!$K$37</c:f>
              <c:strCache>
                <c:ptCount val="1"/>
                <c:pt idx="0">
                  <c:v>oct-14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Paul'!$K$38:$K$42</c:f>
              <c:numCache>
                <c:formatCode>General</c:formatCode>
                <c:ptCount val="5"/>
              </c:numCache>
            </c:numRef>
          </c:val>
        </c:ser>
        <c:ser>
          <c:idx val="10"/>
          <c:order val="9"/>
          <c:tx>
            <c:strRef>
              <c:f>'DURAND Paul'!$L$37</c:f>
              <c:strCache>
                <c:ptCount val="1"/>
                <c:pt idx="0">
                  <c:v>janv-15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Paul'!$L$38:$L$42</c:f>
              <c:numCache>
                <c:formatCode>General</c:formatCode>
                <c:ptCount val="5"/>
              </c:numCache>
            </c:numRef>
          </c:val>
        </c:ser>
        <c:ser>
          <c:idx val="11"/>
          <c:order val="10"/>
          <c:tx>
            <c:strRef>
              <c:f>'DURAND Paul'!$M$37</c:f>
              <c:strCache>
                <c:ptCount val="1"/>
                <c:pt idx="0">
                  <c:v>avr-15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Paul'!$M$38:$M$42</c:f>
              <c:numCache>
                <c:formatCode>General</c:formatCode>
                <c:ptCount val="5"/>
              </c:numCache>
            </c:numRef>
          </c:val>
        </c:ser>
        <c:ser>
          <c:idx val="12"/>
          <c:order val="11"/>
          <c:tx>
            <c:strRef>
              <c:f>'DURAND Paul'!$N$37</c:f>
              <c:strCache>
                <c:ptCount val="1"/>
                <c:pt idx="0">
                  <c:v>juil-15</c:v>
                </c:pt>
              </c:strCache>
            </c:strRef>
          </c:tx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Paul'!$N$38:$N$42</c:f>
              <c:numCache>
                <c:formatCode>General</c:formatCode>
                <c:ptCount val="5"/>
              </c:numCache>
            </c:numRef>
          </c:val>
        </c:ser>
        <c:ser>
          <c:idx val="0"/>
          <c:order val="12"/>
          <c:tx>
            <c:strRef>
              <c:f>'DURAND Paul'!$B$37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strRef>
              <c:f>'DURAND Paul'!$A$38:$A$42</c:f>
              <c:strCache>
                <c:ptCount val="5"/>
                <c:pt idx="0">
                  <c:v>Moteur</c:v>
                </c:pt>
                <c:pt idx="1">
                  <c:v>Freinage</c:v>
                </c:pt>
                <c:pt idx="2">
                  <c:v>Vidange</c:v>
                </c:pt>
                <c:pt idx="3">
                  <c:v>Pneumatiques</c:v>
                </c:pt>
                <c:pt idx="4">
                  <c:v>Carrosserie</c:v>
                </c:pt>
              </c:strCache>
            </c:strRef>
          </c:cat>
          <c:val>
            <c:numRef>
              <c:f>'DURAND Paul'!$B$38:$B$42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426880"/>
        <c:axId val="124432768"/>
      </c:radarChart>
      <c:catAx>
        <c:axId val="12442688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24432768"/>
        <c:crosses val="autoZero"/>
        <c:auto val="1"/>
        <c:lblAlgn val="ctr"/>
        <c:lblOffset val="100"/>
        <c:noMultiLvlLbl val="0"/>
      </c:catAx>
      <c:valAx>
        <c:axId val="124432768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4426880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tx>
        <c:strRef>
          <c:f>'DURAND Paul'!$A$13</c:f>
          <c:strCache>
            <c:ptCount val="1"/>
            <c:pt idx="0">
              <c:v>Peinture</c:v>
            </c:pt>
          </c:strCache>
        </c:strRef>
      </c:tx>
      <c:overlay val="0"/>
      <c:txPr>
        <a:bodyPr/>
        <a:lstStyle/>
        <a:p>
          <a:pPr>
            <a:defRPr/>
          </a:pPr>
          <a:endParaRPr lang="fr-FR"/>
        </a:p>
      </c:txPr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'DURAND Paul'!$C$13</c:f>
              <c:strCache>
                <c:ptCount val="1"/>
                <c:pt idx="0">
                  <c:v>oct-12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Paul'!$C$14:$C$17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'DURAND Paul'!$D$13</c:f>
              <c:strCache>
                <c:ptCount val="1"/>
                <c:pt idx="0">
                  <c:v>janv-13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Paul'!$D$14:$D$17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ser>
          <c:idx val="3"/>
          <c:order val="2"/>
          <c:tx>
            <c:strRef>
              <c:f>'DURAND Paul'!$E$13</c:f>
              <c:strCache>
                <c:ptCount val="1"/>
                <c:pt idx="0">
                  <c:v>avr-13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Paul'!$E$14:$E$17</c:f>
              <c:numCache>
                <c:formatCode>General</c:formatCode>
                <c:ptCount val="4"/>
              </c:numCache>
            </c:numRef>
          </c:val>
        </c:ser>
        <c:ser>
          <c:idx val="4"/>
          <c:order val="3"/>
          <c:tx>
            <c:strRef>
              <c:f>'DURAND Paul'!$F$13</c:f>
              <c:strCache>
                <c:ptCount val="1"/>
                <c:pt idx="0">
                  <c:v>juil-13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Paul'!$F$14:$F$17</c:f>
              <c:numCache>
                <c:formatCode>General</c:formatCode>
                <c:ptCount val="4"/>
              </c:numCache>
            </c:numRef>
          </c:val>
        </c:ser>
        <c:ser>
          <c:idx val="5"/>
          <c:order val="4"/>
          <c:tx>
            <c:strRef>
              <c:f>'DURAND Paul'!$G$13</c:f>
              <c:strCache>
                <c:ptCount val="1"/>
                <c:pt idx="0">
                  <c:v>oct-13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Paul'!$G$14:$G$17</c:f>
              <c:numCache>
                <c:formatCode>General</c:formatCode>
                <c:ptCount val="4"/>
              </c:numCache>
            </c:numRef>
          </c:val>
        </c:ser>
        <c:ser>
          <c:idx val="6"/>
          <c:order val="5"/>
          <c:tx>
            <c:strRef>
              <c:f>'DURAND Paul'!$H$13</c:f>
              <c:strCache>
                <c:ptCount val="1"/>
                <c:pt idx="0">
                  <c:v>janv-14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Paul'!$H$14:$H$17</c:f>
              <c:numCache>
                <c:formatCode>General</c:formatCode>
                <c:ptCount val="4"/>
              </c:numCache>
            </c:numRef>
          </c:val>
        </c:ser>
        <c:ser>
          <c:idx val="7"/>
          <c:order val="6"/>
          <c:tx>
            <c:strRef>
              <c:f>'DURAND Paul'!$I$13</c:f>
              <c:strCache>
                <c:ptCount val="1"/>
                <c:pt idx="0">
                  <c:v>avr-14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Paul'!$I$14:$I$17</c:f>
              <c:numCache>
                <c:formatCode>General</c:formatCode>
                <c:ptCount val="4"/>
              </c:numCache>
            </c:numRef>
          </c:val>
        </c:ser>
        <c:ser>
          <c:idx val="8"/>
          <c:order val="7"/>
          <c:tx>
            <c:strRef>
              <c:f>'DURAND Paul'!$J$13</c:f>
              <c:strCache>
                <c:ptCount val="1"/>
                <c:pt idx="0">
                  <c:v>juil-14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Paul'!$J$14:$J$17</c:f>
              <c:numCache>
                <c:formatCode>General</c:formatCode>
                <c:ptCount val="4"/>
              </c:numCache>
            </c:numRef>
          </c:val>
        </c:ser>
        <c:ser>
          <c:idx val="9"/>
          <c:order val="8"/>
          <c:tx>
            <c:strRef>
              <c:f>'DURAND Paul'!$K$13</c:f>
              <c:strCache>
                <c:ptCount val="1"/>
                <c:pt idx="0">
                  <c:v>oct-14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Paul'!$K$14:$K$17</c:f>
              <c:numCache>
                <c:formatCode>General</c:formatCode>
                <c:ptCount val="4"/>
              </c:numCache>
            </c:numRef>
          </c:val>
        </c:ser>
        <c:ser>
          <c:idx val="10"/>
          <c:order val="9"/>
          <c:tx>
            <c:strRef>
              <c:f>'DURAND Paul'!$L$13</c:f>
              <c:strCache>
                <c:ptCount val="1"/>
                <c:pt idx="0">
                  <c:v>janv-15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Paul'!$L$14:$L$17</c:f>
              <c:numCache>
                <c:formatCode>General</c:formatCode>
                <c:ptCount val="4"/>
              </c:numCache>
            </c:numRef>
          </c:val>
        </c:ser>
        <c:ser>
          <c:idx val="11"/>
          <c:order val="10"/>
          <c:tx>
            <c:strRef>
              <c:f>'DURAND Paul'!$M$13</c:f>
              <c:strCache>
                <c:ptCount val="1"/>
                <c:pt idx="0">
                  <c:v>avr-15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Paul'!$M$14:$M$17</c:f>
              <c:numCache>
                <c:formatCode>General</c:formatCode>
                <c:ptCount val="4"/>
              </c:numCache>
            </c:numRef>
          </c:val>
        </c:ser>
        <c:ser>
          <c:idx val="12"/>
          <c:order val="11"/>
          <c:tx>
            <c:strRef>
              <c:f>'DURAND Paul'!$N$13</c:f>
              <c:strCache>
                <c:ptCount val="1"/>
                <c:pt idx="0">
                  <c:v>juil-15</c:v>
                </c:pt>
              </c:strCache>
            </c:strRef>
          </c:tx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Paul'!$N$14:$N$17</c:f>
              <c:numCache>
                <c:formatCode>General</c:formatCode>
                <c:ptCount val="4"/>
              </c:numCache>
            </c:numRef>
          </c:val>
        </c:ser>
        <c:ser>
          <c:idx val="0"/>
          <c:order val="12"/>
          <c:tx>
            <c:strRef>
              <c:f>'DURAND Paul'!$B$13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strRef>
              <c:f>'DURAND Paul'!$A$14:$A$17</c:f>
              <c:strCache>
                <c:ptCount val="4"/>
                <c:pt idx="0">
                  <c:v>Couleurs</c:v>
                </c:pt>
                <c:pt idx="1">
                  <c:v>Application</c:v>
                </c:pt>
                <c:pt idx="2">
                  <c:v>Outils</c:v>
                </c:pt>
                <c:pt idx="3">
                  <c:v>Melange</c:v>
                </c:pt>
              </c:strCache>
            </c:strRef>
          </c:cat>
          <c:val>
            <c:numRef>
              <c:f>'DURAND Paul'!$B$14:$B$17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60224"/>
        <c:axId val="127062016"/>
      </c:radarChart>
      <c:catAx>
        <c:axId val="127060224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27062016"/>
        <c:crosses val="autoZero"/>
        <c:auto val="1"/>
        <c:lblAlgn val="ctr"/>
        <c:lblOffset val="100"/>
        <c:noMultiLvlLbl val="0"/>
      </c:catAx>
      <c:valAx>
        <c:axId val="127062016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706022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Compétences</a:t>
            </a:r>
            <a:r>
              <a:rPr lang="fr-FR" baseline="0"/>
              <a:t> par Périmètre</a:t>
            </a:r>
            <a:endParaRPr lang="fr-FR"/>
          </a:p>
        </c:rich>
      </c:tx>
      <c:overlay val="0"/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'DURAND Paul'!$C$6</c:f>
              <c:strCache>
                <c:ptCount val="1"/>
                <c:pt idx="0">
                  <c:v>oct-12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Paul'!$C$7:$C$11</c:f>
              <c:numCache>
                <c:formatCode>0.00</c:formatCode>
                <c:ptCount val="5"/>
                <c:pt idx="0">
                  <c:v>1.25</c:v>
                </c:pt>
                <c:pt idx="1">
                  <c:v>1</c:v>
                </c:pt>
                <c:pt idx="2">
                  <c:v>1.8</c:v>
                </c:pt>
                <c:pt idx="3">
                  <c:v>2</c:v>
                </c:pt>
                <c:pt idx="4">
                  <c:v>1.8333333333333333</c:v>
                </c:pt>
              </c:numCache>
            </c:numRef>
          </c:val>
        </c:ser>
        <c:ser>
          <c:idx val="2"/>
          <c:order val="1"/>
          <c:tx>
            <c:strRef>
              <c:f>'DURAND Paul'!$D$6</c:f>
              <c:strCache>
                <c:ptCount val="1"/>
                <c:pt idx="0">
                  <c:v>janv-13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Paul'!$D$7:$D$11</c:f>
              <c:numCache>
                <c:formatCode>0.00</c:formatCode>
                <c:ptCount val="5"/>
                <c:pt idx="0">
                  <c:v>1.75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</c:ser>
        <c:ser>
          <c:idx val="3"/>
          <c:order val="2"/>
          <c:tx>
            <c:strRef>
              <c:f>'DURAND Paul'!$E$6</c:f>
              <c:strCache>
                <c:ptCount val="1"/>
                <c:pt idx="0">
                  <c:v>avr-13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Paul'!$E$7:$E$11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4"/>
          <c:order val="3"/>
          <c:tx>
            <c:strRef>
              <c:f>'DURAND Paul'!$F$6</c:f>
              <c:strCache>
                <c:ptCount val="1"/>
                <c:pt idx="0">
                  <c:v>juil-13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Paul'!$F$7:$F$11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5"/>
          <c:order val="4"/>
          <c:tx>
            <c:strRef>
              <c:f>'DURAND Paul'!$G$6</c:f>
              <c:strCache>
                <c:ptCount val="1"/>
                <c:pt idx="0">
                  <c:v>oct-13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Paul'!$G$7:$G$11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6"/>
          <c:order val="5"/>
          <c:tx>
            <c:strRef>
              <c:f>'DURAND Paul'!$H$6</c:f>
              <c:strCache>
                <c:ptCount val="1"/>
                <c:pt idx="0">
                  <c:v>janv-14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Paul'!$H$7:$H$11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7"/>
          <c:order val="6"/>
          <c:tx>
            <c:strRef>
              <c:f>'DURAND Paul'!$I$6</c:f>
              <c:strCache>
                <c:ptCount val="1"/>
                <c:pt idx="0">
                  <c:v>avr-14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Paul'!$I$7:$I$11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8"/>
          <c:order val="7"/>
          <c:tx>
            <c:strRef>
              <c:f>'DURAND Paul'!$J$6</c:f>
              <c:strCache>
                <c:ptCount val="1"/>
                <c:pt idx="0">
                  <c:v>juil-14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Paul'!$J$7:$J$11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9"/>
          <c:order val="8"/>
          <c:tx>
            <c:strRef>
              <c:f>'DURAND Paul'!$K$6</c:f>
              <c:strCache>
                <c:ptCount val="1"/>
                <c:pt idx="0">
                  <c:v>oct-14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Paul'!$K$7:$K$11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0"/>
          <c:order val="9"/>
          <c:tx>
            <c:strRef>
              <c:f>'DURAND Paul'!$L$6</c:f>
              <c:strCache>
                <c:ptCount val="1"/>
                <c:pt idx="0">
                  <c:v>janv-15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Paul'!$L$7:$L$11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1"/>
          <c:order val="10"/>
          <c:tx>
            <c:strRef>
              <c:f>'DURAND Paul'!$M$6</c:f>
              <c:strCache>
                <c:ptCount val="1"/>
                <c:pt idx="0">
                  <c:v>avr-15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Paul'!$M$7:$M$11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2"/>
          <c:order val="11"/>
          <c:tx>
            <c:strRef>
              <c:f>'DURAND Paul'!$N$6</c:f>
              <c:strCache>
                <c:ptCount val="1"/>
                <c:pt idx="0">
                  <c:v>juil-15</c:v>
                </c:pt>
              </c:strCache>
            </c:strRef>
          </c:tx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Paul'!$N$7:$N$11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0"/>
          <c:order val="12"/>
          <c:tx>
            <c:strRef>
              <c:f>'DURAND Paul'!$B$6</c:f>
              <c:strCache>
                <c:ptCount val="1"/>
                <c:pt idx="0">
                  <c:v>Niv.
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strRef>
              <c:f>'DURAND Paul'!$A$7:$A$12</c:f>
              <c:strCache>
                <c:ptCount val="5"/>
                <c:pt idx="0">
                  <c:v>Peinture</c:v>
                </c:pt>
                <c:pt idx="1">
                  <c:v>Cuisine</c:v>
                </c:pt>
                <c:pt idx="2">
                  <c:v>Informatique</c:v>
                </c:pt>
                <c:pt idx="3">
                  <c:v>Mécanique</c:v>
                </c:pt>
                <c:pt idx="4">
                  <c:v>Jardinage</c:v>
                </c:pt>
              </c:strCache>
            </c:strRef>
          </c:cat>
          <c:val>
            <c:numRef>
              <c:f>'DURAND Paul'!$B$7:$B$11</c:f>
              <c:numCache>
                <c:formatCode>0.00</c:formatCode>
                <c:ptCount val="5"/>
                <c:pt idx="0">
                  <c:v>2</c:v>
                </c:pt>
                <c:pt idx="1">
                  <c:v>2</c:v>
                </c:pt>
                <c:pt idx="2">
                  <c:v>2.8</c:v>
                </c:pt>
                <c:pt idx="3">
                  <c:v>1</c:v>
                </c:pt>
                <c:pt idx="4">
                  <c:v>2.1666666666666665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97696"/>
        <c:axId val="126799232"/>
      </c:radarChart>
      <c:catAx>
        <c:axId val="12679769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26799232"/>
        <c:crosses val="autoZero"/>
        <c:auto val="1"/>
        <c:lblAlgn val="ctr"/>
        <c:lblOffset val="100"/>
        <c:noMultiLvlLbl val="0"/>
      </c:catAx>
      <c:valAx>
        <c:axId val="126799232"/>
        <c:scaling>
          <c:orientation val="minMax"/>
          <c:max val="4"/>
        </c:scaling>
        <c:delete val="0"/>
        <c:axPos val="l"/>
        <c:majorGridlines/>
        <c:numFmt formatCode="0" sourceLinked="0"/>
        <c:majorTickMark val="none"/>
        <c:minorTickMark val="none"/>
        <c:tickLblPos val="nextTo"/>
        <c:crossAx val="12679769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33" l="0.70000000000000062" r="0.70000000000000062" t="0.75000000000000633" header="0.30000000000000032" footer="0.30000000000000032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1"/>
    </mc:Choice>
    <mc:Fallback>
      <c:style val="11"/>
    </mc:Fallback>
  </mc:AlternateContent>
  <c:chart>
    <c:title>
      <c:tx>
        <c:strRef>
          <c:f>'DURAND Paul'!$A$29</c:f>
          <c:strCache>
            <c:ptCount val="1"/>
            <c:pt idx="0">
              <c:v>Informatique</c:v>
            </c:pt>
          </c:strCache>
        </c:strRef>
      </c:tx>
      <c:overlay val="0"/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'DURAND Paul'!$C$29</c:f>
              <c:strCache>
                <c:ptCount val="1"/>
                <c:pt idx="0">
                  <c:v>oct-12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Paul'!$C$30:$C$35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</c:ser>
        <c:ser>
          <c:idx val="2"/>
          <c:order val="1"/>
          <c:tx>
            <c:strRef>
              <c:f>'DURAND Paul'!$D$29</c:f>
              <c:strCache>
                <c:ptCount val="1"/>
                <c:pt idx="0">
                  <c:v>janv-13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Paul'!$D$30:$D$35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</c:ser>
        <c:ser>
          <c:idx val="3"/>
          <c:order val="2"/>
          <c:tx>
            <c:strRef>
              <c:f>'DURAND Paul'!$E$29</c:f>
              <c:strCache>
                <c:ptCount val="1"/>
                <c:pt idx="0">
                  <c:v>avr-13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Paul'!$E$30:$E$35</c:f>
              <c:numCache>
                <c:formatCode>General</c:formatCode>
                <c:ptCount val="5"/>
              </c:numCache>
            </c:numRef>
          </c:val>
        </c:ser>
        <c:ser>
          <c:idx val="4"/>
          <c:order val="3"/>
          <c:tx>
            <c:strRef>
              <c:f>'DURAND Paul'!$F$29</c:f>
              <c:strCache>
                <c:ptCount val="1"/>
                <c:pt idx="0">
                  <c:v>juil-13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Paul'!$F$30:$F$35</c:f>
              <c:numCache>
                <c:formatCode>General</c:formatCode>
                <c:ptCount val="5"/>
              </c:numCache>
            </c:numRef>
          </c:val>
        </c:ser>
        <c:ser>
          <c:idx val="5"/>
          <c:order val="4"/>
          <c:tx>
            <c:strRef>
              <c:f>'DURAND Paul'!$G$29</c:f>
              <c:strCache>
                <c:ptCount val="1"/>
                <c:pt idx="0">
                  <c:v>oct-13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Paul'!$G$30:$G$35</c:f>
              <c:numCache>
                <c:formatCode>General</c:formatCode>
                <c:ptCount val="5"/>
              </c:numCache>
            </c:numRef>
          </c:val>
        </c:ser>
        <c:ser>
          <c:idx val="6"/>
          <c:order val="5"/>
          <c:tx>
            <c:strRef>
              <c:f>'DURAND Paul'!$H$29</c:f>
              <c:strCache>
                <c:ptCount val="1"/>
                <c:pt idx="0">
                  <c:v>janv-14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Paul'!$H$30:$H$35</c:f>
              <c:numCache>
                <c:formatCode>General</c:formatCode>
                <c:ptCount val="5"/>
              </c:numCache>
            </c:numRef>
          </c:val>
        </c:ser>
        <c:ser>
          <c:idx val="7"/>
          <c:order val="6"/>
          <c:tx>
            <c:strRef>
              <c:f>'DURAND Paul'!$I$29</c:f>
              <c:strCache>
                <c:ptCount val="1"/>
                <c:pt idx="0">
                  <c:v>avr-14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Paul'!$I$30:$I$35</c:f>
              <c:numCache>
                <c:formatCode>General</c:formatCode>
                <c:ptCount val="5"/>
              </c:numCache>
            </c:numRef>
          </c:val>
        </c:ser>
        <c:ser>
          <c:idx val="8"/>
          <c:order val="7"/>
          <c:tx>
            <c:strRef>
              <c:f>'DURAND Paul'!$J$29</c:f>
              <c:strCache>
                <c:ptCount val="1"/>
                <c:pt idx="0">
                  <c:v>juil-14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Paul'!$J$30:$J$35</c:f>
              <c:numCache>
                <c:formatCode>General</c:formatCode>
                <c:ptCount val="5"/>
              </c:numCache>
            </c:numRef>
          </c:val>
        </c:ser>
        <c:ser>
          <c:idx val="9"/>
          <c:order val="8"/>
          <c:tx>
            <c:strRef>
              <c:f>'DURAND Paul'!$K$29</c:f>
              <c:strCache>
                <c:ptCount val="1"/>
                <c:pt idx="0">
                  <c:v>oct-14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Paul'!$K$30:$K$35</c:f>
              <c:numCache>
                <c:formatCode>General</c:formatCode>
                <c:ptCount val="5"/>
              </c:numCache>
            </c:numRef>
          </c:val>
        </c:ser>
        <c:ser>
          <c:idx val="10"/>
          <c:order val="9"/>
          <c:tx>
            <c:strRef>
              <c:f>'DURAND Paul'!$L$29</c:f>
              <c:strCache>
                <c:ptCount val="1"/>
                <c:pt idx="0">
                  <c:v>janv-15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Paul'!$L$30:$L$35</c:f>
              <c:numCache>
                <c:formatCode>General</c:formatCode>
                <c:ptCount val="5"/>
              </c:numCache>
            </c:numRef>
          </c:val>
        </c:ser>
        <c:ser>
          <c:idx val="11"/>
          <c:order val="10"/>
          <c:tx>
            <c:strRef>
              <c:f>'DURAND Paul'!$M$29</c:f>
              <c:strCache>
                <c:ptCount val="1"/>
                <c:pt idx="0">
                  <c:v>avr-15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Paul'!$M$30:$M$35</c:f>
              <c:numCache>
                <c:formatCode>General</c:formatCode>
                <c:ptCount val="5"/>
              </c:numCache>
            </c:numRef>
          </c:val>
        </c:ser>
        <c:ser>
          <c:idx val="12"/>
          <c:order val="11"/>
          <c:tx>
            <c:strRef>
              <c:f>'DURAND Paul'!$N$29</c:f>
              <c:strCache>
                <c:ptCount val="1"/>
                <c:pt idx="0">
                  <c:v>juil-15</c:v>
                </c:pt>
              </c:strCache>
            </c:strRef>
          </c:tx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Paul'!$N$30:$N$35</c:f>
              <c:numCache>
                <c:formatCode>General</c:formatCode>
                <c:ptCount val="5"/>
              </c:numCache>
            </c:numRef>
          </c:val>
        </c:ser>
        <c:ser>
          <c:idx val="0"/>
          <c:order val="12"/>
          <c:tx>
            <c:strRef>
              <c:f>'DURAND Paul'!$B$29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strRef>
              <c:f>'DURAND Paul'!$A$30:$A$34</c:f>
              <c:strCache>
                <c:ptCount val="5"/>
                <c:pt idx="0">
                  <c:v>Bureautique</c:v>
                </c:pt>
                <c:pt idx="1">
                  <c:v>Matériel</c:v>
                </c:pt>
                <c:pt idx="2">
                  <c:v>Imprimante</c:v>
                </c:pt>
                <c:pt idx="3">
                  <c:v>Scanner</c:v>
                </c:pt>
                <c:pt idx="4">
                  <c:v>Logiciels photos</c:v>
                </c:pt>
              </c:strCache>
            </c:strRef>
          </c:cat>
          <c:val>
            <c:numRef>
              <c:f>'DURAND Paul'!$B$30:$B$34</c:f>
              <c:numCache>
                <c:formatCode>General</c:formatCode>
                <c:ptCount val="5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891520"/>
        <c:axId val="126893056"/>
      </c:radarChart>
      <c:catAx>
        <c:axId val="12689152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26893056"/>
        <c:crosses val="autoZero"/>
        <c:auto val="1"/>
        <c:lblAlgn val="ctr"/>
        <c:lblOffset val="100"/>
        <c:noMultiLvlLbl val="0"/>
      </c:catAx>
      <c:valAx>
        <c:axId val="126893056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6891520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22" l="0.70000000000000062" r="0.70000000000000062" t="0.75000000000000622" header="0.30000000000000032" footer="0.30000000000000032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1"/>
    </mc:Choice>
    <mc:Fallback>
      <c:style val="11"/>
    </mc:Fallback>
  </mc:AlternateContent>
  <c:chart>
    <c:title>
      <c:tx>
        <c:strRef>
          <c:f>'DURAND Paul'!$A$20</c:f>
          <c:strCache>
            <c:ptCount val="1"/>
            <c:pt idx="0">
              <c:v>Cuisine</c:v>
            </c:pt>
          </c:strCache>
        </c:strRef>
      </c:tx>
      <c:overlay val="0"/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'DURAND Paul'!$C$20</c:f>
              <c:strCache>
                <c:ptCount val="1"/>
                <c:pt idx="0">
                  <c:v>oct-12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Paul'!$C$21:$C$26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2"/>
          <c:order val="1"/>
          <c:tx>
            <c:strRef>
              <c:f>'DURAND Paul'!$D$20</c:f>
              <c:strCache>
                <c:ptCount val="1"/>
                <c:pt idx="0">
                  <c:v>janv-13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Paul'!$D$21:$D$26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3"/>
          <c:order val="2"/>
          <c:tx>
            <c:strRef>
              <c:f>'DURAND Paul'!$E$20</c:f>
              <c:strCache>
                <c:ptCount val="1"/>
                <c:pt idx="0">
                  <c:v>avr-13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Paul'!$E$21:$E$26</c:f>
              <c:numCache>
                <c:formatCode>General</c:formatCode>
                <c:ptCount val="6"/>
              </c:numCache>
            </c:numRef>
          </c:val>
        </c:ser>
        <c:ser>
          <c:idx val="4"/>
          <c:order val="3"/>
          <c:tx>
            <c:strRef>
              <c:f>'DURAND Paul'!$F$20</c:f>
              <c:strCache>
                <c:ptCount val="1"/>
                <c:pt idx="0">
                  <c:v>juil-13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Paul'!$F$21:$F$26</c:f>
              <c:numCache>
                <c:formatCode>General</c:formatCode>
                <c:ptCount val="6"/>
              </c:numCache>
            </c:numRef>
          </c:val>
        </c:ser>
        <c:ser>
          <c:idx val="5"/>
          <c:order val="4"/>
          <c:tx>
            <c:strRef>
              <c:f>'DURAND Paul'!$G$20</c:f>
              <c:strCache>
                <c:ptCount val="1"/>
                <c:pt idx="0">
                  <c:v>oct-13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Paul'!$G$21:$G$26</c:f>
              <c:numCache>
                <c:formatCode>General</c:formatCode>
                <c:ptCount val="6"/>
              </c:numCache>
            </c:numRef>
          </c:val>
        </c:ser>
        <c:ser>
          <c:idx val="6"/>
          <c:order val="5"/>
          <c:tx>
            <c:strRef>
              <c:f>'DURAND Paul'!$H$20</c:f>
              <c:strCache>
                <c:ptCount val="1"/>
                <c:pt idx="0">
                  <c:v>janv-14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Paul'!$H$21:$H$26</c:f>
              <c:numCache>
                <c:formatCode>General</c:formatCode>
                <c:ptCount val="6"/>
              </c:numCache>
            </c:numRef>
          </c:val>
        </c:ser>
        <c:ser>
          <c:idx val="7"/>
          <c:order val="6"/>
          <c:tx>
            <c:strRef>
              <c:f>'DURAND Paul'!$I$20</c:f>
              <c:strCache>
                <c:ptCount val="1"/>
                <c:pt idx="0">
                  <c:v>avr-14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Paul'!$I$21:$I$26</c:f>
              <c:numCache>
                <c:formatCode>General</c:formatCode>
                <c:ptCount val="6"/>
              </c:numCache>
            </c:numRef>
          </c:val>
        </c:ser>
        <c:ser>
          <c:idx val="8"/>
          <c:order val="7"/>
          <c:tx>
            <c:strRef>
              <c:f>'DURAND Paul'!$J$20</c:f>
              <c:strCache>
                <c:ptCount val="1"/>
                <c:pt idx="0">
                  <c:v>juil-14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Paul'!$J$21:$J$26</c:f>
              <c:numCache>
                <c:formatCode>General</c:formatCode>
                <c:ptCount val="6"/>
              </c:numCache>
            </c:numRef>
          </c:val>
        </c:ser>
        <c:ser>
          <c:idx val="9"/>
          <c:order val="8"/>
          <c:tx>
            <c:strRef>
              <c:f>'DURAND Paul'!$K$20</c:f>
              <c:strCache>
                <c:ptCount val="1"/>
                <c:pt idx="0">
                  <c:v>oct-14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Paul'!$K$21:$K$26</c:f>
              <c:numCache>
                <c:formatCode>General</c:formatCode>
                <c:ptCount val="6"/>
              </c:numCache>
            </c:numRef>
          </c:val>
        </c:ser>
        <c:ser>
          <c:idx val="10"/>
          <c:order val="9"/>
          <c:tx>
            <c:strRef>
              <c:f>'DURAND Paul'!$L$20</c:f>
              <c:strCache>
                <c:ptCount val="1"/>
                <c:pt idx="0">
                  <c:v>janv-15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Paul'!$L$21:$L$26</c:f>
              <c:numCache>
                <c:formatCode>General</c:formatCode>
                <c:ptCount val="6"/>
              </c:numCache>
            </c:numRef>
          </c:val>
        </c:ser>
        <c:ser>
          <c:idx val="11"/>
          <c:order val="10"/>
          <c:tx>
            <c:strRef>
              <c:f>'DURAND Paul'!$M$20</c:f>
              <c:strCache>
                <c:ptCount val="1"/>
                <c:pt idx="0">
                  <c:v>avr-15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Paul'!$M$21:$M$26</c:f>
              <c:numCache>
                <c:formatCode>General</c:formatCode>
                <c:ptCount val="6"/>
              </c:numCache>
            </c:numRef>
          </c:val>
        </c:ser>
        <c:ser>
          <c:idx val="12"/>
          <c:order val="11"/>
          <c:tx>
            <c:strRef>
              <c:f>'DURAND Paul'!$N$20</c:f>
              <c:strCache>
                <c:ptCount val="1"/>
                <c:pt idx="0">
                  <c:v>juil-15</c:v>
                </c:pt>
              </c:strCache>
            </c:strRef>
          </c:tx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Paul'!$N$21:$N$26</c:f>
              <c:numCache>
                <c:formatCode>General</c:formatCode>
                <c:ptCount val="6"/>
              </c:numCache>
            </c:numRef>
          </c:val>
        </c:ser>
        <c:ser>
          <c:idx val="0"/>
          <c:order val="12"/>
          <c:tx>
            <c:strRef>
              <c:f>'DURAND Paul'!$B$20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strRef>
              <c:f>'DURAND Paul'!$A$21:$A$26</c:f>
              <c:strCache>
                <c:ptCount val="6"/>
                <c:pt idx="0">
                  <c:v>Française</c:v>
                </c:pt>
                <c:pt idx="1">
                  <c:v>Italienne</c:v>
                </c:pt>
                <c:pt idx="2">
                  <c:v>Russe</c:v>
                </c:pt>
                <c:pt idx="3">
                  <c:v>Indiennes</c:v>
                </c:pt>
                <c:pt idx="4">
                  <c:v>Epices</c:v>
                </c:pt>
                <c:pt idx="5">
                  <c:v>Patisserie</c:v>
                </c:pt>
              </c:strCache>
            </c:strRef>
          </c:cat>
          <c:val>
            <c:numRef>
              <c:f>'DURAND Paul'!$B$21:$B$26</c:f>
              <c:numCache>
                <c:formatCode>General</c:formatCode>
                <c:ptCount val="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952960"/>
        <c:axId val="126954496"/>
      </c:radarChart>
      <c:catAx>
        <c:axId val="12695296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26954496"/>
        <c:crosses val="autoZero"/>
        <c:auto val="1"/>
        <c:lblAlgn val="ctr"/>
        <c:lblOffset val="100"/>
        <c:noMultiLvlLbl val="0"/>
      </c:catAx>
      <c:valAx>
        <c:axId val="126954496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6952960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1"/>
    </mc:Choice>
    <mc:Fallback>
      <c:style val="11"/>
    </mc:Fallback>
  </mc:AlternateContent>
  <c:chart>
    <c:title>
      <c:tx>
        <c:strRef>
          <c:f>'DURAND Paul'!$A$45</c:f>
          <c:strCache>
            <c:ptCount val="1"/>
            <c:pt idx="0">
              <c:v>Jardinage</c:v>
            </c:pt>
          </c:strCache>
        </c:strRef>
      </c:tx>
      <c:overlay val="0"/>
    </c:title>
    <c:autoTitleDeleted val="0"/>
    <c:plotArea>
      <c:layout/>
      <c:radarChart>
        <c:radarStyle val="filled"/>
        <c:varyColors val="0"/>
        <c:ser>
          <c:idx val="1"/>
          <c:order val="0"/>
          <c:tx>
            <c:strRef>
              <c:f>'DURAND Paul'!$C$45</c:f>
              <c:strCache>
                <c:ptCount val="1"/>
                <c:pt idx="0">
                  <c:v>oct-12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Paul'!$C$46:$C$51</c:f>
              <c:numCache>
                <c:formatCode>General</c:formatCode>
                <c:ptCount val="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</c:ser>
        <c:ser>
          <c:idx val="2"/>
          <c:order val="1"/>
          <c:tx>
            <c:strRef>
              <c:f>'DURAND Paul'!$D$45</c:f>
              <c:strCache>
                <c:ptCount val="1"/>
                <c:pt idx="0">
                  <c:v>janv-13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Paul'!$D$46:$D$51</c:f>
              <c:numCache>
                <c:formatCode>General</c:formatCode>
                <c:ptCount val="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ser>
          <c:idx val="3"/>
          <c:order val="2"/>
          <c:tx>
            <c:strRef>
              <c:f>'DURAND Paul'!$E$45</c:f>
              <c:strCache>
                <c:ptCount val="1"/>
                <c:pt idx="0">
                  <c:v>avr-13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Paul'!$E$46:$E$51</c:f>
              <c:numCache>
                <c:formatCode>General</c:formatCode>
                <c:ptCount val="6"/>
              </c:numCache>
            </c:numRef>
          </c:val>
        </c:ser>
        <c:ser>
          <c:idx val="4"/>
          <c:order val="3"/>
          <c:tx>
            <c:strRef>
              <c:f>'DURAND Paul'!$F$45</c:f>
              <c:strCache>
                <c:ptCount val="1"/>
                <c:pt idx="0">
                  <c:v>juil-13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Paul'!$F$46:$F$51</c:f>
              <c:numCache>
                <c:formatCode>General</c:formatCode>
                <c:ptCount val="6"/>
              </c:numCache>
            </c:numRef>
          </c:val>
        </c:ser>
        <c:ser>
          <c:idx val="5"/>
          <c:order val="4"/>
          <c:tx>
            <c:strRef>
              <c:f>'DURAND Paul'!$G$45</c:f>
              <c:strCache>
                <c:ptCount val="1"/>
                <c:pt idx="0">
                  <c:v>oct-13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Paul'!$G$46:$G$51</c:f>
              <c:numCache>
                <c:formatCode>General</c:formatCode>
                <c:ptCount val="6"/>
              </c:numCache>
            </c:numRef>
          </c:val>
        </c:ser>
        <c:ser>
          <c:idx val="6"/>
          <c:order val="5"/>
          <c:tx>
            <c:strRef>
              <c:f>'DURAND Paul'!$H$45</c:f>
              <c:strCache>
                <c:ptCount val="1"/>
                <c:pt idx="0">
                  <c:v>janv-14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Paul'!$H$46:$H$51</c:f>
              <c:numCache>
                <c:formatCode>General</c:formatCode>
                <c:ptCount val="6"/>
              </c:numCache>
            </c:numRef>
          </c:val>
        </c:ser>
        <c:ser>
          <c:idx val="7"/>
          <c:order val="6"/>
          <c:tx>
            <c:strRef>
              <c:f>'DURAND Paul'!$I$45</c:f>
              <c:strCache>
                <c:ptCount val="1"/>
                <c:pt idx="0">
                  <c:v>avr-14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Paul'!$I$46:$I$51</c:f>
              <c:numCache>
                <c:formatCode>General</c:formatCode>
                <c:ptCount val="6"/>
              </c:numCache>
            </c:numRef>
          </c:val>
        </c:ser>
        <c:ser>
          <c:idx val="8"/>
          <c:order val="7"/>
          <c:tx>
            <c:strRef>
              <c:f>'DURAND Paul'!$J$45</c:f>
              <c:strCache>
                <c:ptCount val="1"/>
                <c:pt idx="0">
                  <c:v>juil-14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Paul'!$J$46:$J$51</c:f>
              <c:numCache>
                <c:formatCode>General</c:formatCode>
                <c:ptCount val="6"/>
              </c:numCache>
            </c:numRef>
          </c:val>
        </c:ser>
        <c:ser>
          <c:idx val="9"/>
          <c:order val="8"/>
          <c:tx>
            <c:strRef>
              <c:f>'DURAND Paul'!$K$45</c:f>
              <c:strCache>
                <c:ptCount val="1"/>
                <c:pt idx="0">
                  <c:v>oct-14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Paul'!$K$46:$K$51</c:f>
              <c:numCache>
                <c:formatCode>General</c:formatCode>
                <c:ptCount val="6"/>
              </c:numCache>
            </c:numRef>
          </c:val>
        </c:ser>
        <c:ser>
          <c:idx val="10"/>
          <c:order val="9"/>
          <c:tx>
            <c:strRef>
              <c:f>'DURAND Paul'!$L$45</c:f>
              <c:strCache>
                <c:ptCount val="1"/>
                <c:pt idx="0">
                  <c:v>janv-15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Paul'!$L$46:$L$51</c:f>
              <c:numCache>
                <c:formatCode>General</c:formatCode>
                <c:ptCount val="6"/>
              </c:numCache>
            </c:numRef>
          </c:val>
        </c:ser>
        <c:ser>
          <c:idx val="11"/>
          <c:order val="10"/>
          <c:tx>
            <c:strRef>
              <c:f>'DURAND Paul'!$M$45</c:f>
              <c:strCache>
                <c:ptCount val="1"/>
                <c:pt idx="0">
                  <c:v>avr-15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Paul'!$M$46:$M$51</c:f>
              <c:numCache>
                <c:formatCode>General</c:formatCode>
                <c:ptCount val="6"/>
              </c:numCache>
            </c:numRef>
          </c:val>
        </c:ser>
        <c:ser>
          <c:idx val="12"/>
          <c:order val="11"/>
          <c:tx>
            <c:strRef>
              <c:f>'DURAND Paul'!$N$45</c:f>
              <c:strCache>
                <c:ptCount val="1"/>
                <c:pt idx="0">
                  <c:v>juil-15</c:v>
                </c:pt>
              </c:strCache>
            </c:strRef>
          </c:tx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Paul'!$N$46:$N$51</c:f>
              <c:numCache>
                <c:formatCode>General</c:formatCode>
                <c:ptCount val="6"/>
              </c:numCache>
            </c:numRef>
          </c:val>
        </c:ser>
        <c:ser>
          <c:idx val="0"/>
          <c:order val="12"/>
          <c:tx>
            <c:strRef>
              <c:f>'DURAND Paul'!$B$45</c:f>
              <c:strCache>
                <c:ptCount val="1"/>
                <c:pt idx="0">
                  <c:v>Niv. Requis</c:v>
                </c:pt>
              </c:strCache>
            </c:strRef>
          </c:tx>
          <c:spPr>
            <a:noFill/>
            <a:ln w="38100">
              <a:solidFill>
                <a:srgbClr val="FF0000"/>
              </a:solidFill>
            </a:ln>
          </c:spPr>
          <c:cat>
            <c:strRef>
              <c:f>'DURAND Paul'!$A$46:$A$51</c:f>
              <c:strCache>
                <c:ptCount val="6"/>
                <c:pt idx="0">
                  <c:v>Plantes aromatiques</c:v>
                </c:pt>
                <c:pt idx="1">
                  <c:v>Légumes</c:v>
                </c:pt>
                <c:pt idx="2">
                  <c:v>Terre</c:v>
                </c:pt>
                <c:pt idx="3">
                  <c:v>Fleurs</c:v>
                </c:pt>
                <c:pt idx="4">
                  <c:v>Arbres fruitiers</c:v>
                </c:pt>
                <c:pt idx="5">
                  <c:v>Produits bio</c:v>
                </c:pt>
              </c:strCache>
            </c:strRef>
          </c:cat>
          <c:val>
            <c:numRef>
              <c:f>'DURAND Paul'!$B$46:$B$51</c:f>
              <c:numCache>
                <c:formatCode>General</c:formatCode>
                <c:ptCount val="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210624"/>
        <c:axId val="127212160"/>
      </c:radarChart>
      <c:catAx>
        <c:axId val="12721062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27212160"/>
        <c:crosses val="autoZero"/>
        <c:auto val="1"/>
        <c:lblAlgn val="ctr"/>
        <c:lblOffset val="100"/>
        <c:noMultiLvlLbl val="0"/>
      </c:catAx>
      <c:valAx>
        <c:axId val="127212160"/>
        <c:scaling>
          <c:orientation val="minMax"/>
          <c:max val="4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2721062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</xdr:row>
          <xdr:rowOff>238125</xdr:rowOff>
        </xdr:from>
        <xdr:to>
          <xdr:col>12</xdr:col>
          <xdr:colOff>381000</xdr:colOff>
          <xdr:row>3</xdr:row>
          <xdr:rowOff>114300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Ajout/Mofification/Suppression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Compétences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3</xdr:row>
          <xdr:rowOff>180975</xdr:rowOff>
        </xdr:from>
        <xdr:to>
          <xdr:col>12</xdr:col>
          <xdr:colOff>381000</xdr:colOff>
          <xdr:row>6</xdr:row>
          <xdr:rowOff>114300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Matrices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10</xdr:row>
          <xdr:rowOff>0</xdr:rowOff>
        </xdr:from>
        <xdr:to>
          <xdr:col>12</xdr:col>
          <xdr:colOff>400050</xdr:colOff>
          <xdr:row>12</xdr:row>
          <xdr:rowOff>133350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Evaluation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1905000</xdr:colOff>
      <xdr:row>22</xdr:row>
      <xdr:rowOff>161925</xdr:rowOff>
    </xdr:from>
    <xdr:to>
      <xdr:col>8</xdr:col>
      <xdr:colOff>228600</xdr:colOff>
      <xdr:row>34</xdr:row>
      <xdr:rowOff>114300</xdr:rowOff>
    </xdr:to>
    <xdr:sp macro="" textlink="">
      <xdr:nvSpPr>
        <xdr:cNvPr id="2" name="ZoneTexte 1"/>
        <xdr:cNvSpPr txBox="1"/>
      </xdr:nvSpPr>
      <xdr:spPr>
        <a:xfrm>
          <a:off x="2181225" y="5048250"/>
          <a:ext cx="9172575" cy="2238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dois bientôt livrer mon fichier pour lequel je n'ai pas trouvé de solution technique. J'ai passé un mois à chercher des bouts de code que je n'ai pas réussi à associer.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Quelqu'un pourrait-il m'aider, s'il vous plait, afin de pouvoir ajouter/supprimer/modifier des compétences (de l'onglet compétences) à partir du Userform (lancé via le bouton ajouter/supprimer/modifier des compétences de la feuille Interface)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par avance pour toute l'aide que vous pourrez m'apporter.</a:t>
          </a:r>
          <a:endParaRPr lang="fr-FR" sz="1100"/>
        </a:p>
      </xdr:txBody>
    </xdr:sp>
    <xdr:clientData/>
  </xdr:twoCellAnchor>
  <xdr:twoCellAnchor>
    <xdr:from>
      <xdr:col>3</xdr:col>
      <xdr:colOff>123825</xdr:colOff>
      <xdr:row>10</xdr:row>
      <xdr:rowOff>123825</xdr:rowOff>
    </xdr:from>
    <xdr:to>
      <xdr:col>8</xdr:col>
      <xdr:colOff>762000</xdr:colOff>
      <xdr:row>31</xdr:row>
      <xdr:rowOff>0</xdr:rowOff>
    </xdr:to>
    <xdr:sp macro="" textlink="">
      <xdr:nvSpPr>
        <xdr:cNvPr id="3" name="ZoneTexte 2"/>
        <xdr:cNvSpPr txBox="1"/>
      </xdr:nvSpPr>
      <xdr:spPr>
        <a:xfrm>
          <a:off x="4019550" y="2724150"/>
          <a:ext cx="7867650" cy="3876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Banzai64,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de trouver 2 autres bugs. </a:t>
          </a:r>
          <a:br>
            <a:rPr lang="fr-FR"/>
          </a:br>
          <a:r>
            <a:rPr lang="fr-FR"/>
            <a:t>1- Je clique sur le bouton ajouter/supprimer/modifier des compétences de la feuille Interface</a:t>
          </a:r>
          <a:br>
            <a:rPr lang="fr-FR"/>
          </a:br>
          <a:r>
            <a:rPr lang="fr-FR"/>
            <a:t>2- Je sélectionne un métier (cuisine par exemple, mais cela réagit pareil avec les autres métiers) et je supprime une compétence. </a:t>
          </a:r>
          <a:br>
            <a:rPr lang="fr-FR"/>
          </a:br>
          <a:r>
            <a:rPr lang="fr-FR"/>
            <a:t>Le résultat est que le programme supprime un autre compétence et non celle que j'ai sélectionnée.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deuxième bug est sur la modification d'une compétence. Lorsque je sélectionne une compétence et que je la modifie, j'ai un message qui me dit "Veuillez sélectionner une compétence et/ou indiquer une nouvelle compétence". Alors que je l'ai bien sélectionnée et qu'elle s'affiche bien dans le TextModSupComp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Souhaites-tu que je reposte le fichier? Je n'ai pas fait de modification à part la ligne que tu m'as renvoyée.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te remercie encore pour ton concours sur le sujet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759543</xdr:colOff>
      <xdr:row>55</xdr:row>
      <xdr:rowOff>4760</xdr:rowOff>
    </xdr:from>
    <xdr:to>
      <xdr:col>23</xdr:col>
      <xdr:colOff>511894</xdr:colOff>
      <xdr:row>68</xdr:row>
      <xdr:rowOff>380999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759542</xdr:colOff>
      <xdr:row>19</xdr:row>
      <xdr:rowOff>154782</xdr:rowOff>
    </xdr:from>
    <xdr:to>
      <xdr:col>23</xdr:col>
      <xdr:colOff>511894</xdr:colOff>
      <xdr:row>33</xdr:row>
      <xdr:rowOff>154781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759544</xdr:colOff>
      <xdr:row>0</xdr:row>
      <xdr:rowOff>0</xdr:rowOff>
    </xdr:from>
    <xdr:to>
      <xdr:col>23</xdr:col>
      <xdr:colOff>511894</xdr:colOff>
      <xdr:row>20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759560</xdr:colOff>
      <xdr:row>48</xdr:row>
      <xdr:rowOff>0</xdr:rowOff>
    </xdr:from>
    <xdr:to>
      <xdr:col>23</xdr:col>
      <xdr:colOff>511910</xdr:colOff>
      <xdr:row>55</xdr:row>
      <xdr:rowOff>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759590</xdr:colOff>
      <xdr:row>33</xdr:row>
      <xdr:rowOff>145255</xdr:rowOff>
    </xdr:from>
    <xdr:to>
      <xdr:col>24</xdr:col>
      <xdr:colOff>511942</xdr:colOff>
      <xdr:row>46</xdr:row>
      <xdr:rowOff>142875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759591</xdr:colOff>
      <xdr:row>69</xdr:row>
      <xdr:rowOff>0</xdr:rowOff>
    </xdr:from>
    <xdr:to>
      <xdr:col>23</xdr:col>
      <xdr:colOff>511942</xdr:colOff>
      <xdr:row>88</xdr:row>
      <xdr:rowOff>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759545</xdr:colOff>
      <xdr:row>88</xdr:row>
      <xdr:rowOff>-1</xdr:rowOff>
    </xdr:from>
    <xdr:to>
      <xdr:col>23</xdr:col>
      <xdr:colOff>511895</xdr:colOff>
      <xdr:row>108</xdr:row>
      <xdr:rowOff>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759554</xdr:colOff>
      <xdr:row>108</xdr:row>
      <xdr:rowOff>0</xdr:rowOff>
    </xdr:from>
    <xdr:to>
      <xdr:col>23</xdr:col>
      <xdr:colOff>511905</xdr:colOff>
      <xdr:row>122</xdr:row>
      <xdr:rowOff>57150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759543</xdr:colOff>
      <xdr:row>57</xdr:row>
      <xdr:rowOff>171447</xdr:rowOff>
    </xdr:from>
    <xdr:to>
      <xdr:col>23</xdr:col>
      <xdr:colOff>511894</xdr:colOff>
      <xdr:row>76</xdr:row>
      <xdr:rowOff>-1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759542</xdr:colOff>
      <xdr:row>17</xdr:row>
      <xdr:rowOff>178594</xdr:rowOff>
    </xdr:from>
    <xdr:to>
      <xdr:col>23</xdr:col>
      <xdr:colOff>511894</xdr:colOff>
      <xdr:row>30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759544</xdr:colOff>
      <xdr:row>0</xdr:row>
      <xdr:rowOff>0</xdr:rowOff>
    </xdr:from>
    <xdr:to>
      <xdr:col>23</xdr:col>
      <xdr:colOff>511894</xdr:colOff>
      <xdr:row>18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759560</xdr:colOff>
      <xdr:row>41</xdr:row>
      <xdr:rowOff>-1</xdr:rowOff>
    </xdr:from>
    <xdr:to>
      <xdr:col>23</xdr:col>
      <xdr:colOff>511910</xdr:colOff>
      <xdr:row>58</xdr:row>
      <xdr:rowOff>-1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759590</xdr:colOff>
      <xdr:row>30</xdr:row>
      <xdr:rowOff>2380</xdr:rowOff>
    </xdr:from>
    <xdr:to>
      <xdr:col>24</xdr:col>
      <xdr:colOff>511942</xdr:colOff>
      <xdr:row>40</xdr:row>
      <xdr:rowOff>190498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759592</xdr:colOff>
      <xdr:row>75</xdr:row>
      <xdr:rowOff>190497</xdr:rowOff>
    </xdr:from>
    <xdr:to>
      <xdr:col>23</xdr:col>
      <xdr:colOff>511943</xdr:colOff>
      <xdr:row>90</xdr:row>
      <xdr:rowOff>190498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1" name="TPérimètres" displayName="TPérimètres" ref="B3:B13" totalsRowShown="0" headerRowDxfId="270" dataDxfId="269">
  <autoFilter ref="B3:B13"/>
  <tableColumns count="1">
    <tableColumn id="1" name="Périmètres" dataDxfId="26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2" name="TCollaborateurs" displayName="TCollaborateurs" ref="D3:I22" totalsRowShown="0" headerRowDxfId="267" dataDxfId="266">
  <autoFilter ref="D3:I22"/>
  <tableColumns count="6">
    <tableColumn id="1" name="Nom" dataDxfId="265"/>
    <tableColumn id="2" name="Prénom" dataDxfId="264"/>
    <tableColumn id="5" name="Messagerie" dataDxfId="263"/>
    <tableColumn id="3" name="Poste" dataDxfId="262"/>
    <tableColumn id="4" name="Date arrivée" dataDxfId="261"/>
    <tableColumn id="6" name="Date dernière _x000a_évaluation" dataDxfId="26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6" name="Exploitation" displayName="Exploitation" ref="A57:N67" totalsRowCount="1" headerRowDxfId="259">
  <autoFilter ref="A57:N66"/>
  <tableColumns count="14">
    <tableColumn id="1" name="Périmètre 4" dataDxfId="258" totalsRowDxfId="257"/>
    <tableColumn id="11" name="Niv. Requis" totalsRowFunction="average" dataDxfId="256" totalsRowDxfId="255"/>
    <tableColumn id="12" name="oct-12" totalsRowFunction="average" dataDxfId="254" totalsRowDxfId="253"/>
    <tableColumn id="13" name="janv-13" totalsRowFunction="average" dataDxfId="252" totalsRowDxfId="251"/>
    <tableColumn id="14" name="avr-13" totalsRowFunction="average" dataDxfId="250" totalsRowDxfId="249"/>
    <tableColumn id="2" name="juil-13" totalsRowFunction="average" totalsRowDxfId="248"/>
    <tableColumn id="3" name="oct-13" totalsRowFunction="average" totalsRowDxfId="247"/>
    <tableColumn id="4" name="janv-14" totalsRowFunction="average" totalsRowDxfId="246"/>
    <tableColumn id="5" name="avr-14" totalsRowFunction="average" totalsRowDxfId="245"/>
    <tableColumn id="6" name="juil-14" totalsRowFunction="average" totalsRowDxfId="244"/>
    <tableColumn id="7" name="oct-14" totalsRowFunction="average" totalsRowDxfId="243"/>
    <tableColumn id="8" name="janv-15" totalsRowFunction="average" totalsRowDxfId="242"/>
    <tableColumn id="9" name="avr-15" totalsRowFunction="average" totalsRowDxfId="241"/>
    <tableColumn id="10" name="juil-15" totalsRowFunction="average" totalsRowDxfId="240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7" name="AdminWindows" displayName="AdminWindows" ref="A15:N31" totalsRowCount="1" headerRowDxfId="239">
  <autoFilter ref="A15:N30"/>
  <tableColumns count="14">
    <tableColumn id="1" name="Périmètre 1 (à compléter)" dataDxfId="238" totalsRowDxfId="237"/>
    <tableColumn id="11" name="Niv. Requis" totalsRowFunction="average" totalsRowDxfId="236"/>
    <tableColumn id="12" name="oct-12" totalsRowFunction="average" dataDxfId="235" totalsRowDxfId="234"/>
    <tableColumn id="13" name="janv-13" totalsRowFunction="average" dataDxfId="233" totalsRowDxfId="232"/>
    <tableColumn id="14" name="avr-13" totalsRowFunction="average" dataDxfId="231" totalsRowDxfId="230"/>
    <tableColumn id="2" name="juil-13" totalsRowFunction="average" totalsRowDxfId="229">
      <calculatedColumnFormula>#REF!</calculatedColumnFormula>
    </tableColumn>
    <tableColumn id="3" name="oct-13" totalsRowFunction="average" totalsRowDxfId="228"/>
    <tableColumn id="4" name="janv-14" totalsRowFunction="average" totalsRowDxfId="227"/>
    <tableColumn id="5" name="avr-14" totalsRowFunction="average" totalsRowDxfId="226"/>
    <tableColumn id="6" name="juil-14" totalsRowFunction="average" totalsRowDxfId="225"/>
    <tableColumn id="7" name="oct-14" totalsRowFunction="average" totalsRowDxfId="224"/>
    <tableColumn id="8" name="janv-15" totalsRowFunction="average" totalsRowDxfId="223"/>
    <tableColumn id="9" name="avr-15" totalsRowFunction="average" totalsRowDxfId="222"/>
    <tableColumn id="10" name="juil-15" totalsRowFunction="average" totalsRowDxfId="221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8" name="Deploiement" displayName="Deploiement" ref="A51:N55" totalsRowCount="1" headerRowDxfId="220" dataDxfId="219" totalsRowDxfId="218">
  <autoFilter ref="A51:N54"/>
  <sortState ref="A30:J35">
    <sortCondition ref="A55:A61"/>
  </sortState>
  <tableColumns count="14">
    <tableColumn id="1" name="Périmètre 3" dataDxfId="217" totalsRowDxfId="216"/>
    <tableColumn id="11" name="Niv. Requis" totalsRowFunction="average" dataDxfId="215" totalsRowDxfId="214"/>
    <tableColumn id="12" name="oct-12" totalsRowFunction="average" dataDxfId="213" totalsRowDxfId="212"/>
    <tableColumn id="13" name="janv-13" totalsRowFunction="average" dataDxfId="211" totalsRowDxfId="210"/>
    <tableColumn id="14" name="avr-13" totalsRowFunction="average" dataDxfId="209" totalsRowDxfId="208"/>
    <tableColumn id="2" name="juil-13" totalsRowFunction="average" dataDxfId="207" totalsRowDxfId="206"/>
    <tableColumn id="3" name="oct-13" totalsRowFunction="average" dataDxfId="205" totalsRowDxfId="204"/>
    <tableColumn id="4" name="janv-14" totalsRowFunction="average" dataDxfId="203" totalsRowDxfId="202"/>
    <tableColumn id="5" name="avr-14" totalsRowFunction="average" dataDxfId="201" totalsRowDxfId="200"/>
    <tableColumn id="6" name="juil-14" totalsRowFunction="average" dataDxfId="199" totalsRowDxfId="198"/>
    <tableColumn id="7" name="oct-14" totalsRowFunction="average" dataDxfId="197" totalsRowDxfId="196"/>
    <tableColumn id="8" name="janv-15" totalsRowFunction="average" dataDxfId="195" totalsRowDxfId="194"/>
    <tableColumn id="9" name="avr-15" totalsRowFunction="average" dataDxfId="193" totalsRowDxfId="192"/>
    <tableColumn id="10" name="juil-15" totalsRowFunction="average" dataDxfId="191" totalsRowDxfId="190"/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id="12" name="Perimetres" displayName="Perimetres" ref="A6:N13" totalsRowShown="0">
  <autoFilter ref="A6:N13"/>
  <tableColumns count="14">
    <tableColumn id="1" name="Périmètres"/>
    <tableColumn id="11" name="Niv._x000a_Requis" dataDxfId="189">
      <calculatedColumnFormula>Exploitation[[#Totals],[Niv. Requis]]</calculatedColumnFormula>
    </tableColumn>
    <tableColumn id="14" name="oct-12" dataDxfId="188"/>
    <tableColumn id="13" name="janv-13" dataDxfId="187"/>
    <tableColumn id="12" name="avr-13" dataDxfId="186"/>
    <tableColumn id="2" name="juil-13" dataDxfId="185"/>
    <tableColumn id="3" name="oct-13" dataDxfId="184"/>
    <tableColumn id="4" name="janv-14" dataDxfId="183"/>
    <tableColumn id="5" name="avr-14" dataDxfId="182"/>
    <tableColumn id="6" name="juil-14" dataDxfId="181"/>
    <tableColumn id="7" name="oct-14" dataDxfId="180"/>
    <tableColumn id="8" name="janv-15" dataDxfId="179"/>
    <tableColumn id="9" name="avr-15" dataDxfId="178"/>
    <tableColumn id="10" name="juil-15" dataDxfId="177"/>
  </tableColumns>
  <tableStyleInfo name="TableStyleMedium10" showFirstColumn="0" showLastColumn="0" showRowStripes="1" showColumnStripes="0"/>
</table>
</file>

<file path=xl/tables/table7.xml><?xml version="1.0" encoding="utf-8"?>
<table xmlns="http://schemas.openxmlformats.org/spreadsheetml/2006/main" id="3" name="Applicatif" displayName="Applicatif" ref="A33:N49" totalsRowCount="1" headerRowDxfId="176">
  <autoFilter ref="A33:N48"/>
  <tableColumns count="14">
    <tableColumn id="1" name="Périmètre 2" dataDxfId="175" totalsRowDxfId="174"/>
    <tableColumn id="11" name="Niv. Requis" totalsRowFunction="average" dataDxfId="173" totalsRowDxfId="172"/>
    <tableColumn id="12" name="oct-12" totalsRowFunction="average" dataDxfId="171"/>
    <tableColumn id="13" name="janv-13" totalsRowFunction="average" dataDxfId="170"/>
    <tableColumn id="14" name="avr-13" totalsRowFunction="average" dataDxfId="169"/>
    <tableColumn id="2" name="juil-13" totalsRowFunction="average" dataDxfId="168"/>
    <tableColumn id="3" name="oct-13" totalsRowFunction="average"/>
    <tableColumn id="4" name="janv-14" totalsRowFunction="average"/>
    <tableColumn id="5" name="avr-14" totalsRowFunction="average"/>
    <tableColumn id="6" name="juil-14" totalsRowFunction="average"/>
    <tableColumn id="7" name="oct-14" totalsRowFunction="average"/>
    <tableColumn id="8" name="janv-15" totalsRowFunction="average"/>
    <tableColumn id="9" name="avr-15" totalsRowFunction="average"/>
    <tableColumn id="10" name="juil-15" totalsRowFunction="average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9" name="Infrastructure" displayName="Infrastructure" ref="A69:N86" totalsRowCount="1" headerRowDxfId="167">
  <autoFilter ref="A69:N85"/>
  <sortState ref="A91:J106">
    <sortCondition ref="A91:A106"/>
  </sortState>
  <tableColumns count="14">
    <tableColumn id="1" name="Périmètre 5" dataDxfId="166" totalsRowDxfId="165"/>
    <tableColumn id="11" name="Niv. Requis" totalsRowFunction="average" dataDxfId="164" totalsRowDxfId="163"/>
    <tableColumn id="12" name="oct-12" totalsRowFunction="average" dataDxfId="162"/>
    <tableColumn id="13" name="janv-13" totalsRowFunction="average" dataDxfId="161"/>
    <tableColumn id="14" name="avr-13" totalsRowFunction="average" dataDxfId="160"/>
    <tableColumn id="2" name="juil-13" totalsRowFunction="average" dataDxfId="159">
      <calculatedColumnFormula>AVERAGE(B40:B69)</calculatedColumnFormula>
    </tableColumn>
    <tableColumn id="3" name="oct-13" totalsRowFunction="average"/>
    <tableColumn id="4" name="janv-14" totalsRowFunction="average"/>
    <tableColumn id="5" name="avr-14" totalsRowFunction="average"/>
    <tableColumn id="6" name="juil-14" totalsRowFunction="average"/>
    <tableColumn id="7" name="oct-14" totalsRowFunction="average"/>
    <tableColumn id="8" name="janv-15" totalsRowFunction="average"/>
    <tableColumn id="9" name="avr-15" totalsRowFunction="average"/>
    <tableColumn id="10" name="juil-15" totalsRowFunction="average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11" name="IIT" displayName="IIT" ref="A88:N107" totalsRowCount="1" headerRowDxfId="158">
  <autoFilter ref="A88:N106"/>
  <sortState ref="A105:J123">
    <sortCondition ref="A104:A123"/>
  </sortState>
  <tableColumns count="14">
    <tableColumn id="1" name="Périmètre 6" dataDxfId="157" totalsRowDxfId="156"/>
    <tableColumn id="11" name="Niv. Requis" totalsRowFunction="average" dataDxfId="155" totalsRowDxfId="154"/>
    <tableColumn id="12" name="oct-12" totalsRowFunction="average" dataDxfId="153" totalsRowDxfId="152"/>
    <tableColumn id="13" name="janv-13" totalsRowFunction="average" dataDxfId="151" totalsRowDxfId="150"/>
    <tableColumn id="14" name="avr-13" totalsRowFunction="average" dataDxfId="149" totalsRowDxfId="148"/>
    <tableColumn id="2" name="juil-13" totalsRowFunction="average" dataDxfId="147" totalsRowDxfId="146"/>
    <tableColumn id="3" name="oct-13" totalsRowFunction="average" dataDxfId="145" totalsRowDxfId="144"/>
    <tableColumn id="4" name="janv-14" totalsRowFunction="average" dataDxfId="143" totalsRowDxfId="142"/>
    <tableColumn id="5" name="avr-14" totalsRowFunction="average" dataDxfId="141" totalsRowDxfId="140"/>
    <tableColumn id="6" name="juil-14" totalsRowFunction="average" dataDxfId="139" totalsRowDxfId="138"/>
    <tableColumn id="7" name="oct-14" totalsRowFunction="average" dataDxfId="137" totalsRowDxfId="136"/>
    <tableColumn id="8" name="janv-15" totalsRowFunction="average" dataDxfId="135" totalsRowDxfId="134"/>
    <tableColumn id="9" name="avr-15" totalsRowFunction="average" dataDxfId="133" totalsRowDxfId="132"/>
    <tableColumn id="10" name="juil-15" totalsRowFunction="average" dataDxfId="131" totalsRowDxfId="130"/>
  </tableColumns>
  <tableStyleInfo name="TableStyleMedium13" showFirstColumn="0" showLastColumn="0" showRowStripes="1" showColumnStripes="0"/>
</table>
</file>

<file path=xl/tables/table10.xml><?xml version="1.0" encoding="utf-8"?>
<table xmlns="http://schemas.openxmlformats.org/spreadsheetml/2006/main" id="13" name="Astreintes" displayName="Astreintes" ref="A109:N119" totalsRowCount="1" headerRowDxfId="129">
  <autoFilter ref="A109:N118"/>
  <sortState ref="A146:J155">
    <sortCondition ref="A145:A155"/>
  </sortState>
  <tableColumns count="14">
    <tableColumn id="1" name="Périmètre 7" dataDxfId="128" totalsRowDxfId="127"/>
    <tableColumn id="11" name="Niv. Requis" totalsRowFunction="average" dataDxfId="126" totalsRowDxfId="125"/>
    <tableColumn id="12" name="oct-12" totalsRowFunction="average" dataDxfId="124"/>
    <tableColumn id="13" name="janv-13" totalsRowFunction="average" dataDxfId="123"/>
    <tableColumn id="14" name="avr-13" totalsRowFunction="average" dataDxfId="122"/>
    <tableColumn id="2" name="juil-13" totalsRowFunction="average" dataDxfId="121">
      <calculatedColumnFormula>AVERAGE(B96:B109)</calculatedColumnFormula>
    </tableColumn>
    <tableColumn id="3" name="oct-13" totalsRowFunction="average"/>
    <tableColumn id="4" name="janv-14" totalsRowFunction="average"/>
    <tableColumn id="5" name="avr-14" totalsRowFunction="average"/>
    <tableColumn id="6" name="juil-14" totalsRowFunction="average"/>
    <tableColumn id="7" name="oct-14" totalsRowFunction="average"/>
    <tableColumn id="8" name="janv-15" totalsRowFunction="average"/>
    <tableColumn id="9" name="avr-15" totalsRowFunction="average"/>
    <tableColumn id="10" name="juil-15" totalsRowFunction="average"/>
  </tableColumns>
  <tableStyleInfo name="TableStyleMedium14" showFirstColumn="0" showLastColumn="0" showRowStripes="1" showColumnStripes="0"/>
</table>
</file>

<file path=xl/tables/table11.xml><?xml version="1.0" encoding="utf-8"?>
<table xmlns="http://schemas.openxmlformats.org/spreadsheetml/2006/main" id="2" name="Exploitation3" displayName="Exploitation3" ref="A37:N43" totalsRowCount="1" headerRowDxfId="120">
  <autoFilter ref="A37:N42"/>
  <tableColumns count="14">
    <tableColumn id="1" name="Mécanique" dataDxfId="119" totalsRowDxfId="118"/>
    <tableColumn id="11" name="Niv. Requis" totalsRowFunction="average" dataDxfId="117" totalsRowDxfId="116"/>
    <tableColumn id="12" name="oct-12" totalsRowFunction="average" dataDxfId="115" totalsRowDxfId="114"/>
    <tableColumn id="13" name="janv-13" totalsRowFunction="average" dataDxfId="113" totalsRowDxfId="112"/>
    <tableColumn id="14" name="avr-13" totalsRowFunction="average" dataDxfId="111" totalsRowDxfId="110"/>
    <tableColumn id="2" name="juil-13" totalsRowFunction="average" totalsRowDxfId="109"/>
    <tableColumn id="3" name="oct-13" totalsRowFunction="average" totalsRowDxfId="108"/>
    <tableColumn id="4" name="janv-14" totalsRowFunction="average" totalsRowDxfId="107"/>
    <tableColumn id="5" name="avr-14" totalsRowFunction="average" totalsRowDxfId="106"/>
    <tableColumn id="6" name="juil-14" totalsRowFunction="average" totalsRowDxfId="105"/>
    <tableColumn id="7" name="oct-14" totalsRowFunction="average" totalsRowDxfId="104"/>
    <tableColumn id="8" name="janv-15" totalsRowFunction="average" totalsRowDxfId="103"/>
    <tableColumn id="9" name="avr-15" totalsRowFunction="average" totalsRowDxfId="102"/>
    <tableColumn id="10" name="juil-15" totalsRowFunction="average" totalsRowDxfId="101"/>
  </tableColumns>
  <tableStyleInfo name="TableStyleMedium12" showFirstColumn="0" showLastColumn="0" showRowStripes="1" showColumnStripes="0"/>
</table>
</file>

<file path=xl/tables/table12.xml><?xml version="1.0" encoding="utf-8"?>
<table xmlns="http://schemas.openxmlformats.org/spreadsheetml/2006/main" id="4" name="AdminWindows5" displayName="AdminWindows5" ref="A13:N18" totalsRowCount="1" headerRowDxfId="100">
  <autoFilter ref="A13:N17"/>
  <tableColumns count="14">
    <tableColumn id="1" name="Peinture" dataDxfId="99" totalsRowDxfId="98"/>
    <tableColumn id="11" name="Niv. Requis" totalsRowFunction="average" totalsRowDxfId="97"/>
    <tableColumn id="12" name="oct-12" totalsRowFunction="average" dataDxfId="96" totalsRowDxfId="95"/>
    <tableColumn id="13" name="janv-13" totalsRowFunction="average" dataDxfId="94" totalsRowDxfId="93"/>
    <tableColumn id="14" name="avr-13" totalsRowFunction="average" dataDxfId="92" totalsRowDxfId="91"/>
    <tableColumn id="2" name="juil-13" totalsRowFunction="average" totalsRowDxfId="90">
      <calculatedColumnFormula>#REF!</calculatedColumnFormula>
    </tableColumn>
    <tableColumn id="3" name="oct-13" totalsRowFunction="average" totalsRowDxfId="89"/>
    <tableColumn id="4" name="janv-14" totalsRowFunction="average" totalsRowDxfId="88"/>
    <tableColumn id="5" name="avr-14" totalsRowFunction="average" totalsRowDxfId="87"/>
    <tableColumn id="6" name="juil-14" totalsRowFunction="average" totalsRowDxfId="86"/>
    <tableColumn id="7" name="oct-14" totalsRowFunction="average" totalsRowDxfId="85"/>
    <tableColumn id="8" name="janv-15" totalsRowFunction="average" totalsRowDxfId="84"/>
    <tableColumn id="9" name="avr-15" totalsRowFunction="average" totalsRowDxfId="83"/>
    <tableColumn id="10" name="juil-15" totalsRowFunction="average" totalsRowDxfId="82"/>
  </tableColumns>
  <tableStyleInfo name="TableStyleMedium11" showFirstColumn="0" showLastColumn="0" showRowStripes="1" showColumnStripes="0"/>
</table>
</file>

<file path=xl/tables/table13.xml><?xml version="1.0" encoding="utf-8"?>
<table xmlns="http://schemas.openxmlformats.org/spreadsheetml/2006/main" id="5" name="Deploiement6" displayName="Deploiement6" ref="A29:N35" totalsRowCount="1" headerRowDxfId="81" dataDxfId="80" totalsRowDxfId="79">
  <autoFilter ref="A29:N34"/>
  <sortState ref="A85:J90">
    <sortCondition ref="A55:A61"/>
  </sortState>
  <tableColumns count="14">
    <tableColumn id="1" name="Informatique" dataDxfId="78" totalsRowDxfId="77"/>
    <tableColumn id="11" name="Niv. Requis" totalsRowFunction="average" dataDxfId="76" totalsRowDxfId="75"/>
    <tableColumn id="12" name="oct-12" totalsRowFunction="average" dataDxfId="74" totalsRowDxfId="73"/>
    <tableColumn id="13" name="janv-13" totalsRowFunction="average" dataDxfId="72" totalsRowDxfId="71"/>
    <tableColumn id="14" name="avr-13" totalsRowFunction="average" dataDxfId="70" totalsRowDxfId="69"/>
    <tableColumn id="2" name="juil-13" totalsRowFunction="average" dataDxfId="68" totalsRowDxfId="67"/>
    <tableColumn id="3" name="oct-13" totalsRowFunction="average" dataDxfId="66" totalsRowDxfId="65"/>
    <tableColumn id="4" name="janv-14" totalsRowFunction="average" dataDxfId="64" totalsRowDxfId="63"/>
    <tableColumn id="5" name="avr-14" totalsRowFunction="average" dataDxfId="62" totalsRowDxfId="61"/>
    <tableColumn id="6" name="juil-14" totalsRowFunction="average" dataDxfId="60" totalsRowDxfId="59"/>
    <tableColumn id="7" name="oct-14" totalsRowFunction="average" dataDxfId="58" totalsRowDxfId="57"/>
    <tableColumn id="8" name="janv-15" totalsRowFunction="average" dataDxfId="56" totalsRowDxfId="55"/>
    <tableColumn id="9" name="avr-15" totalsRowFunction="average" dataDxfId="54" totalsRowDxfId="53"/>
    <tableColumn id="10" name="juil-15" totalsRowFunction="average" dataDxfId="52" totalsRowDxfId="51"/>
  </tableColumns>
  <tableStyleInfo name="TableStyleMedium14" showFirstColumn="0" showLastColumn="0" showRowStripes="1" showColumnStripes="0"/>
</table>
</file>

<file path=xl/tables/table14.xml><?xml version="1.0" encoding="utf-8"?>
<table xmlns="http://schemas.openxmlformats.org/spreadsheetml/2006/main" id="10" name="Perimetres11" displayName="Perimetres11" ref="A6:N11" totalsRowShown="0">
  <autoFilter ref="A6:N11"/>
  <tableColumns count="14">
    <tableColumn id="1" name="Périmètres"/>
    <tableColumn id="11" name="Niv._x000a_Requis" dataDxfId="50">
      <calculatedColumnFormula>Exploitation[[#Totals],[Niv. Requis]]</calculatedColumnFormula>
    </tableColumn>
    <tableColumn id="14" name="oct-12" dataDxfId="49"/>
    <tableColumn id="13" name="janv-13" dataDxfId="48"/>
    <tableColumn id="12" name="avr-13" dataDxfId="47"/>
    <tableColumn id="2" name="juil-13" dataDxfId="46"/>
    <tableColumn id="3" name="oct-13" dataDxfId="45"/>
    <tableColumn id="4" name="janv-14" dataDxfId="44"/>
    <tableColumn id="5" name="avr-14" dataDxfId="43"/>
    <tableColumn id="6" name="juil-14" dataDxfId="42"/>
    <tableColumn id="7" name="oct-14" dataDxfId="41"/>
    <tableColumn id="8" name="janv-15" dataDxfId="40"/>
    <tableColumn id="9" name="avr-15" dataDxfId="39"/>
    <tableColumn id="10" name="juil-15" dataDxfId="38"/>
  </tableColumns>
  <tableStyleInfo name="TableStyleMedium10" showFirstColumn="0" showLastColumn="0" showRowStripes="1" showColumnStripes="0"/>
</table>
</file>

<file path=xl/tables/table15.xml><?xml version="1.0" encoding="utf-8"?>
<table xmlns="http://schemas.openxmlformats.org/spreadsheetml/2006/main" id="14" name="Applicatif15" displayName="Applicatif15" ref="A20:N27" totalsRowCount="1" headerRowDxfId="37">
  <autoFilter ref="A20:N26"/>
  <tableColumns count="14">
    <tableColumn id="1" name="Cuisine" dataDxfId="36" totalsRowDxfId="35"/>
    <tableColumn id="11" name="Niv. Requis" totalsRowFunction="average" dataDxfId="34" totalsRowDxfId="33"/>
    <tableColumn id="12" name="oct-12" totalsRowFunction="average" dataDxfId="32"/>
    <tableColumn id="13" name="janv-13" totalsRowFunction="average" dataDxfId="31"/>
    <tableColumn id="14" name="avr-13" totalsRowFunction="average" dataDxfId="30"/>
    <tableColumn id="2" name="juil-13" totalsRowFunction="average" dataDxfId="29"/>
    <tableColumn id="3" name="oct-13" totalsRowFunction="average"/>
    <tableColumn id="4" name="janv-14" totalsRowFunction="average"/>
    <tableColumn id="5" name="avr-14" totalsRowFunction="average"/>
    <tableColumn id="6" name="juil-14" totalsRowFunction="average"/>
    <tableColumn id="7" name="oct-14" totalsRowFunction="average"/>
    <tableColumn id="8" name="janv-15" totalsRowFunction="average"/>
    <tableColumn id="9" name="avr-15" totalsRowFunction="average"/>
    <tableColumn id="10" name="juil-15" totalsRowFunction="average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5" name="Infrastructure16" displayName="Infrastructure16" ref="A45:N52" totalsRowCount="1" headerRowDxfId="28">
  <autoFilter ref="A45:N51"/>
  <sortState ref="A103:J118">
    <sortCondition ref="A91:A106"/>
  </sortState>
  <tableColumns count="14">
    <tableColumn id="1" name="Jardinage" dataDxfId="27" totalsRowDxfId="26"/>
    <tableColumn id="11" name="Niv. Requis" totalsRowFunction="average" dataDxfId="25" totalsRowDxfId="24"/>
    <tableColumn id="12" name="oct-12" totalsRowFunction="average" dataDxfId="23"/>
    <tableColumn id="13" name="janv-13" totalsRowFunction="average" dataDxfId="22"/>
    <tableColumn id="14" name="avr-13" totalsRowFunction="average" dataDxfId="21"/>
    <tableColumn id="2" name="juil-13" totalsRowFunction="average" dataDxfId="20">
      <calculatedColumnFormula>AVERAGE(B27:B45)</calculatedColumnFormula>
    </tableColumn>
    <tableColumn id="3" name="oct-13" totalsRowFunction="average"/>
    <tableColumn id="4" name="janv-14" totalsRowFunction="average"/>
    <tableColumn id="5" name="avr-14" totalsRowFunction="average"/>
    <tableColumn id="6" name="juil-14" totalsRowFunction="average"/>
    <tableColumn id="7" name="oct-14" totalsRowFunction="average"/>
    <tableColumn id="8" name="janv-15" totalsRowFunction="average"/>
    <tableColumn id="9" name="avr-15" totalsRowFunction="average"/>
    <tableColumn id="10" name="juil-15" totalsRowFunction="averag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jout-suppression-modification-donnees-feuille-via-uf-t54747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4.xml"/><Relationship Id="rId5" Type="http://schemas.openxmlformats.org/officeDocument/2006/relationships/table" Target="../tables/table13.xml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</sheetPr>
  <dimension ref="A1:N24"/>
  <sheetViews>
    <sheetView tabSelected="1" workbookViewId="0">
      <selection activeCell="B23" sqref="B23"/>
    </sheetView>
  </sheetViews>
  <sheetFormatPr baseColWidth="10" defaultColWidth="11.42578125" defaultRowHeight="15" x14ac:dyDescent="0.25"/>
  <cols>
    <col min="1" max="1" width="4.140625" customWidth="1"/>
    <col min="2" max="2" width="50.42578125" customWidth="1"/>
    <col min="3" max="3" width="3.85546875" customWidth="1"/>
    <col min="4" max="4" width="20.5703125" customWidth="1"/>
    <col min="5" max="5" width="14.28515625" customWidth="1"/>
    <col min="6" max="6" width="22.28515625" style="25" customWidth="1"/>
    <col min="7" max="7" width="37.7109375" customWidth="1"/>
    <col min="8" max="8" width="13.5703125" customWidth="1"/>
    <col min="9" max="9" width="13.5703125" style="25" customWidth="1"/>
    <col min="10" max="10" width="4" customWidth="1"/>
    <col min="11" max="13" width="11.42578125" customWidth="1"/>
  </cols>
  <sheetData>
    <row r="1" spans="1:14" ht="49.5" customHeight="1" x14ac:dyDescent="0.25">
      <c r="A1" s="81" t="s">
        <v>83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0" t="s">
        <v>84</v>
      </c>
    </row>
    <row r="2" spans="1:14" ht="20.25" customHeight="1" x14ac:dyDescent="0.25">
      <c r="A2" s="61"/>
      <c r="B2" s="62" t="s">
        <v>82</v>
      </c>
      <c r="C2" s="61"/>
      <c r="D2" s="62" t="s">
        <v>40</v>
      </c>
      <c r="E2" s="61"/>
      <c r="F2" s="61"/>
      <c r="G2" s="61"/>
      <c r="H2" s="61"/>
      <c r="I2" s="61"/>
      <c r="J2" s="61"/>
      <c r="K2" s="61"/>
      <c r="L2" s="61"/>
      <c r="M2" s="61"/>
    </row>
    <row r="3" spans="1:14" ht="30" customHeight="1" x14ac:dyDescent="0.25">
      <c r="A3" s="61"/>
      <c r="B3" s="63" t="s">
        <v>15</v>
      </c>
      <c r="C3" s="61"/>
      <c r="D3" s="64" t="s">
        <v>12</v>
      </c>
      <c r="E3" s="64" t="s">
        <v>13</v>
      </c>
      <c r="F3" s="64" t="s">
        <v>41</v>
      </c>
      <c r="G3" s="64" t="s">
        <v>14</v>
      </c>
      <c r="H3" s="64" t="s">
        <v>36</v>
      </c>
      <c r="I3" s="65" t="s">
        <v>42</v>
      </c>
      <c r="J3" s="61"/>
      <c r="K3" s="61"/>
      <c r="L3" s="61"/>
      <c r="M3" s="61"/>
    </row>
    <row r="4" spans="1:14" x14ac:dyDescent="0.25">
      <c r="A4" s="61"/>
      <c r="B4" s="69" t="s">
        <v>44</v>
      </c>
      <c r="C4" s="61"/>
      <c r="D4" s="67" t="s">
        <v>37</v>
      </c>
      <c r="E4" s="67" t="s">
        <v>34</v>
      </c>
      <c r="F4" s="67"/>
      <c r="G4" s="67" t="s">
        <v>43</v>
      </c>
      <c r="H4" s="72">
        <v>41177</v>
      </c>
      <c r="I4" s="72">
        <v>41290</v>
      </c>
      <c r="J4" s="61"/>
      <c r="K4" s="61"/>
      <c r="L4" s="61"/>
      <c r="M4" s="61"/>
    </row>
    <row r="5" spans="1:14" x14ac:dyDescent="0.25">
      <c r="A5" s="61"/>
      <c r="B5" s="69" t="s">
        <v>45</v>
      </c>
      <c r="C5" s="61"/>
      <c r="D5" s="67" t="s">
        <v>76</v>
      </c>
      <c r="E5" s="67" t="s">
        <v>77</v>
      </c>
      <c r="F5" s="68"/>
      <c r="G5" s="67" t="s">
        <v>78</v>
      </c>
      <c r="H5" s="72">
        <v>41557</v>
      </c>
      <c r="I5" s="73">
        <v>41639</v>
      </c>
      <c r="J5" s="61"/>
      <c r="K5" s="61"/>
      <c r="L5" s="61"/>
      <c r="M5" s="61"/>
    </row>
    <row r="6" spans="1:14" x14ac:dyDescent="0.25">
      <c r="A6" s="61"/>
      <c r="B6" s="69" t="s">
        <v>68</v>
      </c>
      <c r="C6" s="61"/>
      <c r="D6" s="67"/>
      <c r="E6" s="67"/>
      <c r="F6" s="67"/>
      <c r="G6" s="67"/>
      <c r="H6" s="72"/>
      <c r="I6" s="72"/>
      <c r="J6" s="61"/>
      <c r="K6" s="61"/>
      <c r="L6" s="61"/>
      <c r="M6" s="61"/>
    </row>
    <row r="7" spans="1:14" x14ac:dyDescent="0.25">
      <c r="A7" s="61"/>
      <c r="B7" s="69" t="s">
        <v>79</v>
      </c>
      <c r="C7" s="61"/>
      <c r="D7" s="67"/>
      <c r="E7" s="67"/>
      <c r="F7" s="67"/>
      <c r="G7" s="67"/>
      <c r="H7" s="72"/>
      <c r="I7" s="72"/>
      <c r="J7" s="61"/>
      <c r="K7" s="61"/>
      <c r="L7" s="61"/>
      <c r="M7" s="61"/>
    </row>
    <row r="8" spans="1:14" x14ac:dyDescent="0.25">
      <c r="A8" s="61"/>
      <c r="B8" s="69" t="s">
        <v>47</v>
      </c>
      <c r="C8" s="61"/>
      <c r="D8" s="67"/>
      <c r="E8" s="67"/>
      <c r="F8" s="67"/>
      <c r="G8" s="67"/>
      <c r="H8" s="72"/>
      <c r="I8" s="72"/>
      <c r="J8" s="61"/>
      <c r="K8" s="61"/>
      <c r="L8" s="61"/>
      <c r="M8" s="61"/>
    </row>
    <row r="9" spans="1:14" x14ac:dyDescent="0.25">
      <c r="A9" s="61"/>
      <c r="B9" s="69" t="s">
        <v>86</v>
      </c>
      <c r="C9" s="61"/>
      <c r="D9" s="67"/>
      <c r="E9" s="67"/>
      <c r="F9" s="67"/>
      <c r="G9" s="67"/>
      <c r="H9" s="72"/>
      <c r="I9" s="72"/>
      <c r="J9" s="61"/>
      <c r="K9" s="61"/>
      <c r="L9" s="61"/>
      <c r="M9" s="61"/>
    </row>
    <row r="10" spans="1:14" x14ac:dyDescent="0.25">
      <c r="A10" s="61"/>
      <c r="B10" s="69"/>
      <c r="C10" s="61"/>
      <c r="D10" s="67"/>
      <c r="E10" s="67"/>
      <c r="F10" s="67"/>
      <c r="G10" s="67"/>
      <c r="H10" s="72"/>
      <c r="I10" s="72"/>
      <c r="J10" s="61"/>
      <c r="K10" s="61"/>
      <c r="L10" s="61"/>
      <c r="M10" s="61"/>
    </row>
    <row r="11" spans="1:14" x14ac:dyDescent="0.25">
      <c r="A11" s="61"/>
      <c r="B11" s="69"/>
      <c r="C11" s="61"/>
      <c r="D11" s="67"/>
      <c r="E11" s="67"/>
      <c r="F11" s="67"/>
      <c r="G11" s="67"/>
      <c r="H11" s="72"/>
      <c r="I11" s="72"/>
      <c r="J11" s="61"/>
      <c r="K11" s="61"/>
      <c r="L11" s="61"/>
      <c r="M11" s="61"/>
    </row>
    <row r="12" spans="1:14" x14ac:dyDescent="0.25">
      <c r="A12" s="61"/>
      <c r="B12" s="69"/>
      <c r="C12" s="61"/>
      <c r="D12" s="67"/>
      <c r="E12" s="67"/>
      <c r="F12" s="67"/>
      <c r="G12" s="67"/>
      <c r="H12" s="72"/>
      <c r="I12" s="72"/>
      <c r="J12" s="61"/>
      <c r="K12" s="61"/>
      <c r="L12" s="61"/>
      <c r="M12" s="61"/>
    </row>
    <row r="13" spans="1:14" x14ac:dyDescent="0.25">
      <c r="A13" s="61"/>
      <c r="B13" s="69"/>
      <c r="C13" s="61"/>
      <c r="D13" s="68"/>
      <c r="E13" s="68"/>
      <c r="F13" s="68"/>
      <c r="G13" s="68"/>
      <c r="H13" s="73"/>
      <c r="I13" s="73"/>
      <c r="J13" s="61"/>
      <c r="K13" s="61"/>
      <c r="L13" s="61"/>
      <c r="M13" s="61"/>
    </row>
    <row r="14" spans="1:14" x14ac:dyDescent="0.25">
      <c r="A14" s="61"/>
      <c r="B14" s="61"/>
      <c r="C14" s="61"/>
      <c r="D14" s="68"/>
      <c r="E14" s="68"/>
      <c r="F14" s="68"/>
      <c r="G14" s="68"/>
      <c r="H14" s="73"/>
      <c r="I14" s="73"/>
      <c r="J14" s="61"/>
      <c r="K14" s="61"/>
      <c r="L14" s="61"/>
      <c r="M14" s="61"/>
    </row>
    <row r="15" spans="1:14" x14ac:dyDescent="0.25">
      <c r="A15" s="61"/>
      <c r="B15" s="66" t="s">
        <v>38</v>
      </c>
      <c r="C15" s="61"/>
      <c r="D15" s="68"/>
      <c r="E15" s="68"/>
      <c r="F15" s="68"/>
      <c r="G15" s="68"/>
      <c r="H15" s="73"/>
      <c r="I15" s="73"/>
      <c r="J15" s="61"/>
      <c r="K15" s="61"/>
      <c r="L15" s="61"/>
      <c r="M15" s="61"/>
    </row>
    <row r="16" spans="1:14" x14ac:dyDescent="0.25">
      <c r="A16" s="61"/>
      <c r="B16" s="70"/>
      <c r="C16" s="61"/>
      <c r="D16" s="68"/>
      <c r="E16" s="68"/>
      <c r="F16" s="68"/>
      <c r="G16" s="68"/>
      <c r="H16" s="73"/>
      <c r="I16" s="73"/>
      <c r="J16" s="61"/>
      <c r="K16" s="61"/>
      <c r="L16" s="61"/>
      <c r="M16" s="61"/>
    </row>
    <row r="17" spans="1:13" x14ac:dyDescent="0.25">
      <c r="A17" s="61"/>
      <c r="C17" s="61"/>
      <c r="D17" s="68"/>
      <c r="E17" s="68"/>
      <c r="F17" s="68"/>
      <c r="G17" s="68"/>
      <c r="H17" s="73"/>
      <c r="I17" s="73"/>
      <c r="J17" s="61"/>
      <c r="K17" s="61"/>
      <c r="L17" s="61"/>
      <c r="M17" s="61"/>
    </row>
    <row r="18" spans="1:13" x14ac:dyDescent="0.25">
      <c r="A18" s="61"/>
      <c r="B18" s="66" t="s">
        <v>39</v>
      </c>
      <c r="C18" s="61"/>
      <c r="D18" s="67"/>
      <c r="E18" s="67"/>
      <c r="F18" s="67"/>
      <c r="G18" s="67"/>
      <c r="H18" s="72"/>
      <c r="I18" s="72"/>
      <c r="K18" s="61"/>
      <c r="L18" s="61"/>
      <c r="M18" s="61"/>
    </row>
    <row r="19" spans="1:13" x14ac:dyDescent="0.25">
      <c r="A19" s="61"/>
      <c r="B19" s="71"/>
      <c r="C19" s="61"/>
      <c r="D19" s="68"/>
      <c r="E19" s="68"/>
      <c r="F19" s="68"/>
      <c r="G19" s="68"/>
      <c r="H19" s="73"/>
      <c r="I19" s="73"/>
      <c r="J19" s="61"/>
      <c r="K19" s="61"/>
      <c r="L19" s="61"/>
      <c r="M19" s="61"/>
    </row>
    <row r="20" spans="1:13" x14ac:dyDescent="0.25">
      <c r="A20" s="61"/>
      <c r="B20" s="61"/>
      <c r="C20" s="61"/>
      <c r="D20" s="68"/>
      <c r="E20" s="68"/>
      <c r="F20" s="68"/>
      <c r="G20" s="68"/>
      <c r="H20" s="73"/>
      <c r="I20" s="73"/>
      <c r="J20" s="61"/>
      <c r="K20" s="61"/>
      <c r="L20" s="61"/>
      <c r="M20" s="61"/>
    </row>
    <row r="21" spans="1:13" x14ac:dyDescent="0.25">
      <c r="A21" s="61"/>
      <c r="B21" s="61"/>
      <c r="C21" s="61"/>
      <c r="D21" s="67"/>
      <c r="E21" s="67"/>
      <c r="F21" s="68"/>
      <c r="G21" s="67"/>
      <c r="H21" s="72"/>
      <c r="I21" s="73"/>
      <c r="J21" s="61"/>
      <c r="K21" s="61"/>
      <c r="L21" s="61"/>
      <c r="M21" s="61"/>
    </row>
    <row r="22" spans="1:13" x14ac:dyDescent="0.25">
      <c r="A22" s="61"/>
      <c r="B22" s="61"/>
      <c r="C22" s="61"/>
      <c r="D22" s="67"/>
      <c r="E22" s="67"/>
      <c r="F22" s="68"/>
      <c r="G22" s="67"/>
      <c r="H22" s="72"/>
      <c r="I22" s="73"/>
      <c r="J22" s="61"/>
      <c r="K22" s="61"/>
      <c r="L22" s="61"/>
      <c r="M22" s="61"/>
    </row>
    <row r="23" spans="1:13" x14ac:dyDescent="0.25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</row>
    <row r="24" spans="1:13" x14ac:dyDescent="0.25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</row>
  </sheetData>
  <mergeCells count="1">
    <mergeCell ref="A1:M1"/>
  </mergeCells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5" name="Button 5">
              <controlPr defaultSize="0" print="0" autoFill="0" autoPict="0" macro="[0]!majoutsup">
                <anchor moveWithCells="1" sizeWithCells="1">
                  <from>
                    <xdr:col>10</xdr:col>
                    <xdr:colOff>38100</xdr:colOff>
                    <xdr:row>1</xdr:row>
                    <xdr:rowOff>238125</xdr:rowOff>
                  </from>
                  <to>
                    <xdr:col>12</xdr:col>
                    <xdr:colOff>381000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6" name="Button 6">
              <controlPr defaultSize="0" print="0" autoFill="0" autoPict="0" macro="[0]!mGénérerMatrices">
                <anchor moveWithCells="1" sizeWithCells="1">
                  <from>
                    <xdr:col>10</xdr:col>
                    <xdr:colOff>38100</xdr:colOff>
                    <xdr:row>3</xdr:row>
                    <xdr:rowOff>180975</xdr:rowOff>
                  </from>
                  <to>
                    <xdr:col>12</xdr:col>
                    <xdr:colOff>381000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7" name="Button 7">
              <controlPr defaultSize="0" print="0" autoFill="0" autoPict="0" macro="[0]!mEvaluation">
                <anchor moveWithCells="1" sizeWithCells="1">
                  <from>
                    <xdr:col>10</xdr:col>
                    <xdr:colOff>38100</xdr:colOff>
                    <xdr:row>10</xdr:row>
                    <xdr:rowOff>0</xdr:rowOff>
                  </from>
                  <to>
                    <xdr:col>12</xdr:col>
                    <xdr:colOff>400050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2"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33"/>
  <sheetViews>
    <sheetView workbookViewId="0">
      <selection activeCell="E14" sqref="E14"/>
    </sheetView>
  </sheetViews>
  <sheetFormatPr baseColWidth="10" defaultRowHeight="15" x14ac:dyDescent="0.25"/>
  <cols>
    <col min="1" max="1" width="18.28515625" customWidth="1"/>
    <col min="2" max="2" width="15.28515625" customWidth="1"/>
    <col min="3" max="3" width="28.42578125" customWidth="1"/>
    <col min="4" max="4" width="22.28515625" customWidth="1"/>
    <col min="5" max="6" width="24" customWidth="1"/>
  </cols>
  <sheetData>
    <row r="1" spans="1:11" x14ac:dyDescent="0.25">
      <c r="A1" s="25" t="str">
        <f>IF(Interface!B4="","",Interface!$B4)</f>
        <v>Peinture</v>
      </c>
      <c r="B1" s="25" t="str">
        <f>IF(Interface!B20="","",Interface!$B20)</f>
        <v/>
      </c>
      <c r="C1" s="25" t="str">
        <f>IF(Interface!B6="","",Interface!$B6)</f>
        <v>Informatique</v>
      </c>
      <c r="D1" s="25" t="str">
        <f>IF(Interface!B7="","",Interface!$B7)</f>
        <v>Mecanique</v>
      </c>
      <c r="E1" s="25" t="str">
        <f>IF(Interface!B8="","",Interface!$B8)</f>
        <v>Jardinage</v>
      </c>
      <c r="F1" s="25" t="str">
        <f>IF(Interface!B9="","",Interface!$B9)</f>
        <v>Pilote</v>
      </c>
      <c r="G1" s="25" t="str">
        <f>IF(Interface!B10="","",Interface!$B10)</f>
        <v/>
      </c>
      <c r="H1" s="25" t="str">
        <f>IF(Interface!B11="","",Interface!$B11)</f>
        <v/>
      </c>
      <c r="I1" s="25" t="str">
        <f>IF(Interface!B12="","",Interface!$B12)</f>
        <v/>
      </c>
      <c r="J1" s="25" t="str">
        <f>IF(Interface!B13="","",Interface!$B13)</f>
        <v/>
      </c>
      <c r="K1" s="25"/>
    </row>
    <row r="2" spans="1:11" x14ac:dyDescent="0.25">
      <c r="A2" t="s">
        <v>64</v>
      </c>
      <c r="B2" s="25" t="s">
        <v>58</v>
      </c>
      <c r="C2" t="s">
        <v>69</v>
      </c>
      <c r="D2" t="s">
        <v>48</v>
      </c>
      <c r="E2" t="s">
        <v>53</v>
      </c>
      <c r="F2" t="s">
        <v>87</v>
      </c>
    </row>
    <row r="3" spans="1:11" x14ac:dyDescent="0.25">
      <c r="A3" t="s">
        <v>65</v>
      </c>
      <c r="B3" s="25" t="s">
        <v>59</v>
      </c>
      <c r="C3" t="s">
        <v>81</v>
      </c>
      <c r="D3" t="s">
        <v>49</v>
      </c>
      <c r="E3" t="s">
        <v>80</v>
      </c>
    </row>
    <row r="4" spans="1:11" x14ac:dyDescent="0.25">
      <c r="A4" t="s">
        <v>66</v>
      </c>
      <c r="B4" s="25" t="s">
        <v>60</v>
      </c>
      <c r="C4" t="s">
        <v>0</v>
      </c>
      <c r="D4" t="s">
        <v>50</v>
      </c>
      <c r="E4" t="s">
        <v>55</v>
      </c>
    </row>
    <row r="5" spans="1:11" x14ac:dyDescent="0.25">
      <c r="A5" t="s">
        <v>67</v>
      </c>
      <c r="B5" s="25" t="s">
        <v>61</v>
      </c>
      <c r="C5" t="s">
        <v>71</v>
      </c>
      <c r="D5" t="s">
        <v>51</v>
      </c>
      <c r="E5" t="s">
        <v>56</v>
      </c>
    </row>
    <row r="6" spans="1:11" x14ac:dyDescent="0.25">
      <c r="B6" s="25" t="s">
        <v>62</v>
      </c>
      <c r="C6" t="s">
        <v>72</v>
      </c>
      <c r="D6" t="s">
        <v>52</v>
      </c>
      <c r="E6" t="s">
        <v>57</v>
      </c>
    </row>
    <row r="7" spans="1:11" x14ac:dyDescent="0.25">
      <c r="B7" s="25" t="s">
        <v>63</v>
      </c>
      <c r="E7" t="s">
        <v>73</v>
      </c>
    </row>
    <row r="8" spans="1:11" x14ac:dyDescent="0.25">
      <c r="B8" s="25" t="s">
        <v>85</v>
      </c>
    </row>
    <row r="9" spans="1:11" x14ac:dyDescent="0.25">
      <c r="B9" s="25"/>
    </row>
    <row r="10" spans="1:11" x14ac:dyDescent="0.25">
      <c r="B10" s="25"/>
    </row>
    <row r="11" spans="1:11" x14ac:dyDescent="0.25">
      <c r="B11" s="25"/>
    </row>
    <row r="12" spans="1:11" x14ac:dyDescent="0.25">
      <c r="B12" s="25"/>
    </row>
    <row r="13" spans="1:11" x14ac:dyDescent="0.25">
      <c r="B13" s="25"/>
    </row>
    <row r="14" spans="1:11" x14ac:dyDescent="0.25">
      <c r="B14" s="25"/>
    </row>
    <row r="23" spans="2:2" x14ac:dyDescent="0.25">
      <c r="B23" s="25"/>
    </row>
    <row r="24" spans="2:2" x14ac:dyDescent="0.25">
      <c r="B24" s="25"/>
    </row>
    <row r="25" spans="2:2" x14ac:dyDescent="0.25">
      <c r="B25" s="25"/>
    </row>
    <row r="26" spans="2:2" x14ac:dyDescent="0.25">
      <c r="B26" s="25"/>
    </row>
    <row r="27" spans="2:2" x14ac:dyDescent="0.25">
      <c r="B27" s="25"/>
    </row>
    <row r="28" spans="2:2" x14ac:dyDescent="0.25">
      <c r="B28" s="25"/>
    </row>
    <row r="29" spans="2:2" x14ac:dyDescent="0.25">
      <c r="B29" s="25"/>
    </row>
    <row r="30" spans="2:2" x14ac:dyDescent="0.25">
      <c r="B30" s="25"/>
    </row>
    <row r="31" spans="2:2" x14ac:dyDescent="0.25">
      <c r="B31" s="25"/>
    </row>
    <row r="32" spans="2:2" x14ac:dyDescent="0.25">
      <c r="B32" s="25"/>
    </row>
    <row r="33" spans="2:2" x14ac:dyDescent="0.25">
      <c r="B33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N119"/>
  <sheetViews>
    <sheetView workbookViewId="0"/>
  </sheetViews>
  <sheetFormatPr baseColWidth="10" defaultRowHeight="15" x14ac:dyDescent="0.25"/>
  <cols>
    <col min="1" max="1" width="55.5703125" customWidth="1"/>
    <col min="2" max="2" width="12.140625" customWidth="1"/>
    <col min="3" max="14" width="8.7109375" customWidth="1"/>
  </cols>
  <sheetData>
    <row r="1" spans="1:14" s="25" customFormat="1" x14ac:dyDescent="0.2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</row>
    <row r="2" spans="1:14" x14ac:dyDescent="0.25">
      <c r="A2" s="54"/>
      <c r="B2" s="49" t="s">
        <v>12</v>
      </c>
      <c r="C2" s="84"/>
      <c r="D2" s="84"/>
      <c r="E2" s="84"/>
      <c r="F2" s="84"/>
      <c r="G2" s="50"/>
      <c r="H2" s="49" t="s">
        <v>24</v>
      </c>
      <c r="I2" s="50"/>
      <c r="J2" s="83"/>
      <c r="K2" s="83"/>
      <c r="L2" s="50"/>
      <c r="M2" s="50"/>
      <c r="N2" s="55"/>
    </row>
    <row r="3" spans="1:14" x14ac:dyDescent="0.25">
      <c r="A3" s="54"/>
      <c r="B3" s="49" t="s">
        <v>13</v>
      </c>
      <c r="C3" s="82"/>
      <c r="D3" s="82"/>
      <c r="E3" s="82"/>
      <c r="F3" s="82"/>
      <c r="G3" s="50"/>
      <c r="H3" s="50"/>
      <c r="I3" s="50"/>
      <c r="J3" s="50"/>
      <c r="K3" s="50"/>
      <c r="L3" s="50"/>
      <c r="M3" s="50"/>
      <c r="N3" s="55"/>
    </row>
    <row r="4" spans="1:14" x14ac:dyDescent="0.25">
      <c r="A4" s="54"/>
      <c r="B4" s="49" t="s">
        <v>14</v>
      </c>
      <c r="C4" s="82"/>
      <c r="D4" s="82"/>
      <c r="E4" s="82"/>
      <c r="F4" s="82"/>
      <c r="G4" s="50"/>
      <c r="H4" s="50"/>
      <c r="I4" s="50"/>
      <c r="J4" s="50"/>
      <c r="K4" s="50"/>
      <c r="L4" s="50"/>
      <c r="M4" s="50"/>
      <c r="N4" s="55"/>
    </row>
    <row r="5" spans="1:14" ht="15.75" thickBot="1" x14ac:dyDescent="0.3">
      <c r="A5" s="56"/>
      <c r="B5" s="57"/>
      <c r="C5" s="58"/>
      <c r="D5" s="58"/>
      <c r="E5" s="58"/>
      <c r="F5" s="57"/>
      <c r="G5" s="59"/>
      <c r="H5" s="59"/>
      <c r="I5" s="59"/>
      <c r="J5" s="59"/>
      <c r="K5" s="59"/>
      <c r="L5" s="59"/>
      <c r="M5" s="59"/>
      <c r="N5" s="60"/>
    </row>
    <row r="6" spans="1:14" ht="50.1" customHeight="1" x14ac:dyDescent="0.25">
      <c r="A6" s="5" t="s">
        <v>15</v>
      </c>
      <c r="B6" s="30" t="s">
        <v>20</v>
      </c>
      <c r="C6" s="48" t="s">
        <v>7</v>
      </c>
      <c r="D6" s="48" t="s">
        <v>8</v>
      </c>
      <c r="E6" s="48" t="s">
        <v>9</v>
      </c>
      <c r="F6" s="19" t="s">
        <v>10</v>
      </c>
      <c r="G6" s="19" t="s">
        <v>11</v>
      </c>
      <c r="H6" s="19" t="s">
        <v>16</v>
      </c>
      <c r="I6" s="19" t="s">
        <v>17</v>
      </c>
      <c r="J6" s="19" t="s">
        <v>18</v>
      </c>
      <c r="K6" s="19" t="s">
        <v>19</v>
      </c>
      <c r="L6" s="19" t="s">
        <v>25</v>
      </c>
      <c r="M6" s="19" t="s">
        <v>26</v>
      </c>
      <c r="N6" s="19" t="s">
        <v>27</v>
      </c>
    </row>
    <row r="7" spans="1:14" x14ac:dyDescent="0.25">
      <c r="A7" s="25" t="str">
        <f>AdminWindows[[#Headers],[Périmètre 1 (à compléter)]]</f>
        <v>Périmètre 1 (à compléter)</v>
      </c>
      <c r="B7" s="29" t="e">
        <f>AdminWindows[[#Totals],[Niv. Requis]]</f>
        <v>#DIV/0!</v>
      </c>
      <c r="C7" s="29" t="e">
        <f>AdminWindows[[#Totals],[oct-12]]</f>
        <v>#DIV/0!</v>
      </c>
      <c r="D7" s="29" t="e">
        <f>AdminWindows[[#Totals],[janv-13]]</f>
        <v>#DIV/0!</v>
      </c>
      <c r="E7" s="29" t="e">
        <f>AdminWindows[[#Totals],[avr-13]]</f>
        <v>#DIV/0!</v>
      </c>
      <c r="F7" s="29" t="e">
        <f>AdminWindows[[#Totals],[juil-13]]</f>
        <v>#DIV/0!</v>
      </c>
      <c r="G7" s="29" t="e">
        <f>AdminWindows[[#Totals],[oct-13]]</f>
        <v>#DIV/0!</v>
      </c>
      <c r="H7" s="29" t="e">
        <f>AdminWindows[[#Totals],[janv-14]]</f>
        <v>#DIV/0!</v>
      </c>
      <c r="I7" s="29" t="e">
        <f>AdminWindows[[#Totals],[avr-14]]</f>
        <v>#DIV/0!</v>
      </c>
      <c r="J7" s="29" t="e">
        <f>AdminWindows[[#Totals],[juil-14]]</f>
        <v>#DIV/0!</v>
      </c>
      <c r="K7" s="29" t="e">
        <f>AdminWindows[[#Totals],[oct-14]]</f>
        <v>#DIV/0!</v>
      </c>
      <c r="L7" s="29" t="e">
        <f>AdminWindows[[#Totals],[janv-15]]</f>
        <v>#DIV/0!</v>
      </c>
      <c r="M7" s="29" t="e">
        <f>AdminWindows[[#Totals],[avr-15]]</f>
        <v>#DIV/0!</v>
      </c>
      <c r="N7" s="29" t="e">
        <f>AdminWindows[[#Totals],[juil-15]]</f>
        <v>#DIV/0!</v>
      </c>
    </row>
    <row r="8" spans="1:14" x14ac:dyDescent="0.25">
      <c r="A8" s="25" t="str">
        <f>Applicatif[[#Headers],[Périmètre 2]]</f>
        <v>Périmètre 2</v>
      </c>
      <c r="B8" s="29" t="e">
        <f>Applicatif[[#Totals],[Niv. Requis]]</f>
        <v>#DIV/0!</v>
      </c>
      <c r="C8" s="29" t="e">
        <f>Applicatif[[#Totals],[oct-12]]</f>
        <v>#DIV/0!</v>
      </c>
      <c r="D8" s="29" t="e">
        <f>Applicatif[[#Totals],[janv-13]]</f>
        <v>#DIV/0!</v>
      </c>
      <c r="E8" s="29" t="e">
        <f>Applicatif[[#Totals],[avr-13]]</f>
        <v>#DIV/0!</v>
      </c>
      <c r="F8" s="29" t="e">
        <f>Applicatif[[#Totals],[juil-13]]</f>
        <v>#DIV/0!</v>
      </c>
      <c r="G8" s="29" t="e">
        <f>Applicatif[[#Totals],[oct-13]]</f>
        <v>#DIV/0!</v>
      </c>
      <c r="H8" s="29" t="e">
        <f>Applicatif[[#Totals],[janv-14]]</f>
        <v>#DIV/0!</v>
      </c>
      <c r="I8" s="29" t="e">
        <f>Applicatif[[#Totals],[avr-14]]</f>
        <v>#DIV/0!</v>
      </c>
      <c r="J8" s="29" t="e">
        <f>Applicatif[[#Totals],[juil-14]]</f>
        <v>#DIV/0!</v>
      </c>
      <c r="K8" s="29" t="e">
        <f>Applicatif[[#Totals],[oct-14]]</f>
        <v>#DIV/0!</v>
      </c>
      <c r="L8" s="29" t="e">
        <f>Applicatif[[#Totals],[janv-15]]</f>
        <v>#DIV/0!</v>
      </c>
      <c r="M8" s="29" t="e">
        <f>Applicatif[[#Totals],[avr-15]]</f>
        <v>#DIV/0!</v>
      </c>
      <c r="N8" s="29" t="e">
        <f>Applicatif[[#Totals],[juil-15]]</f>
        <v>#DIV/0!</v>
      </c>
    </row>
    <row r="9" spans="1:14" x14ac:dyDescent="0.25">
      <c r="A9" s="25" t="str">
        <f>Deploiement[[#Headers],[Périmètre 3]]</f>
        <v>Périmètre 3</v>
      </c>
      <c r="B9" s="29" t="e">
        <f>Deploiement[[#Totals],[Niv. Requis]]</f>
        <v>#DIV/0!</v>
      </c>
      <c r="C9" s="29" t="e">
        <f>Deploiement[[#Totals],[oct-12]]</f>
        <v>#DIV/0!</v>
      </c>
      <c r="D9" s="29" t="e">
        <f>Deploiement[[#Totals],[janv-13]]</f>
        <v>#DIV/0!</v>
      </c>
      <c r="E9" s="29" t="e">
        <f>Deploiement[[#Totals],[avr-13]]</f>
        <v>#DIV/0!</v>
      </c>
      <c r="F9" s="29" t="e">
        <f>Deploiement[[#Totals],[juil-13]]</f>
        <v>#DIV/0!</v>
      </c>
      <c r="G9" s="29" t="e">
        <f>Deploiement[[#Totals],[oct-13]]</f>
        <v>#DIV/0!</v>
      </c>
      <c r="H9" s="29" t="e">
        <f>Deploiement[[#Totals],[janv-14]]</f>
        <v>#DIV/0!</v>
      </c>
      <c r="I9" s="29" t="e">
        <f>Deploiement[[#Totals],[avr-14]]</f>
        <v>#DIV/0!</v>
      </c>
      <c r="J9" s="29" t="e">
        <f>Deploiement[[#Totals],[juil-14]]</f>
        <v>#DIV/0!</v>
      </c>
      <c r="K9" s="29" t="e">
        <f>Deploiement[[#Totals],[oct-14]]</f>
        <v>#DIV/0!</v>
      </c>
      <c r="L9" s="29" t="e">
        <f>Deploiement[[#Totals],[janv-15]]</f>
        <v>#DIV/0!</v>
      </c>
      <c r="M9" s="29" t="e">
        <f>Deploiement[[#Totals],[avr-15]]</f>
        <v>#DIV/0!</v>
      </c>
      <c r="N9" s="29" t="e">
        <f>Deploiement[[#Totals],[juil-15]]</f>
        <v>#DIV/0!</v>
      </c>
    </row>
    <row r="10" spans="1:14" x14ac:dyDescent="0.25">
      <c r="A10" s="25" t="str">
        <f>Exploitation[[#Headers],[Périmètre 4]]</f>
        <v>Périmètre 4</v>
      </c>
      <c r="B10" s="29" t="e">
        <f>Exploitation[[#Totals],[Niv. Requis]]</f>
        <v>#DIV/0!</v>
      </c>
      <c r="C10" s="29" t="e">
        <f>Exploitation[[#Totals],[oct-12]]</f>
        <v>#DIV/0!</v>
      </c>
      <c r="D10" s="29" t="e">
        <f>Exploitation[[#Totals],[janv-13]]</f>
        <v>#DIV/0!</v>
      </c>
      <c r="E10" s="29" t="e">
        <f>Exploitation[[#Totals],[avr-13]]</f>
        <v>#DIV/0!</v>
      </c>
      <c r="F10" s="29" t="e">
        <f>Exploitation[[#Totals],[juil-13]]</f>
        <v>#DIV/0!</v>
      </c>
      <c r="G10" s="29" t="e">
        <f>Exploitation[[#Totals],[oct-13]]</f>
        <v>#DIV/0!</v>
      </c>
      <c r="H10" s="29" t="e">
        <f>Exploitation[[#Totals],[janv-14]]</f>
        <v>#DIV/0!</v>
      </c>
      <c r="I10" s="29" t="e">
        <f>Exploitation[[#Totals],[avr-14]]</f>
        <v>#DIV/0!</v>
      </c>
      <c r="J10" s="29" t="e">
        <f>Exploitation[[#Totals],[juil-14]]</f>
        <v>#DIV/0!</v>
      </c>
      <c r="K10" s="29" t="e">
        <f>Exploitation[[#Totals],[oct-14]]</f>
        <v>#DIV/0!</v>
      </c>
      <c r="L10" s="29" t="e">
        <f>Exploitation[[#Totals],[janv-15]]</f>
        <v>#DIV/0!</v>
      </c>
      <c r="M10" s="29" t="e">
        <f>Exploitation[[#Totals],[avr-15]]</f>
        <v>#DIV/0!</v>
      </c>
      <c r="N10" s="29" t="e">
        <f>Exploitation[[#Totals],[juil-15]]</f>
        <v>#DIV/0!</v>
      </c>
    </row>
    <row r="11" spans="1:14" x14ac:dyDescent="0.25">
      <c r="A11" s="25" t="str">
        <f>Infrastructure[[#Headers],[Périmètre 5]]</f>
        <v>Périmètre 5</v>
      </c>
      <c r="B11" s="29" t="e">
        <f>Infrastructure[[#Totals],[Niv. Requis]]</f>
        <v>#DIV/0!</v>
      </c>
      <c r="C11" s="29" t="e">
        <f>Infrastructure[[#Totals],[oct-12]]</f>
        <v>#DIV/0!</v>
      </c>
      <c r="D11" s="29" t="e">
        <f>Infrastructure[[#Totals],[janv-13]]</f>
        <v>#DIV/0!</v>
      </c>
      <c r="E11" s="29" t="e">
        <f>Infrastructure[[#Totals],[avr-13]]</f>
        <v>#DIV/0!</v>
      </c>
      <c r="F11" s="29" t="e">
        <f>Infrastructure[[#Totals],[juil-13]]</f>
        <v>#DIV/0!</v>
      </c>
      <c r="G11" s="29" t="e">
        <f>Infrastructure[[#Totals],[oct-13]]</f>
        <v>#DIV/0!</v>
      </c>
      <c r="H11" s="29" t="e">
        <f>Infrastructure[[#Totals],[janv-14]]</f>
        <v>#DIV/0!</v>
      </c>
      <c r="I11" s="29" t="e">
        <f>Infrastructure[[#Totals],[avr-14]]</f>
        <v>#DIV/0!</v>
      </c>
      <c r="J11" s="29" t="e">
        <f>Infrastructure[[#Totals],[juil-14]]</f>
        <v>#DIV/0!</v>
      </c>
      <c r="K11" s="29" t="e">
        <f>Infrastructure[[#Totals],[oct-14]]</f>
        <v>#DIV/0!</v>
      </c>
      <c r="L11" s="29" t="e">
        <f>Infrastructure[[#Totals],[janv-15]]</f>
        <v>#DIV/0!</v>
      </c>
      <c r="M11" s="29" t="e">
        <f>Infrastructure[[#Totals],[avr-15]]</f>
        <v>#DIV/0!</v>
      </c>
      <c r="N11" s="29" t="e">
        <f>Infrastructure[[#Totals],[juil-15]]</f>
        <v>#DIV/0!</v>
      </c>
    </row>
    <row r="12" spans="1:14" x14ac:dyDescent="0.25">
      <c r="A12" t="str">
        <f>IIT[[#Headers],[Périmètre 6]]</f>
        <v>Périmètre 6</v>
      </c>
      <c r="B12" s="29" t="e">
        <f>IIT[[#Totals],[Niv. Requis]]</f>
        <v>#DIV/0!</v>
      </c>
      <c r="C12" s="29" t="e">
        <f>IIT[[#Totals],[oct-12]]</f>
        <v>#DIV/0!</v>
      </c>
      <c r="D12" s="29" t="e">
        <f>IIT[[#Totals],[janv-13]]</f>
        <v>#DIV/0!</v>
      </c>
      <c r="E12" s="29" t="e">
        <f>IIT[[#Totals],[avr-13]]</f>
        <v>#DIV/0!</v>
      </c>
      <c r="F12" s="29" t="e">
        <f>IIT[[#Totals],[juil-13]]</f>
        <v>#DIV/0!</v>
      </c>
      <c r="G12" s="29" t="e">
        <f>IIT[[#Totals],[oct-13]]</f>
        <v>#DIV/0!</v>
      </c>
      <c r="H12" s="29" t="e">
        <f>IIT[[#Totals],[janv-14]]</f>
        <v>#DIV/0!</v>
      </c>
      <c r="I12" s="29" t="e">
        <f>IIT[[#Totals],[avr-14]]</f>
        <v>#DIV/0!</v>
      </c>
      <c r="J12" s="29" t="e">
        <f>IIT[[#Totals],[juil-14]]</f>
        <v>#DIV/0!</v>
      </c>
      <c r="K12" s="29" t="e">
        <f>IIT[[#Totals],[oct-14]]</f>
        <v>#DIV/0!</v>
      </c>
      <c r="L12" s="29" t="e">
        <f>IIT[[#Totals],[janv-15]]</f>
        <v>#DIV/0!</v>
      </c>
      <c r="M12" s="29" t="e">
        <f>IIT[[#Totals],[avr-15]]</f>
        <v>#DIV/0!</v>
      </c>
      <c r="N12" s="29" t="e">
        <f>IIT[[#Totals],[juil-15]]</f>
        <v>#DIV/0!</v>
      </c>
    </row>
    <row r="13" spans="1:14" x14ac:dyDescent="0.25">
      <c r="A13" s="22" t="str">
        <f>Astreintes[[#Headers],[Périmètre 7]]</f>
        <v>Périmètre 7</v>
      </c>
      <c r="B13" s="29" t="e">
        <f>Astreintes[[#Totals],[Niv. Requis]]</f>
        <v>#DIV/0!</v>
      </c>
      <c r="C13" s="29" t="e">
        <f>Astreintes[[#Totals],[oct-12]]</f>
        <v>#DIV/0!</v>
      </c>
      <c r="D13" s="29" t="e">
        <f>Astreintes[[#Totals],[janv-13]]</f>
        <v>#DIV/0!</v>
      </c>
      <c r="E13" s="29" t="e">
        <f>Astreintes[[#Totals],[avr-13]]</f>
        <v>#DIV/0!</v>
      </c>
      <c r="F13" s="29" t="e">
        <f>Astreintes[[#Totals],[juil-13]]</f>
        <v>#DIV/0!</v>
      </c>
      <c r="G13" s="29" t="e">
        <f>Astreintes[[#Totals],[oct-13]]</f>
        <v>#DIV/0!</v>
      </c>
      <c r="H13" s="29" t="e">
        <f>Astreintes[[#Totals],[janv-14]]</f>
        <v>#DIV/0!</v>
      </c>
      <c r="I13" s="29" t="e">
        <f>Astreintes[[#Totals],[avr-14]]</f>
        <v>#DIV/0!</v>
      </c>
      <c r="J13" s="29" t="e">
        <f>Astreintes[[#Totals],[juil-14]]</f>
        <v>#DIV/0!</v>
      </c>
      <c r="K13" s="29" t="e">
        <f>Astreintes[[#Totals],[oct-14]]</f>
        <v>#DIV/0!</v>
      </c>
      <c r="L13" s="29" t="e">
        <f>Astreintes[[#Totals],[janv-15]]</f>
        <v>#DIV/0!</v>
      </c>
      <c r="M13" s="29" t="e">
        <f>Astreintes[[#Totals],[avr-15]]</f>
        <v>#DIV/0!</v>
      </c>
      <c r="N13" s="29" t="e">
        <f>Astreintes[[#Totals],[juil-15]]</f>
        <v>#DIV/0!</v>
      </c>
    </row>
    <row r="14" spans="1:14" s="25" customFormat="1" ht="30" customHeight="1" x14ac:dyDescent="0.25"/>
    <row r="15" spans="1:14" ht="50.1" customHeight="1" x14ac:dyDescent="0.25">
      <c r="A15" s="1" t="s">
        <v>35</v>
      </c>
      <c r="B15" s="30" t="s">
        <v>21</v>
      </c>
      <c r="C15" s="30" t="s">
        <v>7</v>
      </c>
      <c r="D15" s="30" t="s">
        <v>8</v>
      </c>
      <c r="E15" s="30" t="s">
        <v>9</v>
      </c>
      <c r="F15" s="19" t="s">
        <v>10</v>
      </c>
      <c r="G15" s="19" t="s">
        <v>11</v>
      </c>
      <c r="H15" s="19" t="s">
        <v>16</v>
      </c>
      <c r="I15" s="19" t="s">
        <v>17</v>
      </c>
      <c r="J15" s="19" t="s">
        <v>18</v>
      </c>
      <c r="K15" s="19" t="s">
        <v>19</v>
      </c>
      <c r="L15" s="19" t="s">
        <v>25</v>
      </c>
      <c r="M15" s="19" t="s">
        <v>26</v>
      </c>
      <c r="N15" s="19" t="s">
        <v>27</v>
      </c>
    </row>
    <row r="16" spans="1:14" x14ac:dyDescent="0.25">
      <c r="A16" s="20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x14ac:dyDescent="0.25">
      <c r="A17" s="20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x14ac:dyDescent="0.25">
      <c r="A18" s="20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A19" s="32"/>
      <c r="B19" s="5"/>
      <c r="C19" s="34"/>
      <c r="D19" s="34"/>
      <c r="E19" s="34"/>
      <c r="F19" s="5"/>
      <c r="G19" s="5"/>
      <c r="H19" s="5"/>
      <c r="I19" s="5"/>
      <c r="J19" s="5"/>
      <c r="K19" s="5"/>
      <c r="L19" s="5"/>
      <c r="M19" s="5"/>
      <c r="N19" s="5"/>
    </row>
    <row r="20" spans="1:14" x14ac:dyDescent="0.25">
      <c r="A20" s="20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x14ac:dyDescent="0.25">
      <c r="A21" s="20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x14ac:dyDescent="0.25">
      <c r="A22" s="20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x14ac:dyDescent="0.25">
      <c r="A23" s="20"/>
      <c r="B23" s="5"/>
      <c r="C23" s="24"/>
      <c r="D23" s="24"/>
      <c r="E23" s="24"/>
      <c r="F23" s="24"/>
      <c r="G23" s="5"/>
      <c r="H23" s="5"/>
      <c r="I23" s="5"/>
      <c r="J23" s="5"/>
      <c r="K23" s="5"/>
      <c r="L23" s="5"/>
      <c r="M23" s="5"/>
      <c r="N23" s="5"/>
    </row>
    <row r="24" spans="1:14" x14ac:dyDescent="0.25">
      <c r="A24" s="20"/>
      <c r="B24" s="5"/>
      <c r="C24" s="24"/>
      <c r="D24" s="24"/>
      <c r="E24" s="24"/>
      <c r="F24" s="24"/>
      <c r="G24" s="5"/>
      <c r="H24" s="5"/>
      <c r="I24" s="5"/>
      <c r="J24" s="5"/>
      <c r="K24" s="5"/>
      <c r="L24" s="5"/>
      <c r="M24" s="5"/>
      <c r="N24" s="5"/>
    </row>
    <row r="25" spans="1:14" x14ac:dyDescent="0.25">
      <c r="A25" s="20"/>
      <c r="B25" s="5"/>
      <c r="C25" s="24"/>
      <c r="D25" s="24"/>
      <c r="E25" s="24"/>
      <c r="F25" s="24"/>
      <c r="G25" s="5"/>
      <c r="H25" s="5"/>
      <c r="I25" s="5"/>
      <c r="J25" s="5"/>
      <c r="K25" s="5"/>
      <c r="L25" s="5"/>
      <c r="M25" s="5"/>
      <c r="N25" s="5"/>
    </row>
    <row r="26" spans="1:14" x14ac:dyDescent="0.25">
      <c r="A26" s="20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x14ac:dyDescent="0.25">
      <c r="A27" s="20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 x14ac:dyDescent="0.25">
      <c r="A28" s="20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 x14ac:dyDescent="0.25">
      <c r="A29" s="20"/>
      <c r="B29" s="5"/>
      <c r="C29" s="24"/>
      <c r="D29" s="24"/>
      <c r="E29" s="24"/>
      <c r="F29" s="24"/>
      <c r="G29" s="5"/>
      <c r="H29" s="5"/>
      <c r="I29" s="5"/>
      <c r="J29" s="5"/>
      <c r="K29" s="5"/>
      <c r="L29" s="5"/>
      <c r="M29" s="5"/>
      <c r="N29" s="5"/>
    </row>
    <row r="30" spans="1:14" x14ac:dyDescent="0.25">
      <c r="A30" s="20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s="25" customFormat="1" x14ac:dyDescent="0.25">
      <c r="A31" s="32"/>
      <c r="B31" s="40" t="e">
        <f>SUBTOTAL(101,AdminWindows[Niv. Requis])</f>
        <v>#DIV/0!</v>
      </c>
      <c r="C31" s="33" t="e">
        <f>SUBTOTAL(101,AdminWindows[oct-12])</f>
        <v>#DIV/0!</v>
      </c>
      <c r="D31" s="33" t="e">
        <f>SUBTOTAL(101,AdminWindows[janv-13])</f>
        <v>#DIV/0!</v>
      </c>
      <c r="E31" s="33" t="e">
        <f>SUBTOTAL(101,AdminWindows[avr-13])</f>
        <v>#DIV/0!</v>
      </c>
      <c r="F31" s="33" t="e">
        <f>SUBTOTAL(101,AdminWindows[juil-13])</f>
        <v>#DIV/0!</v>
      </c>
      <c r="G31" s="33" t="e">
        <f>SUBTOTAL(101,AdminWindows[oct-13])</f>
        <v>#DIV/0!</v>
      </c>
      <c r="H31" s="33" t="e">
        <f>SUBTOTAL(101,AdminWindows[janv-14])</f>
        <v>#DIV/0!</v>
      </c>
      <c r="I31" s="33" t="e">
        <f>SUBTOTAL(101,AdminWindows[avr-14])</f>
        <v>#DIV/0!</v>
      </c>
      <c r="J31" s="33" t="e">
        <f>SUBTOTAL(101,AdminWindows[juil-14])</f>
        <v>#DIV/0!</v>
      </c>
      <c r="K31" s="33" t="e">
        <f>SUBTOTAL(101,AdminWindows[oct-14])</f>
        <v>#DIV/0!</v>
      </c>
      <c r="L31" s="33" t="e">
        <f>SUBTOTAL(101,AdminWindows[janv-15])</f>
        <v>#DIV/0!</v>
      </c>
      <c r="M31" s="33" t="e">
        <f>SUBTOTAL(101,AdminWindows[avr-15])</f>
        <v>#DIV/0!</v>
      </c>
      <c r="N31" s="33" t="e">
        <f>SUBTOTAL(101,AdminWindows[juil-15])</f>
        <v>#DIV/0!</v>
      </c>
    </row>
    <row r="32" spans="1:14" ht="30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</row>
    <row r="33" spans="1:14" ht="50.1" customHeight="1" x14ac:dyDescent="0.25">
      <c r="A33" s="1" t="s">
        <v>28</v>
      </c>
      <c r="B33" s="30" t="s">
        <v>21</v>
      </c>
      <c r="C33" s="30" t="s">
        <v>7</v>
      </c>
      <c r="D33" s="30" t="s">
        <v>8</v>
      </c>
      <c r="E33" s="30" t="s">
        <v>9</v>
      </c>
      <c r="F33" s="19" t="s">
        <v>10</v>
      </c>
      <c r="G33" s="19" t="s">
        <v>11</v>
      </c>
      <c r="H33" s="19" t="s">
        <v>16</v>
      </c>
      <c r="I33" s="19" t="s">
        <v>17</v>
      </c>
      <c r="J33" s="19" t="s">
        <v>18</v>
      </c>
      <c r="K33" s="19" t="s">
        <v>19</v>
      </c>
      <c r="L33" s="19" t="s">
        <v>25</v>
      </c>
      <c r="M33" s="19" t="s">
        <v>26</v>
      </c>
      <c r="N33" s="19" t="s">
        <v>27</v>
      </c>
    </row>
    <row r="34" spans="1:14" s="25" customFormat="1" x14ac:dyDescent="0.25">
      <c r="A34" s="27"/>
      <c r="B34" s="5"/>
      <c r="C34" s="24"/>
      <c r="D34" s="24"/>
      <c r="E34" s="24"/>
      <c r="F34" s="24"/>
      <c r="G34" s="5"/>
      <c r="H34" s="5"/>
      <c r="I34" s="5"/>
      <c r="J34" s="5"/>
      <c r="K34" s="5"/>
      <c r="L34" s="5"/>
      <c r="M34" s="5"/>
      <c r="N34" s="5"/>
    </row>
    <row r="35" spans="1:14" x14ac:dyDescent="0.25">
      <c r="A35" s="20"/>
      <c r="B35" s="5"/>
      <c r="C35" s="24"/>
      <c r="D35" s="24"/>
      <c r="E35" s="24"/>
      <c r="F35" s="24"/>
      <c r="G35" s="5"/>
      <c r="H35" s="5"/>
      <c r="I35" s="5"/>
      <c r="J35" s="5"/>
      <c r="K35" s="5"/>
      <c r="L35" s="5"/>
      <c r="M35" s="5"/>
      <c r="N35" s="5"/>
    </row>
    <row r="36" spans="1:14" s="25" customFormat="1" x14ac:dyDescent="0.25">
      <c r="A36" s="27"/>
      <c r="B36" s="5"/>
      <c r="C36" s="24"/>
      <c r="D36" s="24"/>
      <c r="E36" s="24"/>
      <c r="F36" s="24"/>
      <c r="G36" s="5"/>
      <c r="H36" s="5"/>
      <c r="I36" s="5"/>
      <c r="J36" s="5"/>
      <c r="K36" s="5"/>
      <c r="L36" s="5"/>
      <c r="M36" s="5"/>
      <c r="N36" s="5"/>
    </row>
    <row r="37" spans="1:14" s="25" customFormat="1" x14ac:dyDescent="0.25">
      <c r="A37" s="20"/>
      <c r="B37" s="5"/>
      <c r="C37" s="24"/>
      <c r="D37" s="24"/>
      <c r="E37" s="24"/>
      <c r="F37" s="24"/>
      <c r="G37" s="5"/>
      <c r="H37" s="5"/>
      <c r="I37" s="5"/>
      <c r="J37" s="5"/>
      <c r="K37" s="5"/>
      <c r="L37" s="5"/>
      <c r="M37" s="5"/>
      <c r="N37" s="5"/>
    </row>
    <row r="38" spans="1:14" x14ac:dyDescent="0.25">
      <c r="A38" s="20"/>
      <c r="B38" s="5"/>
      <c r="C38" s="24"/>
      <c r="D38" s="24"/>
      <c r="E38" s="24"/>
      <c r="F38" s="24"/>
      <c r="G38" s="5"/>
      <c r="H38" s="5"/>
      <c r="I38" s="5"/>
      <c r="J38" s="5"/>
      <c r="K38" s="5"/>
      <c r="L38" s="5"/>
      <c r="M38" s="5"/>
      <c r="N38" s="5"/>
    </row>
    <row r="39" spans="1:14" s="25" customFormat="1" x14ac:dyDescent="0.25">
      <c r="A39" s="27"/>
      <c r="B39" s="5"/>
      <c r="C39" s="24"/>
      <c r="D39" s="24"/>
      <c r="E39" s="24"/>
      <c r="F39" s="24"/>
      <c r="G39" s="5"/>
      <c r="H39" s="5"/>
      <c r="I39" s="5"/>
      <c r="J39" s="5"/>
      <c r="K39" s="5"/>
      <c r="L39" s="5"/>
      <c r="M39" s="5"/>
      <c r="N39" s="5"/>
    </row>
    <row r="40" spans="1:14" x14ac:dyDescent="0.25">
      <c r="A40" s="20"/>
      <c r="B40" s="5"/>
      <c r="C40" s="24"/>
      <c r="D40" s="24"/>
      <c r="E40" s="24"/>
      <c r="F40" s="24"/>
      <c r="G40" s="5"/>
      <c r="H40" s="5"/>
      <c r="I40" s="5"/>
      <c r="J40" s="5"/>
      <c r="K40" s="5"/>
      <c r="L40" s="5"/>
      <c r="M40" s="5"/>
      <c r="N40" s="5"/>
    </row>
    <row r="41" spans="1:14" x14ac:dyDescent="0.25">
      <c r="A41" s="27"/>
      <c r="B41" s="5"/>
      <c r="C41" s="24"/>
      <c r="D41" s="24"/>
      <c r="E41" s="24"/>
      <c r="F41" s="24"/>
      <c r="G41" s="5"/>
      <c r="H41" s="5"/>
      <c r="I41" s="5"/>
      <c r="J41" s="5"/>
      <c r="K41" s="5"/>
      <c r="L41" s="5"/>
      <c r="M41" s="5"/>
      <c r="N41" s="5"/>
    </row>
    <row r="42" spans="1:14" s="25" customFormat="1" x14ac:dyDescent="0.25">
      <c r="A42" s="27"/>
      <c r="B42" s="5"/>
      <c r="C42" s="24"/>
      <c r="D42" s="24"/>
      <c r="E42" s="24"/>
      <c r="F42" s="24"/>
      <c r="G42" s="5"/>
      <c r="H42" s="5"/>
      <c r="I42" s="5"/>
      <c r="J42" s="5"/>
      <c r="K42" s="5"/>
      <c r="L42" s="5"/>
      <c r="M42" s="5"/>
      <c r="N42" s="5"/>
    </row>
    <row r="43" spans="1:14" s="25" customFormat="1" x14ac:dyDescent="0.25">
      <c r="A43" s="20"/>
      <c r="B43" s="5"/>
      <c r="C43" s="24"/>
      <c r="D43" s="24"/>
      <c r="E43" s="24"/>
      <c r="F43" s="24"/>
      <c r="G43" s="5"/>
      <c r="H43" s="5"/>
      <c r="I43" s="5"/>
      <c r="J43" s="5"/>
      <c r="K43" s="5"/>
      <c r="L43" s="5"/>
      <c r="M43" s="5"/>
      <c r="N43" s="5"/>
    </row>
    <row r="44" spans="1:14" s="25" customFormat="1" x14ac:dyDescent="0.25">
      <c r="A44" s="27"/>
      <c r="B44" s="5"/>
      <c r="C44" s="24"/>
      <c r="D44" s="24"/>
      <c r="E44" s="24"/>
      <c r="F44" s="24"/>
      <c r="G44" s="5"/>
      <c r="H44" s="5"/>
      <c r="I44" s="5"/>
      <c r="J44" s="5"/>
      <c r="K44" s="5"/>
      <c r="L44" s="5"/>
      <c r="M44" s="5"/>
      <c r="N44" s="5"/>
    </row>
    <row r="45" spans="1:14" s="25" customFormat="1" x14ac:dyDescent="0.25">
      <c r="A45" s="20"/>
      <c r="B45" s="5"/>
      <c r="C45" s="24"/>
      <c r="D45" s="24"/>
      <c r="E45" s="24"/>
      <c r="F45" s="24"/>
      <c r="G45" s="5"/>
      <c r="H45" s="5"/>
      <c r="I45" s="5"/>
      <c r="J45" s="5"/>
      <c r="K45" s="5"/>
      <c r="L45" s="5"/>
      <c r="M45" s="5"/>
      <c r="N45" s="5"/>
    </row>
    <row r="46" spans="1:14" x14ac:dyDescent="0.25">
      <c r="A46" s="20"/>
      <c r="B46" s="5"/>
      <c r="C46" s="24"/>
      <c r="D46" s="24"/>
      <c r="E46" s="24"/>
      <c r="F46" s="24"/>
      <c r="G46" s="5"/>
      <c r="H46" s="5"/>
      <c r="I46" s="5"/>
      <c r="J46" s="5"/>
      <c r="K46" s="5"/>
      <c r="L46" s="5"/>
      <c r="M46" s="5"/>
      <c r="N46" s="5"/>
    </row>
    <row r="47" spans="1:14" x14ac:dyDescent="0.25">
      <c r="A47" s="27"/>
      <c r="B47" s="5"/>
      <c r="C47" s="24"/>
      <c r="D47" s="24"/>
      <c r="E47" s="24"/>
      <c r="F47" s="24"/>
      <c r="G47" s="5"/>
      <c r="H47" s="5"/>
      <c r="I47" s="5"/>
      <c r="J47" s="5"/>
      <c r="K47" s="5"/>
      <c r="L47" s="5"/>
      <c r="M47" s="5"/>
      <c r="N47" s="5"/>
    </row>
    <row r="48" spans="1:14" s="25" customFormat="1" x14ac:dyDescent="0.25">
      <c r="A48" s="27"/>
      <c r="B48" s="5"/>
      <c r="C48" s="24"/>
      <c r="D48" s="24"/>
      <c r="E48" s="24"/>
      <c r="F48" s="24"/>
      <c r="G48" s="5"/>
      <c r="H48" s="5"/>
      <c r="I48" s="5"/>
      <c r="J48" s="5"/>
      <c r="K48" s="5"/>
      <c r="L48" s="5"/>
      <c r="M48" s="5"/>
      <c r="N48" s="5"/>
    </row>
    <row r="49" spans="1:14" s="25" customFormat="1" x14ac:dyDescent="0.25">
      <c r="A49" s="32"/>
      <c r="B49" s="32" t="e">
        <f>SUBTOTAL(101,Applicatif[Niv. Requis])</f>
        <v>#DIV/0!</v>
      </c>
      <c r="C49" s="25" t="e">
        <f>SUBTOTAL(101,Applicatif[oct-12])</f>
        <v>#DIV/0!</v>
      </c>
      <c r="D49" s="25" t="e">
        <f>SUBTOTAL(101,Applicatif[janv-13])</f>
        <v>#DIV/0!</v>
      </c>
      <c r="E49" s="25" t="e">
        <f>SUBTOTAL(101,Applicatif[avr-13])</f>
        <v>#DIV/0!</v>
      </c>
      <c r="F49" t="e">
        <f>SUBTOTAL(101,Applicatif[juil-13])</f>
        <v>#DIV/0!</v>
      </c>
      <c r="G49" t="e">
        <f>SUBTOTAL(101,Applicatif[oct-13])</f>
        <v>#DIV/0!</v>
      </c>
      <c r="H49" t="e">
        <f>SUBTOTAL(101,Applicatif[janv-14])</f>
        <v>#DIV/0!</v>
      </c>
      <c r="I49" t="e">
        <f>SUBTOTAL(101,Applicatif[avr-14])</f>
        <v>#DIV/0!</v>
      </c>
      <c r="J49" t="e">
        <f>SUBTOTAL(101,Applicatif[juil-14])</f>
        <v>#DIV/0!</v>
      </c>
      <c r="K49" t="e">
        <f>SUBTOTAL(101,Applicatif[oct-14])</f>
        <v>#DIV/0!</v>
      </c>
      <c r="L49" t="e">
        <f>SUBTOTAL(101,Applicatif[janv-15])</f>
        <v>#DIV/0!</v>
      </c>
      <c r="M49" t="e">
        <f>SUBTOTAL(101,Applicatif[avr-15])</f>
        <v>#DIV/0!</v>
      </c>
      <c r="N49" t="e">
        <f>SUBTOTAL(101,Applicatif[juil-15])</f>
        <v>#DIV/0!</v>
      </c>
    </row>
    <row r="50" spans="1:14" ht="30" customHeight="1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</row>
    <row r="51" spans="1:14" ht="50.1" customHeight="1" x14ac:dyDescent="0.25">
      <c r="A51" s="35" t="s">
        <v>29</v>
      </c>
      <c r="B51" s="36" t="s">
        <v>21</v>
      </c>
      <c r="C51" s="48" t="s">
        <v>7</v>
      </c>
      <c r="D51" s="48" t="s">
        <v>8</v>
      </c>
      <c r="E51" s="48" t="s">
        <v>9</v>
      </c>
      <c r="F51" s="37" t="s">
        <v>10</v>
      </c>
      <c r="G51" s="37" t="s">
        <v>11</v>
      </c>
      <c r="H51" s="37" t="s">
        <v>16</v>
      </c>
      <c r="I51" s="37" t="s">
        <v>17</v>
      </c>
      <c r="J51" s="37" t="s">
        <v>18</v>
      </c>
      <c r="K51" s="37" t="s">
        <v>19</v>
      </c>
      <c r="L51" s="37" t="s">
        <v>25</v>
      </c>
      <c r="M51" s="37" t="s">
        <v>26</v>
      </c>
      <c r="N51" s="37" t="s">
        <v>27</v>
      </c>
    </row>
    <row r="52" spans="1:14" x14ac:dyDescent="0.25">
      <c r="A52" s="38"/>
      <c r="B52" s="5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</row>
    <row r="53" spans="1:14" x14ac:dyDescent="0.25">
      <c r="A53" s="38"/>
      <c r="B53" s="5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</row>
    <row r="54" spans="1:14" x14ac:dyDescent="0.25">
      <c r="A54" s="38"/>
      <c r="B54" s="5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</row>
    <row r="55" spans="1:14" s="1" customFormat="1" ht="15" customHeight="1" x14ac:dyDescent="0.25">
      <c r="A55" s="44"/>
      <c r="B55" s="45" t="e">
        <f>SUBTOTAL(101,Deploiement[Niv. Requis])</f>
        <v>#DIV/0!</v>
      </c>
      <c r="C55" s="46" t="e">
        <f>SUBTOTAL(101,Deploiement[oct-12])</f>
        <v>#DIV/0!</v>
      </c>
      <c r="D55" s="46" t="e">
        <f>SUBTOTAL(101,Deploiement[janv-13])</f>
        <v>#DIV/0!</v>
      </c>
      <c r="E55" s="46" t="e">
        <f>SUBTOTAL(101,Deploiement[avr-13])</f>
        <v>#DIV/0!</v>
      </c>
      <c r="F55" s="46" t="e">
        <f>SUBTOTAL(101,Deploiement[juil-13])</f>
        <v>#DIV/0!</v>
      </c>
      <c r="G55" s="46" t="e">
        <f>SUBTOTAL(101,Deploiement[oct-13])</f>
        <v>#DIV/0!</v>
      </c>
      <c r="H55" s="46" t="e">
        <f>SUBTOTAL(101,Deploiement[janv-14])</f>
        <v>#DIV/0!</v>
      </c>
      <c r="I55" s="46" t="e">
        <f>SUBTOTAL(101,Deploiement[avr-14])</f>
        <v>#DIV/0!</v>
      </c>
      <c r="J55" s="46" t="e">
        <f>SUBTOTAL(101,Deploiement[juil-14])</f>
        <v>#DIV/0!</v>
      </c>
      <c r="K55" s="46" t="e">
        <f>SUBTOTAL(101,Deploiement[oct-14])</f>
        <v>#DIV/0!</v>
      </c>
      <c r="L55" s="46" t="e">
        <f>SUBTOTAL(101,Deploiement[janv-15])</f>
        <v>#DIV/0!</v>
      </c>
      <c r="M55" s="46" t="e">
        <f>SUBTOTAL(101,Deploiement[avr-15])</f>
        <v>#DIV/0!</v>
      </c>
      <c r="N55" s="46" t="e">
        <f>SUBTOTAL(101,Deploiement[juil-15])</f>
        <v>#DIV/0!</v>
      </c>
    </row>
    <row r="56" spans="1:14" ht="30" customHeight="1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</row>
    <row r="57" spans="1:14" ht="50.1" customHeight="1" x14ac:dyDescent="0.25">
      <c r="A57" s="1" t="s">
        <v>30</v>
      </c>
      <c r="B57" s="31" t="s">
        <v>21</v>
      </c>
      <c r="C57" s="31" t="s">
        <v>7</v>
      </c>
      <c r="D57" s="31" t="s">
        <v>8</v>
      </c>
      <c r="E57" s="31" t="s">
        <v>9</v>
      </c>
      <c r="F57" s="19" t="s">
        <v>10</v>
      </c>
      <c r="G57" s="19" t="s">
        <v>11</v>
      </c>
      <c r="H57" s="19" t="s">
        <v>16</v>
      </c>
      <c r="I57" s="19" t="s">
        <v>17</v>
      </c>
      <c r="J57" s="19" t="s">
        <v>18</v>
      </c>
      <c r="K57" s="19" t="s">
        <v>19</v>
      </c>
      <c r="L57" s="19" t="s">
        <v>25</v>
      </c>
      <c r="M57" s="19" t="s">
        <v>26</v>
      </c>
      <c r="N57" s="19" t="s">
        <v>27</v>
      </c>
    </row>
    <row r="58" spans="1:14" x14ac:dyDescent="0.25">
      <c r="A58" s="20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 x14ac:dyDescent="0.25">
      <c r="A59" s="20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x14ac:dyDescent="0.25">
      <c r="A60" s="20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x14ac:dyDescent="0.25">
      <c r="A61" s="20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x14ac:dyDescent="0.25">
      <c r="A62" s="20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x14ac:dyDescent="0.25">
      <c r="A63" s="20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 s="25" customFormat="1" x14ac:dyDescent="0.25">
      <c r="A64" s="20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1:14" s="25" customFormat="1" x14ac:dyDescent="0.25">
      <c r="A65" s="20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1:14" s="21" customFormat="1" x14ac:dyDescent="0.25">
      <c r="A66" s="32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1:14" s="1" customFormat="1" ht="15" customHeight="1" x14ac:dyDescent="0.25">
      <c r="A67" s="32"/>
      <c r="B67" s="47" t="e">
        <f>SUBTOTAL(101,Exploitation[Niv. Requis])</f>
        <v>#DIV/0!</v>
      </c>
      <c r="C67" s="33" t="e">
        <f>SUBTOTAL(101,Exploitation[oct-12])</f>
        <v>#DIV/0!</v>
      </c>
      <c r="D67" s="33" t="e">
        <f>SUBTOTAL(101,Exploitation[janv-13])</f>
        <v>#DIV/0!</v>
      </c>
      <c r="E67" s="33" t="e">
        <f>SUBTOTAL(101,Exploitation[avr-13])</f>
        <v>#DIV/0!</v>
      </c>
      <c r="F67" s="33" t="e">
        <f>SUBTOTAL(101,Exploitation[juil-13])</f>
        <v>#DIV/0!</v>
      </c>
      <c r="G67" s="33" t="e">
        <f>SUBTOTAL(101,Exploitation[oct-13])</f>
        <v>#DIV/0!</v>
      </c>
      <c r="H67" s="33" t="e">
        <f>SUBTOTAL(101,Exploitation[janv-14])</f>
        <v>#DIV/0!</v>
      </c>
      <c r="I67" s="33" t="e">
        <f>SUBTOTAL(101,Exploitation[avr-14])</f>
        <v>#DIV/0!</v>
      </c>
      <c r="J67" s="33" t="e">
        <f>SUBTOTAL(101,Exploitation[juil-14])</f>
        <v>#DIV/0!</v>
      </c>
      <c r="K67" s="33" t="e">
        <f>SUBTOTAL(101,Exploitation[oct-14])</f>
        <v>#DIV/0!</v>
      </c>
      <c r="L67" s="33" t="e">
        <f>SUBTOTAL(101,Exploitation[janv-15])</f>
        <v>#DIV/0!</v>
      </c>
      <c r="M67" s="33" t="e">
        <f>SUBTOTAL(101,Exploitation[avr-15])</f>
        <v>#DIV/0!</v>
      </c>
      <c r="N67" s="33" t="e">
        <f>SUBTOTAL(101,Exploitation[juil-15])</f>
        <v>#DIV/0!</v>
      </c>
    </row>
    <row r="68" spans="1:14" s="25" customFormat="1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ht="30" customHeight="1" x14ac:dyDescent="0.25">
      <c r="A69" s="1" t="s">
        <v>31</v>
      </c>
      <c r="B69" s="30" t="s">
        <v>21</v>
      </c>
      <c r="C69" s="30" t="s">
        <v>7</v>
      </c>
      <c r="D69" s="30" t="s">
        <v>8</v>
      </c>
      <c r="E69" s="30" t="s">
        <v>9</v>
      </c>
      <c r="F69" s="19" t="s">
        <v>10</v>
      </c>
      <c r="G69" s="19" t="s">
        <v>11</v>
      </c>
      <c r="H69" s="19" t="s">
        <v>16</v>
      </c>
      <c r="I69" s="19" t="s">
        <v>17</v>
      </c>
      <c r="J69" s="19" t="s">
        <v>18</v>
      </c>
      <c r="K69" s="19" t="s">
        <v>19</v>
      </c>
      <c r="L69" s="19" t="s">
        <v>25</v>
      </c>
      <c r="M69" s="19" t="s">
        <v>26</v>
      </c>
      <c r="N69" s="19" t="s">
        <v>27</v>
      </c>
    </row>
    <row r="70" spans="1:14" ht="15" customHeight="1" x14ac:dyDescent="0.25">
      <c r="A70" s="20"/>
      <c r="B70" s="5"/>
      <c r="C70" s="24"/>
      <c r="D70" s="24"/>
      <c r="E70" s="24"/>
      <c r="F70" s="24"/>
      <c r="G70" s="5"/>
      <c r="H70" s="5"/>
      <c r="I70" s="5"/>
      <c r="J70" s="5"/>
      <c r="K70" s="5"/>
      <c r="L70" s="5"/>
      <c r="M70" s="5"/>
      <c r="N70" s="5"/>
    </row>
    <row r="71" spans="1:14" x14ac:dyDescent="0.25">
      <c r="A71" s="20"/>
      <c r="B71" s="5"/>
      <c r="C71" s="24"/>
      <c r="D71" s="24"/>
      <c r="E71" s="24"/>
      <c r="F71" s="24"/>
      <c r="G71" s="5"/>
      <c r="H71" s="5"/>
      <c r="I71" s="5"/>
      <c r="J71" s="5"/>
      <c r="K71" s="5"/>
      <c r="L71" s="5"/>
      <c r="M71" s="5"/>
      <c r="N71" s="5"/>
    </row>
    <row r="72" spans="1:14" x14ac:dyDescent="0.25">
      <c r="A72" s="20"/>
      <c r="B72" s="5"/>
      <c r="C72" s="24"/>
      <c r="D72" s="24"/>
      <c r="E72" s="24"/>
      <c r="F72" s="24"/>
      <c r="G72" s="5"/>
      <c r="H72" s="5"/>
      <c r="I72" s="5"/>
      <c r="J72" s="5"/>
      <c r="K72" s="5"/>
      <c r="L72" s="5"/>
      <c r="M72" s="5"/>
      <c r="N72" s="5"/>
    </row>
    <row r="73" spans="1:14" x14ac:dyDescent="0.25">
      <c r="A73" s="32"/>
      <c r="B73" s="5"/>
      <c r="C73" s="41"/>
      <c r="D73" s="41"/>
      <c r="E73" s="41"/>
      <c r="F73" s="24"/>
      <c r="G73" s="5"/>
      <c r="H73" s="5"/>
      <c r="I73" s="5"/>
      <c r="J73" s="5"/>
      <c r="K73" s="5"/>
      <c r="L73" s="5"/>
      <c r="M73" s="5"/>
      <c r="N73" s="5"/>
    </row>
    <row r="74" spans="1:14" x14ac:dyDescent="0.25">
      <c r="A74" s="20"/>
      <c r="B74" s="5"/>
      <c r="C74" s="24"/>
      <c r="D74" s="24"/>
      <c r="E74" s="24"/>
      <c r="F74" s="24"/>
      <c r="G74" s="5"/>
      <c r="H74" s="5"/>
      <c r="I74" s="5"/>
      <c r="J74" s="5"/>
      <c r="K74" s="5"/>
      <c r="L74" s="5"/>
      <c r="M74" s="5"/>
      <c r="N74" s="5"/>
    </row>
    <row r="75" spans="1:14" x14ac:dyDescent="0.25">
      <c r="A75" s="20"/>
      <c r="B75" s="5"/>
      <c r="C75" s="24"/>
      <c r="D75" s="24"/>
      <c r="E75" s="24"/>
      <c r="F75" s="24"/>
      <c r="G75" s="5"/>
      <c r="H75" s="5"/>
      <c r="I75" s="5"/>
      <c r="J75" s="5"/>
      <c r="K75" s="5"/>
      <c r="L75" s="5"/>
      <c r="M75" s="5"/>
      <c r="N75" s="5"/>
    </row>
    <row r="76" spans="1:14" x14ac:dyDescent="0.25">
      <c r="A76" s="20"/>
      <c r="B76" s="5"/>
      <c r="C76" s="24"/>
      <c r="D76" s="24"/>
      <c r="E76" s="24"/>
      <c r="F76" s="24"/>
      <c r="G76" s="5"/>
      <c r="H76" s="5"/>
      <c r="I76" s="5"/>
      <c r="J76" s="5"/>
      <c r="K76" s="5"/>
      <c r="L76" s="5"/>
      <c r="M76" s="5"/>
      <c r="N76" s="5"/>
    </row>
    <row r="77" spans="1:14" s="25" customFormat="1" x14ac:dyDescent="0.25">
      <c r="A77" s="20"/>
      <c r="B77" s="5"/>
      <c r="C77" s="24"/>
      <c r="D77" s="24"/>
      <c r="E77" s="24"/>
      <c r="F77" s="24"/>
      <c r="G77" s="5"/>
      <c r="H77" s="5"/>
      <c r="I77" s="5"/>
      <c r="J77" s="5"/>
      <c r="K77" s="5"/>
      <c r="L77" s="5"/>
      <c r="M77" s="5"/>
      <c r="N77" s="5"/>
    </row>
    <row r="78" spans="1:14" s="25" customFormat="1" x14ac:dyDescent="0.25">
      <c r="A78" s="20"/>
      <c r="B78" s="5"/>
      <c r="C78" s="24"/>
      <c r="D78" s="24"/>
      <c r="E78" s="24"/>
      <c r="F78" s="24"/>
      <c r="G78" s="5"/>
      <c r="H78" s="5"/>
      <c r="I78" s="5"/>
      <c r="J78" s="5"/>
      <c r="K78" s="5"/>
      <c r="L78" s="5"/>
      <c r="M78" s="5"/>
      <c r="N78" s="5"/>
    </row>
    <row r="79" spans="1:14" s="25" customFormat="1" x14ac:dyDescent="0.25">
      <c r="A79" s="20"/>
      <c r="B79" s="5"/>
      <c r="C79" s="24"/>
      <c r="D79" s="24"/>
      <c r="E79" s="24"/>
      <c r="F79" s="24"/>
      <c r="G79" s="5"/>
      <c r="H79" s="5"/>
      <c r="I79" s="5"/>
      <c r="J79" s="5"/>
      <c r="K79" s="5"/>
      <c r="L79" s="5"/>
      <c r="M79" s="5"/>
      <c r="N79" s="5"/>
    </row>
    <row r="80" spans="1:14" x14ac:dyDescent="0.25">
      <c r="A80" s="20"/>
      <c r="B80" s="5"/>
      <c r="C80" s="24"/>
      <c r="D80" s="24"/>
      <c r="E80" s="24"/>
      <c r="F80" s="24"/>
      <c r="G80" s="5"/>
      <c r="H80" s="5"/>
      <c r="I80" s="5"/>
      <c r="J80" s="5"/>
      <c r="K80" s="5"/>
      <c r="L80" s="5"/>
      <c r="M80" s="5"/>
      <c r="N80" s="5"/>
    </row>
    <row r="81" spans="1:14" x14ac:dyDescent="0.25">
      <c r="A81" s="20"/>
      <c r="B81" s="5"/>
      <c r="C81" s="24"/>
      <c r="D81" s="24"/>
      <c r="E81" s="24"/>
      <c r="F81" s="24"/>
      <c r="G81" s="5"/>
      <c r="H81" s="5"/>
      <c r="I81" s="5"/>
      <c r="J81" s="5"/>
      <c r="K81" s="5"/>
      <c r="L81" s="5"/>
      <c r="M81" s="5"/>
      <c r="N81" s="5"/>
    </row>
    <row r="82" spans="1:14" x14ac:dyDescent="0.25">
      <c r="A82" s="20"/>
      <c r="B82" s="5"/>
      <c r="C82" s="24"/>
      <c r="D82" s="24"/>
      <c r="E82" s="24"/>
      <c r="F82" s="24"/>
      <c r="G82" s="5"/>
      <c r="H82" s="5"/>
      <c r="I82" s="5"/>
      <c r="J82" s="5"/>
      <c r="K82" s="5"/>
      <c r="L82" s="5"/>
      <c r="M82" s="5"/>
      <c r="N82" s="5"/>
    </row>
    <row r="83" spans="1:14" ht="15" customHeight="1" x14ac:dyDescent="0.25">
      <c r="A83" s="20"/>
      <c r="B83" s="5"/>
      <c r="C83" s="24"/>
      <c r="D83" s="24"/>
      <c r="E83" s="24"/>
      <c r="F83" s="24"/>
      <c r="G83" s="5"/>
      <c r="H83" s="5"/>
      <c r="I83" s="5"/>
      <c r="J83" s="5"/>
      <c r="K83" s="5"/>
      <c r="L83" s="5"/>
      <c r="M83" s="5"/>
      <c r="N83" s="5"/>
    </row>
    <row r="84" spans="1:14" ht="15" customHeight="1" x14ac:dyDescent="0.25">
      <c r="A84" s="20"/>
      <c r="B84" s="5"/>
      <c r="C84" s="24"/>
      <c r="D84" s="24"/>
      <c r="E84" s="24"/>
      <c r="F84" s="24"/>
      <c r="G84" s="5"/>
      <c r="H84" s="5"/>
      <c r="I84" s="5"/>
      <c r="J84" s="5"/>
      <c r="K84" s="5"/>
      <c r="L84" s="5"/>
      <c r="M84" s="5"/>
      <c r="N84" s="5"/>
    </row>
    <row r="85" spans="1:14" ht="15" customHeight="1" x14ac:dyDescent="0.25">
      <c r="A85" s="20"/>
      <c r="B85" s="5"/>
      <c r="C85" s="24"/>
      <c r="D85" s="24"/>
      <c r="E85" s="24"/>
      <c r="F85" s="24"/>
      <c r="G85" s="5"/>
      <c r="H85" s="5"/>
      <c r="I85" s="5"/>
      <c r="J85" s="5"/>
      <c r="K85" s="5"/>
      <c r="L85" s="5"/>
      <c r="M85" s="5"/>
      <c r="N85" s="5"/>
    </row>
    <row r="86" spans="1:14" ht="15" customHeight="1" x14ac:dyDescent="0.25">
      <c r="A86" s="32"/>
      <c r="B86" s="32" t="e">
        <f>SUBTOTAL(101,Infrastructure[Niv. Requis])</f>
        <v>#DIV/0!</v>
      </c>
      <c r="C86" s="25" t="e">
        <f>SUBTOTAL(101,Infrastructure[oct-12])</f>
        <v>#DIV/0!</v>
      </c>
      <c r="D86" s="25" t="e">
        <f>SUBTOTAL(101,Infrastructure[janv-13])</f>
        <v>#DIV/0!</v>
      </c>
      <c r="E86" s="25" t="e">
        <f>SUBTOTAL(101,Infrastructure[avr-13])</f>
        <v>#DIV/0!</v>
      </c>
      <c r="F86" t="e">
        <f>SUBTOTAL(101,Infrastructure[juil-13])</f>
        <v>#DIV/0!</v>
      </c>
      <c r="G86" t="e">
        <f>SUBTOTAL(101,Infrastructure[oct-13])</f>
        <v>#DIV/0!</v>
      </c>
      <c r="H86" t="e">
        <f>SUBTOTAL(101,Infrastructure[janv-14])</f>
        <v>#DIV/0!</v>
      </c>
      <c r="I86" t="e">
        <f>SUBTOTAL(101,Infrastructure[avr-14])</f>
        <v>#DIV/0!</v>
      </c>
      <c r="J86" t="e">
        <f>SUBTOTAL(101,Infrastructure[juil-14])</f>
        <v>#DIV/0!</v>
      </c>
      <c r="K86" t="e">
        <f>SUBTOTAL(101,Infrastructure[oct-14])</f>
        <v>#DIV/0!</v>
      </c>
      <c r="L86" t="e">
        <f>SUBTOTAL(101,Infrastructure[janv-15])</f>
        <v>#DIV/0!</v>
      </c>
      <c r="M86" t="e">
        <f>SUBTOTAL(101,Infrastructure[avr-15])</f>
        <v>#DIV/0!</v>
      </c>
      <c r="N86" t="e">
        <f>SUBTOTAL(101,Infrastructure[juil-15])</f>
        <v>#DIV/0!</v>
      </c>
    </row>
    <row r="88" spans="1:14" ht="30" customHeight="1" x14ac:dyDescent="0.25">
      <c r="A88" s="1" t="s">
        <v>32</v>
      </c>
      <c r="B88" s="30" t="s">
        <v>21</v>
      </c>
      <c r="C88" s="30" t="s">
        <v>7</v>
      </c>
      <c r="D88" s="30" t="s">
        <v>8</v>
      </c>
      <c r="E88" s="30" t="s">
        <v>9</v>
      </c>
      <c r="F88" s="19" t="s">
        <v>10</v>
      </c>
      <c r="G88" s="19" t="s">
        <v>11</v>
      </c>
      <c r="H88" s="19" t="s">
        <v>16</v>
      </c>
      <c r="I88" s="19" t="s">
        <v>17</v>
      </c>
      <c r="J88" s="19" t="s">
        <v>18</v>
      </c>
      <c r="K88" s="19" t="s">
        <v>19</v>
      </c>
      <c r="L88" s="19" t="s">
        <v>25</v>
      </c>
      <c r="M88" s="19" t="s">
        <v>26</v>
      </c>
      <c r="N88" s="19" t="s">
        <v>27</v>
      </c>
    </row>
    <row r="89" spans="1:14" ht="15" customHeight="1" x14ac:dyDescent="0.25">
      <c r="A89" s="23"/>
      <c r="B89" s="5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</row>
    <row r="90" spans="1:14" ht="15" customHeight="1" x14ac:dyDescent="0.25">
      <c r="A90" s="27"/>
      <c r="B90" s="5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</row>
    <row r="91" spans="1:14" x14ac:dyDescent="0.25">
      <c r="A91" s="20"/>
      <c r="B91" s="5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</row>
    <row r="92" spans="1:14" x14ac:dyDescent="0.25">
      <c r="A92" s="27"/>
      <c r="B92" s="5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</row>
    <row r="93" spans="1:14" x14ac:dyDescent="0.25">
      <c r="A93" s="23"/>
      <c r="B93" s="5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</row>
    <row r="94" spans="1:14" x14ac:dyDescent="0.25">
      <c r="A94" s="27"/>
      <c r="B94" s="5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</row>
    <row r="95" spans="1:14" x14ac:dyDescent="0.25">
      <c r="A95" s="27"/>
      <c r="B95" s="5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</row>
    <row r="96" spans="1:14" s="25" customFormat="1" x14ac:dyDescent="0.25">
      <c r="A96" s="27"/>
      <c r="B96" s="5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</row>
    <row r="97" spans="1:14" s="25" customFormat="1" x14ac:dyDescent="0.25">
      <c r="A97" s="23"/>
      <c r="B97" s="5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</row>
    <row r="98" spans="1:14" s="25" customFormat="1" x14ac:dyDescent="0.25">
      <c r="A98" s="20"/>
      <c r="B98" s="5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</row>
    <row r="99" spans="1:14" s="25" customFormat="1" x14ac:dyDescent="0.25">
      <c r="A99" s="23"/>
      <c r="B99" s="5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</row>
    <row r="100" spans="1:14" s="25" customFormat="1" x14ac:dyDescent="0.25">
      <c r="A100" s="23"/>
      <c r="B100" s="5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</row>
    <row r="101" spans="1:14" x14ac:dyDescent="0.25">
      <c r="A101" s="23"/>
      <c r="B101" s="5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</row>
    <row r="102" spans="1:14" x14ac:dyDescent="0.25">
      <c r="A102" s="23"/>
      <c r="B102" s="5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</row>
    <row r="103" spans="1:14" x14ac:dyDescent="0.25">
      <c r="A103" s="20"/>
      <c r="B103" s="5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</row>
    <row r="104" spans="1:14" ht="15" customHeight="1" x14ac:dyDescent="0.25">
      <c r="A104" s="20"/>
      <c r="B104" s="5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</row>
    <row r="105" spans="1:14" x14ac:dyDescent="0.25">
      <c r="A105" s="23"/>
      <c r="B105" s="5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</row>
    <row r="106" spans="1:14" s="25" customFormat="1" x14ac:dyDescent="0.25">
      <c r="A106" s="20"/>
      <c r="B106" s="5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</row>
    <row r="107" spans="1:14" x14ac:dyDescent="0.25">
      <c r="A107" s="32"/>
      <c r="B107" s="32" t="e">
        <f>SUBTOTAL(101,IIT[Niv. Requis])</f>
        <v>#DIV/0!</v>
      </c>
      <c r="C107" s="47" t="e">
        <f>SUBTOTAL(101,IIT[oct-12])</f>
        <v>#DIV/0!</v>
      </c>
      <c r="D107" s="47" t="e">
        <f>SUBTOTAL(101,IIT[janv-13])</f>
        <v>#DIV/0!</v>
      </c>
      <c r="E107" s="47" t="e">
        <f>SUBTOTAL(101,IIT[avr-13])</f>
        <v>#DIV/0!</v>
      </c>
      <c r="F107" s="47" t="e">
        <f>SUBTOTAL(101,IIT[juil-13])</f>
        <v>#DIV/0!</v>
      </c>
      <c r="G107" s="47" t="e">
        <f>SUBTOTAL(101,IIT[oct-13])</f>
        <v>#DIV/0!</v>
      </c>
      <c r="H107" s="47" t="e">
        <f>SUBTOTAL(101,IIT[janv-14])</f>
        <v>#DIV/0!</v>
      </c>
      <c r="I107" s="47" t="e">
        <f>SUBTOTAL(101,IIT[avr-14])</f>
        <v>#DIV/0!</v>
      </c>
      <c r="J107" s="47" t="e">
        <f>SUBTOTAL(101,IIT[juil-14])</f>
        <v>#DIV/0!</v>
      </c>
      <c r="K107" s="47" t="e">
        <f>SUBTOTAL(101,IIT[oct-14])</f>
        <v>#DIV/0!</v>
      </c>
      <c r="L107" s="47" t="e">
        <f>SUBTOTAL(101,IIT[janv-15])</f>
        <v>#DIV/0!</v>
      </c>
      <c r="M107" s="47" t="e">
        <f>SUBTOTAL(101,IIT[avr-15])</f>
        <v>#DIV/0!</v>
      </c>
      <c r="N107" s="47" t="e">
        <f>SUBTOTAL(101,IIT[juil-15])</f>
        <v>#DIV/0!</v>
      </c>
    </row>
    <row r="109" spans="1:14" ht="18.75" x14ac:dyDescent="0.25">
      <c r="A109" s="1" t="s">
        <v>33</v>
      </c>
      <c r="B109" s="30" t="s">
        <v>21</v>
      </c>
      <c r="C109" s="30" t="s">
        <v>7</v>
      </c>
      <c r="D109" s="30" t="s">
        <v>8</v>
      </c>
      <c r="E109" s="30" t="s">
        <v>9</v>
      </c>
      <c r="F109" s="19" t="s">
        <v>10</v>
      </c>
      <c r="G109" s="19" t="s">
        <v>11</v>
      </c>
      <c r="H109" s="19" t="s">
        <v>16</v>
      </c>
      <c r="I109" s="19" t="s">
        <v>17</v>
      </c>
      <c r="J109" s="19" t="s">
        <v>18</v>
      </c>
      <c r="K109" s="19" t="s">
        <v>19</v>
      </c>
      <c r="L109" s="19" t="s">
        <v>25</v>
      </c>
      <c r="M109" s="19" t="s">
        <v>26</v>
      </c>
      <c r="N109" s="19" t="s">
        <v>27</v>
      </c>
    </row>
    <row r="110" spans="1:14" ht="15" customHeight="1" x14ac:dyDescent="0.25">
      <c r="A110" s="20"/>
      <c r="B110" s="5"/>
      <c r="C110" s="24"/>
      <c r="D110" s="24"/>
      <c r="E110" s="24"/>
      <c r="F110" s="24"/>
      <c r="G110" s="5"/>
      <c r="H110" s="5"/>
      <c r="I110" s="5"/>
      <c r="J110" s="5"/>
      <c r="K110" s="5"/>
      <c r="L110" s="5"/>
      <c r="M110" s="5"/>
      <c r="N110" s="5"/>
    </row>
    <row r="111" spans="1:14" ht="15" customHeight="1" x14ac:dyDescent="0.25">
      <c r="A111" s="20"/>
      <c r="B111" s="5"/>
      <c r="C111" s="24"/>
      <c r="D111" s="24"/>
      <c r="E111" s="24"/>
      <c r="F111" s="24"/>
      <c r="G111" s="5"/>
      <c r="H111" s="5"/>
      <c r="I111" s="5"/>
      <c r="J111" s="5"/>
      <c r="K111" s="5"/>
      <c r="L111" s="5"/>
      <c r="M111" s="5"/>
      <c r="N111" s="5"/>
    </row>
    <row r="112" spans="1:14" ht="15" customHeight="1" x14ac:dyDescent="0.25">
      <c r="A112" s="20"/>
      <c r="B112" s="5"/>
      <c r="C112" s="24"/>
      <c r="D112" s="24"/>
      <c r="E112" s="24"/>
      <c r="F112" s="24"/>
      <c r="G112" s="5"/>
      <c r="H112" s="5"/>
      <c r="I112" s="5"/>
      <c r="J112" s="5"/>
      <c r="K112" s="5"/>
      <c r="L112" s="5"/>
      <c r="M112" s="5"/>
      <c r="N112" s="5"/>
    </row>
    <row r="113" spans="1:14" x14ac:dyDescent="0.25">
      <c r="A113" s="27"/>
      <c r="B113" s="5"/>
      <c r="C113" s="24"/>
      <c r="D113" s="24"/>
      <c r="E113" s="24"/>
      <c r="F113" s="24"/>
      <c r="G113" s="5"/>
      <c r="H113" s="5"/>
      <c r="I113" s="5"/>
      <c r="J113" s="5"/>
      <c r="K113" s="5"/>
      <c r="L113" s="5"/>
      <c r="M113" s="5"/>
      <c r="N113" s="5"/>
    </row>
    <row r="114" spans="1:14" x14ac:dyDescent="0.25">
      <c r="A114" s="20"/>
      <c r="B114" s="5"/>
      <c r="C114" s="24"/>
      <c r="D114" s="24"/>
      <c r="E114" s="24"/>
      <c r="F114" s="24"/>
      <c r="G114" s="5"/>
      <c r="H114" s="5"/>
      <c r="I114" s="5"/>
      <c r="J114" s="5"/>
      <c r="K114" s="5"/>
      <c r="L114" s="5"/>
      <c r="M114" s="5"/>
      <c r="N114" s="5"/>
    </row>
    <row r="115" spans="1:14" x14ac:dyDescent="0.25">
      <c r="A115" s="20"/>
      <c r="B115" s="5"/>
      <c r="C115" s="24"/>
      <c r="D115" s="24"/>
      <c r="E115" s="24"/>
      <c r="F115" s="24"/>
      <c r="G115" s="5"/>
      <c r="H115" s="5"/>
      <c r="I115" s="5"/>
      <c r="J115" s="5"/>
      <c r="K115" s="5"/>
      <c r="L115" s="5"/>
      <c r="M115" s="5"/>
      <c r="N115" s="5"/>
    </row>
    <row r="116" spans="1:14" x14ac:dyDescent="0.25">
      <c r="A116" s="20"/>
      <c r="B116" s="5"/>
      <c r="C116" s="24"/>
      <c r="D116" s="24"/>
      <c r="E116" s="24"/>
      <c r="F116" s="24"/>
      <c r="G116" s="5"/>
      <c r="H116" s="5"/>
      <c r="I116" s="5"/>
      <c r="J116" s="5"/>
      <c r="K116" s="5"/>
      <c r="L116" s="5"/>
      <c r="M116" s="5"/>
      <c r="N116" s="5"/>
    </row>
    <row r="117" spans="1:14" x14ac:dyDescent="0.25">
      <c r="A117" s="20"/>
      <c r="B117" s="5"/>
      <c r="C117" s="24"/>
      <c r="D117" s="24"/>
      <c r="E117" s="24"/>
      <c r="F117" s="24"/>
      <c r="G117" s="5"/>
      <c r="H117" s="5"/>
      <c r="I117" s="5"/>
      <c r="J117" s="5"/>
      <c r="K117" s="5"/>
      <c r="L117" s="5"/>
      <c r="M117" s="5"/>
      <c r="N117" s="5"/>
    </row>
    <row r="118" spans="1:14" x14ac:dyDescent="0.25">
      <c r="A118" s="20"/>
      <c r="B118" s="5"/>
      <c r="C118" s="24"/>
      <c r="D118" s="24"/>
      <c r="E118" s="24"/>
      <c r="F118" s="24"/>
      <c r="G118" s="5"/>
      <c r="H118" s="5"/>
      <c r="I118" s="5"/>
      <c r="J118" s="5"/>
      <c r="K118" s="5"/>
      <c r="L118" s="5"/>
      <c r="M118" s="5"/>
      <c r="N118" s="5"/>
    </row>
    <row r="119" spans="1:14" x14ac:dyDescent="0.25">
      <c r="A119" s="32"/>
      <c r="B119" s="32" t="e">
        <f>SUBTOTAL(101,Astreintes[Niv. Requis])</f>
        <v>#DIV/0!</v>
      </c>
      <c r="C119" s="25" t="e">
        <f>SUBTOTAL(101,Astreintes[oct-12])</f>
        <v>#DIV/0!</v>
      </c>
      <c r="D119" s="25" t="e">
        <f>SUBTOTAL(101,Astreintes[janv-13])</f>
        <v>#DIV/0!</v>
      </c>
      <c r="E119" s="25" t="e">
        <f>SUBTOTAL(101,Astreintes[avr-13])</f>
        <v>#DIV/0!</v>
      </c>
      <c r="F119" t="e">
        <f>SUBTOTAL(101,Astreintes[juil-13])</f>
        <v>#DIV/0!</v>
      </c>
      <c r="G119" t="e">
        <f>SUBTOTAL(101,Astreintes[oct-13])</f>
        <v>#DIV/0!</v>
      </c>
      <c r="H119" t="e">
        <f>SUBTOTAL(101,Astreintes[janv-14])</f>
        <v>#DIV/0!</v>
      </c>
      <c r="I119" t="e">
        <f>SUBTOTAL(101,Astreintes[avr-14])</f>
        <v>#DIV/0!</v>
      </c>
      <c r="J119" t="e">
        <f>SUBTOTAL(101,Astreintes[juil-14])</f>
        <v>#DIV/0!</v>
      </c>
      <c r="K119" t="e">
        <f>SUBTOTAL(101,Astreintes[oct-14])</f>
        <v>#DIV/0!</v>
      </c>
      <c r="L119" t="e">
        <f>SUBTOTAL(101,Astreintes[janv-15])</f>
        <v>#DIV/0!</v>
      </c>
      <c r="M119" t="e">
        <f>SUBTOTAL(101,Astreintes[avr-15])</f>
        <v>#DIV/0!</v>
      </c>
      <c r="N119" t="e">
        <f>SUBTOTAL(101,Astreintes[juil-15])</f>
        <v>#DIV/0!</v>
      </c>
    </row>
  </sheetData>
  <mergeCells count="4">
    <mergeCell ref="C4:F4"/>
    <mergeCell ref="J2:K2"/>
    <mergeCell ref="C2:F2"/>
    <mergeCell ref="C3:F3"/>
  </mergeCells>
  <conditionalFormatting sqref="B110:N118 B89:N106 B70:N85 B58:N66 B52:N54 B34:N48 B16:N30">
    <cfRule type="cellIs" dxfId="19" priority="15" operator="equal">
      <formula>4</formula>
    </cfRule>
    <cfRule type="cellIs" dxfId="18" priority="16" operator="equal">
      <formula>3</formula>
    </cfRule>
    <cfRule type="cellIs" dxfId="17" priority="17" operator="equal">
      <formula>2</formula>
    </cfRule>
    <cfRule type="cellIs" dxfId="16" priority="18" operator="equal">
      <formula>1</formula>
    </cfRule>
    <cfRule type="cellIs" dxfId="15" priority="19" operator="equal">
      <formula>0</formula>
    </cfRule>
  </conditionalFormatting>
  <conditionalFormatting sqref="B7:N13">
    <cfRule type="cellIs" dxfId="14" priority="2" operator="between">
      <formula>3.000001</formula>
      <formula>4</formula>
    </cfRule>
    <cfRule type="cellIs" dxfId="13" priority="3" operator="between">
      <formula>2.000001</formula>
      <formula>3</formula>
    </cfRule>
    <cfRule type="cellIs" dxfId="12" priority="12" operator="between">
      <formula>1.0000001</formula>
      <formula>2</formula>
    </cfRule>
    <cfRule type="cellIs" dxfId="11" priority="13" operator="between">
      <formula>0.000001</formula>
      <formula>1</formula>
    </cfRule>
    <cfRule type="cellIs" dxfId="10" priority="14" operator="equal">
      <formula>0</formula>
    </cfRule>
  </conditionalFormatting>
  <dataValidations count="1">
    <dataValidation type="list" allowBlank="1" showInputMessage="1" showErrorMessage="1" sqref="B110:N118 B89:N106 B58:N66 B52:N54 B70:N85 B16:N30 B34:N48">
      <formula1>NivCompetences</formula1>
    </dataValidation>
  </dataValidations>
  <pageMargins left="0.7" right="0.7" top="0.75" bottom="0.75" header="0.3" footer="0.3"/>
  <pageSetup paperSize="9" orientation="portrait" r:id="rId1"/>
  <ignoredErrors>
    <ignoredError sqref="F110:F118 F74:F85 B9 F16:F30 F70:F72 B11:B13" calculatedColumn="1"/>
  </ignoredErrors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 tint="0.499984740745262"/>
  </sheetPr>
  <dimension ref="A1:G6"/>
  <sheetViews>
    <sheetView workbookViewId="0"/>
  </sheetViews>
  <sheetFormatPr baseColWidth="10" defaultRowHeight="15" x14ac:dyDescent="0.25"/>
  <cols>
    <col min="1" max="1" width="3.85546875" customWidth="1"/>
    <col min="2" max="2" width="11.42578125" style="2"/>
    <col min="3" max="3" width="23.7109375" customWidth="1"/>
  </cols>
  <sheetData>
    <row r="1" spans="1:7" s="3" customFormat="1" ht="22.5" customHeight="1" x14ac:dyDescent="0.25">
      <c r="A1" s="4" t="s">
        <v>1</v>
      </c>
      <c r="B1" s="6"/>
      <c r="C1" s="4"/>
      <c r="D1" s="7"/>
      <c r="E1" s="7"/>
      <c r="F1" s="7"/>
      <c r="G1" s="7"/>
    </row>
    <row r="2" spans="1:7" x14ac:dyDescent="0.25">
      <c r="A2" s="12">
        <v>0</v>
      </c>
      <c r="B2" s="13" t="s">
        <v>4</v>
      </c>
      <c r="C2" s="12"/>
    </row>
    <row r="3" spans="1:7" x14ac:dyDescent="0.25">
      <c r="A3" s="8">
        <v>1</v>
      </c>
      <c r="B3" s="9" t="s">
        <v>2</v>
      </c>
      <c r="C3" s="10" t="s">
        <v>3</v>
      </c>
    </row>
    <row r="4" spans="1:7" x14ac:dyDescent="0.25">
      <c r="A4" s="11">
        <v>2</v>
      </c>
      <c r="B4" s="17" t="s">
        <v>5</v>
      </c>
      <c r="C4" s="18" t="s">
        <v>74</v>
      </c>
    </row>
    <row r="5" spans="1:7" x14ac:dyDescent="0.25">
      <c r="A5" s="14">
        <v>3</v>
      </c>
      <c r="B5" s="15" t="s">
        <v>6</v>
      </c>
      <c r="C5" s="16" t="s">
        <v>23</v>
      </c>
    </row>
    <row r="6" spans="1:7" x14ac:dyDescent="0.25">
      <c r="A6" s="42">
        <v>4</v>
      </c>
      <c r="B6" s="43" t="s">
        <v>22</v>
      </c>
      <c r="C6" s="79" t="s">
        <v>75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N54"/>
  <sheetViews>
    <sheetView workbookViewId="0"/>
  </sheetViews>
  <sheetFormatPr baseColWidth="10" defaultRowHeight="15" x14ac:dyDescent="0.25"/>
  <cols>
    <col min="1" max="1" width="55.5703125" style="25" customWidth="1"/>
    <col min="2" max="2" width="8.140625" style="25" customWidth="1"/>
    <col min="3" max="14" width="8.7109375" style="25" customWidth="1"/>
    <col min="15" max="16384" width="11.42578125" style="25"/>
  </cols>
  <sheetData>
    <row r="1" spans="1:14" x14ac:dyDescent="0.2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</row>
    <row r="2" spans="1:14" x14ac:dyDescent="0.25">
      <c r="A2" s="54"/>
      <c r="B2" s="49" t="s">
        <v>12</v>
      </c>
      <c r="C2" s="84" t="s">
        <v>37</v>
      </c>
      <c r="D2" s="84"/>
      <c r="E2" s="84"/>
      <c r="F2" s="84"/>
      <c r="G2" s="50"/>
      <c r="H2" s="49" t="s">
        <v>24</v>
      </c>
      <c r="I2" s="50"/>
      <c r="J2" s="85">
        <v>41177</v>
      </c>
      <c r="K2" s="83"/>
      <c r="L2" s="50"/>
      <c r="M2" s="50"/>
      <c r="N2" s="55"/>
    </row>
    <row r="3" spans="1:14" x14ac:dyDescent="0.25">
      <c r="A3" s="54"/>
      <c r="B3" s="49" t="s">
        <v>13</v>
      </c>
      <c r="C3" s="82" t="s">
        <v>34</v>
      </c>
      <c r="D3" s="82"/>
      <c r="E3" s="82"/>
      <c r="F3" s="82"/>
      <c r="G3" s="50"/>
      <c r="H3" s="50"/>
      <c r="I3" s="50"/>
      <c r="J3" s="50"/>
      <c r="K3" s="50"/>
      <c r="L3" s="50"/>
      <c r="M3" s="50"/>
      <c r="N3" s="55"/>
    </row>
    <row r="4" spans="1:14" x14ac:dyDescent="0.25">
      <c r="A4" s="54"/>
      <c r="B4" s="49" t="s">
        <v>14</v>
      </c>
      <c r="C4" s="82" t="s">
        <v>43</v>
      </c>
      <c r="D4" s="82"/>
      <c r="E4" s="82"/>
      <c r="F4" s="82"/>
      <c r="G4" s="50"/>
      <c r="H4" s="50"/>
      <c r="I4" s="50"/>
      <c r="J4" s="50"/>
      <c r="K4" s="50"/>
      <c r="L4" s="50"/>
      <c r="M4" s="50"/>
      <c r="N4" s="55"/>
    </row>
    <row r="5" spans="1:14" ht="15.75" thickBot="1" x14ac:dyDescent="0.3">
      <c r="A5" s="56"/>
      <c r="B5" s="57"/>
      <c r="C5" s="58"/>
      <c r="D5" s="58"/>
      <c r="E5" s="58"/>
      <c r="F5" s="57"/>
      <c r="G5" s="59"/>
      <c r="H5" s="59"/>
      <c r="I5" s="59"/>
      <c r="J5" s="59"/>
      <c r="K5" s="59"/>
      <c r="L5" s="59"/>
      <c r="M5" s="59"/>
      <c r="N5" s="60"/>
    </row>
    <row r="6" spans="1:14" ht="50.1" customHeight="1" x14ac:dyDescent="0.25">
      <c r="A6" s="5" t="s">
        <v>15</v>
      </c>
      <c r="B6" s="30" t="s">
        <v>20</v>
      </c>
      <c r="C6" s="48" t="s">
        <v>7</v>
      </c>
      <c r="D6" s="48" t="s">
        <v>8</v>
      </c>
      <c r="E6" s="48" t="s">
        <v>9</v>
      </c>
      <c r="F6" s="19" t="s">
        <v>10</v>
      </c>
      <c r="G6" s="19" t="s">
        <v>11</v>
      </c>
      <c r="H6" s="19" t="s">
        <v>16</v>
      </c>
      <c r="I6" s="19" t="s">
        <v>17</v>
      </c>
      <c r="J6" s="19" t="s">
        <v>18</v>
      </c>
      <c r="K6" s="19" t="s">
        <v>19</v>
      </c>
      <c r="L6" s="19" t="s">
        <v>25</v>
      </c>
      <c r="M6" s="19" t="s">
        <v>26</v>
      </c>
      <c r="N6" s="19" t="s">
        <v>27</v>
      </c>
    </row>
    <row r="7" spans="1:14" x14ac:dyDescent="0.25">
      <c r="A7" s="25" t="str">
        <f>AdminWindows5[[#Headers],[Peinture]]</f>
        <v>Peinture</v>
      </c>
      <c r="B7" s="29">
        <f>AdminWindows5[[#Totals],[Niv. Requis]]</f>
        <v>2</v>
      </c>
      <c r="C7" s="29">
        <f>AdminWindows5[[#Totals],[oct-12]]</f>
        <v>1.25</v>
      </c>
      <c r="D7" s="29">
        <f>AdminWindows5[[#Totals],[janv-13]]</f>
        <v>1.75</v>
      </c>
      <c r="E7" s="29" t="e">
        <f>AdminWindows5[[#Totals],[avr-13]]</f>
        <v>#DIV/0!</v>
      </c>
      <c r="F7" s="29" t="e">
        <f>AdminWindows5[[#Totals],[juil-13]]</f>
        <v>#DIV/0!</v>
      </c>
      <c r="G7" s="29" t="e">
        <f>AdminWindows5[[#Totals],[oct-13]]</f>
        <v>#DIV/0!</v>
      </c>
      <c r="H7" s="29" t="e">
        <f>AdminWindows5[[#Totals],[janv-14]]</f>
        <v>#DIV/0!</v>
      </c>
      <c r="I7" s="29" t="e">
        <f>AdminWindows5[[#Totals],[avr-14]]</f>
        <v>#DIV/0!</v>
      </c>
      <c r="J7" s="29" t="e">
        <f>AdminWindows5[[#Totals],[juil-14]]</f>
        <v>#DIV/0!</v>
      </c>
      <c r="K7" s="29" t="e">
        <f>AdminWindows5[[#Totals],[oct-14]]</f>
        <v>#DIV/0!</v>
      </c>
      <c r="L7" s="29" t="e">
        <f>AdminWindows5[[#Totals],[janv-15]]</f>
        <v>#DIV/0!</v>
      </c>
      <c r="M7" s="29" t="e">
        <f>AdminWindows5[[#Totals],[avr-15]]</f>
        <v>#DIV/0!</v>
      </c>
      <c r="N7" s="29" t="e">
        <f>AdminWindows5[[#Totals],[juil-15]]</f>
        <v>#DIV/0!</v>
      </c>
    </row>
    <row r="8" spans="1:14" x14ac:dyDescent="0.25">
      <c r="A8" s="25" t="str">
        <f>Applicatif15[[#Headers],[Cuisine]]</f>
        <v>Cuisine</v>
      </c>
      <c r="B8" s="29">
        <f>Applicatif15[[#Totals],[Niv. Requis]]</f>
        <v>2</v>
      </c>
      <c r="C8" s="29">
        <f>Applicatif15[[#Totals],[oct-12]]</f>
        <v>1</v>
      </c>
      <c r="D8" s="29">
        <f>Applicatif15[[#Totals],[janv-13]]</f>
        <v>1</v>
      </c>
      <c r="E8" s="29" t="e">
        <f>Applicatif15[[#Totals],[avr-13]]</f>
        <v>#DIV/0!</v>
      </c>
      <c r="F8" s="29" t="e">
        <f>Applicatif15[[#Totals],[juil-13]]</f>
        <v>#DIV/0!</v>
      </c>
      <c r="G8" s="29" t="e">
        <f>Applicatif15[[#Totals],[oct-13]]</f>
        <v>#DIV/0!</v>
      </c>
      <c r="H8" s="29" t="e">
        <f>Applicatif15[[#Totals],[janv-14]]</f>
        <v>#DIV/0!</v>
      </c>
      <c r="I8" s="29" t="e">
        <f>Applicatif15[[#Totals],[avr-14]]</f>
        <v>#DIV/0!</v>
      </c>
      <c r="J8" s="29" t="e">
        <f>Applicatif15[[#Totals],[juil-14]]</f>
        <v>#DIV/0!</v>
      </c>
      <c r="K8" s="29" t="e">
        <f>Applicatif15[[#Totals],[oct-14]]</f>
        <v>#DIV/0!</v>
      </c>
      <c r="L8" s="29" t="e">
        <f>Applicatif15[[#Totals],[janv-15]]</f>
        <v>#DIV/0!</v>
      </c>
      <c r="M8" s="29" t="e">
        <f>Applicatif15[[#Totals],[avr-15]]</f>
        <v>#DIV/0!</v>
      </c>
      <c r="N8" s="29" t="e">
        <f>Applicatif15[[#Totals],[juil-15]]</f>
        <v>#DIV/0!</v>
      </c>
    </row>
    <row r="9" spans="1:14" x14ac:dyDescent="0.25">
      <c r="A9" s="25" t="str">
        <f>Deploiement6[[#Headers],[Informatique]]</f>
        <v>Informatique</v>
      </c>
      <c r="B9" s="29">
        <f>Deploiement6[[#Totals],[Niv. Requis]]</f>
        <v>2.8</v>
      </c>
      <c r="C9" s="29">
        <f>Deploiement6[[#Totals],[oct-12]]</f>
        <v>1.8</v>
      </c>
      <c r="D9" s="29">
        <f>Deploiement6[[#Totals],[janv-13]]</f>
        <v>2</v>
      </c>
      <c r="E9" s="29" t="e">
        <f>Deploiement6[[#Totals],[avr-13]]</f>
        <v>#DIV/0!</v>
      </c>
      <c r="F9" s="29" t="e">
        <f>Deploiement6[[#Totals],[juil-13]]</f>
        <v>#DIV/0!</v>
      </c>
      <c r="G9" s="29" t="e">
        <f>Deploiement6[[#Totals],[oct-13]]</f>
        <v>#DIV/0!</v>
      </c>
      <c r="H9" s="29" t="e">
        <f>Deploiement6[[#Totals],[janv-14]]</f>
        <v>#DIV/0!</v>
      </c>
      <c r="I9" s="29" t="e">
        <f>Deploiement6[[#Totals],[avr-14]]</f>
        <v>#DIV/0!</v>
      </c>
      <c r="J9" s="29" t="e">
        <f>Deploiement6[[#Totals],[juil-14]]</f>
        <v>#DIV/0!</v>
      </c>
      <c r="K9" s="29" t="e">
        <f>Deploiement6[[#Totals],[oct-14]]</f>
        <v>#DIV/0!</v>
      </c>
      <c r="L9" s="29" t="e">
        <f>Deploiement6[[#Totals],[janv-15]]</f>
        <v>#DIV/0!</v>
      </c>
      <c r="M9" s="29" t="e">
        <f>Deploiement6[[#Totals],[avr-15]]</f>
        <v>#DIV/0!</v>
      </c>
      <c r="N9" s="29" t="e">
        <f>Deploiement6[[#Totals],[juil-15]]</f>
        <v>#DIV/0!</v>
      </c>
    </row>
    <row r="10" spans="1:14" x14ac:dyDescent="0.25">
      <c r="A10" s="25" t="str">
        <f>Exploitation3[[#Headers],[Mécanique]]</f>
        <v>Mécanique</v>
      </c>
      <c r="B10" s="29">
        <f>Exploitation3[[#Totals],[Niv. Requis]]</f>
        <v>1</v>
      </c>
      <c r="C10" s="29">
        <f>Exploitation3[[#Totals],[oct-12]]</f>
        <v>2</v>
      </c>
      <c r="D10" s="29">
        <f>Exploitation3[[#Totals],[janv-13]]</f>
        <v>2</v>
      </c>
      <c r="E10" s="29" t="e">
        <f>Exploitation3[[#Totals],[avr-13]]</f>
        <v>#DIV/0!</v>
      </c>
      <c r="F10" s="29" t="e">
        <f>Exploitation3[[#Totals],[juil-13]]</f>
        <v>#DIV/0!</v>
      </c>
      <c r="G10" s="29" t="e">
        <f>Exploitation3[[#Totals],[oct-13]]</f>
        <v>#DIV/0!</v>
      </c>
      <c r="H10" s="29" t="e">
        <f>Exploitation3[[#Totals],[janv-14]]</f>
        <v>#DIV/0!</v>
      </c>
      <c r="I10" s="29" t="e">
        <f>Exploitation3[[#Totals],[avr-14]]</f>
        <v>#DIV/0!</v>
      </c>
      <c r="J10" s="29" t="e">
        <f>Exploitation3[[#Totals],[juil-14]]</f>
        <v>#DIV/0!</v>
      </c>
      <c r="K10" s="29" t="e">
        <f>Exploitation3[[#Totals],[oct-14]]</f>
        <v>#DIV/0!</v>
      </c>
      <c r="L10" s="29" t="e">
        <f>Exploitation3[[#Totals],[janv-15]]</f>
        <v>#DIV/0!</v>
      </c>
      <c r="M10" s="29" t="e">
        <f>Exploitation3[[#Totals],[avr-15]]</f>
        <v>#DIV/0!</v>
      </c>
      <c r="N10" s="29" t="e">
        <f>Exploitation3[[#Totals],[juil-15]]</f>
        <v>#DIV/0!</v>
      </c>
    </row>
    <row r="11" spans="1:14" x14ac:dyDescent="0.25">
      <c r="A11" s="25" t="str">
        <f>Infrastructure16[[#Headers],[Jardinage]]</f>
        <v>Jardinage</v>
      </c>
      <c r="B11" s="29">
        <f>Infrastructure16[[#Totals],[Niv. Requis]]</f>
        <v>2.1666666666666665</v>
      </c>
      <c r="C11" s="29">
        <f>Infrastructure16[[#Totals],[oct-12]]</f>
        <v>1.8333333333333333</v>
      </c>
      <c r="D11" s="29">
        <f>Infrastructure16[[#Totals],[janv-13]]</f>
        <v>2</v>
      </c>
      <c r="E11" s="29" t="e">
        <f>Infrastructure16[[#Totals],[avr-13]]</f>
        <v>#DIV/0!</v>
      </c>
      <c r="F11" s="29" t="e">
        <f>Infrastructure16[[#Totals],[juil-13]]</f>
        <v>#DIV/0!</v>
      </c>
      <c r="G11" s="29" t="e">
        <f>Infrastructure16[[#Totals],[oct-13]]</f>
        <v>#DIV/0!</v>
      </c>
      <c r="H11" s="29" t="e">
        <f>Infrastructure16[[#Totals],[janv-14]]</f>
        <v>#DIV/0!</v>
      </c>
      <c r="I11" s="29" t="e">
        <f>Infrastructure16[[#Totals],[avr-14]]</f>
        <v>#DIV/0!</v>
      </c>
      <c r="J11" s="29" t="e">
        <f>Infrastructure16[[#Totals],[juil-14]]</f>
        <v>#DIV/0!</v>
      </c>
      <c r="K11" s="29" t="e">
        <f>Infrastructure16[[#Totals],[oct-14]]</f>
        <v>#DIV/0!</v>
      </c>
      <c r="L11" s="29" t="e">
        <f>Infrastructure16[[#Totals],[janv-15]]</f>
        <v>#DIV/0!</v>
      </c>
      <c r="M11" s="29" t="e">
        <f>Infrastructure16[[#Totals],[avr-15]]</f>
        <v>#DIV/0!</v>
      </c>
      <c r="N11" s="29" t="e">
        <f>Infrastructure16[[#Totals],[juil-15]]</f>
        <v>#DIV/0!</v>
      </c>
    </row>
    <row r="13" spans="1:14" ht="30" x14ac:dyDescent="0.25">
      <c r="A13" s="1" t="s">
        <v>44</v>
      </c>
      <c r="B13" s="30" t="s">
        <v>21</v>
      </c>
      <c r="C13" s="30" t="s">
        <v>7</v>
      </c>
      <c r="D13" s="30" t="s">
        <v>8</v>
      </c>
      <c r="E13" s="30" t="s">
        <v>9</v>
      </c>
      <c r="F13" s="19" t="s">
        <v>10</v>
      </c>
      <c r="G13" s="19" t="s">
        <v>11</v>
      </c>
      <c r="H13" s="19" t="s">
        <v>16</v>
      </c>
      <c r="I13" s="19" t="s">
        <v>17</v>
      </c>
      <c r="J13" s="19" t="s">
        <v>18</v>
      </c>
      <c r="K13" s="19" t="s">
        <v>19</v>
      </c>
      <c r="L13" s="19" t="s">
        <v>25</v>
      </c>
      <c r="M13" s="19" t="s">
        <v>26</v>
      </c>
      <c r="N13" s="19" t="s">
        <v>27</v>
      </c>
    </row>
    <row r="14" spans="1:14" x14ac:dyDescent="0.25">
      <c r="A14" s="25" t="s">
        <v>64</v>
      </c>
      <c r="B14" s="5">
        <v>2</v>
      </c>
      <c r="C14" s="5">
        <v>2</v>
      </c>
      <c r="D14" s="5">
        <v>2</v>
      </c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x14ac:dyDescent="0.25">
      <c r="A15" s="25" t="s">
        <v>65</v>
      </c>
      <c r="B15" s="5">
        <v>2</v>
      </c>
      <c r="C15" s="5">
        <v>2</v>
      </c>
      <c r="D15" s="5">
        <v>2</v>
      </c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x14ac:dyDescent="0.25">
      <c r="A16" s="25" t="s">
        <v>66</v>
      </c>
      <c r="B16" s="5">
        <v>2</v>
      </c>
      <c r="C16" s="5">
        <v>1</v>
      </c>
      <c r="D16" s="5">
        <v>2</v>
      </c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x14ac:dyDescent="0.25">
      <c r="A17" s="25" t="s">
        <v>67</v>
      </c>
      <c r="B17" s="5">
        <v>2</v>
      </c>
      <c r="C17" s="34">
        <v>0</v>
      </c>
      <c r="D17" s="5">
        <v>1</v>
      </c>
      <c r="E17" s="34"/>
      <c r="F17" s="5"/>
      <c r="G17" s="5"/>
      <c r="H17" s="5"/>
      <c r="I17" s="5"/>
      <c r="J17" s="5"/>
      <c r="K17" s="5"/>
      <c r="L17" s="5"/>
      <c r="M17" s="5"/>
      <c r="N17" s="5"/>
    </row>
    <row r="18" spans="1:14" x14ac:dyDescent="0.25">
      <c r="A18" s="20"/>
      <c r="B18" s="74">
        <f>SUBTOTAL(101,AdminWindows5[Niv. Requis])</f>
        <v>2</v>
      </c>
      <c r="C18" s="75">
        <f>SUBTOTAL(101,AdminWindows5[oct-12])</f>
        <v>1.25</v>
      </c>
      <c r="D18" s="75">
        <f>SUBTOTAL(101,AdminWindows5[janv-13])</f>
        <v>1.75</v>
      </c>
      <c r="E18" s="75" t="e">
        <f>SUBTOTAL(101,AdminWindows5[avr-13])</f>
        <v>#DIV/0!</v>
      </c>
      <c r="F18" s="75" t="e">
        <f>SUBTOTAL(101,AdminWindows5[juil-13])</f>
        <v>#DIV/0!</v>
      </c>
      <c r="G18" s="75" t="e">
        <f>SUBTOTAL(101,AdminWindows5[oct-13])</f>
        <v>#DIV/0!</v>
      </c>
      <c r="H18" s="75" t="e">
        <f>SUBTOTAL(101,AdminWindows5[janv-14])</f>
        <v>#DIV/0!</v>
      </c>
      <c r="I18" s="75" t="e">
        <f>SUBTOTAL(101,AdminWindows5[avr-14])</f>
        <v>#DIV/0!</v>
      </c>
      <c r="J18" s="75" t="e">
        <f>SUBTOTAL(101,AdminWindows5[juil-14])</f>
        <v>#DIV/0!</v>
      </c>
      <c r="K18" s="75" t="e">
        <f>SUBTOTAL(101,AdminWindows5[oct-14])</f>
        <v>#DIV/0!</v>
      </c>
      <c r="L18" s="75" t="e">
        <f>SUBTOTAL(101,AdminWindows5[janv-15])</f>
        <v>#DIV/0!</v>
      </c>
      <c r="M18" s="75" t="e">
        <f>SUBTOTAL(101,AdminWindows5[avr-15])</f>
        <v>#DIV/0!</v>
      </c>
      <c r="N18" s="75" t="e">
        <f>SUBTOTAL(101,AdminWindows5[juil-15])</f>
        <v>#DIV/0!</v>
      </c>
    </row>
    <row r="20" spans="1:14" ht="30" x14ac:dyDescent="0.25">
      <c r="A20" s="1" t="s">
        <v>45</v>
      </c>
      <c r="B20" s="30" t="s">
        <v>21</v>
      </c>
      <c r="C20" s="30" t="s">
        <v>7</v>
      </c>
      <c r="D20" s="30" t="s">
        <v>8</v>
      </c>
      <c r="E20" s="30" t="s">
        <v>9</v>
      </c>
      <c r="F20" s="19" t="s">
        <v>10</v>
      </c>
      <c r="G20" s="19" t="s">
        <v>11</v>
      </c>
      <c r="H20" s="19" t="s">
        <v>16</v>
      </c>
      <c r="I20" s="19" t="s">
        <v>17</v>
      </c>
      <c r="J20" s="19" t="s">
        <v>18</v>
      </c>
      <c r="K20" s="19" t="s">
        <v>19</v>
      </c>
      <c r="L20" s="19" t="s">
        <v>25</v>
      </c>
      <c r="M20" s="19" t="s">
        <v>26</v>
      </c>
      <c r="N20" s="19" t="s">
        <v>27</v>
      </c>
    </row>
    <row r="21" spans="1:14" x14ac:dyDescent="0.25">
      <c r="A21" s="25" t="s">
        <v>58</v>
      </c>
      <c r="B21" s="5">
        <v>2</v>
      </c>
      <c r="C21" s="24">
        <v>1</v>
      </c>
      <c r="D21" s="24">
        <v>1</v>
      </c>
      <c r="E21" s="24"/>
      <c r="F21" s="24"/>
      <c r="G21" s="5"/>
      <c r="H21" s="5"/>
      <c r="I21" s="5"/>
      <c r="J21" s="5"/>
      <c r="K21" s="5"/>
      <c r="L21" s="5"/>
      <c r="M21" s="5"/>
      <c r="N21" s="5"/>
    </row>
    <row r="22" spans="1:14" x14ac:dyDescent="0.25">
      <c r="A22" s="25" t="s">
        <v>59</v>
      </c>
      <c r="B22" s="5">
        <v>2</v>
      </c>
      <c r="C22" s="24">
        <v>1</v>
      </c>
      <c r="D22" s="24">
        <v>1</v>
      </c>
      <c r="E22" s="24"/>
      <c r="F22" s="24"/>
      <c r="G22" s="5"/>
      <c r="H22" s="5"/>
      <c r="I22" s="5"/>
      <c r="J22" s="5"/>
      <c r="K22" s="5"/>
      <c r="L22" s="5"/>
      <c r="M22" s="5"/>
      <c r="N22" s="5"/>
    </row>
    <row r="23" spans="1:14" x14ac:dyDescent="0.25">
      <c r="A23" s="25" t="s">
        <v>60</v>
      </c>
      <c r="B23" s="5">
        <v>2</v>
      </c>
      <c r="C23" s="24">
        <v>1</v>
      </c>
      <c r="D23" s="24">
        <v>1</v>
      </c>
      <c r="E23" s="24"/>
      <c r="F23" s="24"/>
      <c r="G23" s="5"/>
      <c r="H23" s="5"/>
      <c r="I23" s="5"/>
      <c r="J23" s="5"/>
      <c r="K23" s="5"/>
      <c r="L23" s="5"/>
      <c r="M23" s="5"/>
      <c r="N23" s="5"/>
    </row>
    <row r="24" spans="1:14" x14ac:dyDescent="0.25">
      <c r="A24" s="25" t="s">
        <v>61</v>
      </c>
      <c r="B24" s="5">
        <v>2</v>
      </c>
      <c r="C24" s="24">
        <v>1</v>
      </c>
      <c r="D24" s="24">
        <v>1</v>
      </c>
      <c r="E24" s="24"/>
      <c r="F24" s="24"/>
      <c r="G24" s="5"/>
      <c r="H24" s="5"/>
      <c r="I24" s="5"/>
      <c r="J24" s="5"/>
      <c r="K24" s="5"/>
      <c r="L24" s="5"/>
      <c r="M24" s="5"/>
      <c r="N24" s="5"/>
    </row>
    <row r="25" spans="1:14" x14ac:dyDescent="0.25">
      <c r="A25" s="25" t="s">
        <v>62</v>
      </c>
      <c r="B25" s="5">
        <v>2</v>
      </c>
      <c r="C25" s="24">
        <v>1</v>
      </c>
      <c r="D25" s="24">
        <v>1</v>
      </c>
      <c r="E25" s="24"/>
      <c r="F25" s="24"/>
      <c r="G25" s="5"/>
      <c r="H25" s="5"/>
      <c r="I25" s="5"/>
      <c r="J25" s="5"/>
      <c r="K25" s="5"/>
      <c r="L25" s="5"/>
      <c r="M25" s="5"/>
      <c r="N25" s="5"/>
    </row>
    <row r="26" spans="1:14" x14ac:dyDescent="0.25">
      <c r="A26" s="25" t="s">
        <v>63</v>
      </c>
      <c r="B26" s="5">
        <v>2</v>
      </c>
      <c r="C26" s="24">
        <v>1</v>
      </c>
      <c r="D26" s="24">
        <v>1</v>
      </c>
      <c r="E26" s="24"/>
      <c r="F26" s="24"/>
      <c r="G26" s="5"/>
      <c r="H26" s="5"/>
      <c r="I26" s="5"/>
      <c r="J26" s="5"/>
      <c r="K26" s="5"/>
      <c r="L26" s="5"/>
      <c r="M26" s="5"/>
      <c r="N26" s="5"/>
    </row>
    <row r="27" spans="1:14" x14ac:dyDescent="0.25">
      <c r="A27" s="20"/>
      <c r="B27" s="20">
        <f>SUBTOTAL(101,Applicatif15[Niv. Requis])</f>
        <v>2</v>
      </c>
      <c r="C27" s="25">
        <f>SUBTOTAL(101,Applicatif15[oct-12])</f>
        <v>1</v>
      </c>
      <c r="D27" s="25">
        <f>SUBTOTAL(101,Applicatif15[janv-13])</f>
        <v>1</v>
      </c>
      <c r="E27" s="25" t="e">
        <f>SUBTOTAL(101,Applicatif15[avr-13])</f>
        <v>#DIV/0!</v>
      </c>
      <c r="F27" s="25" t="e">
        <f>SUBTOTAL(101,Applicatif15[juil-13])</f>
        <v>#DIV/0!</v>
      </c>
      <c r="G27" s="25" t="e">
        <f>SUBTOTAL(101,Applicatif15[oct-13])</f>
        <v>#DIV/0!</v>
      </c>
      <c r="H27" s="25" t="e">
        <f>SUBTOTAL(101,Applicatif15[janv-14])</f>
        <v>#DIV/0!</v>
      </c>
      <c r="I27" s="25" t="e">
        <f>SUBTOTAL(101,Applicatif15[avr-14])</f>
        <v>#DIV/0!</v>
      </c>
      <c r="J27" s="25" t="e">
        <f>SUBTOTAL(101,Applicatif15[juil-14])</f>
        <v>#DIV/0!</v>
      </c>
      <c r="K27" s="25" t="e">
        <f>SUBTOTAL(101,Applicatif15[oct-14])</f>
        <v>#DIV/0!</v>
      </c>
      <c r="L27" s="25" t="e">
        <f>SUBTOTAL(101,Applicatif15[janv-15])</f>
        <v>#DIV/0!</v>
      </c>
      <c r="M27" s="25" t="e">
        <f>SUBTOTAL(101,Applicatif15[avr-15])</f>
        <v>#DIV/0!</v>
      </c>
      <c r="N27" s="25" t="e">
        <f>SUBTOTAL(101,Applicatif15[juil-15])</f>
        <v>#DIV/0!</v>
      </c>
    </row>
    <row r="29" spans="1:14" ht="30" x14ac:dyDescent="0.25">
      <c r="A29" s="35" t="s">
        <v>68</v>
      </c>
      <c r="B29" s="36" t="s">
        <v>21</v>
      </c>
      <c r="C29" s="48" t="s">
        <v>7</v>
      </c>
      <c r="D29" s="48" t="s">
        <v>8</v>
      </c>
      <c r="E29" s="48" t="s">
        <v>9</v>
      </c>
      <c r="F29" s="37" t="s">
        <v>10</v>
      </c>
      <c r="G29" s="37" t="s">
        <v>11</v>
      </c>
      <c r="H29" s="37" t="s">
        <v>16</v>
      </c>
      <c r="I29" s="37" t="s">
        <v>17</v>
      </c>
      <c r="J29" s="37" t="s">
        <v>18</v>
      </c>
      <c r="K29" s="37" t="s">
        <v>19</v>
      </c>
      <c r="L29" s="37" t="s">
        <v>25</v>
      </c>
      <c r="M29" s="37" t="s">
        <v>26</v>
      </c>
      <c r="N29" s="37" t="s">
        <v>27</v>
      </c>
    </row>
    <row r="30" spans="1:14" x14ac:dyDescent="0.25">
      <c r="A30" s="25" t="s">
        <v>69</v>
      </c>
      <c r="B30" s="5">
        <v>3</v>
      </c>
      <c r="C30" s="39">
        <v>2</v>
      </c>
      <c r="D30" s="39">
        <v>2</v>
      </c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1:14" x14ac:dyDescent="0.25">
      <c r="A31" s="25" t="s">
        <v>70</v>
      </c>
      <c r="B31" s="5">
        <v>3</v>
      </c>
      <c r="C31" s="39">
        <v>2</v>
      </c>
      <c r="D31" s="39">
        <v>2</v>
      </c>
      <c r="E31" s="39"/>
      <c r="F31" s="39"/>
      <c r="G31" s="39"/>
      <c r="H31" s="39"/>
      <c r="I31" s="39"/>
      <c r="J31" s="39"/>
      <c r="K31" s="39"/>
      <c r="L31" s="39"/>
      <c r="M31" s="39"/>
      <c r="N31" s="39"/>
    </row>
    <row r="32" spans="1:14" x14ac:dyDescent="0.25">
      <c r="A32" s="25" t="s">
        <v>0</v>
      </c>
      <c r="B32" s="5">
        <v>3</v>
      </c>
      <c r="C32" s="39">
        <v>2</v>
      </c>
      <c r="D32" s="39">
        <v>2</v>
      </c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1:14" x14ac:dyDescent="0.25">
      <c r="A33" s="25" t="s">
        <v>71</v>
      </c>
      <c r="B33" s="46">
        <v>3</v>
      </c>
      <c r="C33" s="46">
        <v>1</v>
      </c>
      <c r="D33" s="46">
        <v>2</v>
      </c>
      <c r="E33" s="46"/>
      <c r="F33" s="46"/>
      <c r="G33" s="46"/>
      <c r="H33" s="46"/>
      <c r="I33" s="46"/>
      <c r="J33" s="46"/>
      <c r="K33" s="46"/>
      <c r="L33" s="46"/>
      <c r="M33" s="46"/>
      <c r="N33" s="46"/>
    </row>
    <row r="34" spans="1:14" x14ac:dyDescent="0.25">
      <c r="A34" s="25" t="s">
        <v>72</v>
      </c>
      <c r="B34" s="46">
        <v>2</v>
      </c>
      <c r="C34" s="46">
        <v>2</v>
      </c>
      <c r="D34" s="46">
        <v>2</v>
      </c>
      <c r="E34" s="46"/>
      <c r="F34" s="46"/>
      <c r="G34" s="46"/>
      <c r="H34" s="46"/>
      <c r="I34" s="46"/>
      <c r="J34" s="46"/>
      <c r="K34" s="46"/>
      <c r="L34" s="46"/>
      <c r="M34" s="46"/>
      <c r="N34" s="46"/>
    </row>
    <row r="35" spans="1:14" s="1" customFormat="1" ht="15" customHeight="1" x14ac:dyDescent="0.25">
      <c r="A35" s="38"/>
      <c r="B35" s="76">
        <f>SUBTOTAL(101,Deploiement6[Niv. Requis])</f>
        <v>2.8</v>
      </c>
      <c r="C35" s="77">
        <f>SUBTOTAL(101,Deploiement6[oct-12])</f>
        <v>1.8</v>
      </c>
      <c r="D35" s="77">
        <f>SUBTOTAL(101,Deploiement6[janv-13])</f>
        <v>2</v>
      </c>
      <c r="E35" s="77" t="e">
        <f>SUBTOTAL(101,Deploiement6[avr-13])</f>
        <v>#DIV/0!</v>
      </c>
      <c r="F35" s="77" t="e">
        <f>SUBTOTAL(101,Deploiement6[juil-13])</f>
        <v>#DIV/0!</v>
      </c>
      <c r="G35" s="77" t="e">
        <f>SUBTOTAL(101,Deploiement6[oct-13])</f>
        <v>#DIV/0!</v>
      </c>
      <c r="H35" s="77" t="e">
        <f>SUBTOTAL(101,Deploiement6[janv-14])</f>
        <v>#DIV/0!</v>
      </c>
      <c r="I35" s="77" t="e">
        <f>SUBTOTAL(101,Deploiement6[avr-14])</f>
        <v>#DIV/0!</v>
      </c>
      <c r="J35" s="77" t="e">
        <f>SUBTOTAL(101,Deploiement6[juil-14])</f>
        <v>#DIV/0!</v>
      </c>
      <c r="K35" s="77" t="e">
        <f>SUBTOTAL(101,Deploiement6[oct-14])</f>
        <v>#DIV/0!</v>
      </c>
      <c r="L35" s="77" t="e">
        <f>SUBTOTAL(101,Deploiement6[janv-15])</f>
        <v>#DIV/0!</v>
      </c>
      <c r="M35" s="77" t="e">
        <f>SUBTOTAL(101,Deploiement6[avr-15])</f>
        <v>#DIV/0!</v>
      </c>
      <c r="N35" s="77" t="e">
        <f>SUBTOTAL(101,Deploiement6[juil-15])</f>
        <v>#DIV/0!</v>
      </c>
    </row>
    <row r="36" spans="1:14" s="1" customFormat="1" ht="1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1:14" s="1" customFormat="1" ht="30" customHeight="1" x14ac:dyDescent="0.25">
      <c r="A37" s="1" t="s">
        <v>46</v>
      </c>
      <c r="B37" s="31" t="s">
        <v>21</v>
      </c>
      <c r="C37" s="31" t="s">
        <v>7</v>
      </c>
      <c r="D37" s="31" t="s">
        <v>8</v>
      </c>
      <c r="E37" s="31" t="s">
        <v>9</v>
      </c>
      <c r="F37" s="19" t="s">
        <v>10</v>
      </c>
      <c r="G37" s="19" t="s">
        <v>11</v>
      </c>
      <c r="H37" s="19" t="s">
        <v>16</v>
      </c>
      <c r="I37" s="19" t="s">
        <v>17</v>
      </c>
      <c r="J37" s="19" t="s">
        <v>18</v>
      </c>
      <c r="K37" s="19" t="s">
        <v>19</v>
      </c>
      <c r="L37" s="19" t="s">
        <v>25</v>
      </c>
      <c r="M37" s="19" t="s">
        <v>26</v>
      </c>
      <c r="N37" s="19" t="s">
        <v>27</v>
      </c>
    </row>
    <row r="38" spans="1:14" x14ac:dyDescent="0.25">
      <c r="A38" s="25" t="s">
        <v>48</v>
      </c>
      <c r="B38" s="5">
        <v>1</v>
      </c>
      <c r="C38" s="5">
        <v>2</v>
      </c>
      <c r="D38" s="5">
        <v>2</v>
      </c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x14ac:dyDescent="0.25">
      <c r="A39" s="25" t="s">
        <v>49</v>
      </c>
      <c r="B39" s="5">
        <v>1</v>
      </c>
      <c r="C39" s="5">
        <v>2</v>
      </c>
      <c r="D39" s="5">
        <v>2</v>
      </c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x14ac:dyDescent="0.25">
      <c r="A40" s="25" t="s">
        <v>50</v>
      </c>
      <c r="B40" s="5">
        <v>1</v>
      </c>
      <c r="C40" s="5">
        <v>2</v>
      </c>
      <c r="D40" s="5">
        <v>2</v>
      </c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x14ac:dyDescent="0.25">
      <c r="A41" s="25" t="s">
        <v>51</v>
      </c>
      <c r="B41" s="5">
        <v>1</v>
      </c>
      <c r="C41" s="5">
        <v>2</v>
      </c>
      <c r="D41" s="5">
        <v>2</v>
      </c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x14ac:dyDescent="0.25">
      <c r="A42" s="25" t="s">
        <v>52</v>
      </c>
      <c r="B42" s="5">
        <v>1</v>
      </c>
      <c r="C42" s="5">
        <v>2</v>
      </c>
      <c r="D42" s="5">
        <v>2</v>
      </c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x14ac:dyDescent="0.25">
      <c r="A43" s="20"/>
      <c r="B43" s="78">
        <f>SUBTOTAL(101,Exploitation3[Niv. Requis])</f>
        <v>1</v>
      </c>
      <c r="C43" s="75">
        <f>SUBTOTAL(101,Exploitation3[oct-12])</f>
        <v>2</v>
      </c>
      <c r="D43" s="75">
        <f>SUBTOTAL(101,Exploitation3[janv-13])</f>
        <v>2</v>
      </c>
      <c r="E43" s="75" t="e">
        <f>SUBTOTAL(101,Exploitation3[avr-13])</f>
        <v>#DIV/0!</v>
      </c>
      <c r="F43" s="75" t="e">
        <f>SUBTOTAL(101,Exploitation3[juil-13])</f>
        <v>#DIV/0!</v>
      </c>
      <c r="G43" s="75" t="e">
        <f>SUBTOTAL(101,Exploitation3[oct-13])</f>
        <v>#DIV/0!</v>
      </c>
      <c r="H43" s="75" t="e">
        <f>SUBTOTAL(101,Exploitation3[janv-14])</f>
        <v>#DIV/0!</v>
      </c>
      <c r="I43" s="75" t="e">
        <f>SUBTOTAL(101,Exploitation3[avr-14])</f>
        <v>#DIV/0!</v>
      </c>
      <c r="J43" s="75" t="e">
        <f>SUBTOTAL(101,Exploitation3[juil-14])</f>
        <v>#DIV/0!</v>
      </c>
      <c r="K43" s="75" t="e">
        <f>SUBTOTAL(101,Exploitation3[oct-14])</f>
        <v>#DIV/0!</v>
      </c>
      <c r="L43" s="75" t="e">
        <f>SUBTOTAL(101,Exploitation3[janv-15])</f>
        <v>#DIV/0!</v>
      </c>
      <c r="M43" s="75" t="e">
        <f>SUBTOTAL(101,Exploitation3[avr-15])</f>
        <v>#DIV/0!</v>
      </c>
      <c r="N43" s="75" t="e">
        <f>SUBTOTAL(101,Exploitation3[juil-15])</f>
        <v>#DIV/0!</v>
      </c>
    </row>
    <row r="45" spans="1:14" s="1" customFormat="1" ht="30" customHeight="1" x14ac:dyDescent="0.25">
      <c r="A45" s="1" t="s">
        <v>47</v>
      </c>
      <c r="B45" s="30" t="s">
        <v>21</v>
      </c>
      <c r="C45" s="30" t="s">
        <v>7</v>
      </c>
      <c r="D45" s="30" t="s">
        <v>8</v>
      </c>
      <c r="E45" s="30" t="s">
        <v>9</v>
      </c>
      <c r="F45" s="19" t="s">
        <v>10</v>
      </c>
      <c r="G45" s="19" t="s">
        <v>11</v>
      </c>
      <c r="H45" s="19" t="s">
        <v>16</v>
      </c>
      <c r="I45" s="19" t="s">
        <v>17</v>
      </c>
      <c r="J45" s="19" t="s">
        <v>18</v>
      </c>
      <c r="K45" s="19" t="s">
        <v>19</v>
      </c>
      <c r="L45" s="19" t="s">
        <v>25</v>
      </c>
      <c r="M45" s="19" t="s">
        <v>26</v>
      </c>
      <c r="N45" s="19" t="s">
        <v>27</v>
      </c>
    </row>
    <row r="46" spans="1:14" x14ac:dyDescent="0.25">
      <c r="A46" s="25" t="s">
        <v>53</v>
      </c>
      <c r="B46" s="5">
        <v>2</v>
      </c>
      <c r="C46" s="24">
        <v>2</v>
      </c>
      <c r="D46" s="24">
        <v>2</v>
      </c>
      <c r="E46" s="24"/>
      <c r="F46" s="24"/>
      <c r="G46" s="5"/>
      <c r="H46" s="5"/>
      <c r="I46" s="5"/>
      <c r="J46" s="5"/>
      <c r="K46" s="5"/>
      <c r="L46" s="5"/>
      <c r="M46" s="5"/>
      <c r="N46" s="5"/>
    </row>
    <row r="47" spans="1:14" x14ac:dyDescent="0.25">
      <c r="A47" s="25" t="s">
        <v>54</v>
      </c>
      <c r="B47" s="5">
        <v>2</v>
      </c>
      <c r="C47" s="24">
        <v>2</v>
      </c>
      <c r="D47" s="24">
        <v>2</v>
      </c>
      <c r="E47" s="24"/>
      <c r="F47" s="24"/>
      <c r="G47" s="5"/>
      <c r="H47" s="5"/>
      <c r="I47" s="5"/>
      <c r="J47" s="5"/>
      <c r="K47" s="5"/>
      <c r="L47" s="5"/>
      <c r="M47" s="5"/>
      <c r="N47" s="5"/>
    </row>
    <row r="48" spans="1:14" ht="15" customHeight="1" x14ac:dyDescent="0.25">
      <c r="A48" s="25" t="s">
        <v>55</v>
      </c>
      <c r="B48" s="5">
        <v>2</v>
      </c>
      <c r="C48" s="24">
        <v>2</v>
      </c>
      <c r="D48" s="24">
        <v>2</v>
      </c>
      <c r="E48" s="24"/>
      <c r="F48" s="24"/>
      <c r="G48" s="5"/>
      <c r="H48" s="5"/>
      <c r="I48" s="5"/>
      <c r="J48" s="5"/>
      <c r="K48" s="5"/>
      <c r="L48" s="5"/>
      <c r="M48" s="5"/>
      <c r="N48" s="5"/>
    </row>
    <row r="49" spans="1:14" x14ac:dyDescent="0.25">
      <c r="A49" s="25" t="s">
        <v>56</v>
      </c>
      <c r="B49" s="5">
        <v>3</v>
      </c>
      <c r="C49" s="24">
        <v>2</v>
      </c>
      <c r="D49" s="24">
        <v>2</v>
      </c>
      <c r="E49" s="41"/>
      <c r="F49" s="24"/>
      <c r="G49" s="5"/>
      <c r="H49" s="5"/>
      <c r="I49" s="5"/>
      <c r="J49" s="5"/>
      <c r="K49" s="5"/>
      <c r="L49" s="5"/>
      <c r="M49" s="5"/>
      <c r="N49" s="5"/>
    </row>
    <row r="50" spans="1:14" x14ac:dyDescent="0.25">
      <c r="A50" s="25" t="s">
        <v>57</v>
      </c>
      <c r="B50" s="5">
        <v>2</v>
      </c>
      <c r="C50" s="24">
        <v>1</v>
      </c>
      <c r="D50" s="24">
        <v>2</v>
      </c>
      <c r="E50" s="24"/>
      <c r="F50" s="24"/>
      <c r="G50" s="5"/>
      <c r="H50" s="5"/>
      <c r="I50" s="5"/>
      <c r="J50" s="5"/>
      <c r="K50" s="5"/>
      <c r="L50" s="5"/>
      <c r="M50" s="5"/>
      <c r="N50" s="5"/>
    </row>
    <row r="51" spans="1:14" x14ac:dyDescent="0.25">
      <c r="A51" s="25" t="s">
        <v>73</v>
      </c>
      <c r="B51" s="5">
        <v>2</v>
      </c>
      <c r="C51" s="24">
        <v>2</v>
      </c>
      <c r="D51" s="24">
        <v>2</v>
      </c>
      <c r="E51" s="24"/>
      <c r="F51" s="24"/>
      <c r="G51" s="5"/>
      <c r="H51" s="5"/>
      <c r="I51" s="5"/>
      <c r="J51" s="5"/>
      <c r="K51" s="5"/>
      <c r="L51" s="5"/>
      <c r="M51" s="5"/>
      <c r="N51" s="5"/>
    </row>
    <row r="52" spans="1:14" x14ac:dyDescent="0.25">
      <c r="A52" s="20"/>
      <c r="B52" s="20">
        <f>SUBTOTAL(101,Infrastructure16[Niv. Requis])</f>
        <v>2.1666666666666665</v>
      </c>
      <c r="C52" s="25">
        <f>SUBTOTAL(101,Infrastructure16[oct-12])</f>
        <v>1.8333333333333333</v>
      </c>
      <c r="D52" s="25">
        <f>SUBTOTAL(101,Infrastructure16[janv-13])</f>
        <v>2</v>
      </c>
      <c r="E52" s="25" t="e">
        <f>SUBTOTAL(101,Infrastructure16[avr-13])</f>
        <v>#DIV/0!</v>
      </c>
      <c r="F52" s="25" t="e">
        <f>SUBTOTAL(101,Infrastructure16[juil-13])</f>
        <v>#DIV/0!</v>
      </c>
      <c r="G52" s="25" t="e">
        <f>SUBTOTAL(101,Infrastructure16[oct-13])</f>
        <v>#DIV/0!</v>
      </c>
      <c r="H52" s="25" t="e">
        <f>SUBTOTAL(101,Infrastructure16[janv-14])</f>
        <v>#DIV/0!</v>
      </c>
      <c r="I52" s="25" t="e">
        <f>SUBTOTAL(101,Infrastructure16[avr-14])</f>
        <v>#DIV/0!</v>
      </c>
      <c r="J52" s="25" t="e">
        <f>SUBTOTAL(101,Infrastructure16[juil-14])</f>
        <v>#DIV/0!</v>
      </c>
      <c r="K52" s="25" t="e">
        <f>SUBTOTAL(101,Infrastructure16[oct-14])</f>
        <v>#DIV/0!</v>
      </c>
      <c r="L52" s="25" t="e">
        <f>SUBTOTAL(101,Infrastructure16[janv-15])</f>
        <v>#DIV/0!</v>
      </c>
      <c r="M52" s="25" t="e">
        <f>SUBTOTAL(101,Infrastructure16[avr-15])</f>
        <v>#DIV/0!</v>
      </c>
      <c r="N52" s="25" t="e">
        <f>SUBTOTAL(101,Infrastructure16[juil-15])</f>
        <v>#DIV/0!</v>
      </c>
    </row>
    <row r="54" spans="1:14" ht="15" customHeight="1" x14ac:dyDescent="0.25"/>
  </sheetData>
  <mergeCells count="4">
    <mergeCell ref="C2:F2"/>
    <mergeCell ref="J2:K2"/>
    <mergeCell ref="C3:F3"/>
    <mergeCell ref="C4:F4"/>
  </mergeCells>
  <conditionalFormatting sqref="B14:N17 B21:N26 B30:N34 B38:N42 B46:N51">
    <cfRule type="cellIs" dxfId="9" priority="6" operator="equal">
      <formula>4</formula>
    </cfRule>
    <cfRule type="cellIs" dxfId="8" priority="7" operator="equal">
      <formula>3</formula>
    </cfRule>
    <cfRule type="cellIs" dxfId="7" priority="8" operator="equal">
      <formula>2</formula>
    </cfRule>
    <cfRule type="cellIs" dxfId="6" priority="9" operator="equal">
      <formula>1</formula>
    </cfRule>
    <cfRule type="cellIs" dxfId="5" priority="10" operator="equal">
      <formula>0</formula>
    </cfRule>
  </conditionalFormatting>
  <conditionalFormatting sqref="B7:N11">
    <cfRule type="cellIs" dxfId="4" priority="1" operator="between">
      <formula>3.000001</formula>
      <formula>4</formula>
    </cfRule>
    <cfRule type="cellIs" dxfId="3" priority="2" operator="between">
      <formula>2.000001</formula>
      <formula>3</formula>
    </cfRule>
    <cfRule type="cellIs" dxfId="2" priority="3" operator="between">
      <formula>1.0000001</formula>
      <formula>2</formula>
    </cfRule>
    <cfRule type="cellIs" dxfId="1" priority="4" operator="between">
      <formula>0.000001</formula>
      <formula>1</formula>
    </cfRule>
    <cfRule type="cellIs" dxfId="0" priority="5" operator="equal">
      <formula>0</formula>
    </cfRule>
  </conditionalFormatting>
  <dataValidations count="1">
    <dataValidation type="list" allowBlank="1" showInputMessage="1" showErrorMessage="1" sqref="B38:N42 B14:N17 B46:N51 B21:N26 B30:N34">
      <formula1>NivCompetences</formula1>
    </dataValidation>
  </dataValidations>
  <pageMargins left="0.7" right="0.7" top="0.75" bottom="0.75" header="0.3" footer="0.3"/>
  <pageSetup paperSize="9" orientation="portrait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Interface</vt:lpstr>
      <vt:lpstr>Compétences</vt:lpstr>
      <vt:lpstr>MatriceOriginale</vt:lpstr>
      <vt:lpstr>Paramètres</vt:lpstr>
      <vt:lpstr>DURAND Paul</vt:lpstr>
      <vt:lpstr>NivCompetences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cp:lastPrinted>2012-12-28T09:30:16Z</cp:lastPrinted>
  <dcterms:created xsi:type="dcterms:W3CDTF">2012-12-14T14:37:25Z</dcterms:created>
  <dcterms:modified xsi:type="dcterms:W3CDTF">2014-08-29T17:14:48Z</dcterms:modified>
</cp:coreProperties>
</file>