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320" windowHeight="124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8" i="1"/>
  <c r="H17" i="1"/>
  <c r="H36" i="1"/>
  <c r="F4" i="1" l="1"/>
  <c r="G4" i="1" s="1"/>
  <c r="F3" i="1"/>
  <c r="G3" i="1" s="1"/>
  <c r="F2" i="1"/>
  <c r="D50" i="1"/>
  <c r="D49" i="1"/>
  <c r="D48" i="1"/>
  <c r="D47" i="1"/>
  <c r="G2" i="1" l="1"/>
  <c r="D46" i="1"/>
  <c r="H16" i="1" s="1"/>
  <c r="D45" i="1"/>
  <c r="H15" i="1" s="1"/>
  <c r="D44" i="1"/>
  <c r="H37" i="1" s="1"/>
  <c r="D43" i="1"/>
  <c r="H43" i="1" s="1"/>
  <c r="D42" i="1"/>
  <c r="H42" i="1" s="1"/>
  <c r="D41" i="1"/>
  <c r="H30" i="1" s="1"/>
  <c r="D40" i="1"/>
  <c r="D39" i="1"/>
  <c r="H41" i="1" s="1"/>
  <c r="D38" i="1"/>
  <c r="H38" i="1" s="1"/>
  <c r="D37" i="1"/>
  <c r="H33" i="1" s="1"/>
  <c r="D36" i="1"/>
  <c r="H31" i="1" s="1"/>
  <c r="D35" i="1"/>
  <c r="H29" i="1" s="1"/>
  <c r="D34" i="1"/>
  <c r="H25" i="1" s="1"/>
  <c r="D33" i="1"/>
  <c r="H40" i="1" s="1"/>
  <c r="D32" i="1"/>
  <c r="H26" i="1" s="1"/>
  <c r="D31" i="1"/>
  <c r="H13" i="1" s="1"/>
  <c r="D30" i="1"/>
  <c r="D29" i="1"/>
  <c r="H22" i="1" s="1"/>
  <c r="D28" i="1"/>
  <c r="H21" i="1" s="1"/>
  <c r="D27" i="1"/>
  <c r="H19" i="1" s="1"/>
  <c r="D26" i="1"/>
  <c r="H7" i="1" s="1"/>
  <c r="D25" i="1"/>
  <c r="D24" i="1"/>
  <c r="H32" i="1" s="1"/>
  <c r="D23" i="1"/>
  <c r="H6" i="1" s="1"/>
  <c r="D22" i="1"/>
  <c r="H9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J37" i="1" s="1"/>
  <c r="F36" i="1"/>
  <c r="G36" i="1" s="1"/>
  <c r="J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J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J21" i="1" s="1"/>
  <c r="F20" i="1"/>
  <c r="G20" i="1" s="1"/>
  <c r="F19" i="1"/>
  <c r="G19" i="1" s="1"/>
  <c r="F18" i="1"/>
  <c r="G18" i="1" s="1"/>
  <c r="F17" i="1"/>
  <c r="G17" i="1" s="1"/>
  <c r="J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G10" i="1"/>
  <c r="F9" i="1"/>
  <c r="G9" i="1" s="1"/>
  <c r="F8" i="1"/>
  <c r="G8" i="1" s="1"/>
  <c r="J8" i="1" s="1"/>
  <c r="F7" i="1"/>
  <c r="G7" i="1" s="1"/>
  <c r="J7" i="1" s="1"/>
  <c r="F6" i="1"/>
  <c r="G6" i="1" s="1"/>
  <c r="F5" i="1"/>
  <c r="G5" i="1" s="1"/>
  <c r="D3" i="1"/>
  <c r="H27" i="1" s="1"/>
  <c r="D4" i="1"/>
  <c r="H18" i="1" s="1"/>
  <c r="D5" i="1"/>
  <c r="H10" i="1" s="1"/>
  <c r="D6" i="1"/>
  <c r="H5" i="1" s="1"/>
  <c r="D7" i="1"/>
  <c r="H14" i="1" s="1"/>
  <c r="D8" i="1"/>
  <c r="D9" i="1"/>
  <c r="H11" i="1" s="1"/>
  <c r="D10" i="1"/>
  <c r="D11" i="1"/>
  <c r="H20" i="1" s="1"/>
  <c r="D12" i="1"/>
  <c r="H34" i="1" s="1"/>
  <c r="D13" i="1"/>
  <c r="H35" i="1" s="1"/>
  <c r="D14" i="1"/>
  <c r="D15" i="1"/>
  <c r="D16" i="1"/>
  <c r="H28" i="1" s="1"/>
  <c r="D17" i="1"/>
  <c r="H44" i="1" s="1"/>
  <c r="D18" i="1"/>
  <c r="H45" i="1" s="1"/>
  <c r="D19" i="1"/>
  <c r="H24" i="1" s="1"/>
  <c r="D20" i="1"/>
  <c r="H46" i="1" s="1"/>
  <c r="D21" i="1"/>
  <c r="H23" i="1" s="1"/>
  <c r="D2" i="1"/>
  <c r="H12" i="1" s="1"/>
  <c r="J38" i="1" l="1"/>
  <c r="J42" i="1"/>
  <c r="J16" i="1"/>
  <c r="J26" i="1"/>
  <c r="J31" i="1"/>
  <c r="J32" i="1"/>
  <c r="H39" i="1"/>
  <c r="J39" i="1" s="1"/>
  <c r="H3" i="1"/>
  <c r="J3" i="1" s="1"/>
  <c r="H2" i="1"/>
  <c r="J2" i="1" s="1"/>
  <c r="H4" i="1"/>
  <c r="J4" i="1" s="1"/>
  <c r="J12" i="1"/>
  <c r="J44" i="1"/>
  <c r="J9" i="1"/>
  <c r="J25" i="1"/>
  <c r="J33" i="1"/>
  <c r="J22" i="1"/>
  <c r="J15" i="1"/>
  <c r="J28" i="1"/>
  <c r="J40" i="1"/>
  <c r="J11" i="1"/>
  <c r="J19" i="1"/>
  <c r="J23" i="1"/>
  <c r="J27" i="1"/>
  <c r="J35" i="1"/>
  <c r="J43" i="1"/>
  <c r="J20" i="1"/>
  <c r="J5" i="1"/>
  <c r="J13" i="1"/>
  <c r="J29" i="1"/>
  <c r="J41" i="1"/>
  <c r="J45" i="1"/>
  <c r="J24" i="1"/>
  <c r="J6" i="1"/>
  <c r="J10" i="1"/>
  <c r="J14" i="1"/>
  <c r="J18" i="1"/>
  <c r="J34" i="1"/>
  <c r="J46" i="1"/>
</calcChain>
</file>

<file path=xl/sharedStrings.xml><?xml version="1.0" encoding="utf-8"?>
<sst xmlns="http://schemas.openxmlformats.org/spreadsheetml/2006/main" count="154" uniqueCount="77">
  <si>
    <t>Details</t>
  </si>
  <si>
    <t>Station</t>
  </si>
  <si>
    <t>gravity</t>
  </si>
  <si>
    <t>Perception</t>
  </si>
  <si>
    <t>Quotation</t>
  </si>
  <si>
    <t>WIQ</t>
  </si>
  <si>
    <t>BAN</t>
  </si>
  <si>
    <t>LIM</t>
  </si>
  <si>
    <t>ROV</t>
  </si>
  <si>
    <t>STL</t>
  </si>
  <si>
    <t>POP</t>
  </si>
  <si>
    <t>PRR</t>
  </si>
  <si>
    <t>WOA</t>
  </si>
  <si>
    <t>TOG</t>
  </si>
  <si>
    <t>SHA</t>
  </si>
  <si>
    <t>WST</t>
  </si>
  <si>
    <t>Verbal assault</t>
  </si>
  <si>
    <t>etching</t>
  </si>
  <si>
    <t>physical assault</t>
  </si>
  <si>
    <t>grafity</t>
  </si>
  <si>
    <t>pulled door</t>
  </si>
  <si>
    <t>fight</t>
  </si>
  <si>
    <t>drunk passenger</t>
  </si>
  <si>
    <t>revenue dispute</t>
  </si>
  <si>
    <t>spat</t>
  </si>
  <si>
    <t>BTP intervention</t>
  </si>
  <si>
    <t>average gravity</t>
  </si>
  <si>
    <t>ABS</t>
  </si>
  <si>
    <t>ALS</t>
  </si>
  <si>
    <t>BEC</t>
  </si>
  <si>
    <t>BEP</t>
  </si>
  <si>
    <t>BLA</t>
  </si>
  <si>
    <t>BOC</t>
  </si>
  <si>
    <t>CAT</t>
  </si>
  <si>
    <t>CAW</t>
  </si>
  <si>
    <t>CBO</t>
  </si>
  <si>
    <t>CUH</t>
  </si>
  <si>
    <t>CUS</t>
  </si>
  <si>
    <t>CYP</t>
  </si>
  <si>
    <t>DEB</t>
  </si>
  <si>
    <t>DER</t>
  </si>
  <si>
    <t>EAI</t>
  </si>
  <si>
    <t>ELR</t>
  </si>
  <si>
    <t>GAR</t>
  </si>
  <si>
    <t>GRE</t>
  </si>
  <si>
    <t>HEQ</t>
  </si>
  <si>
    <t>ISG</t>
  </si>
  <si>
    <t>KGV</t>
  </si>
  <si>
    <t>LAP</t>
  </si>
  <si>
    <t>LCA</t>
  </si>
  <si>
    <t>LEW</t>
  </si>
  <si>
    <t>MUD</t>
  </si>
  <si>
    <t>PDK</t>
  </si>
  <si>
    <t>PML</t>
  </si>
  <si>
    <t>PPR</t>
  </si>
  <si>
    <t>ROA</t>
  </si>
  <si>
    <t>SHS</t>
  </si>
  <si>
    <t>SOQ</t>
  </si>
  <si>
    <t>STI</t>
  </si>
  <si>
    <t>STR</t>
  </si>
  <si>
    <t>WEH</t>
  </si>
  <si>
    <t>WES</t>
  </si>
  <si>
    <t>verbal assault</t>
  </si>
  <si>
    <t>sleeping vagrant</t>
  </si>
  <si>
    <t>soiled</t>
  </si>
  <si>
    <t>broken window</t>
  </si>
  <si>
    <t>indecent exposure</t>
  </si>
  <si>
    <t>assault with seriously attack</t>
  </si>
  <si>
    <t>steal</t>
  </si>
  <si>
    <t>aggressive passenger</t>
  </si>
  <si>
    <t>no ticket</t>
  </si>
  <si>
    <t>unstable passenger</t>
  </si>
  <si>
    <t>distorbing</t>
  </si>
  <si>
    <t>Incident</t>
  </si>
  <si>
    <t>total incidents</t>
  </si>
  <si>
    <t>Incident calcul</t>
  </si>
  <si>
    <t>http://forum.excel-pratique.com/excel/macro-pour-donner-une-couleur-sur-figure-ovale-t66429.html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</si>
</sst>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14" applyNumberFormat="0" applyFont="0" applyAlignment="0" applyProtection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1" xfId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Fill="1" applyBorder="1"/>
    <xf numFmtId="0" fontId="0" fillId="0" borderId="6" xfId="0" applyFill="1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8" xfId="0" applyNumberFormat="1" applyBorder="1"/>
    <xf numFmtId="0" fontId="0" fillId="0" borderId="3" xfId="0" applyBorder="1" applyAlignment="1">
      <alignment horizontal="center"/>
    </xf>
    <xf numFmtId="0" fontId="0" fillId="0" borderId="11" xfId="0" applyFill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1" fillId="2" borderId="13" xfId="1" applyBorder="1" applyAlignment="1">
      <alignment horizontal="center"/>
    </xf>
    <xf numFmtId="0" fontId="0" fillId="0" borderId="9" xfId="0" applyBorder="1"/>
    <xf numFmtId="0" fontId="0" fillId="0" borderId="4" xfId="0" applyBorder="1"/>
    <xf numFmtId="0" fontId="0" fillId="0" borderId="4" xfId="0" applyFill="1" applyBorder="1"/>
    <xf numFmtId="1" fontId="0" fillId="0" borderId="8" xfId="0" applyNumberFormat="1" applyBorder="1" applyAlignment="1">
      <alignment horizontal="center"/>
    </xf>
    <xf numFmtId="0" fontId="1" fillId="3" borderId="14" xfId="2" applyFont="1" applyAlignment="1">
      <alignment horizontal="center"/>
    </xf>
    <xf numFmtId="0" fontId="0" fillId="3" borderId="14" xfId="2" applyFont="1" applyAlignment="1">
      <alignment horizontal="center"/>
    </xf>
    <xf numFmtId="0" fontId="3" fillId="0" borderId="0" xfId="3"/>
  </cellXfs>
  <cellStyles count="4">
    <cellStyle name="Commentaire" xfId="2" builtinId="10"/>
    <cellStyle name="Lien hypertexte" xfId="3" builtinId="8"/>
    <cellStyle name="Normal" xfId="0" builtinId="0"/>
    <cellStyle name="Vérification" xfId="1" builtinId="23"/>
  </cellStyles>
  <dxfs count="6">
    <dxf>
      <numFmt numFmtId="1" formatCode="0"/>
    </dxf>
    <dxf>
      <fill>
        <patternFill patternType="gray0625">
          <bgColor theme="9"/>
        </patternFill>
      </fill>
    </dxf>
    <dxf>
      <fill>
        <patternFill patternType="gray0625">
          <bgColor theme="4"/>
        </patternFill>
      </fill>
    </dxf>
    <dxf>
      <fill>
        <patternFill patternType="gray0625">
          <bgColor rgb="FFFFFF00"/>
        </patternFill>
      </fill>
    </dxf>
    <dxf>
      <fill>
        <patternFill patternType="gray0625">
          <bgColor theme="5"/>
        </patternFill>
      </fill>
    </dxf>
    <dxf>
      <fill>
        <patternFill patternType="gray0625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88445</xdr:colOff>
      <xdr:row>10</xdr:row>
      <xdr:rowOff>170090</xdr:rowOff>
    </xdr:from>
    <xdr:to>
      <xdr:col>15</xdr:col>
      <xdr:colOff>268445</xdr:colOff>
      <xdr:row>11</xdr:row>
      <xdr:rowOff>139179</xdr:rowOff>
    </xdr:to>
    <xdr:sp macro="" textlink="">
      <xdr:nvSpPr>
        <xdr:cNvPr id="2" name="Oval 1"/>
        <xdr:cNvSpPr/>
      </xdr:nvSpPr>
      <xdr:spPr>
        <a:xfrm>
          <a:off x="18900320" y="2265590"/>
          <a:ext cx="180000" cy="17863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93</a:t>
          </a:r>
        </a:p>
      </xdr:txBody>
    </xdr:sp>
    <xdr:clientData/>
  </xdr:twoCellAnchor>
  <xdr:twoCellAnchor>
    <xdr:from>
      <xdr:col>14</xdr:col>
      <xdr:colOff>176891</xdr:colOff>
      <xdr:row>13</xdr:row>
      <xdr:rowOff>115660</xdr:rowOff>
    </xdr:from>
    <xdr:to>
      <xdr:col>14</xdr:col>
      <xdr:colOff>356891</xdr:colOff>
      <xdr:row>14</xdr:row>
      <xdr:rowOff>84749</xdr:rowOff>
    </xdr:to>
    <xdr:sp macro="" textlink="">
      <xdr:nvSpPr>
        <xdr:cNvPr id="4" name="Oval 3"/>
        <xdr:cNvSpPr/>
      </xdr:nvSpPr>
      <xdr:spPr>
        <a:xfrm>
          <a:off x="17090570" y="2857499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115661</xdr:colOff>
      <xdr:row>15</xdr:row>
      <xdr:rowOff>183697</xdr:rowOff>
    </xdr:from>
    <xdr:to>
      <xdr:col>11</xdr:col>
      <xdr:colOff>295661</xdr:colOff>
      <xdr:row>16</xdr:row>
      <xdr:rowOff>152787</xdr:rowOff>
    </xdr:to>
    <xdr:sp macro="" textlink="">
      <xdr:nvSpPr>
        <xdr:cNvPr id="5" name="Oval 4"/>
        <xdr:cNvSpPr/>
      </xdr:nvSpPr>
      <xdr:spPr>
        <a:xfrm>
          <a:off x="15192375" y="3347358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306160</xdr:colOff>
      <xdr:row>7</xdr:row>
      <xdr:rowOff>6803</xdr:rowOff>
    </xdr:from>
    <xdr:to>
      <xdr:col>19</xdr:col>
      <xdr:colOff>486160</xdr:colOff>
      <xdr:row>7</xdr:row>
      <xdr:rowOff>186803</xdr:rowOff>
    </xdr:to>
    <xdr:sp macro="" textlink="">
      <xdr:nvSpPr>
        <xdr:cNvPr id="6" name="Oval 5"/>
        <xdr:cNvSpPr/>
      </xdr:nvSpPr>
      <xdr:spPr>
        <a:xfrm>
          <a:off x="20281446" y="1483178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333374</xdr:colOff>
      <xdr:row>9</xdr:row>
      <xdr:rowOff>156481</xdr:rowOff>
    </xdr:from>
    <xdr:to>
      <xdr:col>18</xdr:col>
      <xdr:colOff>513374</xdr:colOff>
      <xdr:row>10</xdr:row>
      <xdr:rowOff>125570</xdr:rowOff>
    </xdr:to>
    <xdr:sp macro="" textlink="">
      <xdr:nvSpPr>
        <xdr:cNvPr id="7" name="Oval 6"/>
        <xdr:cNvSpPr/>
      </xdr:nvSpPr>
      <xdr:spPr>
        <a:xfrm>
          <a:off x="19696338" y="2054677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571500</xdr:colOff>
      <xdr:row>15</xdr:row>
      <xdr:rowOff>20410</xdr:rowOff>
    </xdr:from>
    <xdr:to>
      <xdr:col>15</xdr:col>
      <xdr:colOff>139179</xdr:colOff>
      <xdr:row>15</xdr:row>
      <xdr:rowOff>200410</xdr:rowOff>
    </xdr:to>
    <xdr:sp macro="" textlink="">
      <xdr:nvSpPr>
        <xdr:cNvPr id="8" name="Oval 7"/>
        <xdr:cNvSpPr/>
      </xdr:nvSpPr>
      <xdr:spPr>
        <a:xfrm>
          <a:off x="17485179" y="3184071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176892</xdr:colOff>
      <xdr:row>10</xdr:row>
      <xdr:rowOff>61232</xdr:rowOff>
    </xdr:from>
    <xdr:to>
      <xdr:col>14</xdr:col>
      <xdr:colOff>356892</xdr:colOff>
      <xdr:row>11</xdr:row>
      <xdr:rowOff>30321</xdr:rowOff>
    </xdr:to>
    <xdr:sp macro="" textlink="">
      <xdr:nvSpPr>
        <xdr:cNvPr id="9" name="Oval 8"/>
        <xdr:cNvSpPr/>
      </xdr:nvSpPr>
      <xdr:spPr>
        <a:xfrm>
          <a:off x="17090571" y="2170339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415017</xdr:colOff>
      <xdr:row>14</xdr:row>
      <xdr:rowOff>156482</xdr:rowOff>
    </xdr:from>
    <xdr:to>
      <xdr:col>16</xdr:col>
      <xdr:colOff>595017</xdr:colOff>
      <xdr:row>15</xdr:row>
      <xdr:rowOff>125571</xdr:rowOff>
    </xdr:to>
    <xdr:sp macro="" textlink="">
      <xdr:nvSpPr>
        <xdr:cNvPr id="10" name="Oval 9"/>
        <xdr:cNvSpPr/>
      </xdr:nvSpPr>
      <xdr:spPr>
        <a:xfrm>
          <a:off x="18553338" y="3109232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81641</xdr:colOff>
      <xdr:row>17</xdr:row>
      <xdr:rowOff>183695</xdr:rowOff>
    </xdr:from>
    <xdr:to>
      <xdr:col>14</xdr:col>
      <xdr:colOff>261641</xdr:colOff>
      <xdr:row>18</xdr:row>
      <xdr:rowOff>152784</xdr:rowOff>
    </xdr:to>
    <xdr:sp macro="" textlink="">
      <xdr:nvSpPr>
        <xdr:cNvPr id="11" name="Oval 10"/>
        <xdr:cNvSpPr/>
      </xdr:nvSpPr>
      <xdr:spPr>
        <a:xfrm>
          <a:off x="16995320" y="3769177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74840</xdr:colOff>
      <xdr:row>21</xdr:row>
      <xdr:rowOff>81643</xdr:rowOff>
    </xdr:from>
    <xdr:to>
      <xdr:col>14</xdr:col>
      <xdr:colOff>254840</xdr:colOff>
      <xdr:row>22</xdr:row>
      <xdr:rowOff>50732</xdr:rowOff>
    </xdr:to>
    <xdr:sp macro="" textlink="">
      <xdr:nvSpPr>
        <xdr:cNvPr id="12" name="Oval 11"/>
        <xdr:cNvSpPr/>
      </xdr:nvSpPr>
      <xdr:spPr>
        <a:xfrm>
          <a:off x="16988519" y="4510768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367394</xdr:colOff>
      <xdr:row>12</xdr:row>
      <xdr:rowOff>129268</xdr:rowOff>
    </xdr:from>
    <xdr:to>
      <xdr:col>17</xdr:col>
      <xdr:colOff>547394</xdr:colOff>
      <xdr:row>13</xdr:row>
      <xdr:rowOff>98358</xdr:rowOff>
    </xdr:to>
    <xdr:sp macro="" textlink="">
      <xdr:nvSpPr>
        <xdr:cNvPr id="13" name="Oval 12"/>
        <xdr:cNvSpPr/>
      </xdr:nvSpPr>
      <xdr:spPr>
        <a:xfrm>
          <a:off x="19118037" y="2660197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81642</xdr:colOff>
      <xdr:row>25</xdr:row>
      <xdr:rowOff>129267</xdr:rowOff>
    </xdr:from>
    <xdr:to>
      <xdr:col>14</xdr:col>
      <xdr:colOff>261642</xdr:colOff>
      <xdr:row>26</xdr:row>
      <xdr:rowOff>98356</xdr:rowOff>
    </xdr:to>
    <xdr:sp macro="" textlink="">
      <xdr:nvSpPr>
        <xdr:cNvPr id="14" name="Oval 13"/>
        <xdr:cNvSpPr/>
      </xdr:nvSpPr>
      <xdr:spPr>
        <a:xfrm>
          <a:off x="16995321" y="5402035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530679</xdr:colOff>
      <xdr:row>8</xdr:row>
      <xdr:rowOff>176892</xdr:rowOff>
    </xdr:from>
    <xdr:to>
      <xdr:col>19</xdr:col>
      <xdr:colOff>98357</xdr:colOff>
      <xdr:row>9</xdr:row>
      <xdr:rowOff>145982</xdr:rowOff>
    </xdr:to>
    <xdr:sp macro="" textlink="">
      <xdr:nvSpPr>
        <xdr:cNvPr id="15" name="Oval 14"/>
        <xdr:cNvSpPr/>
      </xdr:nvSpPr>
      <xdr:spPr>
        <a:xfrm>
          <a:off x="19893643" y="1864178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88446</xdr:colOff>
      <xdr:row>28</xdr:row>
      <xdr:rowOff>1</xdr:rowOff>
    </xdr:from>
    <xdr:to>
      <xdr:col>14</xdr:col>
      <xdr:colOff>268446</xdr:colOff>
      <xdr:row>28</xdr:row>
      <xdr:rowOff>180001</xdr:rowOff>
    </xdr:to>
    <xdr:sp macro="" textlink="">
      <xdr:nvSpPr>
        <xdr:cNvPr id="16" name="Oval 15"/>
        <xdr:cNvSpPr/>
      </xdr:nvSpPr>
      <xdr:spPr>
        <a:xfrm>
          <a:off x="17002125" y="5905501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176892</xdr:colOff>
      <xdr:row>11</xdr:row>
      <xdr:rowOff>74839</xdr:rowOff>
    </xdr:from>
    <xdr:to>
      <xdr:col>14</xdr:col>
      <xdr:colOff>356892</xdr:colOff>
      <xdr:row>12</xdr:row>
      <xdr:rowOff>43928</xdr:rowOff>
    </xdr:to>
    <xdr:sp macro="" textlink="">
      <xdr:nvSpPr>
        <xdr:cNvPr id="17" name="Oval 16"/>
        <xdr:cNvSpPr/>
      </xdr:nvSpPr>
      <xdr:spPr>
        <a:xfrm>
          <a:off x="17090571" y="2394857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449035</xdr:colOff>
      <xdr:row>15</xdr:row>
      <xdr:rowOff>20411</xdr:rowOff>
    </xdr:from>
    <xdr:to>
      <xdr:col>16</xdr:col>
      <xdr:colOff>16714</xdr:colOff>
      <xdr:row>15</xdr:row>
      <xdr:rowOff>200411</xdr:rowOff>
    </xdr:to>
    <xdr:sp macro="" textlink="">
      <xdr:nvSpPr>
        <xdr:cNvPr id="18" name="Oval 17"/>
        <xdr:cNvSpPr/>
      </xdr:nvSpPr>
      <xdr:spPr>
        <a:xfrm>
          <a:off x="17975035" y="3184072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88446</xdr:colOff>
      <xdr:row>29</xdr:row>
      <xdr:rowOff>47625</xdr:rowOff>
    </xdr:from>
    <xdr:to>
      <xdr:col>14</xdr:col>
      <xdr:colOff>268446</xdr:colOff>
      <xdr:row>30</xdr:row>
      <xdr:rowOff>16715</xdr:rowOff>
    </xdr:to>
    <xdr:sp macro="" textlink="">
      <xdr:nvSpPr>
        <xdr:cNvPr id="19" name="Oval 18"/>
        <xdr:cNvSpPr/>
      </xdr:nvSpPr>
      <xdr:spPr>
        <a:xfrm>
          <a:off x="17002125" y="6164036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108857</xdr:colOff>
      <xdr:row>7</xdr:row>
      <xdr:rowOff>183697</xdr:rowOff>
    </xdr:from>
    <xdr:to>
      <xdr:col>19</xdr:col>
      <xdr:colOff>288857</xdr:colOff>
      <xdr:row>8</xdr:row>
      <xdr:rowOff>152786</xdr:rowOff>
    </xdr:to>
    <xdr:sp macro="" textlink="">
      <xdr:nvSpPr>
        <xdr:cNvPr id="20" name="Oval 19"/>
        <xdr:cNvSpPr/>
      </xdr:nvSpPr>
      <xdr:spPr>
        <a:xfrm>
          <a:off x="20084143" y="1660072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81643</xdr:colOff>
      <xdr:row>26</xdr:row>
      <xdr:rowOff>170088</xdr:rowOff>
    </xdr:from>
    <xdr:to>
      <xdr:col>14</xdr:col>
      <xdr:colOff>261643</xdr:colOff>
      <xdr:row>27</xdr:row>
      <xdr:rowOff>139178</xdr:rowOff>
    </xdr:to>
    <xdr:sp macro="" textlink="">
      <xdr:nvSpPr>
        <xdr:cNvPr id="21" name="Oval 20"/>
        <xdr:cNvSpPr/>
      </xdr:nvSpPr>
      <xdr:spPr>
        <a:xfrm>
          <a:off x="16995322" y="5653767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74839</xdr:colOff>
      <xdr:row>19</xdr:row>
      <xdr:rowOff>20410</xdr:rowOff>
    </xdr:from>
    <xdr:to>
      <xdr:col>14</xdr:col>
      <xdr:colOff>254839</xdr:colOff>
      <xdr:row>19</xdr:row>
      <xdr:rowOff>200410</xdr:rowOff>
    </xdr:to>
    <xdr:sp macro="" textlink="">
      <xdr:nvSpPr>
        <xdr:cNvPr id="22" name="Oval 21"/>
        <xdr:cNvSpPr/>
      </xdr:nvSpPr>
      <xdr:spPr>
        <a:xfrm>
          <a:off x="16988518" y="4027714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81642</xdr:colOff>
      <xdr:row>23</xdr:row>
      <xdr:rowOff>163287</xdr:rowOff>
    </xdr:from>
    <xdr:to>
      <xdr:col>14</xdr:col>
      <xdr:colOff>261642</xdr:colOff>
      <xdr:row>24</xdr:row>
      <xdr:rowOff>132376</xdr:rowOff>
    </xdr:to>
    <xdr:sp macro="" textlink="">
      <xdr:nvSpPr>
        <xdr:cNvPr id="23" name="Oval 22"/>
        <xdr:cNvSpPr/>
      </xdr:nvSpPr>
      <xdr:spPr>
        <a:xfrm>
          <a:off x="16995321" y="5014233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299358</xdr:colOff>
      <xdr:row>19</xdr:row>
      <xdr:rowOff>115660</xdr:rowOff>
    </xdr:from>
    <xdr:to>
      <xdr:col>18</xdr:col>
      <xdr:colOff>479358</xdr:colOff>
      <xdr:row>20</xdr:row>
      <xdr:rowOff>84750</xdr:rowOff>
    </xdr:to>
    <xdr:sp macro="" textlink="">
      <xdr:nvSpPr>
        <xdr:cNvPr id="24" name="Oval 23"/>
        <xdr:cNvSpPr/>
      </xdr:nvSpPr>
      <xdr:spPr>
        <a:xfrm>
          <a:off x="19662322" y="4122964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176892</xdr:colOff>
      <xdr:row>12</xdr:row>
      <xdr:rowOff>88446</xdr:rowOff>
    </xdr:from>
    <xdr:to>
      <xdr:col>14</xdr:col>
      <xdr:colOff>356892</xdr:colOff>
      <xdr:row>13</xdr:row>
      <xdr:rowOff>57536</xdr:rowOff>
    </xdr:to>
    <xdr:sp macro="" textlink="">
      <xdr:nvSpPr>
        <xdr:cNvPr id="25" name="Oval 24"/>
        <xdr:cNvSpPr/>
      </xdr:nvSpPr>
      <xdr:spPr>
        <a:xfrm>
          <a:off x="17090571" y="2619375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68036</xdr:colOff>
      <xdr:row>18</xdr:row>
      <xdr:rowOff>95250</xdr:rowOff>
    </xdr:from>
    <xdr:to>
      <xdr:col>18</xdr:col>
      <xdr:colOff>248036</xdr:colOff>
      <xdr:row>19</xdr:row>
      <xdr:rowOff>64339</xdr:rowOff>
    </xdr:to>
    <xdr:sp macro="" textlink="">
      <xdr:nvSpPr>
        <xdr:cNvPr id="26" name="Oval 25"/>
        <xdr:cNvSpPr/>
      </xdr:nvSpPr>
      <xdr:spPr>
        <a:xfrm>
          <a:off x="19431000" y="3891643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95248</xdr:colOff>
      <xdr:row>30</xdr:row>
      <xdr:rowOff>108858</xdr:rowOff>
    </xdr:from>
    <xdr:to>
      <xdr:col>14</xdr:col>
      <xdr:colOff>275248</xdr:colOff>
      <xdr:row>31</xdr:row>
      <xdr:rowOff>77947</xdr:rowOff>
    </xdr:to>
    <xdr:sp macro="" textlink="">
      <xdr:nvSpPr>
        <xdr:cNvPr id="27" name="Oval 26"/>
        <xdr:cNvSpPr/>
      </xdr:nvSpPr>
      <xdr:spPr>
        <a:xfrm>
          <a:off x="17008927" y="6436179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517070</xdr:colOff>
      <xdr:row>15</xdr:row>
      <xdr:rowOff>27213</xdr:rowOff>
    </xdr:from>
    <xdr:to>
      <xdr:col>13</xdr:col>
      <xdr:colOff>84749</xdr:colOff>
      <xdr:row>15</xdr:row>
      <xdr:rowOff>207213</xdr:rowOff>
    </xdr:to>
    <xdr:sp macro="" textlink="">
      <xdr:nvSpPr>
        <xdr:cNvPr id="28" name="Oval 27"/>
        <xdr:cNvSpPr/>
      </xdr:nvSpPr>
      <xdr:spPr>
        <a:xfrm>
          <a:off x="16206106" y="3190874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74839</xdr:colOff>
      <xdr:row>22</xdr:row>
      <xdr:rowOff>136072</xdr:rowOff>
    </xdr:from>
    <xdr:to>
      <xdr:col>14</xdr:col>
      <xdr:colOff>254839</xdr:colOff>
      <xdr:row>23</xdr:row>
      <xdr:rowOff>105162</xdr:rowOff>
    </xdr:to>
    <xdr:sp macro="" textlink="">
      <xdr:nvSpPr>
        <xdr:cNvPr id="29" name="Oval 28"/>
        <xdr:cNvSpPr/>
      </xdr:nvSpPr>
      <xdr:spPr>
        <a:xfrm>
          <a:off x="16988518" y="4776108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401410</xdr:colOff>
      <xdr:row>17</xdr:row>
      <xdr:rowOff>2</xdr:rowOff>
    </xdr:from>
    <xdr:to>
      <xdr:col>17</xdr:col>
      <xdr:colOff>581410</xdr:colOff>
      <xdr:row>17</xdr:row>
      <xdr:rowOff>180002</xdr:rowOff>
    </xdr:to>
    <xdr:sp macro="" textlink="">
      <xdr:nvSpPr>
        <xdr:cNvPr id="30" name="Oval 29"/>
        <xdr:cNvSpPr/>
      </xdr:nvSpPr>
      <xdr:spPr>
        <a:xfrm>
          <a:off x="19152053" y="3585484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176892</xdr:colOff>
      <xdr:row>9</xdr:row>
      <xdr:rowOff>40822</xdr:rowOff>
    </xdr:from>
    <xdr:to>
      <xdr:col>14</xdr:col>
      <xdr:colOff>356892</xdr:colOff>
      <xdr:row>10</xdr:row>
      <xdr:rowOff>9911</xdr:rowOff>
    </xdr:to>
    <xdr:sp macro="" textlink="">
      <xdr:nvSpPr>
        <xdr:cNvPr id="31" name="Oval 30"/>
        <xdr:cNvSpPr/>
      </xdr:nvSpPr>
      <xdr:spPr>
        <a:xfrm>
          <a:off x="17090571" y="1939018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156482</xdr:colOff>
      <xdr:row>14</xdr:row>
      <xdr:rowOff>197304</xdr:rowOff>
    </xdr:from>
    <xdr:to>
      <xdr:col>14</xdr:col>
      <xdr:colOff>336482</xdr:colOff>
      <xdr:row>15</xdr:row>
      <xdr:rowOff>166393</xdr:rowOff>
    </xdr:to>
    <xdr:sp macro="" textlink="">
      <xdr:nvSpPr>
        <xdr:cNvPr id="32" name="Oval 31"/>
        <xdr:cNvSpPr/>
      </xdr:nvSpPr>
      <xdr:spPr>
        <a:xfrm>
          <a:off x="17070161" y="3150054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571499</xdr:colOff>
      <xdr:row>11</xdr:row>
      <xdr:rowOff>136072</xdr:rowOff>
    </xdr:from>
    <xdr:to>
      <xdr:col>18</xdr:col>
      <xdr:colOff>139178</xdr:colOff>
      <xdr:row>12</xdr:row>
      <xdr:rowOff>105161</xdr:rowOff>
    </xdr:to>
    <xdr:sp macro="" textlink="">
      <xdr:nvSpPr>
        <xdr:cNvPr id="33" name="Oval 32"/>
        <xdr:cNvSpPr/>
      </xdr:nvSpPr>
      <xdr:spPr>
        <a:xfrm>
          <a:off x="19322142" y="2456090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142875</xdr:colOff>
      <xdr:row>10</xdr:row>
      <xdr:rowOff>149678</xdr:rowOff>
    </xdr:from>
    <xdr:to>
      <xdr:col>18</xdr:col>
      <xdr:colOff>322875</xdr:colOff>
      <xdr:row>11</xdr:row>
      <xdr:rowOff>118767</xdr:rowOff>
    </xdr:to>
    <xdr:sp macro="" textlink="">
      <xdr:nvSpPr>
        <xdr:cNvPr id="34" name="Oval 33"/>
        <xdr:cNvSpPr/>
      </xdr:nvSpPr>
      <xdr:spPr>
        <a:xfrm>
          <a:off x="19505839" y="2258785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142874</xdr:colOff>
      <xdr:row>13</xdr:row>
      <xdr:rowOff>122465</xdr:rowOff>
    </xdr:from>
    <xdr:to>
      <xdr:col>17</xdr:col>
      <xdr:colOff>322874</xdr:colOff>
      <xdr:row>14</xdr:row>
      <xdr:rowOff>91554</xdr:rowOff>
    </xdr:to>
    <xdr:sp macro="" textlink="">
      <xdr:nvSpPr>
        <xdr:cNvPr id="35" name="Oval 34"/>
        <xdr:cNvSpPr/>
      </xdr:nvSpPr>
      <xdr:spPr>
        <a:xfrm>
          <a:off x="18893517" y="2864304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20411</xdr:colOff>
      <xdr:row>15</xdr:row>
      <xdr:rowOff>27215</xdr:rowOff>
    </xdr:from>
    <xdr:to>
      <xdr:col>12</xdr:col>
      <xdr:colOff>200411</xdr:colOff>
      <xdr:row>15</xdr:row>
      <xdr:rowOff>207215</xdr:rowOff>
    </xdr:to>
    <xdr:sp macro="" textlink="">
      <xdr:nvSpPr>
        <xdr:cNvPr id="36" name="Oval 35"/>
        <xdr:cNvSpPr/>
      </xdr:nvSpPr>
      <xdr:spPr>
        <a:xfrm>
          <a:off x="15709447" y="3190876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428624</xdr:colOff>
      <xdr:row>9</xdr:row>
      <xdr:rowOff>122464</xdr:rowOff>
    </xdr:from>
    <xdr:to>
      <xdr:col>14</xdr:col>
      <xdr:colOff>608624</xdr:colOff>
      <xdr:row>10</xdr:row>
      <xdr:rowOff>91553</xdr:rowOff>
    </xdr:to>
    <xdr:sp macro="" textlink="">
      <xdr:nvSpPr>
        <xdr:cNvPr id="37" name="Oval 36"/>
        <xdr:cNvSpPr/>
      </xdr:nvSpPr>
      <xdr:spPr>
        <a:xfrm>
          <a:off x="17342303" y="2020660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81642</xdr:colOff>
      <xdr:row>20</xdr:row>
      <xdr:rowOff>40822</xdr:rowOff>
    </xdr:from>
    <xdr:to>
      <xdr:col>14</xdr:col>
      <xdr:colOff>261642</xdr:colOff>
      <xdr:row>21</xdr:row>
      <xdr:rowOff>9911</xdr:rowOff>
    </xdr:to>
    <xdr:sp macro="" textlink="">
      <xdr:nvSpPr>
        <xdr:cNvPr id="38" name="Oval 37"/>
        <xdr:cNvSpPr/>
      </xdr:nvSpPr>
      <xdr:spPr>
        <a:xfrm>
          <a:off x="16995321" y="4259036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190500</xdr:colOff>
      <xdr:row>6</xdr:row>
      <xdr:rowOff>197304</xdr:rowOff>
    </xdr:from>
    <xdr:to>
      <xdr:col>14</xdr:col>
      <xdr:colOff>370500</xdr:colOff>
      <xdr:row>7</xdr:row>
      <xdr:rowOff>166393</xdr:rowOff>
    </xdr:to>
    <xdr:sp macro="" textlink="">
      <xdr:nvSpPr>
        <xdr:cNvPr id="39" name="Oval 38"/>
        <xdr:cNvSpPr/>
      </xdr:nvSpPr>
      <xdr:spPr>
        <a:xfrm>
          <a:off x="17104179" y="1462768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585107</xdr:colOff>
      <xdr:row>13</xdr:row>
      <xdr:rowOff>40822</xdr:rowOff>
    </xdr:from>
    <xdr:to>
      <xdr:col>16</xdr:col>
      <xdr:colOff>152786</xdr:colOff>
      <xdr:row>14</xdr:row>
      <xdr:rowOff>9911</xdr:rowOff>
    </xdr:to>
    <xdr:sp macro="" textlink="">
      <xdr:nvSpPr>
        <xdr:cNvPr id="40" name="Oval 39"/>
        <xdr:cNvSpPr/>
      </xdr:nvSpPr>
      <xdr:spPr>
        <a:xfrm>
          <a:off x="18111107" y="2782661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190499</xdr:colOff>
      <xdr:row>8</xdr:row>
      <xdr:rowOff>20411</xdr:rowOff>
    </xdr:from>
    <xdr:to>
      <xdr:col>14</xdr:col>
      <xdr:colOff>370499</xdr:colOff>
      <xdr:row>8</xdr:row>
      <xdr:rowOff>200411</xdr:rowOff>
    </xdr:to>
    <xdr:sp macro="" textlink="">
      <xdr:nvSpPr>
        <xdr:cNvPr id="41" name="Oval 40"/>
        <xdr:cNvSpPr/>
      </xdr:nvSpPr>
      <xdr:spPr>
        <a:xfrm>
          <a:off x="17104178" y="1707697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102054</xdr:colOff>
      <xdr:row>14</xdr:row>
      <xdr:rowOff>68036</xdr:rowOff>
    </xdr:from>
    <xdr:to>
      <xdr:col>11</xdr:col>
      <xdr:colOff>282054</xdr:colOff>
      <xdr:row>15</xdr:row>
      <xdr:rowOff>37125</xdr:rowOff>
    </xdr:to>
    <xdr:sp macro="" textlink="">
      <xdr:nvSpPr>
        <xdr:cNvPr id="42" name="Oval 41"/>
        <xdr:cNvSpPr/>
      </xdr:nvSpPr>
      <xdr:spPr>
        <a:xfrm>
          <a:off x="15178768" y="3020786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312965</xdr:colOff>
      <xdr:row>11</xdr:row>
      <xdr:rowOff>204107</xdr:rowOff>
    </xdr:from>
    <xdr:to>
      <xdr:col>15</xdr:col>
      <xdr:colOff>492965</xdr:colOff>
      <xdr:row>12</xdr:row>
      <xdr:rowOff>173196</xdr:rowOff>
    </xdr:to>
    <xdr:sp macro="" textlink="">
      <xdr:nvSpPr>
        <xdr:cNvPr id="43" name="Oval 42"/>
        <xdr:cNvSpPr/>
      </xdr:nvSpPr>
      <xdr:spPr>
        <a:xfrm>
          <a:off x="19124840" y="2509157"/>
          <a:ext cx="180000" cy="17863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401411</xdr:colOff>
      <xdr:row>15</xdr:row>
      <xdr:rowOff>27214</xdr:rowOff>
    </xdr:from>
    <xdr:to>
      <xdr:col>13</xdr:col>
      <xdr:colOff>581411</xdr:colOff>
      <xdr:row>15</xdr:row>
      <xdr:rowOff>207214</xdr:rowOff>
    </xdr:to>
    <xdr:sp macro="" textlink="">
      <xdr:nvSpPr>
        <xdr:cNvPr id="44" name="Oval 43"/>
        <xdr:cNvSpPr/>
      </xdr:nvSpPr>
      <xdr:spPr>
        <a:xfrm>
          <a:off x="16702768" y="3190875"/>
          <a:ext cx="180000" cy="18000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99FF" mc:Ignorable="a14" a14:legacySpreadsheetColorIndex="46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81642</xdr:colOff>
      <xdr:row>16</xdr:row>
      <xdr:rowOff>136073</xdr:rowOff>
    </xdr:from>
    <xdr:to>
      <xdr:col>14</xdr:col>
      <xdr:colOff>261642</xdr:colOff>
      <xdr:row>17</xdr:row>
      <xdr:rowOff>105162</xdr:rowOff>
    </xdr:to>
    <xdr:sp macro="" textlink="">
      <xdr:nvSpPr>
        <xdr:cNvPr id="45" name="Oval 44"/>
        <xdr:cNvSpPr/>
      </xdr:nvSpPr>
      <xdr:spPr>
        <a:xfrm>
          <a:off x="16995321" y="3510644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95250</xdr:colOff>
      <xdr:row>21</xdr:row>
      <xdr:rowOff>88446</xdr:rowOff>
    </xdr:from>
    <xdr:to>
      <xdr:col>19</xdr:col>
      <xdr:colOff>275250</xdr:colOff>
      <xdr:row>22</xdr:row>
      <xdr:rowOff>57535</xdr:rowOff>
    </xdr:to>
    <xdr:sp macro="" textlink="">
      <xdr:nvSpPr>
        <xdr:cNvPr id="46" name="Oval 45"/>
        <xdr:cNvSpPr/>
      </xdr:nvSpPr>
      <xdr:spPr>
        <a:xfrm>
          <a:off x="20070536" y="4517571"/>
          <a:ext cx="180000" cy="180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149678</xdr:colOff>
      <xdr:row>15</xdr:row>
      <xdr:rowOff>176893</xdr:rowOff>
    </xdr:from>
    <xdr:to>
      <xdr:col>17</xdr:col>
      <xdr:colOff>329678</xdr:colOff>
      <xdr:row>16</xdr:row>
      <xdr:rowOff>145983</xdr:rowOff>
    </xdr:to>
    <xdr:sp macro="" textlink="">
      <xdr:nvSpPr>
        <xdr:cNvPr id="47" name="Oval 46"/>
        <xdr:cNvSpPr/>
      </xdr:nvSpPr>
      <xdr:spPr>
        <a:xfrm>
          <a:off x="18900321" y="3340554"/>
          <a:ext cx="180000" cy="18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352425</xdr:colOff>
      <xdr:row>7</xdr:row>
      <xdr:rowOff>152400</xdr:rowOff>
    </xdr:from>
    <xdr:to>
      <xdr:col>7</xdr:col>
      <xdr:colOff>1609725</xdr:colOff>
      <xdr:row>11</xdr:row>
      <xdr:rowOff>85725</xdr:rowOff>
    </xdr:to>
    <xdr:sp macro="[0]!Coloriage" textlink="">
      <xdr:nvSpPr>
        <xdr:cNvPr id="3" name="ZoneTexte 2"/>
        <xdr:cNvSpPr txBox="1"/>
      </xdr:nvSpPr>
      <xdr:spPr>
        <a:xfrm>
          <a:off x="6553200" y="1619250"/>
          <a:ext cx="2571750" cy="7715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Coloriage</a:t>
          </a:r>
        </a:p>
      </xdr:txBody>
    </xdr:sp>
    <xdr:clientData/>
  </xdr:twoCellAnchor>
  <xdr:twoCellAnchor>
    <xdr:from>
      <xdr:col>10</xdr:col>
      <xdr:colOff>542925</xdr:colOff>
      <xdr:row>2</xdr:row>
      <xdr:rowOff>76200</xdr:rowOff>
    </xdr:from>
    <xdr:to>
      <xdr:col>11</xdr:col>
      <xdr:colOff>113325</xdr:colOff>
      <xdr:row>3</xdr:row>
      <xdr:rowOff>45290</xdr:rowOff>
    </xdr:to>
    <xdr:sp macro="" textlink="">
      <xdr:nvSpPr>
        <xdr:cNvPr id="48" name="Oval 2"/>
        <xdr:cNvSpPr/>
      </xdr:nvSpPr>
      <xdr:spPr>
        <a:xfrm>
          <a:off x="11582400" y="495300"/>
          <a:ext cx="180000" cy="17864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2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228601</xdr:colOff>
      <xdr:row>2</xdr:row>
      <xdr:rowOff>66675</xdr:rowOff>
    </xdr:from>
    <xdr:to>
      <xdr:col>14</xdr:col>
      <xdr:colOff>600076</xdr:colOff>
      <xdr:row>3</xdr:row>
      <xdr:rowOff>190500</xdr:rowOff>
    </xdr:to>
    <xdr:grpSp>
      <xdr:nvGrpSpPr>
        <xdr:cNvPr id="54" name="Groupe 53"/>
        <xdr:cNvGrpSpPr/>
      </xdr:nvGrpSpPr>
      <xdr:grpSpPr>
        <a:xfrm>
          <a:off x="11877676" y="485775"/>
          <a:ext cx="2200275" cy="333375"/>
          <a:chOff x="11877676" y="485775"/>
          <a:chExt cx="2200275" cy="333375"/>
        </a:xfrm>
      </xdr:grpSpPr>
      <xdr:sp macro="" textlink="">
        <xdr:nvSpPr>
          <xdr:cNvPr id="49" name="ZoneTexte 48"/>
          <xdr:cNvSpPr txBox="1"/>
        </xdr:nvSpPr>
        <xdr:spPr>
          <a:xfrm>
            <a:off x="12896851" y="485775"/>
            <a:ext cx="1181100" cy="333375"/>
          </a:xfrm>
          <a:prstGeom prst="rect">
            <a:avLst/>
          </a:prstGeom>
          <a:solidFill>
            <a:schemeClr val="lt1"/>
          </a:solidFill>
          <a:ln w="3175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Ajout</a:t>
            </a:r>
          </a:p>
        </xdr:txBody>
      </xdr:sp>
      <xdr:cxnSp macro="">
        <xdr:nvCxnSpPr>
          <xdr:cNvPr id="51" name="Connecteur droit avec flèche 50"/>
          <xdr:cNvCxnSpPr>
            <a:stCxn id="49" idx="1"/>
          </xdr:cNvCxnSpPr>
        </xdr:nvCxnSpPr>
        <xdr:spPr>
          <a:xfrm flipH="1" flipV="1">
            <a:off x="11877676" y="619127"/>
            <a:ext cx="1019175" cy="33336"/>
          </a:xfrm>
          <a:prstGeom prst="straightConnector1">
            <a:avLst/>
          </a:prstGeom>
          <a:ln w="317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donner-une-couleur-sur-figure-ovale-t664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7"/>
  <sheetViews>
    <sheetView tabSelected="1" zoomScaleNormal="100" workbookViewId="0">
      <selection activeCell="Q8" sqref="Q8"/>
    </sheetView>
  </sheetViews>
  <sheetFormatPr baseColWidth="10" defaultColWidth="9.140625" defaultRowHeight="15" x14ac:dyDescent="0.25"/>
  <cols>
    <col min="1" max="1" width="16.140625" customWidth="1"/>
    <col min="2" max="2" width="14" customWidth="1"/>
    <col min="3" max="3" width="14.5703125" style="3" customWidth="1"/>
    <col min="4" max="4" width="14.42578125" style="3" customWidth="1"/>
    <col min="5" max="5" width="14.140625" customWidth="1"/>
    <col min="6" max="6" width="19.7109375" style="33" customWidth="1"/>
    <col min="7" max="7" width="19.7109375" style="3" customWidth="1"/>
    <col min="8" max="8" width="24.42578125" style="3" customWidth="1"/>
    <col min="9" max="9" width="12.7109375" style="3" customWidth="1"/>
    <col min="10" max="10" width="15.7109375" customWidth="1"/>
  </cols>
  <sheetData>
    <row r="1" spans="1:14" ht="16.5" thickTop="1" thickBot="1" x14ac:dyDescent="0.3">
      <c r="A1" s="1" t="s">
        <v>0</v>
      </c>
      <c r="B1" s="1" t="s">
        <v>73</v>
      </c>
      <c r="C1" s="1" t="s">
        <v>1</v>
      </c>
      <c r="D1" s="1" t="s">
        <v>2</v>
      </c>
      <c r="E1" s="27" t="s">
        <v>1</v>
      </c>
      <c r="F1" s="32" t="s">
        <v>74</v>
      </c>
      <c r="G1" s="1" t="s">
        <v>75</v>
      </c>
      <c r="H1" s="1" t="s">
        <v>26</v>
      </c>
      <c r="I1" s="1" t="s">
        <v>3</v>
      </c>
      <c r="J1" s="1" t="s">
        <v>4</v>
      </c>
      <c r="N1" s="34" t="s">
        <v>76</v>
      </c>
    </row>
    <row r="2" spans="1:14" ht="16.5" thickTop="1" thickBot="1" x14ac:dyDescent="0.3">
      <c r="A2" s="13" t="s">
        <v>17</v>
      </c>
      <c r="B2" s="21">
        <v>1</v>
      </c>
      <c r="C2" s="21" t="s">
        <v>36</v>
      </c>
      <c r="D2" s="8">
        <f t="shared" ref="D2:D33" si="0">VALUE(IF(A2="grafity","1",IF(A2="pulled door","1",IF(A2="no ticket","1",IF(A2="revenue dispute","2",IF(A2="spat","2",IF(A2="etching","2",IF(A2="sleeping vagrant","2",IF(A2="soiled",2,IF(A2="verbal assault","3",IF(A2="aggressive passenger","3", IF(A2="drunk passenger","3",IF(A2="broken window","3",IF(A2="unstable passenger","3",IF(A2="distorbing","3",IF(A2="fight","4",IF(A2="steal","4",IF(A2="indecent exposure","4",IF(A2="physical assault","4",IF(A2="BTP intervention","5",IF(A2="assault with seriously attack","5")))))))))))))))))))))</f>
        <v>2</v>
      </c>
      <c r="E2" s="28" t="s">
        <v>27</v>
      </c>
      <c r="F2" s="33">
        <f>SUMIF(C:C,"ABS",B:B)+1</f>
        <v>7</v>
      </c>
      <c r="G2" s="5">
        <f t="shared" ref="G2:G46" si="1">IF(F2&gt;5, 5,F2)</f>
        <v>5</v>
      </c>
      <c r="H2" s="31">
        <f t="shared" ref="H2:H46" si="2">IFERROR(AVERAGEIF($C$2:$C$988,E2,$D$2:$D$988),1)</f>
        <v>3.3333333333333335</v>
      </c>
      <c r="I2" s="5">
        <v>4</v>
      </c>
      <c r="J2" s="22">
        <f t="shared" ref="J2:J46" si="3">G2*H2*I2</f>
        <v>66.666666666666671</v>
      </c>
    </row>
    <row r="3" spans="1:14" ht="16.5" thickTop="1" thickBot="1" x14ac:dyDescent="0.3">
      <c r="A3" s="14" t="s">
        <v>18</v>
      </c>
      <c r="B3" s="2">
        <v>1</v>
      </c>
      <c r="C3" s="2" t="s">
        <v>7</v>
      </c>
      <c r="D3" s="7">
        <f t="shared" si="0"/>
        <v>4</v>
      </c>
      <c r="E3" s="29" t="s">
        <v>28</v>
      </c>
      <c r="F3" s="33">
        <f>SUMIF(C:C,"ALS",B:B)+1</f>
        <v>2</v>
      </c>
      <c r="G3" s="5">
        <f t="shared" si="1"/>
        <v>2</v>
      </c>
      <c r="H3" s="31">
        <f t="shared" si="2"/>
        <v>4</v>
      </c>
      <c r="I3" s="11">
        <v>5</v>
      </c>
      <c r="J3" s="22">
        <f t="shared" si="3"/>
        <v>40</v>
      </c>
    </row>
    <row r="4" spans="1:14" ht="16.5" thickTop="1" thickBot="1" x14ac:dyDescent="0.3">
      <c r="A4" s="14" t="s">
        <v>18</v>
      </c>
      <c r="B4" s="2">
        <v>1</v>
      </c>
      <c r="C4" s="2" t="s">
        <v>42</v>
      </c>
      <c r="D4" s="7">
        <f t="shared" si="0"/>
        <v>4</v>
      </c>
      <c r="E4" s="6" t="s">
        <v>6</v>
      </c>
      <c r="F4" s="33">
        <f>SUMIF(C:C,"BAN",B:B)+1</f>
        <v>2</v>
      </c>
      <c r="G4" s="5">
        <f t="shared" si="1"/>
        <v>2</v>
      </c>
      <c r="H4" s="31">
        <f t="shared" si="2"/>
        <v>5</v>
      </c>
      <c r="I4" s="4">
        <v>5</v>
      </c>
      <c r="J4" s="22">
        <f t="shared" si="3"/>
        <v>50</v>
      </c>
    </row>
    <row r="5" spans="1:14" ht="16.5" thickTop="1" thickBot="1" x14ac:dyDescent="0.3">
      <c r="A5" s="14" t="s">
        <v>20</v>
      </c>
      <c r="B5" s="2">
        <v>1</v>
      </c>
      <c r="C5" s="2" t="s">
        <v>34</v>
      </c>
      <c r="D5" s="7">
        <f t="shared" si="0"/>
        <v>1</v>
      </c>
      <c r="E5" s="6" t="s">
        <v>29</v>
      </c>
      <c r="F5" s="33">
        <f>SUMIF(C:C,"BEC",B:B)+1</f>
        <v>2</v>
      </c>
      <c r="G5" s="5">
        <f t="shared" si="1"/>
        <v>2</v>
      </c>
      <c r="H5" s="31">
        <f t="shared" si="2"/>
        <v>1</v>
      </c>
      <c r="I5" s="4">
        <v>4</v>
      </c>
      <c r="J5" s="22">
        <f t="shared" si="3"/>
        <v>8</v>
      </c>
    </row>
    <row r="6" spans="1:14" ht="16.5" thickTop="1" thickBot="1" x14ac:dyDescent="0.3">
      <c r="A6" s="14" t="s">
        <v>19</v>
      </c>
      <c r="B6" s="2">
        <v>1</v>
      </c>
      <c r="C6" s="2" t="s">
        <v>29</v>
      </c>
      <c r="D6" s="7">
        <f t="shared" si="0"/>
        <v>1</v>
      </c>
      <c r="E6" s="6" t="s">
        <v>30</v>
      </c>
      <c r="F6" s="33">
        <f>SUMIF(C:C,"BEP",B:B)+1</f>
        <v>2</v>
      </c>
      <c r="G6" s="5">
        <f t="shared" si="1"/>
        <v>2</v>
      </c>
      <c r="H6" s="31">
        <f t="shared" si="2"/>
        <v>2</v>
      </c>
      <c r="I6" s="4">
        <v>3</v>
      </c>
      <c r="J6" s="22">
        <f t="shared" si="3"/>
        <v>12</v>
      </c>
    </row>
    <row r="7" spans="1:14" ht="16.5" thickTop="1" thickBot="1" x14ac:dyDescent="0.3">
      <c r="A7" s="14" t="s">
        <v>18</v>
      </c>
      <c r="B7" s="2">
        <v>1</v>
      </c>
      <c r="C7" s="2" t="s">
        <v>38</v>
      </c>
      <c r="D7" s="7">
        <f t="shared" si="0"/>
        <v>4</v>
      </c>
      <c r="E7" s="6" t="s">
        <v>31</v>
      </c>
      <c r="F7" s="33">
        <f>SUMIF(C:C,"BLA",B:B)+1</f>
        <v>2</v>
      </c>
      <c r="G7" s="5">
        <f t="shared" si="1"/>
        <v>2</v>
      </c>
      <c r="H7" s="31">
        <f t="shared" si="2"/>
        <v>2</v>
      </c>
      <c r="I7" s="4">
        <v>5</v>
      </c>
      <c r="J7" s="22">
        <f t="shared" si="3"/>
        <v>20</v>
      </c>
    </row>
    <row r="8" spans="1:14" ht="16.5" thickTop="1" thickBot="1" x14ac:dyDescent="0.3">
      <c r="A8" s="14" t="s">
        <v>25</v>
      </c>
      <c r="B8" s="2">
        <v>1</v>
      </c>
      <c r="C8" s="2" t="s">
        <v>27</v>
      </c>
      <c r="D8" s="7">
        <f t="shared" si="0"/>
        <v>5</v>
      </c>
      <c r="E8" s="6" t="s">
        <v>32</v>
      </c>
      <c r="F8" s="33">
        <f>SUMIF(C:C,"BOC",B:B)+1</f>
        <v>1</v>
      </c>
      <c r="G8" s="5">
        <f t="shared" si="1"/>
        <v>1</v>
      </c>
      <c r="H8" s="31">
        <f t="shared" si="2"/>
        <v>1</v>
      </c>
      <c r="I8" s="4">
        <v>4</v>
      </c>
      <c r="J8" s="22">
        <f t="shared" si="3"/>
        <v>4</v>
      </c>
    </row>
    <row r="9" spans="1:14" ht="16.5" thickTop="1" thickBot="1" x14ac:dyDescent="0.3">
      <c r="A9" s="14" t="s">
        <v>24</v>
      </c>
      <c r="B9" s="2">
        <v>1</v>
      </c>
      <c r="C9" s="2" t="s">
        <v>35</v>
      </c>
      <c r="D9" s="7">
        <f t="shared" si="0"/>
        <v>2</v>
      </c>
      <c r="E9" s="6" t="s">
        <v>33</v>
      </c>
      <c r="F9" s="33">
        <f>SUMIF(C:C,"CAT",B:B)+1</f>
        <v>2</v>
      </c>
      <c r="G9" s="5">
        <f t="shared" si="1"/>
        <v>2</v>
      </c>
      <c r="H9" s="31">
        <f t="shared" si="2"/>
        <v>2</v>
      </c>
      <c r="I9" s="4">
        <v>5</v>
      </c>
      <c r="J9" s="22">
        <f t="shared" si="3"/>
        <v>20</v>
      </c>
    </row>
    <row r="10" spans="1:14" ht="16.5" thickTop="1" thickBot="1" x14ac:dyDescent="0.3">
      <c r="A10" s="14" t="s">
        <v>16</v>
      </c>
      <c r="B10" s="2">
        <v>1</v>
      </c>
      <c r="C10" s="2" t="s">
        <v>11</v>
      </c>
      <c r="D10" s="7">
        <f t="shared" si="0"/>
        <v>3</v>
      </c>
      <c r="E10" s="6" t="s">
        <v>34</v>
      </c>
      <c r="F10" s="33">
        <f>SUMIF(C:C,"CAW",B:B)+1</f>
        <v>2</v>
      </c>
      <c r="G10" s="5">
        <f t="shared" si="1"/>
        <v>2</v>
      </c>
      <c r="H10" s="31">
        <f t="shared" si="2"/>
        <v>1</v>
      </c>
      <c r="I10" s="4">
        <v>2</v>
      </c>
      <c r="J10" s="22">
        <f t="shared" si="3"/>
        <v>4</v>
      </c>
    </row>
    <row r="11" spans="1:14" ht="16.5" thickTop="1" thickBot="1" x14ac:dyDescent="0.3">
      <c r="A11" s="14" t="s">
        <v>20</v>
      </c>
      <c r="B11" s="2">
        <v>1</v>
      </c>
      <c r="C11" s="2" t="s">
        <v>44</v>
      </c>
      <c r="D11" s="7">
        <f t="shared" si="0"/>
        <v>1</v>
      </c>
      <c r="E11" s="6" t="s">
        <v>35</v>
      </c>
      <c r="F11" s="33">
        <f>SUMIF(C:C,"CBO",B:B)+1</f>
        <v>2</v>
      </c>
      <c r="G11" s="5">
        <f t="shared" si="1"/>
        <v>2</v>
      </c>
      <c r="H11" s="31">
        <f t="shared" si="2"/>
        <v>2</v>
      </c>
      <c r="I11" s="4">
        <v>1</v>
      </c>
      <c r="J11" s="22">
        <f t="shared" si="3"/>
        <v>4</v>
      </c>
    </row>
    <row r="12" spans="1:14" ht="16.5" thickTop="1" thickBot="1" x14ac:dyDescent="0.3">
      <c r="A12" s="14" t="s">
        <v>20</v>
      </c>
      <c r="B12" s="2">
        <v>1</v>
      </c>
      <c r="C12" s="2" t="s">
        <v>8</v>
      </c>
      <c r="D12" s="7">
        <f t="shared" si="0"/>
        <v>1</v>
      </c>
      <c r="E12" s="6" t="s">
        <v>36</v>
      </c>
      <c r="F12" s="33">
        <f>SUMIF(C:C,"CUH",B:B)+1</f>
        <v>2</v>
      </c>
      <c r="G12" s="5">
        <f t="shared" si="1"/>
        <v>2</v>
      </c>
      <c r="H12" s="31">
        <f t="shared" si="2"/>
        <v>2</v>
      </c>
      <c r="I12" s="4">
        <v>2</v>
      </c>
      <c r="J12" s="22">
        <f t="shared" si="3"/>
        <v>8</v>
      </c>
    </row>
    <row r="13" spans="1:14" ht="16.5" thickTop="1" thickBot="1" x14ac:dyDescent="0.3">
      <c r="A13" s="14" t="s">
        <v>16</v>
      </c>
      <c r="B13" s="2">
        <v>1</v>
      </c>
      <c r="C13" s="2" t="s">
        <v>14</v>
      </c>
      <c r="D13" s="7">
        <f t="shared" si="0"/>
        <v>3</v>
      </c>
      <c r="E13" s="29" t="s">
        <v>37</v>
      </c>
      <c r="F13" s="33">
        <f>SUMIF(C:C,"CUS",B:B)+1</f>
        <v>2</v>
      </c>
      <c r="G13" s="5">
        <f t="shared" si="1"/>
        <v>2</v>
      </c>
      <c r="H13" s="31">
        <f t="shared" si="2"/>
        <v>4</v>
      </c>
      <c r="I13" s="4">
        <v>1</v>
      </c>
      <c r="J13" s="22">
        <f t="shared" si="3"/>
        <v>8</v>
      </c>
    </row>
    <row r="14" spans="1:14" ht="16.5" thickTop="1" thickBot="1" x14ac:dyDescent="0.3">
      <c r="A14" s="14" t="s">
        <v>22</v>
      </c>
      <c r="B14" s="2">
        <v>1</v>
      </c>
      <c r="C14" s="2" t="s">
        <v>9</v>
      </c>
      <c r="D14" s="12">
        <f t="shared" si="0"/>
        <v>3</v>
      </c>
      <c r="E14" s="6" t="s">
        <v>38</v>
      </c>
      <c r="F14" s="33">
        <f>SUMIF(C:C,"CYP",B:B)+1</f>
        <v>2</v>
      </c>
      <c r="G14" s="5">
        <f t="shared" si="1"/>
        <v>2</v>
      </c>
      <c r="H14" s="31">
        <f t="shared" si="2"/>
        <v>4</v>
      </c>
      <c r="I14" s="4">
        <v>1</v>
      </c>
      <c r="J14" s="22">
        <f t="shared" si="3"/>
        <v>8</v>
      </c>
    </row>
    <row r="15" spans="1:14" ht="16.5" thickTop="1" thickBot="1" x14ac:dyDescent="0.3">
      <c r="A15" s="14" t="s">
        <v>23</v>
      </c>
      <c r="B15" s="2">
        <v>1</v>
      </c>
      <c r="C15" s="2" t="s">
        <v>9</v>
      </c>
      <c r="D15" s="12">
        <f t="shared" si="0"/>
        <v>2</v>
      </c>
      <c r="E15" s="6" t="s">
        <v>39</v>
      </c>
      <c r="F15" s="33">
        <f>SUMIF(C:C,"DER",B:B)+1</f>
        <v>2</v>
      </c>
      <c r="G15" s="5">
        <f t="shared" si="1"/>
        <v>2</v>
      </c>
      <c r="H15" s="31">
        <f t="shared" si="2"/>
        <v>2</v>
      </c>
      <c r="I15" s="4">
        <v>5</v>
      </c>
      <c r="J15" s="22">
        <f t="shared" si="3"/>
        <v>20</v>
      </c>
    </row>
    <row r="16" spans="1:14" ht="16.5" thickTop="1" thickBot="1" x14ac:dyDescent="0.3">
      <c r="A16" s="14" t="s">
        <v>21</v>
      </c>
      <c r="B16" s="2">
        <v>1</v>
      </c>
      <c r="C16" s="2" t="s">
        <v>51</v>
      </c>
      <c r="D16" s="7">
        <f t="shared" si="0"/>
        <v>4</v>
      </c>
      <c r="E16" s="29" t="s">
        <v>40</v>
      </c>
      <c r="F16" s="33">
        <f>SUMIF(C:C,"DER",B:B)+1</f>
        <v>2</v>
      </c>
      <c r="G16" s="5">
        <f t="shared" si="1"/>
        <v>2</v>
      </c>
      <c r="H16" s="31">
        <f t="shared" si="2"/>
        <v>3</v>
      </c>
      <c r="I16" s="4">
        <v>1</v>
      </c>
      <c r="J16" s="22">
        <f t="shared" si="3"/>
        <v>6</v>
      </c>
    </row>
    <row r="17" spans="1:10" ht="16.5" thickTop="1" thickBot="1" x14ac:dyDescent="0.3">
      <c r="A17" s="14" t="s">
        <v>16</v>
      </c>
      <c r="B17" s="2">
        <v>1</v>
      </c>
      <c r="C17" s="2" t="s">
        <v>5</v>
      </c>
      <c r="D17" s="7">
        <f t="shared" si="0"/>
        <v>3</v>
      </c>
      <c r="E17" s="6" t="s">
        <v>41</v>
      </c>
      <c r="F17" s="33">
        <f>SUMIF(C:C,"EAI",B:B)+1</f>
        <v>1</v>
      </c>
      <c r="G17" s="5">
        <f t="shared" si="1"/>
        <v>1</v>
      </c>
      <c r="H17" s="31">
        <f t="shared" si="2"/>
        <v>1</v>
      </c>
      <c r="I17" s="4">
        <v>3</v>
      </c>
      <c r="J17" s="22">
        <f t="shared" si="3"/>
        <v>3</v>
      </c>
    </row>
    <row r="18" spans="1:10" ht="16.5" thickTop="1" thickBot="1" x14ac:dyDescent="0.3">
      <c r="A18" s="14" t="s">
        <v>17</v>
      </c>
      <c r="B18" s="2">
        <v>1</v>
      </c>
      <c r="C18" s="2" t="s">
        <v>12</v>
      </c>
      <c r="D18" s="12">
        <f t="shared" si="0"/>
        <v>2</v>
      </c>
      <c r="E18" s="6" t="s">
        <v>42</v>
      </c>
      <c r="F18" s="33">
        <f>SUMIF(C:C,"ELR",B:B)+1</f>
        <v>2</v>
      </c>
      <c r="G18" s="5">
        <f t="shared" si="1"/>
        <v>2</v>
      </c>
      <c r="H18" s="31">
        <f t="shared" si="2"/>
        <v>4</v>
      </c>
      <c r="I18" s="4">
        <v>1</v>
      </c>
      <c r="J18" s="22">
        <f t="shared" si="3"/>
        <v>8</v>
      </c>
    </row>
    <row r="19" spans="1:10" ht="16.5" thickTop="1" thickBot="1" x14ac:dyDescent="0.3">
      <c r="A19" s="14" t="s">
        <v>18</v>
      </c>
      <c r="B19" s="2">
        <v>1</v>
      </c>
      <c r="C19" s="2" t="s">
        <v>48</v>
      </c>
      <c r="D19" s="7">
        <f t="shared" si="0"/>
        <v>4</v>
      </c>
      <c r="E19" s="29" t="s">
        <v>43</v>
      </c>
      <c r="F19" s="33">
        <f>SUMIF(C:C,"GAR",B:B)+1</f>
        <v>2</v>
      </c>
      <c r="G19" s="5">
        <f t="shared" si="1"/>
        <v>2</v>
      </c>
      <c r="H19" s="31">
        <f t="shared" si="2"/>
        <v>2</v>
      </c>
      <c r="I19" s="4">
        <v>1</v>
      </c>
      <c r="J19" s="22">
        <f t="shared" si="3"/>
        <v>4</v>
      </c>
    </row>
    <row r="20" spans="1:10" ht="16.5" thickTop="1" thickBot="1" x14ac:dyDescent="0.3">
      <c r="A20" s="14" t="s">
        <v>25</v>
      </c>
      <c r="B20" s="2">
        <v>1</v>
      </c>
      <c r="C20" s="2" t="s">
        <v>15</v>
      </c>
      <c r="D20" s="7">
        <f t="shared" si="0"/>
        <v>5</v>
      </c>
      <c r="E20" s="29" t="s">
        <v>44</v>
      </c>
      <c r="F20" s="33">
        <f>SUMIF(C:C,"GRE",B:B)+1</f>
        <v>2</v>
      </c>
      <c r="G20" s="5">
        <f t="shared" si="1"/>
        <v>2</v>
      </c>
      <c r="H20" s="31">
        <f t="shared" si="2"/>
        <v>1</v>
      </c>
      <c r="I20" s="4">
        <v>1</v>
      </c>
      <c r="J20" s="22">
        <f t="shared" si="3"/>
        <v>2</v>
      </c>
    </row>
    <row r="21" spans="1:10" ht="16.5" thickTop="1" thickBot="1" x14ac:dyDescent="0.3">
      <c r="A21" s="14" t="s">
        <v>25</v>
      </c>
      <c r="B21" s="2">
        <v>1</v>
      </c>
      <c r="C21" s="20" t="s">
        <v>47</v>
      </c>
      <c r="D21" s="12">
        <f t="shared" si="0"/>
        <v>5</v>
      </c>
      <c r="E21" s="9" t="s">
        <v>45</v>
      </c>
      <c r="F21" s="33">
        <f>SUMIF(C:C,"HEQ",B:B)+1</f>
        <v>2</v>
      </c>
      <c r="G21" s="5">
        <f t="shared" si="1"/>
        <v>2</v>
      </c>
      <c r="H21" s="31">
        <f t="shared" si="2"/>
        <v>3</v>
      </c>
      <c r="I21" s="4">
        <v>1</v>
      </c>
      <c r="J21" s="22">
        <f t="shared" si="3"/>
        <v>6</v>
      </c>
    </row>
    <row r="22" spans="1:10" ht="16.5" thickTop="1" thickBot="1" x14ac:dyDescent="0.3">
      <c r="A22" s="15" t="s">
        <v>24</v>
      </c>
      <c r="B22" s="2">
        <v>1</v>
      </c>
      <c r="C22" s="18" t="s">
        <v>33</v>
      </c>
      <c r="D22" s="7">
        <f t="shared" si="0"/>
        <v>2</v>
      </c>
      <c r="E22" s="10" t="s">
        <v>46</v>
      </c>
      <c r="F22" s="33">
        <f>SUMIF(C:C,"ISG",B:B)+1</f>
        <v>2</v>
      </c>
      <c r="G22" s="5">
        <f t="shared" si="1"/>
        <v>2</v>
      </c>
      <c r="H22" s="31">
        <f t="shared" si="2"/>
        <v>4</v>
      </c>
      <c r="I22" s="4">
        <v>3</v>
      </c>
      <c r="J22" s="22">
        <f t="shared" si="3"/>
        <v>24</v>
      </c>
    </row>
    <row r="23" spans="1:10" ht="16.5" thickTop="1" thickBot="1" x14ac:dyDescent="0.3">
      <c r="A23" s="14" t="s">
        <v>17</v>
      </c>
      <c r="B23" s="2">
        <v>1</v>
      </c>
      <c r="C23" s="2" t="s">
        <v>30</v>
      </c>
      <c r="D23" s="23">
        <f t="shared" si="0"/>
        <v>2</v>
      </c>
      <c r="E23" s="9" t="s">
        <v>47</v>
      </c>
      <c r="F23" s="33">
        <f>SUMIF(C:C,"KGV",B:B)+1</f>
        <v>2</v>
      </c>
      <c r="G23" s="5">
        <f t="shared" si="1"/>
        <v>2</v>
      </c>
      <c r="H23" s="31">
        <f t="shared" si="2"/>
        <v>5</v>
      </c>
      <c r="I23" s="4">
        <v>2</v>
      </c>
      <c r="J23" s="22">
        <f t="shared" si="3"/>
        <v>20</v>
      </c>
    </row>
    <row r="24" spans="1:10" ht="16.5" thickTop="1" thickBot="1" x14ac:dyDescent="0.3">
      <c r="A24" s="14" t="s">
        <v>18</v>
      </c>
      <c r="B24" s="2">
        <v>1</v>
      </c>
      <c r="C24" s="2" t="s">
        <v>54</v>
      </c>
      <c r="D24" s="7">
        <f t="shared" si="0"/>
        <v>4</v>
      </c>
      <c r="E24" s="9" t="s">
        <v>48</v>
      </c>
      <c r="F24" s="33">
        <f>SUMIF(C:C,"LAP",B:B)+1</f>
        <v>2</v>
      </c>
      <c r="G24" s="5">
        <f t="shared" si="1"/>
        <v>2</v>
      </c>
      <c r="H24" s="31">
        <f t="shared" si="2"/>
        <v>4</v>
      </c>
      <c r="I24" s="4">
        <v>4</v>
      </c>
      <c r="J24" s="22">
        <f t="shared" si="3"/>
        <v>32</v>
      </c>
    </row>
    <row r="25" spans="1:10" ht="16.5" thickTop="1" thickBot="1" x14ac:dyDescent="0.3">
      <c r="A25" s="15" t="s">
        <v>62</v>
      </c>
      <c r="B25" s="2">
        <v>1</v>
      </c>
      <c r="C25" s="19" t="s">
        <v>27</v>
      </c>
      <c r="D25" s="7">
        <f t="shared" si="0"/>
        <v>3</v>
      </c>
      <c r="E25" s="10" t="s">
        <v>49</v>
      </c>
      <c r="F25" s="33">
        <f>SUMIF(C:C,"LCA",B:B)+1</f>
        <v>2</v>
      </c>
      <c r="G25" s="5">
        <f t="shared" si="1"/>
        <v>2</v>
      </c>
      <c r="H25" s="31">
        <f t="shared" si="2"/>
        <v>1</v>
      </c>
      <c r="I25" s="4">
        <v>3</v>
      </c>
      <c r="J25" s="22">
        <f t="shared" si="3"/>
        <v>6</v>
      </c>
    </row>
    <row r="26" spans="1:10" ht="16.5" thickTop="1" thickBot="1" x14ac:dyDescent="0.3">
      <c r="A26" s="14" t="s">
        <v>63</v>
      </c>
      <c r="B26" s="2">
        <v>1</v>
      </c>
      <c r="C26" s="19" t="s">
        <v>31</v>
      </c>
      <c r="D26" s="7">
        <f t="shared" si="0"/>
        <v>2</v>
      </c>
      <c r="E26" s="9" t="s">
        <v>50</v>
      </c>
      <c r="F26" s="33">
        <f>SUMIF(C:C,"LEW",B:B)+1</f>
        <v>2</v>
      </c>
      <c r="G26" s="5">
        <f t="shared" si="1"/>
        <v>2</v>
      </c>
      <c r="H26" s="31">
        <f t="shared" si="2"/>
        <v>3</v>
      </c>
      <c r="I26" s="4">
        <v>1</v>
      </c>
      <c r="J26" s="22">
        <f t="shared" si="3"/>
        <v>6</v>
      </c>
    </row>
    <row r="27" spans="1:10" ht="16.5" thickTop="1" thickBot="1" x14ac:dyDescent="0.3">
      <c r="A27" s="14" t="s">
        <v>64</v>
      </c>
      <c r="B27" s="2">
        <v>1</v>
      </c>
      <c r="C27" s="2" t="s">
        <v>43</v>
      </c>
      <c r="D27" s="7">
        <f t="shared" si="0"/>
        <v>2</v>
      </c>
      <c r="E27" s="9" t="s">
        <v>7</v>
      </c>
      <c r="F27" s="33">
        <f>SUMIF(C:C,"LIM",B:B)+1</f>
        <v>2</v>
      </c>
      <c r="G27" s="5">
        <f t="shared" si="1"/>
        <v>2</v>
      </c>
      <c r="H27" s="31">
        <f t="shared" si="2"/>
        <v>4</v>
      </c>
      <c r="I27" s="4">
        <v>1</v>
      </c>
      <c r="J27" s="22">
        <f t="shared" si="3"/>
        <v>8</v>
      </c>
    </row>
    <row r="28" spans="1:10" ht="16.5" thickTop="1" thickBot="1" x14ac:dyDescent="0.3">
      <c r="A28" s="16" t="s">
        <v>65</v>
      </c>
      <c r="B28" s="18">
        <v>1</v>
      </c>
      <c r="C28" s="20" t="s">
        <v>45</v>
      </c>
      <c r="D28" s="7">
        <f t="shared" si="0"/>
        <v>3</v>
      </c>
      <c r="E28" s="30" t="s">
        <v>51</v>
      </c>
      <c r="F28" s="33">
        <f>SUMIF(C:C,"MUD",B:B)+1</f>
        <v>2</v>
      </c>
      <c r="G28" s="5">
        <f t="shared" si="1"/>
        <v>2</v>
      </c>
      <c r="H28" s="31">
        <f t="shared" si="2"/>
        <v>4</v>
      </c>
      <c r="I28" s="4">
        <v>1</v>
      </c>
      <c r="J28" s="22">
        <f t="shared" si="3"/>
        <v>8</v>
      </c>
    </row>
    <row r="29" spans="1:10" ht="16.5" thickTop="1" thickBot="1" x14ac:dyDescent="0.3">
      <c r="A29" s="14" t="s">
        <v>66</v>
      </c>
      <c r="B29" s="2">
        <v>1</v>
      </c>
      <c r="C29" s="2" t="s">
        <v>46</v>
      </c>
      <c r="D29" s="7">
        <f t="shared" si="0"/>
        <v>4</v>
      </c>
      <c r="E29" s="9" t="s">
        <v>52</v>
      </c>
      <c r="F29" s="33">
        <f>SUMIF(C:C,"PDK",B:B)+1</f>
        <v>2</v>
      </c>
      <c r="G29" s="5">
        <f t="shared" si="1"/>
        <v>2</v>
      </c>
      <c r="H29" s="31">
        <f t="shared" si="2"/>
        <v>1</v>
      </c>
      <c r="I29" s="4">
        <v>3</v>
      </c>
      <c r="J29" s="22">
        <f t="shared" si="3"/>
        <v>6</v>
      </c>
    </row>
    <row r="30" spans="1:10" ht="16.5" thickTop="1" thickBot="1" x14ac:dyDescent="0.3">
      <c r="A30" s="16" t="s">
        <v>67</v>
      </c>
      <c r="B30" s="19">
        <v>1</v>
      </c>
      <c r="C30" s="2" t="s">
        <v>6</v>
      </c>
      <c r="D30" s="7">
        <f t="shared" si="0"/>
        <v>5</v>
      </c>
      <c r="E30" s="9" t="s">
        <v>53</v>
      </c>
      <c r="F30" s="33">
        <f>SUMIF(C:C,"PML",B:B)+1</f>
        <v>2</v>
      </c>
      <c r="G30" s="5">
        <f t="shared" si="1"/>
        <v>2</v>
      </c>
      <c r="H30" s="31">
        <f t="shared" si="2"/>
        <v>5</v>
      </c>
      <c r="I30" s="4">
        <v>5</v>
      </c>
      <c r="J30" s="22">
        <f t="shared" si="3"/>
        <v>50</v>
      </c>
    </row>
    <row r="31" spans="1:10" ht="16.5" thickTop="1" thickBot="1" x14ac:dyDescent="0.3">
      <c r="A31" s="17" t="s">
        <v>68</v>
      </c>
      <c r="B31" s="2">
        <v>1</v>
      </c>
      <c r="C31" s="19" t="s">
        <v>37</v>
      </c>
      <c r="D31" s="7">
        <f t="shared" si="0"/>
        <v>4</v>
      </c>
      <c r="E31" s="9" t="s">
        <v>10</v>
      </c>
      <c r="F31" s="33">
        <f>SUMIF(C:C,"POP",B:B)+1</f>
        <v>2</v>
      </c>
      <c r="G31" s="5">
        <f t="shared" si="1"/>
        <v>2</v>
      </c>
      <c r="H31" s="31">
        <f t="shared" si="2"/>
        <v>3</v>
      </c>
      <c r="I31" s="4">
        <v>5</v>
      </c>
      <c r="J31" s="22">
        <f t="shared" si="3"/>
        <v>30</v>
      </c>
    </row>
    <row r="32" spans="1:10" ht="16.5" thickTop="1" thickBot="1" x14ac:dyDescent="0.3">
      <c r="A32" s="14" t="s">
        <v>69</v>
      </c>
      <c r="B32" s="2">
        <v>1</v>
      </c>
      <c r="C32" s="2" t="s">
        <v>50</v>
      </c>
      <c r="D32" s="12">
        <f t="shared" si="0"/>
        <v>3</v>
      </c>
      <c r="E32" s="9" t="s">
        <v>54</v>
      </c>
      <c r="F32" s="33">
        <f>SUMIF(C:C,"PPR",B:B)+1</f>
        <v>2</v>
      </c>
      <c r="G32" s="5">
        <f t="shared" si="1"/>
        <v>2</v>
      </c>
      <c r="H32" s="31">
        <f t="shared" si="2"/>
        <v>4</v>
      </c>
      <c r="I32" s="4">
        <v>2</v>
      </c>
      <c r="J32" s="22">
        <f t="shared" si="3"/>
        <v>16</v>
      </c>
    </row>
    <row r="33" spans="1:10" ht="16.5" thickTop="1" thickBot="1" x14ac:dyDescent="0.3">
      <c r="A33" s="16" t="s">
        <v>23</v>
      </c>
      <c r="B33" s="2">
        <v>1</v>
      </c>
      <c r="C33" s="2" t="s">
        <v>59</v>
      </c>
      <c r="D33" s="12">
        <f t="shared" si="0"/>
        <v>2</v>
      </c>
      <c r="E33" s="9" t="s">
        <v>55</v>
      </c>
      <c r="F33" s="33">
        <f>SUMIF(C:C,"ROA",B:B)+1</f>
        <v>2</v>
      </c>
      <c r="G33" s="5">
        <f t="shared" si="1"/>
        <v>2</v>
      </c>
      <c r="H33" s="31">
        <f t="shared" si="2"/>
        <v>3</v>
      </c>
      <c r="I33" s="4">
        <v>3</v>
      </c>
      <c r="J33" s="22">
        <f t="shared" si="3"/>
        <v>18</v>
      </c>
    </row>
    <row r="34" spans="1:10" ht="16.5" thickTop="1" thickBot="1" x14ac:dyDescent="0.3">
      <c r="A34" s="14" t="s">
        <v>70</v>
      </c>
      <c r="B34" s="2">
        <v>1</v>
      </c>
      <c r="C34" s="2" t="s">
        <v>49</v>
      </c>
      <c r="D34" s="12">
        <f t="shared" ref="D34:D50" si="4">VALUE(IF(A34="grafity","1",IF(A34="pulled door","1",IF(A34="no ticket","1",IF(A34="revenue dispute","2",IF(A34="spat","2",IF(A34="etching","2",IF(A34="sleeping vagrant","2",IF(A34="soiled",2,IF(A34="verbal assault","3",IF(A34="aggressive passenger","3", IF(A34="drunk passenger","3",IF(A34="broken window","3",IF(A34="unstable passenger","3",IF(A34="distorbing","3",IF(A34="fight","4",IF(A34="steal","4",IF(A34="indecent exposure","4",IF(A34="physical assault","4",IF(A34="BTP intervention","5",IF(A34="assault with seriously attack","5")))))))))))))))))))))</f>
        <v>1</v>
      </c>
      <c r="E34" s="9" t="s">
        <v>8</v>
      </c>
      <c r="F34" s="33">
        <f>SUMIF(C:C,"ROV",B:B)+1</f>
        <v>2</v>
      </c>
      <c r="G34" s="5">
        <f t="shared" si="1"/>
        <v>2</v>
      </c>
      <c r="H34" s="31">
        <f t="shared" si="2"/>
        <v>1</v>
      </c>
      <c r="I34" s="4">
        <v>1</v>
      </c>
      <c r="J34" s="22">
        <f t="shared" si="3"/>
        <v>2</v>
      </c>
    </row>
    <row r="35" spans="1:10" ht="16.5" thickTop="1" thickBot="1" x14ac:dyDescent="0.3">
      <c r="A35" s="14" t="s">
        <v>20</v>
      </c>
      <c r="B35" s="2">
        <v>1</v>
      </c>
      <c r="C35" s="19" t="s">
        <v>52</v>
      </c>
      <c r="D35" s="12">
        <f t="shared" si="4"/>
        <v>1</v>
      </c>
      <c r="E35" s="9" t="s">
        <v>14</v>
      </c>
      <c r="F35" s="33">
        <f>SUMIF(C:C,"SHA",B:B)+1</f>
        <v>2</v>
      </c>
      <c r="G35" s="5">
        <f t="shared" si="1"/>
        <v>2</v>
      </c>
      <c r="H35" s="31">
        <f t="shared" si="2"/>
        <v>3</v>
      </c>
      <c r="I35" s="4">
        <v>1</v>
      </c>
      <c r="J35" s="22">
        <f t="shared" si="3"/>
        <v>6</v>
      </c>
    </row>
    <row r="36" spans="1:10" ht="16.5" thickTop="1" thickBot="1" x14ac:dyDescent="0.3">
      <c r="A36" s="15" t="s">
        <v>22</v>
      </c>
      <c r="B36" s="2">
        <v>1</v>
      </c>
      <c r="C36" s="2" t="s">
        <v>10</v>
      </c>
      <c r="D36" s="7">
        <f t="shared" si="4"/>
        <v>3</v>
      </c>
      <c r="E36" s="30" t="s">
        <v>56</v>
      </c>
      <c r="F36" s="33">
        <f>SUMIF(C:C,"SHS",B:B)+1</f>
        <v>1</v>
      </c>
      <c r="G36" s="5">
        <f t="shared" si="1"/>
        <v>1</v>
      </c>
      <c r="H36" s="31">
        <f t="shared" si="2"/>
        <v>1</v>
      </c>
      <c r="I36" s="4">
        <v>3</v>
      </c>
      <c r="J36" s="22">
        <f t="shared" si="3"/>
        <v>3</v>
      </c>
    </row>
    <row r="37" spans="1:10" ht="16.5" thickTop="1" thickBot="1" x14ac:dyDescent="0.3">
      <c r="A37" s="14" t="s">
        <v>71</v>
      </c>
      <c r="B37" s="2">
        <v>1</v>
      </c>
      <c r="C37" s="19" t="s">
        <v>55</v>
      </c>
      <c r="D37" s="7">
        <f t="shared" si="4"/>
        <v>3</v>
      </c>
      <c r="E37" s="30" t="s">
        <v>57</v>
      </c>
      <c r="F37" s="33">
        <f>SUMIF(C:C,"SOQ",B:B)+1</f>
        <v>2</v>
      </c>
      <c r="G37" s="5">
        <f t="shared" si="1"/>
        <v>2</v>
      </c>
      <c r="H37" s="31">
        <f t="shared" si="2"/>
        <v>1</v>
      </c>
      <c r="I37" s="4">
        <v>1</v>
      </c>
      <c r="J37" s="22">
        <f t="shared" si="3"/>
        <v>2</v>
      </c>
    </row>
    <row r="38" spans="1:10" ht="16.5" thickTop="1" thickBot="1" x14ac:dyDescent="0.3">
      <c r="A38" s="16" t="s">
        <v>72</v>
      </c>
      <c r="B38" s="2">
        <v>1</v>
      </c>
      <c r="C38" s="19" t="s">
        <v>58</v>
      </c>
      <c r="D38" s="7">
        <f t="shared" si="4"/>
        <v>3</v>
      </c>
      <c r="E38" s="30" t="s">
        <v>58</v>
      </c>
      <c r="F38" s="33">
        <f>SUMIF(C:C,"STI",B:B)+1</f>
        <v>2</v>
      </c>
      <c r="G38" s="5">
        <f t="shared" si="1"/>
        <v>2</v>
      </c>
      <c r="H38" s="31">
        <f t="shared" si="2"/>
        <v>3</v>
      </c>
      <c r="I38" s="4">
        <v>1</v>
      </c>
      <c r="J38" s="22">
        <f t="shared" si="3"/>
        <v>6</v>
      </c>
    </row>
    <row r="39" spans="1:10" ht="16.5" thickTop="1" thickBot="1" x14ac:dyDescent="0.3">
      <c r="A39" s="17" t="s">
        <v>62</v>
      </c>
      <c r="B39" s="2">
        <v>1</v>
      </c>
      <c r="C39" s="19" t="s">
        <v>13</v>
      </c>
      <c r="D39" s="12">
        <f t="shared" si="4"/>
        <v>3</v>
      </c>
      <c r="E39" s="9" t="s">
        <v>9</v>
      </c>
      <c r="F39" s="33">
        <f>SUMIF(C:C,"STL",B:B)+1</f>
        <v>3</v>
      </c>
      <c r="G39" s="5">
        <f t="shared" si="1"/>
        <v>3</v>
      </c>
      <c r="H39" s="31">
        <f t="shared" si="2"/>
        <v>2.5</v>
      </c>
      <c r="I39" s="4">
        <v>1</v>
      </c>
      <c r="J39" s="22">
        <f t="shared" si="3"/>
        <v>7.5</v>
      </c>
    </row>
    <row r="40" spans="1:10" ht="16.5" thickTop="1" thickBot="1" x14ac:dyDescent="0.3">
      <c r="A40" s="14" t="s">
        <v>21</v>
      </c>
      <c r="B40" s="2">
        <v>1</v>
      </c>
      <c r="C40" s="19" t="s">
        <v>28</v>
      </c>
      <c r="D40" s="7">
        <f t="shared" si="4"/>
        <v>4</v>
      </c>
      <c r="E40" s="30" t="s">
        <v>59</v>
      </c>
      <c r="F40" s="33">
        <f>SUMIF(C:C,"STR",B:B)+1</f>
        <v>2</v>
      </c>
      <c r="G40" s="5">
        <f t="shared" si="1"/>
        <v>2</v>
      </c>
      <c r="H40" s="31">
        <f t="shared" si="2"/>
        <v>2</v>
      </c>
      <c r="I40" s="4">
        <v>3</v>
      </c>
      <c r="J40" s="22">
        <f t="shared" si="3"/>
        <v>12</v>
      </c>
    </row>
    <row r="41" spans="1:10" ht="16.5" thickTop="1" thickBot="1" x14ac:dyDescent="0.3">
      <c r="A41" s="15" t="s">
        <v>25</v>
      </c>
      <c r="B41" s="2">
        <v>1</v>
      </c>
      <c r="C41" s="19" t="s">
        <v>53</v>
      </c>
      <c r="D41" s="12">
        <f t="shared" si="4"/>
        <v>5</v>
      </c>
      <c r="E41" s="9" t="s">
        <v>13</v>
      </c>
      <c r="F41" s="33">
        <f>SUMIF(C:C,"TOG",B:B)+1</f>
        <v>2</v>
      </c>
      <c r="G41" s="5">
        <f t="shared" si="1"/>
        <v>2</v>
      </c>
      <c r="H41" s="31">
        <f t="shared" si="2"/>
        <v>3</v>
      </c>
      <c r="I41" s="4">
        <v>2</v>
      </c>
      <c r="J41" s="22">
        <f t="shared" si="3"/>
        <v>12</v>
      </c>
    </row>
    <row r="42" spans="1:10" ht="16.5" thickTop="1" thickBot="1" x14ac:dyDescent="0.3">
      <c r="A42" s="15" t="s">
        <v>16</v>
      </c>
      <c r="B42" s="2">
        <v>1</v>
      </c>
      <c r="C42" s="19" t="s">
        <v>60</v>
      </c>
      <c r="D42" s="12">
        <f t="shared" si="4"/>
        <v>3</v>
      </c>
      <c r="E42" s="10" t="s">
        <v>60</v>
      </c>
      <c r="F42" s="33">
        <f>SUMIF(C:C,"WEH",B:B)+1</f>
        <v>2</v>
      </c>
      <c r="G42" s="5">
        <f t="shared" si="1"/>
        <v>2</v>
      </c>
      <c r="H42" s="31">
        <f t="shared" si="2"/>
        <v>3</v>
      </c>
      <c r="I42" s="4">
        <v>3</v>
      </c>
      <c r="J42" s="22">
        <f t="shared" si="3"/>
        <v>18</v>
      </c>
    </row>
    <row r="43" spans="1:10" ht="16.5" thickTop="1" thickBot="1" x14ac:dyDescent="0.3">
      <c r="A43" s="14" t="s">
        <v>20</v>
      </c>
      <c r="B43" s="2">
        <v>1</v>
      </c>
      <c r="C43" s="19" t="s">
        <v>61</v>
      </c>
      <c r="D43" s="7">
        <f t="shared" si="4"/>
        <v>1</v>
      </c>
      <c r="E43" s="30" t="s">
        <v>61</v>
      </c>
      <c r="F43" s="33">
        <f>SUMIF(C:C,"WES",B:B)+1</f>
        <v>2</v>
      </c>
      <c r="G43" s="5">
        <f t="shared" si="1"/>
        <v>2</v>
      </c>
      <c r="H43" s="31">
        <f t="shared" si="2"/>
        <v>1</v>
      </c>
      <c r="I43" s="4">
        <v>1</v>
      </c>
      <c r="J43" s="22">
        <f t="shared" si="3"/>
        <v>2</v>
      </c>
    </row>
    <row r="44" spans="1:10" ht="16.5" thickTop="1" thickBot="1" x14ac:dyDescent="0.3">
      <c r="A44" s="15" t="s">
        <v>19</v>
      </c>
      <c r="B44" s="2">
        <v>1</v>
      </c>
      <c r="C44" s="19" t="s">
        <v>57</v>
      </c>
      <c r="D44" s="12">
        <f t="shared" si="4"/>
        <v>1</v>
      </c>
      <c r="E44" s="9" t="s">
        <v>5</v>
      </c>
      <c r="F44" s="33">
        <f>SUMIF(C:C,"WIQ",B:B)+1</f>
        <v>2</v>
      </c>
      <c r="G44" s="5">
        <f t="shared" si="1"/>
        <v>2</v>
      </c>
      <c r="H44" s="31">
        <f t="shared" si="2"/>
        <v>3</v>
      </c>
      <c r="I44" s="4">
        <v>2</v>
      </c>
      <c r="J44" s="22">
        <f t="shared" si="3"/>
        <v>12</v>
      </c>
    </row>
    <row r="45" spans="1:10" ht="16.5" thickTop="1" thickBot="1" x14ac:dyDescent="0.3">
      <c r="A45" s="15" t="s">
        <v>17</v>
      </c>
      <c r="B45" s="2">
        <v>1</v>
      </c>
      <c r="C45" s="19" t="s">
        <v>39</v>
      </c>
      <c r="D45" s="7">
        <f t="shared" si="4"/>
        <v>2</v>
      </c>
      <c r="E45" s="9" t="s">
        <v>12</v>
      </c>
      <c r="F45" s="33">
        <f>SUMIF(C:C,"WOA",B:B)+1</f>
        <v>2</v>
      </c>
      <c r="G45" s="5">
        <f t="shared" si="1"/>
        <v>2</v>
      </c>
      <c r="H45" s="31">
        <f t="shared" si="2"/>
        <v>2</v>
      </c>
      <c r="I45" s="4">
        <v>5</v>
      </c>
      <c r="J45" s="22">
        <f t="shared" si="3"/>
        <v>20</v>
      </c>
    </row>
    <row r="46" spans="1:10" ht="15.75" thickTop="1" x14ac:dyDescent="0.25">
      <c r="A46" s="14" t="s">
        <v>69</v>
      </c>
      <c r="B46" s="18">
        <v>1</v>
      </c>
      <c r="C46" s="25" t="s">
        <v>40</v>
      </c>
      <c r="D46" s="7">
        <f t="shared" si="4"/>
        <v>3</v>
      </c>
      <c r="E46" s="9" t="s">
        <v>15</v>
      </c>
      <c r="F46" s="33">
        <f>SUMIF(C:C,"WST",B:B)+1</f>
        <v>2</v>
      </c>
      <c r="G46" s="5">
        <f t="shared" si="1"/>
        <v>2</v>
      </c>
      <c r="H46" s="31">
        <f t="shared" si="2"/>
        <v>5</v>
      </c>
      <c r="I46" s="4">
        <v>3</v>
      </c>
      <c r="J46" s="22">
        <f t="shared" si="3"/>
        <v>30</v>
      </c>
    </row>
    <row r="47" spans="1:10" x14ac:dyDescent="0.25">
      <c r="A47" s="26" t="s">
        <v>23</v>
      </c>
      <c r="B47" s="18">
        <v>1</v>
      </c>
      <c r="C47" s="19" t="s">
        <v>27</v>
      </c>
      <c r="D47" s="12">
        <f t="shared" si="4"/>
        <v>2</v>
      </c>
    </row>
    <row r="48" spans="1:10" x14ac:dyDescent="0.25">
      <c r="A48" s="26" t="s">
        <v>20</v>
      </c>
      <c r="B48" s="18">
        <v>1</v>
      </c>
      <c r="C48" s="19" t="s">
        <v>27</v>
      </c>
      <c r="D48" s="12">
        <f t="shared" si="4"/>
        <v>1</v>
      </c>
    </row>
    <row r="49" spans="1:9" x14ac:dyDescent="0.25">
      <c r="A49" s="26" t="s">
        <v>21</v>
      </c>
      <c r="B49" s="18">
        <v>1</v>
      </c>
      <c r="C49" s="19" t="s">
        <v>27</v>
      </c>
      <c r="D49" s="12">
        <f t="shared" si="4"/>
        <v>4</v>
      </c>
    </row>
    <row r="50" spans="1:9" x14ac:dyDescent="0.25">
      <c r="A50" s="24" t="s">
        <v>25</v>
      </c>
      <c r="B50" s="2">
        <v>1</v>
      </c>
      <c r="C50" s="19" t="s">
        <v>27</v>
      </c>
      <c r="D50" s="12">
        <f t="shared" si="4"/>
        <v>5</v>
      </c>
    </row>
    <row r="51" spans="1:9" x14ac:dyDescent="0.25">
      <c r="C51"/>
      <c r="D51"/>
      <c r="F51"/>
      <c r="G51"/>
      <c r="H51"/>
      <c r="I51"/>
    </row>
    <row r="52" spans="1:9" x14ac:dyDescent="0.25">
      <c r="C52"/>
      <c r="D52"/>
      <c r="F52"/>
      <c r="G52"/>
      <c r="H52"/>
      <c r="I52"/>
    </row>
    <row r="53" spans="1:9" x14ac:dyDescent="0.25">
      <c r="C53"/>
      <c r="D53"/>
      <c r="F53"/>
      <c r="G53"/>
      <c r="H53"/>
      <c r="I53"/>
    </row>
    <row r="54" spans="1:9" x14ac:dyDescent="0.25">
      <c r="C54"/>
      <c r="D54"/>
      <c r="F54"/>
      <c r="G54"/>
      <c r="H54"/>
      <c r="I54"/>
    </row>
    <row r="55" spans="1:9" x14ac:dyDescent="0.25">
      <c r="C55"/>
      <c r="D55"/>
      <c r="F55"/>
      <c r="G55"/>
      <c r="H55"/>
      <c r="I55"/>
    </row>
    <row r="56" spans="1:9" x14ac:dyDescent="0.25">
      <c r="C56"/>
      <c r="D56"/>
      <c r="F56"/>
      <c r="G56"/>
      <c r="H56"/>
      <c r="I56"/>
    </row>
    <row r="57" spans="1:9" x14ac:dyDescent="0.25">
      <c r="C57"/>
      <c r="D57"/>
      <c r="F57"/>
      <c r="G57"/>
      <c r="H57"/>
      <c r="I57"/>
    </row>
    <row r="58" spans="1:9" x14ac:dyDescent="0.25">
      <c r="C58"/>
      <c r="D58"/>
      <c r="F58"/>
      <c r="G58"/>
      <c r="H58"/>
      <c r="I58"/>
    </row>
    <row r="59" spans="1:9" x14ac:dyDescent="0.25">
      <c r="C59"/>
      <c r="D59"/>
      <c r="F59"/>
      <c r="G59"/>
      <c r="H59"/>
      <c r="I59"/>
    </row>
    <row r="60" spans="1:9" x14ac:dyDescent="0.25">
      <c r="C60"/>
      <c r="D60"/>
      <c r="F60"/>
      <c r="G60"/>
      <c r="H60"/>
      <c r="I60"/>
    </row>
    <row r="61" spans="1:9" x14ac:dyDescent="0.25">
      <c r="C61"/>
      <c r="D61"/>
      <c r="F61"/>
      <c r="G61"/>
      <c r="H61"/>
      <c r="I61"/>
    </row>
    <row r="62" spans="1:9" x14ac:dyDescent="0.25">
      <c r="C62"/>
      <c r="D62"/>
      <c r="F62"/>
      <c r="G62"/>
      <c r="H62"/>
      <c r="I62"/>
    </row>
    <row r="63" spans="1:9" x14ac:dyDescent="0.25">
      <c r="C63"/>
      <c r="D63"/>
      <c r="F63"/>
      <c r="G63"/>
      <c r="H63"/>
      <c r="I63"/>
    </row>
    <row r="64" spans="1:9" x14ac:dyDescent="0.25">
      <c r="C64"/>
      <c r="D64"/>
      <c r="F64"/>
      <c r="G64"/>
      <c r="H64"/>
      <c r="I64"/>
    </row>
    <row r="65" spans="3:9" x14ac:dyDescent="0.25">
      <c r="C65"/>
      <c r="D65"/>
      <c r="F65"/>
      <c r="G65"/>
      <c r="H65"/>
      <c r="I65"/>
    </row>
    <row r="66" spans="3:9" x14ac:dyDescent="0.25">
      <c r="C66"/>
      <c r="D66"/>
      <c r="F66"/>
      <c r="G66"/>
      <c r="H66"/>
      <c r="I66"/>
    </row>
    <row r="67" spans="3:9" x14ac:dyDescent="0.25">
      <c r="C67"/>
      <c r="D67"/>
      <c r="F67"/>
      <c r="G67"/>
      <c r="H67"/>
      <c r="I67"/>
    </row>
    <row r="68" spans="3:9" x14ac:dyDescent="0.25">
      <c r="C68"/>
      <c r="D68"/>
      <c r="F68"/>
      <c r="G68"/>
      <c r="H68"/>
      <c r="I68"/>
    </row>
    <row r="69" spans="3:9" x14ac:dyDescent="0.25">
      <c r="C69"/>
      <c r="D69"/>
      <c r="F69"/>
      <c r="G69"/>
      <c r="H69"/>
      <c r="I69"/>
    </row>
    <row r="70" spans="3:9" x14ac:dyDescent="0.25">
      <c r="C70"/>
      <c r="D70"/>
      <c r="F70"/>
      <c r="G70"/>
      <c r="H70"/>
      <c r="I70"/>
    </row>
    <row r="71" spans="3:9" x14ac:dyDescent="0.25">
      <c r="C71"/>
      <c r="D71"/>
      <c r="F71"/>
      <c r="G71"/>
      <c r="H71"/>
      <c r="I71"/>
    </row>
    <row r="72" spans="3:9" x14ac:dyDescent="0.25">
      <c r="C72"/>
      <c r="D72"/>
      <c r="F72"/>
      <c r="G72"/>
      <c r="H72"/>
      <c r="I72"/>
    </row>
    <row r="73" spans="3:9" x14ac:dyDescent="0.25">
      <c r="C73"/>
      <c r="D73"/>
      <c r="F73"/>
      <c r="G73"/>
      <c r="H73"/>
      <c r="I73"/>
    </row>
    <row r="74" spans="3:9" x14ac:dyDescent="0.25">
      <c r="C74"/>
      <c r="D74"/>
      <c r="F74"/>
      <c r="G74"/>
      <c r="H74"/>
      <c r="I74"/>
    </row>
    <row r="75" spans="3:9" x14ac:dyDescent="0.25">
      <c r="C75"/>
      <c r="D75"/>
      <c r="F75"/>
      <c r="G75"/>
      <c r="H75"/>
      <c r="I75"/>
    </row>
    <row r="76" spans="3:9" x14ac:dyDescent="0.25">
      <c r="C76"/>
      <c r="D76"/>
      <c r="F76"/>
      <c r="G76"/>
      <c r="H76"/>
      <c r="I76"/>
    </row>
    <row r="77" spans="3:9" x14ac:dyDescent="0.25">
      <c r="C77"/>
      <c r="D77"/>
      <c r="F77"/>
      <c r="G77"/>
      <c r="H77"/>
      <c r="I77"/>
    </row>
    <row r="78" spans="3:9" x14ac:dyDescent="0.25">
      <c r="C78"/>
      <c r="D78"/>
      <c r="F78"/>
      <c r="G78"/>
      <c r="H78"/>
      <c r="I78"/>
    </row>
    <row r="79" spans="3:9" x14ac:dyDescent="0.25">
      <c r="C79"/>
      <c r="D79"/>
      <c r="F79"/>
      <c r="G79"/>
      <c r="H79"/>
      <c r="I79"/>
    </row>
    <row r="80" spans="3:9" x14ac:dyDescent="0.25">
      <c r="C80"/>
      <c r="D80"/>
      <c r="F80"/>
      <c r="G80"/>
      <c r="H80"/>
      <c r="I80"/>
    </row>
    <row r="81" spans="3:9" x14ac:dyDescent="0.25">
      <c r="C81"/>
      <c r="D81"/>
      <c r="F81"/>
      <c r="G81"/>
      <c r="H81"/>
      <c r="I81"/>
    </row>
    <row r="82" spans="3:9" x14ac:dyDescent="0.25">
      <c r="C82"/>
      <c r="D82"/>
      <c r="F82"/>
      <c r="G82"/>
      <c r="H82"/>
      <c r="I82"/>
    </row>
    <row r="83" spans="3:9" x14ac:dyDescent="0.25">
      <c r="C83"/>
      <c r="D83"/>
      <c r="F83"/>
      <c r="G83"/>
      <c r="H83"/>
      <c r="I83"/>
    </row>
    <row r="84" spans="3:9" x14ac:dyDescent="0.25">
      <c r="C84"/>
      <c r="D84"/>
      <c r="F84"/>
      <c r="G84"/>
      <c r="H84"/>
      <c r="I84"/>
    </row>
    <row r="85" spans="3:9" x14ac:dyDescent="0.25">
      <c r="C85"/>
      <c r="D85"/>
      <c r="F85"/>
      <c r="G85"/>
      <c r="H85"/>
      <c r="I85"/>
    </row>
    <row r="86" spans="3:9" x14ac:dyDescent="0.25">
      <c r="C86"/>
      <c r="D86"/>
      <c r="F86"/>
      <c r="G86"/>
      <c r="H86"/>
      <c r="I86"/>
    </row>
    <row r="87" spans="3:9" x14ac:dyDescent="0.25">
      <c r="C87"/>
      <c r="D87"/>
      <c r="F87"/>
      <c r="G87"/>
      <c r="H87"/>
      <c r="I87"/>
    </row>
    <row r="88" spans="3:9" x14ac:dyDescent="0.25">
      <c r="C88"/>
      <c r="D88"/>
      <c r="F88"/>
      <c r="G88"/>
      <c r="H88"/>
      <c r="I88"/>
    </row>
    <row r="89" spans="3:9" x14ac:dyDescent="0.25">
      <c r="C89"/>
      <c r="D89"/>
      <c r="F89"/>
      <c r="G89"/>
      <c r="H89"/>
      <c r="I89"/>
    </row>
    <row r="90" spans="3:9" x14ac:dyDescent="0.25">
      <c r="C90"/>
      <c r="D90"/>
      <c r="F90"/>
      <c r="G90"/>
      <c r="H90"/>
      <c r="I90"/>
    </row>
    <row r="91" spans="3:9" x14ac:dyDescent="0.25">
      <c r="C91"/>
      <c r="D91"/>
      <c r="F91"/>
      <c r="G91"/>
      <c r="H91"/>
      <c r="I91"/>
    </row>
    <row r="92" spans="3:9" x14ac:dyDescent="0.25">
      <c r="C92"/>
      <c r="D92"/>
      <c r="F92"/>
      <c r="G92"/>
      <c r="H92"/>
      <c r="I92"/>
    </row>
    <row r="93" spans="3:9" x14ac:dyDescent="0.25">
      <c r="C93"/>
      <c r="D93"/>
      <c r="F93"/>
      <c r="G93"/>
      <c r="H93"/>
      <c r="I93"/>
    </row>
    <row r="94" spans="3:9" x14ac:dyDescent="0.25">
      <c r="C94"/>
      <c r="D94"/>
      <c r="F94"/>
      <c r="G94"/>
      <c r="H94"/>
      <c r="I94"/>
    </row>
    <row r="95" spans="3:9" x14ac:dyDescent="0.25">
      <c r="C95"/>
      <c r="D95"/>
      <c r="F95"/>
      <c r="G95"/>
      <c r="H95"/>
      <c r="I95"/>
    </row>
    <row r="96" spans="3:9" x14ac:dyDescent="0.25">
      <c r="C96"/>
      <c r="D96"/>
      <c r="F96"/>
      <c r="G96"/>
      <c r="H96"/>
      <c r="I96"/>
    </row>
    <row r="97" spans="3:9" x14ac:dyDescent="0.25">
      <c r="C97"/>
      <c r="D97"/>
      <c r="F97"/>
      <c r="G97"/>
      <c r="H97"/>
      <c r="I97"/>
    </row>
    <row r="98" spans="3:9" x14ac:dyDescent="0.25">
      <c r="C98"/>
      <c r="D98"/>
      <c r="F98"/>
      <c r="G98"/>
      <c r="H98"/>
      <c r="I98"/>
    </row>
    <row r="99" spans="3:9" x14ac:dyDescent="0.25">
      <c r="C99"/>
      <c r="D99"/>
      <c r="F99"/>
      <c r="G99"/>
      <c r="H99"/>
      <c r="I99"/>
    </row>
    <row r="100" spans="3:9" x14ac:dyDescent="0.25">
      <c r="C100"/>
      <c r="D100"/>
      <c r="F100"/>
      <c r="G100"/>
      <c r="H100"/>
      <c r="I100"/>
    </row>
    <row r="101" spans="3:9" x14ac:dyDescent="0.25">
      <c r="C101"/>
      <c r="D101"/>
      <c r="F101"/>
      <c r="G101"/>
      <c r="H101"/>
      <c r="I101"/>
    </row>
    <row r="102" spans="3:9" x14ac:dyDescent="0.25">
      <c r="C102"/>
      <c r="D102"/>
      <c r="F102"/>
      <c r="G102"/>
      <c r="H102"/>
      <c r="I102"/>
    </row>
    <row r="103" spans="3:9" x14ac:dyDescent="0.25">
      <c r="C103"/>
      <c r="D103"/>
      <c r="F103"/>
      <c r="G103"/>
      <c r="H103"/>
      <c r="I103"/>
    </row>
    <row r="104" spans="3:9" x14ac:dyDescent="0.25">
      <c r="C104"/>
      <c r="D104"/>
      <c r="F104"/>
      <c r="G104"/>
      <c r="H104"/>
      <c r="I104"/>
    </row>
    <row r="105" spans="3:9" x14ac:dyDescent="0.25">
      <c r="C105"/>
      <c r="D105"/>
      <c r="F105"/>
      <c r="G105"/>
      <c r="H105"/>
      <c r="I105"/>
    </row>
    <row r="106" spans="3:9" x14ac:dyDescent="0.25">
      <c r="C106"/>
      <c r="D106"/>
      <c r="F106"/>
      <c r="G106"/>
      <c r="H106"/>
      <c r="I106"/>
    </row>
    <row r="107" spans="3:9" x14ac:dyDescent="0.25">
      <c r="C107"/>
      <c r="D107"/>
      <c r="F107"/>
      <c r="G107"/>
      <c r="H107"/>
      <c r="I107"/>
    </row>
    <row r="108" spans="3:9" x14ac:dyDescent="0.25">
      <c r="C108"/>
      <c r="D108"/>
      <c r="F108"/>
      <c r="G108"/>
      <c r="H108"/>
      <c r="I108"/>
    </row>
    <row r="109" spans="3:9" x14ac:dyDescent="0.25">
      <c r="C109"/>
      <c r="D109"/>
      <c r="F109"/>
      <c r="G109"/>
      <c r="H109"/>
      <c r="I109"/>
    </row>
    <row r="110" spans="3:9" x14ac:dyDescent="0.25">
      <c r="C110"/>
      <c r="D110"/>
      <c r="F110"/>
      <c r="G110"/>
      <c r="H110"/>
      <c r="I110"/>
    </row>
    <row r="111" spans="3:9" x14ac:dyDescent="0.25">
      <c r="C111"/>
      <c r="D111"/>
      <c r="F111"/>
      <c r="G111"/>
      <c r="H111"/>
      <c r="I111"/>
    </row>
    <row r="112" spans="3:9" x14ac:dyDescent="0.25">
      <c r="C112"/>
      <c r="D112"/>
      <c r="F112"/>
      <c r="G112"/>
      <c r="H112"/>
      <c r="I112"/>
    </row>
    <row r="113" spans="3:9" x14ac:dyDescent="0.25">
      <c r="C113"/>
      <c r="D113"/>
      <c r="F113"/>
      <c r="G113"/>
      <c r="H113"/>
      <c r="I113"/>
    </row>
    <row r="114" spans="3:9" x14ac:dyDescent="0.25">
      <c r="C114"/>
      <c r="D114"/>
      <c r="F114"/>
      <c r="G114"/>
      <c r="H114"/>
      <c r="I114"/>
    </row>
    <row r="115" spans="3:9" x14ac:dyDescent="0.25">
      <c r="C115"/>
      <c r="D115"/>
      <c r="F115"/>
      <c r="G115"/>
      <c r="H115"/>
      <c r="I115"/>
    </row>
    <row r="116" spans="3:9" x14ac:dyDescent="0.25">
      <c r="C116"/>
      <c r="D116"/>
      <c r="F116"/>
      <c r="G116"/>
      <c r="H116"/>
      <c r="I116"/>
    </row>
    <row r="117" spans="3:9" x14ac:dyDescent="0.25">
      <c r="C117"/>
      <c r="D117"/>
      <c r="F117"/>
      <c r="G117"/>
      <c r="H117"/>
      <c r="I117"/>
    </row>
    <row r="118" spans="3:9" x14ac:dyDescent="0.25">
      <c r="C118"/>
      <c r="D118"/>
      <c r="F118"/>
      <c r="G118"/>
      <c r="H118"/>
      <c r="I118"/>
    </row>
    <row r="119" spans="3:9" x14ac:dyDescent="0.25">
      <c r="C119"/>
      <c r="D119"/>
      <c r="F119"/>
      <c r="G119"/>
      <c r="H119"/>
      <c r="I119"/>
    </row>
    <row r="120" spans="3:9" x14ac:dyDescent="0.25">
      <c r="C120"/>
      <c r="D120"/>
      <c r="F120"/>
      <c r="G120"/>
      <c r="H120"/>
      <c r="I120"/>
    </row>
    <row r="121" spans="3:9" x14ac:dyDescent="0.25">
      <c r="C121"/>
      <c r="D121"/>
      <c r="F121"/>
      <c r="G121"/>
      <c r="H121"/>
      <c r="I121"/>
    </row>
    <row r="122" spans="3:9" x14ac:dyDescent="0.25">
      <c r="C122"/>
      <c r="D122"/>
      <c r="F122"/>
      <c r="G122"/>
      <c r="H122"/>
      <c r="I122"/>
    </row>
    <row r="123" spans="3:9" x14ac:dyDescent="0.25">
      <c r="C123"/>
      <c r="D123"/>
      <c r="F123"/>
      <c r="G123"/>
      <c r="H123"/>
      <c r="I123"/>
    </row>
    <row r="124" spans="3:9" x14ac:dyDescent="0.25">
      <c r="C124"/>
      <c r="D124"/>
      <c r="F124"/>
      <c r="G124"/>
      <c r="H124"/>
      <c r="I124"/>
    </row>
    <row r="125" spans="3:9" x14ac:dyDescent="0.25">
      <c r="C125"/>
      <c r="D125"/>
      <c r="F125"/>
      <c r="G125"/>
      <c r="H125"/>
      <c r="I125"/>
    </row>
    <row r="126" spans="3:9" x14ac:dyDescent="0.25">
      <c r="C126"/>
      <c r="D126"/>
      <c r="F126"/>
      <c r="G126"/>
      <c r="H126"/>
      <c r="I126"/>
    </row>
    <row r="127" spans="3:9" x14ac:dyDescent="0.25">
      <c r="C127"/>
      <c r="D127"/>
      <c r="F127"/>
      <c r="G127"/>
      <c r="H127"/>
      <c r="I127"/>
    </row>
    <row r="128" spans="3:9" x14ac:dyDescent="0.25">
      <c r="C128"/>
      <c r="D128"/>
      <c r="F128"/>
      <c r="G128"/>
      <c r="H128"/>
      <c r="I128"/>
    </row>
    <row r="129" spans="3:9" x14ac:dyDescent="0.25">
      <c r="C129"/>
      <c r="D129"/>
      <c r="F129"/>
      <c r="G129"/>
      <c r="H129"/>
      <c r="I129"/>
    </row>
    <row r="130" spans="3:9" x14ac:dyDescent="0.25">
      <c r="C130"/>
      <c r="D130"/>
      <c r="F130"/>
      <c r="G130"/>
      <c r="H130"/>
      <c r="I130"/>
    </row>
    <row r="131" spans="3:9" x14ac:dyDescent="0.25">
      <c r="C131"/>
      <c r="D131"/>
      <c r="F131"/>
      <c r="G131"/>
      <c r="H131"/>
      <c r="I131"/>
    </row>
    <row r="132" spans="3:9" x14ac:dyDescent="0.25">
      <c r="C132"/>
      <c r="D132"/>
      <c r="F132"/>
      <c r="G132"/>
      <c r="H132"/>
      <c r="I132"/>
    </row>
    <row r="133" spans="3:9" x14ac:dyDescent="0.25">
      <c r="C133"/>
      <c r="D133"/>
      <c r="F133"/>
      <c r="G133"/>
      <c r="H133"/>
      <c r="I133"/>
    </row>
    <row r="134" spans="3:9" x14ac:dyDescent="0.25">
      <c r="C134"/>
      <c r="D134"/>
      <c r="F134"/>
      <c r="G134"/>
      <c r="H134"/>
      <c r="I134"/>
    </row>
    <row r="135" spans="3:9" x14ac:dyDescent="0.25">
      <c r="C135"/>
      <c r="D135"/>
      <c r="F135"/>
      <c r="G135"/>
      <c r="H135"/>
      <c r="I135"/>
    </row>
    <row r="136" spans="3:9" x14ac:dyDescent="0.25">
      <c r="C136"/>
      <c r="D136"/>
      <c r="F136"/>
      <c r="G136"/>
      <c r="H136"/>
      <c r="I136"/>
    </row>
    <row r="137" spans="3:9" x14ac:dyDescent="0.25">
      <c r="C137"/>
      <c r="D137"/>
      <c r="F137"/>
      <c r="G137"/>
      <c r="H137"/>
      <c r="I137"/>
    </row>
  </sheetData>
  <conditionalFormatting sqref="J2:J46">
    <cfRule type="cellIs" dxfId="5" priority="12" operator="greaterThanOrEqual">
      <formula>99</formula>
    </cfRule>
    <cfRule type="cellIs" dxfId="4" priority="13" operator="between">
      <formula>66</formula>
      <formula>99</formula>
    </cfRule>
    <cfRule type="cellIs" dxfId="3" priority="14" operator="between">
      <formula>32</formula>
      <formula>66</formula>
    </cfRule>
    <cfRule type="cellIs" dxfId="2" priority="15" operator="between">
      <formula>1</formula>
      <formula>32</formula>
    </cfRule>
    <cfRule type="cellIs" dxfId="1" priority="16" operator="equal">
      <formula>1</formula>
    </cfRule>
  </conditionalFormatting>
  <conditionalFormatting sqref="F2:G2 E21:E46 D2:D21 E3:G3 E4:F20 G4:G46 H2:H46">
    <cfRule type="expression" dxfId="0" priority="4">
      <formula>"""=SI(B2=""etching"";""1"""</formula>
    </cfRule>
  </conditionalFormatting>
  <hyperlinks>
    <hyperlink ref="N1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Bismuth</dc:creator>
  <cp:lastModifiedBy>Michel</cp:lastModifiedBy>
  <dcterms:created xsi:type="dcterms:W3CDTF">2015-07-08T07:55:42Z</dcterms:created>
  <dcterms:modified xsi:type="dcterms:W3CDTF">2015-07-13T14:06:16Z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