
<file path=[Content_Types].xml><?xml version="1.0" encoding="utf-8"?>
<Types xmlns="http://schemas.openxmlformats.org/package/2006/content-types">
  <Default Extension="bin" ContentType="application/vnd.openxmlformats-officedocument.spreadsheetml.printerSettings"/>
  <Default Extension="png" ContentType="image/png"/>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2.xml" ContentType="application/vnd.openxmlformats-officedocument.drawing+xml"/>
  <Override PartName="/xl/ctrlProps/ctrlProp1.xml" ContentType="application/vnd.ms-excel.controlproperties+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tables/table9.xml" ContentType="application/vnd.openxmlformats-officedocument.spreadsheetml.table+xml"/>
  <Override PartName="/xl/tables/table10.xml" ContentType="application/vnd.openxmlformats-officedocument.spreadsheetml.table+xml"/>
  <Override PartName="/xl/tables/table11.xml" ContentType="application/vnd.openxmlformats-officedocument.spreadsheetml.table+xml"/>
  <Override PartName="/xl/tables/table12.xml" ContentType="application/vnd.openxmlformats-officedocument.spreadsheetml.table+xml"/>
  <Override PartName="/xl/tables/table13.xml" ContentType="application/vnd.openxmlformats-officedocument.spreadsheetml.table+xml"/>
  <Override PartName="/xl/tables/table14.xml" ContentType="application/vnd.openxmlformats-officedocument.spreadsheetml.table+xml"/>
  <Override PartName="/xl/tables/table15.xml" ContentType="application/vnd.openxmlformats-officedocument.spreadsheetml.table+xml"/>
  <Override PartName="/xl/tables/table16.xml" ContentType="application/vnd.openxmlformats-officedocument.spreadsheetml.table+xml"/>
  <Override PartName="/xl/tables/table17.xml" ContentType="application/vnd.openxmlformats-officedocument.spreadsheetml.table+xml"/>
  <Override PartName="/xl/tables/table18.xml" ContentType="application/vnd.openxmlformats-officedocument.spreadsheetml.table+xml"/>
  <Override PartName="/xl/tables/table19.xml" ContentType="application/vnd.openxmlformats-officedocument.spreadsheetml.table+xml"/>
  <Override PartName="/xl/tables/table20.xml" ContentType="application/vnd.openxmlformats-officedocument.spreadsheetml.table+xml"/>
  <Override PartName="/xl/tables/table21.xml" ContentType="application/vnd.openxmlformats-officedocument.spreadsheetml.table+xml"/>
  <Override PartName="/xl/tables/table22.xml" ContentType="application/vnd.openxmlformats-officedocument.spreadsheetml.table+xml"/>
  <Override PartName="/xl/tables/table23.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hidePivotFieldList="1" autoCompressPictures="0"/>
  <bookViews>
    <workbookView xWindow="0" yWindow="0" windowWidth="25605" windowHeight="16065"/>
  </bookViews>
  <sheets>
    <sheet name="Démarrer" sheetId="3" r:id="rId1"/>
    <sheet name="Macro_V.Compl" sheetId="6" state="hidden" r:id="rId2"/>
    <sheet name="Variables" sheetId="1" r:id="rId3"/>
    <sheet name="Tableau Projection" sheetId="2" r:id="rId4"/>
    <sheet name="V.Complémentaires" sheetId="5" r:id="rId5"/>
    <sheet name="Liste" sheetId="4" state="hidden" r:id="rId6"/>
  </sheets>
  <calcPr calcId="145621" concurrentCalc="0"/>
  <extLst>
    <ext xmlns:mx="http://schemas.microsoft.com/office/mac/excel/2008/main" uri="{7523E5D3-25F3-A5E0-1632-64F254C22452}">
      <mx:ArchID Flags="2"/>
    </ex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C9" i="5" l="1"/>
  <c r="A1" i="2"/>
  <c r="C6" i="5"/>
  <c r="D7" i="2"/>
  <c r="C7" i="2"/>
  <c r="I7" i="2"/>
  <c r="C7" i="5"/>
  <c r="D9" i="5"/>
  <c r="G9" i="5"/>
  <c r="G10" i="5"/>
  <c r="G11" i="5"/>
  <c r="G12" i="5"/>
  <c r="G13" i="5"/>
  <c r="G14" i="5"/>
  <c r="G15" i="5"/>
  <c r="G16" i="5"/>
  <c r="G17" i="5"/>
  <c r="G18" i="5"/>
  <c r="G19" i="5"/>
  <c r="G20" i="5"/>
  <c r="G21" i="5"/>
  <c r="G22" i="5"/>
  <c r="G23" i="5"/>
  <c r="G24" i="5"/>
  <c r="G25" i="5"/>
  <c r="G26" i="5"/>
  <c r="E26" i="5"/>
  <c r="F9" i="5"/>
  <c r="F10" i="5"/>
  <c r="F11" i="5"/>
  <c r="F12" i="5"/>
  <c r="F13" i="5"/>
  <c r="F14" i="5"/>
  <c r="F15" i="5"/>
  <c r="F16" i="5"/>
  <c r="F17" i="5"/>
  <c r="F18" i="5"/>
  <c r="F19" i="5"/>
  <c r="F20" i="5"/>
  <c r="F21" i="5"/>
  <c r="F22" i="5"/>
  <c r="F23" i="5"/>
  <c r="F24" i="5"/>
  <c r="F25" i="5"/>
  <c r="F26" i="5"/>
  <c r="H7" i="2"/>
  <c r="E7" i="2"/>
  <c r="F7" i="2"/>
  <c r="J7" i="2"/>
  <c r="G7" i="2"/>
  <c r="K7" i="2"/>
  <c r="L7" i="2"/>
  <c r="E8" i="2"/>
  <c r="D8" i="2"/>
  <c r="F8" i="2"/>
  <c r="E52" i="5"/>
  <c r="H8" i="2"/>
  <c r="I8" i="2"/>
  <c r="J8" i="2"/>
  <c r="F35" i="5"/>
  <c r="F36" i="5"/>
  <c r="F37" i="5"/>
  <c r="F38" i="5"/>
  <c r="F39" i="5"/>
  <c r="F40" i="5"/>
  <c r="F41" i="5"/>
  <c r="F42" i="5"/>
  <c r="F43" i="5"/>
  <c r="F44" i="5"/>
  <c r="F45" i="5"/>
  <c r="F46" i="5"/>
  <c r="F47" i="5"/>
  <c r="F48" i="5"/>
  <c r="F49" i="5"/>
  <c r="F50" i="5"/>
  <c r="F51" i="5"/>
  <c r="F52" i="5"/>
  <c r="G8" i="2"/>
  <c r="K8" i="2"/>
  <c r="L8" i="2"/>
  <c r="E9" i="2"/>
  <c r="D9" i="2"/>
  <c r="F9" i="2"/>
  <c r="E78" i="5"/>
  <c r="H9" i="2"/>
  <c r="I9" i="2"/>
  <c r="J9" i="2"/>
  <c r="F61" i="5"/>
  <c r="F62" i="5"/>
  <c r="F63" i="5"/>
  <c r="F64" i="5"/>
  <c r="F65" i="5"/>
  <c r="F66" i="5"/>
  <c r="F67" i="5"/>
  <c r="F68" i="5"/>
  <c r="F69" i="5"/>
  <c r="F70" i="5"/>
  <c r="F71" i="5"/>
  <c r="F72" i="5"/>
  <c r="F73" i="5"/>
  <c r="F74" i="5"/>
  <c r="F75" i="5"/>
  <c r="F76" i="5"/>
  <c r="F77" i="5"/>
  <c r="F78" i="5"/>
  <c r="G9" i="2"/>
  <c r="K9" i="2"/>
  <c r="L9" i="2"/>
  <c r="E10" i="2"/>
  <c r="D10" i="2"/>
  <c r="F10" i="2"/>
  <c r="E104" i="5"/>
  <c r="H10" i="2"/>
  <c r="I10" i="2"/>
  <c r="J10" i="2"/>
  <c r="F87" i="5"/>
  <c r="F88" i="5"/>
  <c r="F89" i="5"/>
  <c r="F90" i="5"/>
  <c r="F91" i="5"/>
  <c r="F92" i="5"/>
  <c r="F93" i="5"/>
  <c r="F94" i="5"/>
  <c r="F95" i="5"/>
  <c r="F96" i="5"/>
  <c r="F97" i="5"/>
  <c r="F98" i="5"/>
  <c r="F99" i="5"/>
  <c r="F100" i="5"/>
  <c r="F101" i="5"/>
  <c r="F102" i="5"/>
  <c r="F103" i="5"/>
  <c r="F104" i="5"/>
  <c r="G10" i="2"/>
  <c r="K10" i="2"/>
  <c r="L10" i="2"/>
  <c r="E11" i="2"/>
  <c r="D11" i="2"/>
  <c r="F11" i="2"/>
  <c r="E130" i="5"/>
  <c r="H11" i="2"/>
  <c r="I11" i="2"/>
  <c r="J11" i="2"/>
  <c r="F113" i="5"/>
  <c r="F114" i="5"/>
  <c r="F115" i="5"/>
  <c r="F116" i="5"/>
  <c r="F117" i="5"/>
  <c r="F118" i="5"/>
  <c r="F119" i="5"/>
  <c r="F120" i="5"/>
  <c r="F121" i="5"/>
  <c r="F122" i="5"/>
  <c r="F123" i="5"/>
  <c r="F124" i="5"/>
  <c r="F125" i="5"/>
  <c r="F126" i="5"/>
  <c r="F127" i="5"/>
  <c r="F128" i="5"/>
  <c r="F129" i="5"/>
  <c r="F130" i="5"/>
  <c r="G11" i="2"/>
  <c r="K11" i="2"/>
  <c r="L11" i="2"/>
  <c r="E12" i="2"/>
  <c r="D12" i="2"/>
  <c r="F12" i="2"/>
  <c r="E156" i="5"/>
  <c r="H12" i="2"/>
  <c r="I12" i="2"/>
  <c r="J12" i="2"/>
  <c r="F139" i="5"/>
  <c r="F140" i="5"/>
  <c r="F141" i="5"/>
  <c r="F142" i="5"/>
  <c r="F143" i="5"/>
  <c r="F144" i="5"/>
  <c r="F145" i="5"/>
  <c r="F146" i="5"/>
  <c r="F147" i="5"/>
  <c r="F148" i="5"/>
  <c r="F149" i="5"/>
  <c r="F150" i="5"/>
  <c r="F151" i="5"/>
  <c r="F152" i="5"/>
  <c r="F153" i="5"/>
  <c r="F154" i="5"/>
  <c r="F155" i="5"/>
  <c r="F156" i="5"/>
  <c r="G12" i="2"/>
  <c r="K12" i="2"/>
  <c r="L12" i="2"/>
  <c r="E13" i="2"/>
  <c r="D13" i="2"/>
  <c r="F13" i="2"/>
  <c r="E182" i="5"/>
  <c r="H13" i="2"/>
  <c r="I13" i="2"/>
  <c r="J13" i="2"/>
  <c r="F165" i="5"/>
  <c r="F166" i="5"/>
  <c r="F167" i="5"/>
  <c r="F168" i="5"/>
  <c r="F169" i="5"/>
  <c r="F170" i="5"/>
  <c r="F171" i="5"/>
  <c r="F172" i="5"/>
  <c r="F173" i="5"/>
  <c r="F174" i="5"/>
  <c r="F175" i="5"/>
  <c r="F176" i="5"/>
  <c r="F177" i="5"/>
  <c r="F178" i="5"/>
  <c r="F179" i="5"/>
  <c r="F180" i="5"/>
  <c r="F181" i="5"/>
  <c r="F182" i="5"/>
  <c r="G13" i="2"/>
  <c r="K13" i="2"/>
  <c r="L13" i="2"/>
  <c r="E14" i="2"/>
  <c r="D14" i="2"/>
  <c r="F14" i="2"/>
  <c r="E208" i="5"/>
  <c r="H14" i="2"/>
  <c r="I14" i="2"/>
  <c r="J14" i="2"/>
  <c r="F191" i="5"/>
  <c r="F192" i="5"/>
  <c r="F193" i="5"/>
  <c r="F194" i="5"/>
  <c r="F195" i="5"/>
  <c r="F196" i="5"/>
  <c r="F197" i="5"/>
  <c r="F198" i="5"/>
  <c r="F199" i="5"/>
  <c r="F200" i="5"/>
  <c r="F201" i="5"/>
  <c r="F202" i="5"/>
  <c r="F203" i="5"/>
  <c r="F204" i="5"/>
  <c r="F205" i="5"/>
  <c r="F206" i="5"/>
  <c r="F207" i="5"/>
  <c r="F208" i="5"/>
  <c r="G14" i="2"/>
  <c r="K14" i="2"/>
  <c r="L14" i="2"/>
  <c r="E15" i="2"/>
  <c r="D15" i="2"/>
  <c r="F15" i="2"/>
  <c r="E235" i="5"/>
  <c r="H15" i="2"/>
  <c r="I15" i="2"/>
  <c r="J15" i="2"/>
  <c r="F218" i="5"/>
  <c r="F219" i="5"/>
  <c r="F220" i="5"/>
  <c r="F221" i="5"/>
  <c r="F222" i="5"/>
  <c r="F223" i="5"/>
  <c r="F224" i="5"/>
  <c r="F225" i="5"/>
  <c r="F226" i="5"/>
  <c r="F227" i="5"/>
  <c r="F228" i="5"/>
  <c r="F229" i="5"/>
  <c r="F230" i="5"/>
  <c r="F231" i="5"/>
  <c r="F232" i="5"/>
  <c r="F233" i="5"/>
  <c r="F234" i="5"/>
  <c r="F235" i="5"/>
  <c r="G15" i="2"/>
  <c r="K15" i="2"/>
  <c r="L15" i="2"/>
  <c r="E16" i="2"/>
  <c r="D16" i="2"/>
  <c r="F16" i="2"/>
  <c r="E261" i="5"/>
  <c r="H16" i="2"/>
  <c r="I16" i="2"/>
  <c r="J16" i="2"/>
  <c r="F244" i="5"/>
  <c r="F245" i="5"/>
  <c r="F246" i="5"/>
  <c r="F247" i="5"/>
  <c r="F248" i="5"/>
  <c r="F249" i="5"/>
  <c r="F250" i="5"/>
  <c r="F251" i="5"/>
  <c r="F252" i="5"/>
  <c r="F253" i="5"/>
  <c r="F254" i="5"/>
  <c r="F255" i="5"/>
  <c r="F256" i="5"/>
  <c r="F257" i="5"/>
  <c r="F258" i="5"/>
  <c r="F259" i="5"/>
  <c r="F260" i="5"/>
  <c r="F261" i="5"/>
  <c r="G16" i="2"/>
  <c r="K16" i="2"/>
  <c r="L16" i="2"/>
  <c r="E17" i="2"/>
  <c r="D17" i="2"/>
  <c r="F17" i="2"/>
  <c r="E287" i="5"/>
  <c r="H17" i="2"/>
  <c r="I17" i="2"/>
  <c r="J17" i="2"/>
  <c r="F270" i="5"/>
  <c r="F271" i="5"/>
  <c r="F272" i="5"/>
  <c r="F273" i="5"/>
  <c r="F274" i="5"/>
  <c r="F275" i="5"/>
  <c r="F276" i="5"/>
  <c r="F277" i="5"/>
  <c r="F278" i="5"/>
  <c r="F279" i="5"/>
  <c r="F280" i="5"/>
  <c r="F281" i="5"/>
  <c r="F282" i="5"/>
  <c r="F283" i="5"/>
  <c r="F284" i="5"/>
  <c r="F285" i="5"/>
  <c r="F286" i="5"/>
  <c r="F287" i="5"/>
  <c r="G17" i="2"/>
  <c r="K17" i="2"/>
  <c r="L17" i="2"/>
  <c r="E18" i="2"/>
  <c r="D18" i="2"/>
  <c r="F18" i="2"/>
  <c r="E313" i="5"/>
  <c r="H18" i="2"/>
  <c r="I18" i="2"/>
  <c r="J18" i="2"/>
  <c r="F296" i="5"/>
  <c r="F297" i="5"/>
  <c r="F298" i="5"/>
  <c r="F299" i="5"/>
  <c r="F300" i="5"/>
  <c r="F301" i="5"/>
  <c r="F302" i="5"/>
  <c r="F303" i="5"/>
  <c r="F304" i="5"/>
  <c r="F305" i="5"/>
  <c r="F306" i="5"/>
  <c r="F307" i="5"/>
  <c r="F308" i="5"/>
  <c r="F309" i="5"/>
  <c r="F310" i="5"/>
  <c r="F311" i="5"/>
  <c r="F312" i="5"/>
  <c r="F313" i="5"/>
  <c r="G18" i="2"/>
  <c r="K18" i="2"/>
  <c r="L18" i="2"/>
  <c r="E19" i="2"/>
  <c r="D19" i="2"/>
  <c r="F19" i="2"/>
  <c r="E339" i="5"/>
  <c r="H19" i="2"/>
  <c r="I19" i="2"/>
  <c r="J19" i="2"/>
  <c r="F322" i="5"/>
  <c r="F323" i="5"/>
  <c r="F324" i="5"/>
  <c r="F325" i="5"/>
  <c r="F326" i="5"/>
  <c r="F327" i="5"/>
  <c r="F328" i="5"/>
  <c r="F329" i="5"/>
  <c r="F330" i="5"/>
  <c r="F331" i="5"/>
  <c r="F332" i="5"/>
  <c r="F333" i="5"/>
  <c r="F334" i="5"/>
  <c r="F335" i="5"/>
  <c r="F336" i="5"/>
  <c r="F337" i="5"/>
  <c r="F338" i="5"/>
  <c r="F339" i="5"/>
  <c r="G19" i="2"/>
  <c r="K19" i="2"/>
  <c r="L19" i="2"/>
  <c r="E20" i="2"/>
  <c r="D20" i="2"/>
  <c r="F20" i="2"/>
  <c r="E365" i="5"/>
  <c r="H20" i="2"/>
  <c r="I20" i="2"/>
  <c r="J20" i="2"/>
  <c r="F348" i="5"/>
  <c r="F349" i="5"/>
  <c r="F350" i="5"/>
  <c r="F351" i="5"/>
  <c r="F352" i="5"/>
  <c r="F353" i="5"/>
  <c r="F354" i="5"/>
  <c r="F355" i="5"/>
  <c r="F356" i="5"/>
  <c r="F357" i="5"/>
  <c r="F358" i="5"/>
  <c r="F359" i="5"/>
  <c r="F360" i="5"/>
  <c r="F361" i="5"/>
  <c r="F362" i="5"/>
  <c r="F363" i="5"/>
  <c r="F364" i="5"/>
  <c r="F365" i="5"/>
  <c r="G20" i="2"/>
  <c r="K20" i="2"/>
  <c r="L20" i="2"/>
  <c r="E21" i="2"/>
  <c r="D21" i="2"/>
  <c r="F21" i="2"/>
  <c r="E391" i="5"/>
  <c r="H21" i="2"/>
  <c r="I21" i="2"/>
  <c r="J21" i="2"/>
  <c r="F374" i="5"/>
  <c r="F375" i="5"/>
  <c r="F376" i="5"/>
  <c r="F377" i="5"/>
  <c r="F378" i="5"/>
  <c r="F379" i="5"/>
  <c r="F380" i="5"/>
  <c r="F381" i="5"/>
  <c r="F382" i="5"/>
  <c r="F383" i="5"/>
  <c r="F384" i="5"/>
  <c r="F385" i="5"/>
  <c r="F386" i="5"/>
  <c r="F387" i="5"/>
  <c r="F388" i="5"/>
  <c r="F389" i="5"/>
  <c r="F390" i="5"/>
  <c r="F391" i="5"/>
  <c r="G21" i="2"/>
  <c r="K21" i="2"/>
  <c r="L21" i="2"/>
  <c r="E22" i="2"/>
  <c r="D22" i="2"/>
  <c r="F22" i="2"/>
  <c r="E417" i="5"/>
  <c r="H22" i="2"/>
  <c r="I22" i="2"/>
  <c r="J22" i="2"/>
  <c r="F400" i="5"/>
  <c r="F401" i="5"/>
  <c r="F402" i="5"/>
  <c r="F403" i="5"/>
  <c r="F404" i="5"/>
  <c r="F405" i="5"/>
  <c r="F406" i="5"/>
  <c r="F407" i="5"/>
  <c r="F408" i="5"/>
  <c r="F409" i="5"/>
  <c r="F410" i="5"/>
  <c r="F411" i="5"/>
  <c r="F412" i="5"/>
  <c r="F413" i="5"/>
  <c r="F414" i="5"/>
  <c r="F415" i="5"/>
  <c r="F416" i="5"/>
  <c r="F417" i="5"/>
  <c r="G22" i="2"/>
  <c r="K22" i="2"/>
  <c r="L22" i="2"/>
  <c r="E23" i="2"/>
  <c r="D23" i="2"/>
  <c r="F23" i="2"/>
  <c r="E443" i="5"/>
  <c r="H23" i="2"/>
  <c r="I23" i="2"/>
  <c r="J23" i="2"/>
  <c r="F426" i="5"/>
  <c r="F427" i="5"/>
  <c r="F428" i="5"/>
  <c r="F429" i="5"/>
  <c r="F430" i="5"/>
  <c r="F431" i="5"/>
  <c r="F432" i="5"/>
  <c r="F433" i="5"/>
  <c r="F434" i="5"/>
  <c r="F435" i="5"/>
  <c r="F436" i="5"/>
  <c r="F437" i="5"/>
  <c r="F438" i="5"/>
  <c r="F439" i="5"/>
  <c r="F440" i="5"/>
  <c r="F441" i="5"/>
  <c r="F442" i="5"/>
  <c r="F443" i="5"/>
  <c r="G23" i="2"/>
  <c r="K23" i="2"/>
  <c r="L23" i="2"/>
  <c r="E24" i="2"/>
  <c r="D24" i="2"/>
  <c r="F24" i="2"/>
  <c r="E469" i="5"/>
  <c r="H24" i="2"/>
  <c r="I24" i="2"/>
  <c r="J24" i="2"/>
  <c r="F452" i="5"/>
  <c r="F453" i="5"/>
  <c r="F454" i="5"/>
  <c r="F455" i="5"/>
  <c r="F456" i="5"/>
  <c r="F457" i="5"/>
  <c r="F458" i="5"/>
  <c r="F459" i="5"/>
  <c r="F460" i="5"/>
  <c r="F461" i="5"/>
  <c r="F462" i="5"/>
  <c r="F463" i="5"/>
  <c r="F464" i="5"/>
  <c r="F465" i="5"/>
  <c r="F466" i="5"/>
  <c r="F467" i="5"/>
  <c r="F468" i="5"/>
  <c r="F469" i="5"/>
  <c r="G24" i="2"/>
  <c r="K24" i="2"/>
  <c r="L24" i="2"/>
  <c r="E25" i="2"/>
  <c r="D25" i="2"/>
  <c r="F25" i="2"/>
  <c r="E495" i="5"/>
  <c r="H25" i="2"/>
  <c r="I25" i="2"/>
  <c r="J25" i="2"/>
  <c r="F478" i="5"/>
  <c r="F479" i="5"/>
  <c r="F480" i="5"/>
  <c r="F481" i="5"/>
  <c r="F482" i="5"/>
  <c r="F483" i="5"/>
  <c r="F484" i="5"/>
  <c r="F485" i="5"/>
  <c r="F486" i="5"/>
  <c r="F487" i="5"/>
  <c r="F488" i="5"/>
  <c r="F489" i="5"/>
  <c r="F490" i="5"/>
  <c r="F491" i="5"/>
  <c r="F492" i="5"/>
  <c r="F493" i="5"/>
  <c r="F494" i="5"/>
  <c r="F495" i="5"/>
  <c r="G25" i="2"/>
  <c r="K25" i="2"/>
  <c r="L25" i="2"/>
  <c r="D26" i="2"/>
  <c r="I26" i="2"/>
  <c r="C8" i="2"/>
  <c r="C9" i="2"/>
  <c r="C10" i="2"/>
  <c r="C11" i="2"/>
  <c r="C12" i="2"/>
  <c r="C13" i="2"/>
  <c r="C14" i="2"/>
  <c r="C15" i="2"/>
  <c r="C16" i="2"/>
  <c r="C17" i="2"/>
  <c r="C18" i="2"/>
  <c r="C19" i="2"/>
  <c r="C20" i="2"/>
  <c r="C21" i="2"/>
  <c r="C22" i="2"/>
  <c r="C23" i="2"/>
  <c r="C24" i="2"/>
  <c r="C25" i="2"/>
  <c r="C26" i="2"/>
  <c r="E26" i="2"/>
  <c r="F26" i="2"/>
  <c r="F504" i="5"/>
  <c r="F505" i="5"/>
  <c r="F506" i="5"/>
  <c r="F507" i="5"/>
  <c r="F508" i="5"/>
  <c r="F509" i="5"/>
  <c r="F510" i="5"/>
  <c r="F511" i="5"/>
  <c r="F512" i="5"/>
  <c r="F513" i="5"/>
  <c r="F514" i="5"/>
  <c r="F515" i="5"/>
  <c r="F516" i="5"/>
  <c r="F517" i="5"/>
  <c r="F518" i="5"/>
  <c r="F519" i="5"/>
  <c r="F520" i="5"/>
  <c r="F521" i="5"/>
  <c r="G26" i="2"/>
  <c r="E521" i="5"/>
  <c r="H26" i="2"/>
  <c r="J26" i="2"/>
  <c r="K26" i="2"/>
  <c r="L26" i="2"/>
  <c r="F27" i="2"/>
  <c r="G27" i="2"/>
  <c r="H27" i="2"/>
  <c r="J27" i="2"/>
  <c r="K27" i="2"/>
  <c r="A1" i="6"/>
  <c r="A2" i="6"/>
  <c r="A3" i="6"/>
  <c r="A4" i="6"/>
  <c r="A5" i="6"/>
  <c r="A6" i="6"/>
  <c r="A7" i="6"/>
  <c r="A8" i="6"/>
  <c r="A9" i="6"/>
  <c r="A10" i="6"/>
  <c r="A11" i="6"/>
  <c r="A12" i="6"/>
  <c r="A13" i="6"/>
  <c r="A14" i="6"/>
  <c r="A15" i="6"/>
  <c r="A16" i="6"/>
  <c r="A17" i="6"/>
  <c r="A18" i="6"/>
  <c r="A19" i="6"/>
  <c r="A20" i="6"/>
  <c r="G504" i="5"/>
  <c r="G505" i="5"/>
  <c r="G506" i="5"/>
  <c r="G507" i="5"/>
  <c r="G508" i="5"/>
  <c r="G509" i="5"/>
  <c r="G510" i="5"/>
  <c r="G511" i="5"/>
  <c r="G512" i="5"/>
  <c r="G513" i="5"/>
  <c r="G514" i="5"/>
  <c r="G515" i="5"/>
  <c r="G516" i="5"/>
  <c r="G517" i="5"/>
  <c r="G518" i="5"/>
  <c r="G519" i="5"/>
  <c r="G520" i="5"/>
  <c r="G478" i="5"/>
  <c r="G479" i="5"/>
  <c r="G480" i="5"/>
  <c r="G481" i="5"/>
  <c r="G482" i="5"/>
  <c r="G483" i="5"/>
  <c r="G484" i="5"/>
  <c r="G485" i="5"/>
  <c r="G486" i="5"/>
  <c r="G487" i="5"/>
  <c r="G488" i="5"/>
  <c r="G489" i="5"/>
  <c r="G490" i="5"/>
  <c r="G491" i="5"/>
  <c r="G492" i="5"/>
  <c r="G493" i="5"/>
  <c r="G494" i="5"/>
  <c r="G452" i="5"/>
  <c r="G453" i="5"/>
  <c r="G454" i="5"/>
  <c r="G455" i="5"/>
  <c r="G456" i="5"/>
  <c r="G457" i="5"/>
  <c r="G458" i="5"/>
  <c r="G459" i="5"/>
  <c r="G460" i="5"/>
  <c r="G461" i="5"/>
  <c r="G462" i="5"/>
  <c r="G463" i="5"/>
  <c r="G464" i="5"/>
  <c r="G465" i="5"/>
  <c r="G466" i="5"/>
  <c r="G467" i="5"/>
  <c r="G468" i="5"/>
  <c r="G426" i="5"/>
  <c r="G427" i="5"/>
  <c r="G428" i="5"/>
  <c r="G429" i="5"/>
  <c r="G430" i="5"/>
  <c r="G431" i="5"/>
  <c r="G432" i="5"/>
  <c r="G433" i="5"/>
  <c r="G434" i="5"/>
  <c r="G435" i="5"/>
  <c r="G436" i="5"/>
  <c r="G437" i="5"/>
  <c r="G438" i="5"/>
  <c r="G439" i="5"/>
  <c r="G440" i="5"/>
  <c r="G441" i="5"/>
  <c r="G442" i="5"/>
  <c r="G400" i="5"/>
  <c r="G401" i="5"/>
  <c r="G402" i="5"/>
  <c r="G403" i="5"/>
  <c r="G404" i="5"/>
  <c r="G405" i="5"/>
  <c r="G406" i="5"/>
  <c r="G407" i="5"/>
  <c r="G408" i="5"/>
  <c r="G409" i="5"/>
  <c r="G410" i="5"/>
  <c r="G411" i="5"/>
  <c r="G412" i="5"/>
  <c r="G413" i="5"/>
  <c r="G414" i="5"/>
  <c r="G415" i="5"/>
  <c r="G416" i="5"/>
  <c r="G374" i="5"/>
  <c r="G375" i="5"/>
  <c r="G376" i="5"/>
  <c r="G377" i="5"/>
  <c r="G378" i="5"/>
  <c r="G379" i="5"/>
  <c r="G380" i="5"/>
  <c r="G381" i="5"/>
  <c r="G382" i="5"/>
  <c r="G383" i="5"/>
  <c r="G384" i="5"/>
  <c r="G385" i="5"/>
  <c r="G386" i="5"/>
  <c r="G387" i="5"/>
  <c r="G388" i="5"/>
  <c r="G389" i="5"/>
  <c r="G390" i="5"/>
  <c r="G348" i="5"/>
  <c r="G349" i="5"/>
  <c r="G350" i="5"/>
  <c r="G351" i="5"/>
  <c r="G352" i="5"/>
  <c r="G353" i="5"/>
  <c r="G354" i="5"/>
  <c r="G355" i="5"/>
  <c r="G356" i="5"/>
  <c r="G357" i="5"/>
  <c r="G358" i="5"/>
  <c r="G359" i="5"/>
  <c r="G360" i="5"/>
  <c r="G361" i="5"/>
  <c r="G362" i="5"/>
  <c r="G363" i="5"/>
  <c r="G364" i="5"/>
  <c r="G322" i="5"/>
  <c r="G323" i="5"/>
  <c r="G324" i="5"/>
  <c r="G325" i="5"/>
  <c r="G326" i="5"/>
  <c r="G327" i="5"/>
  <c r="G328" i="5"/>
  <c r="G329" i="5"/>
  <c r="G330" i="5"/>
  <c r="G331" i="5"/>
  <c r="G332" i="5"/>
  <c r="G333" i="5"/>
  <c r="G334" i="5"/>
  <c r="G335" i="5"/>
  <c r="G336" i="5"/>
  <c r="G337" i="5"/>
  <c r="G338" i="5"/>
  <c r="G296" i="5"/>
  <c r="G297" i="5"/>
  <c r="G298" i="5"/>
  <c r="G299" i="5"/>
  <c r="G300" i="5"/>
  <c r="G301" i="5"/>
  <c r="G302" i="5"/>
  <c r="G303" i="5"/>
  <c r="G304" i="5"/>
  <c r="G305" i="5"/>
  <c r="G306" i="5"/>
  <c r="G307" i="5"/>
  <c r="G308" i="5"/>
  <c r="G309" i="5"/>
  <c r="G310" i="5"/>
  <c r="G311" i="5"/>
  <c r="G312" i="5"/>
  <c r="G270" i="5"/>
  <c r="G271" i="5"/>
  <c r="G272" i="5"/>
  <c r="G273" i="5"/>
  <c r="G274" i="5"/>
  <c r="G275" i="5"/>
  <c r="G276" i="5"/>
  <c r="G277" i="5"/>
  <c r="G278" i="5"/>
  <c r="G279" i="5"/>
  <c r="G280" i="5"/>
  <c r="G281" i="5"/>
  <c r="G282" i="5"/>
  <c r="G283" i="5"/>
  <c r="G284" i="5"/>
  <c r="G285" i="5"/>
  <c r="G286" i="5"/>
  <c r="G244" i="5"/>
  <c r="G245" i="5"/>
  <c r="G246" i="5"/>
  <c r="G247" i="5"/>
  <c r="G248" i="5"/>
  <c r="G249" i="5"/>
  <c r="G250" i="5"/>
  <c r="G251" i="5"/>
  <c r="G252" i="5"/>
  <c r="G253" i="5"/>
  <c r="G254" i="5"/>
  <c r="G255" i="5"/>
  <c r="G256" i="5"/>
  <c r="G257" i="5"/>
  <c r="G258" i="5"/>
  <c r="G259" i="5"/>
  <c r="G260" i="5"/>
  <c r="G218" i="5"/>
  <c r="G219" i="5"/>
  <c r="G220" i="5"/>
  <c r="G221" i="5"/>
  <c r="G222" i="5"/>
  <c r="G223" i="5"/>
  <c r="G224" i="5"/>
  <c r="G225" i="5"/>
  <c r="G226" i="5"/>
  <c r="G227" i="5"/>
  <c r="G228" i="5"/>
  <c r="G229" i="5"/>
  <c r="G230" i="5"/>
  <c r="G231" i="5"/>
  <c r="G232" i="5"/>
  <c r="G233" i="5"/>
  <c r="G234" i="5"/>
  <c r="G191" i="5"/>
  <c r="G192" i="5"/>
  <c r="G193" i="5"/>
  <c r="G194" i="5"/>
  <c r="G195" i="5"/>
  <c r="G196" i="5"/>
  <c r="G197" i="5"/>
  <c r="G198" i="5"/>
  <c r="G199" i="5"/>
  <c r="G200" i="5"/>
  <c r="G201" i="5"/>
  <c r="G202" i="5"/>
  <c r="G203" i="5"/>
  <c r="G204" i="5"/>
  <c r="G205" i="5"/>
  <c r="G206" i="5"/>
  <c r="G207" i="5"/>
  <c r="G165" i="5"/>
  <c r="G166" i="5"/>
  <c r="G167" i="5"/>
  <c r="G168" i="5"/>
  <c r="G169" i="5"/>
  <c r="G170" i="5"/>
  <c r="G171" i="5"/>
  <c r="G172" i="5"/>
  <c r="G173" i="5"/>
  <c r="G174" i="5"/>
  <c r="G175" i="5"/>
  <c r="G176" i="5"/>
  <c r="G177" i="5"/>
  <c r="G178" i="5"/>
  <c r="G179" i="5"/>
  <c r="G180" i="5"/>
  <c r="G181" i="5"/>
  <c r="G139" i="5"/>
  <c r="G140" i="5"/>
  <c r="G141" i="5"/>
  <c r="G142" i="5"/>
  <c r="G143" i="5"/>
  <c r="G144" i="5"/>
  <c r="G145" i="5"/>
  <c r="G146" i="5"/>
  <c r="G147" i="5"/>
  <c r="G148" i="5"/>
  <c r="G149" i="5"/>
  <c r="G150" i="5"/>
  <c r="G151" i="5"/>
  <c r="G152" i="5"/>
  <c r="G153" i="5"/>
  <c r="G154" i="5"/>
  <c r="G155" i="5"/>
  <c r="G113" i="5"/>
  <c r="G114" i="5"/>
  <c r="G115" i="5"/>
  <c r="G116" i="5"/>
  <c r="G117" i="5"/>
  <c r="G118" i="5"/>
  <c r="G119" i="5"/>
  <c r="G120" i="5"/>
  <c r="G121" i="5"/>
  <c r="G122" i="5"/>
  <c r="G123" i="5"/>
  <c r="G124" i="5"/>
  <c r="G125" i="5"/>
  <c r="G126" i="5"/>
  <c r="G127" i="5"/>
  <c r="G128" i="5"/>
  <c r="G129" i="5"/>
  <c r="G87" i="5"/>
  <c r="G88" i="5"/>
  <c r="G89" i="5"/>
  <c r="G90" i="5"/>
  <c r="G91" i="5"/>
  <c r="G92" i="5"/>
  <c r="G93" i="5"/>
  <c r="G94" i="5"/>
  <c r="G95" i="5"/>
  <c r="G96" i="5"/>
  <c r="G97" i="5"/>
  <c r="G98" i="5"/>
  <c r="G99" i="5"/>
  <c r="G100" i="5"/>
  <c r="G101" i="5"/>
  <c r="G102" i="5"/>
  <c r="G103" i="5"/>
  <c r="G61" i="5"/>
  <c r="G62" i="5"/>
  <c r="G63" i="5"/>
  <c r="G64" i="5"/>
  <c r="G65" i="5"/>
  <c r="G66" i="5"/>
  <c r="G67" i="5"/>
  <c r="G68" i="5"/>
  <c r="G69" i="5"/>
  <c r="G70" i="5"/>
  <c r="G71" i="5"/>
  <c r="G72" i="5"/>
  <c r="G73" i="5"/>
  <c r="G74" i="5"/>
  <c r="G75" i="5"/>
  <c r="G76" i="5"/>
  <c r="G77" i="5"/>
  <c r="G35" i="5"/>
  <c r="G36" i="5"/>
  <c r="G37" i="5"/>
  <c r="G38" i="5"/>
  <c r="G39" i="5"/>
  <c r="G40" i="5"/>
  <c r="G41" i="5"/>
  <c r="G42" i="5"/>
  <c r="G43" i="5"/>
  <c r="G44" i="5"/>
  <c r="G45" i="5"/>
  <c r="G46" i="5"/>
  <c r="G47" i="5"/>
  <c r="G48" i="5"/>
  <c r="G49" i="5"/>
  <c r="G50" i="5"/>
  <c r="G51" i="5"/>
  <c r="C32" i="5"/>
  <c r="C58" i="5"/>
  <c r="C84" i="5"/>
  <c r="C110" i="5"/>
  <c r="C136" i="5"/>
  <c r="C162" i="5"/>
  <c r="C188" i="5"/>
  <c r="C215" i="5"/>
  <c r="C241" i="5"/>
  <c r="C267" i="5"/>
  <c r="C293" i="5"/>
  <c r="C319" i="5"/>
  <c r="C345" i="5"/>
  <c r="C371" i="5"/>
  <c r="C397" i="5"/>
  <c r="C423" i="5"/>
  <c r="C449" i="5"/>
  <c r="C475" i="5"/>
  <c r="C501" i="5"/>
  <c r="C502" i="5"/>
  <c r="G521" i="5"/>
  <c r="D520" i="5"/>
  <c r="C520" i="5"/>
  <c r="D519" i="5"/>
  <c r="C519" i="5"/>
  <c r="D518" i="5"/>
  <c r="C518" i="5"/>
  <c r="D517" i="5"/>
  <c r="C517" i="5"/>
  <c r="D516" i="5"/>
  <c r="C516" i="5"/>
  <c r="D515" i="5"/>
  <c r="C515" i="5"/>
  <c r="D514" i="5"/>
  <c r="C514" i="5"/>
  <c r="D513" i="5"/>
  <c r="C513" i="5"/>
  <c r="D512" i="5"/>
  <c r="C512" i="5"/>
  <c r="D511" i="5"/>
  <c r="C511" i="5"/>
  <c r="D510" i="5"/>
  <c r="C510" i="5"/>
  <c r="D509" i="5"/>
  <c r="C509" i="5"/>
  <c r="D508" i="5"/>
  <c r="C508" i="5"/>
  <c r="D507" i="5"/>
  <c r="C507" i="5"/>
  <c r="D506" i="5"/>
  <c r="C506" i="5"/>
  <c r="D505" i="5"/>
  <c r="C505" i="5"/>
  <c r="D504" i="5"/>
  <c r="C504" i="5"/>
  <c r="C476" i="5"/>
  <c r="G495" i="5"/>
  <c r="D494" i="5"/>
  <c r="C494" i="5"/>
  <c r="D493" i="5"/>
  <c r="C493" i="5"/>
  <c r="D492" i="5"/>
  <c r="C492" i="5"/>
  <c r="D491" i="5"/>
  <c r="C491" i="5"/>
  <c r="D490" i="5"/>
  <c r="C490" i="5"/>
  <c r="D489" i="5"/>
  <c r="C489" i="5"/>
  <c r="D488" i="5"/>
  <c r="C488" i="5"/>
  <c r="D487" i="5"/>
  <c r="C487" i="5"/>
  <c r="D486" i="5"/>
  <c r="C486" i="5"/>
  <c r="D485" i="5"/>
  <c r="C485" i="5"/>
  <c r="D484" i="5"/>
  <c r="C484" i="5"/>
  <c r="D483" i="5"/>
  <c r="C483" i="5"/>
  <c r="D482" i="5"/>
  <c r="C482" i="5"/>
  <c r="D481" i="5"/>
  <c r="C481" i="5"/>
  <c r="D480" i="5"/>
  <c r="C480" i="5"/>
  <c r="D479" i="5"/>
  <c r="C479" i="5"/>
  <c r="D478" i="5"/>
  <c r="C478" i="5"/>
  <c r="C450" i="5"/>
  <c r="G469" i="5"/>
  <c r="D468" i="5"/>
  <c r="C468" i="5"/>
  <c r="D467" i="5"/>
  <c r="C467" i="5"/>
  <c r="D466" i="5"/>
  <c r="C466" i="5"/>
  <c r="D465" i="5"/>
  <c r="C465" i="5"/>
  <c r="D464" i="5"/>
  <c r="C464" i="5"/>
  <c r="D463" i="5"/>
  <c r="C463" i="5"/>
  <c r="D462" i="5"/>
  <c r="C462" i="5"/>
  <c r="D461" i="5"/>
  <c r="C461" i="5"/>
  <c r="D460" i="5"/>
  <c r="C460" i="5"/>
  <c r="D459" i="5"/>
  <c r="C459" i="5"/>
  <c r="D458" i="5"/>
  <c r="C458" i="5"/>
  <c r="D457" i="5"/>
  <c r="C457" i="5"/>
  <c r="D456" i="5"/>
  <c r="C456" i="5"/>
  <c r="D455" i="5"/>
  <c r="C455" i="5"/>
  <c r="D454" i="5"/>
  <c r="C454" i="5"/>
  <c r="D453" i="5"/>
  <c r="C453" i="5"/>
  <c r="D452" i="5"/>
  <c r="C452" i="5"/>
  <c r="C424" i="5"/>
  <c r="G443" i="5"/>
  <c r="D442" i="5"/>
  <c r="C442" i="5"/>
  <c r="D441" i="5"/>
  <c r="C441" i="5"/>
  <c r="D440" i="5"/>
  <c r="C440" i="5"/>
  <c r="D439" i="5"/>
  <c r="C439" i="5"/>
  <c r="D438" i="5"/>
  <c r="C438" i="5"/>
  <c r="D437" i="5"/>
  <c r="C437" i="5"/>
  <c r="D436" i="5"/>
  <c r="C436" i="5"/>
  <c r="D435" i="5"/>
  <c r="C435" i="5"/>
  <c r="D434" i="5"/>
  <c r="C434" i="5"/>
  <c r="D433" i="5"/>
  <c r="C433" i="5"/>
  <c r="D432" i="5"/>
  <c r="C432" i="5"/>
  <c r="D431" i="5"/>
  <c r="C431" i="5"/>
  <c r="D430" i="5"/>
  <c r="C430" i="5"/>
  <c r="D429" i="5"/>
  <c r="C429" i="5"/>
  <c r="D428" i="5"/>
  <c r="C428" i="5"/>
  <c r="D427" i="5"/>
  <c r="C427" i="5"/>
  <c r="D426" i="5"/>
  <c r="C426" i="5"/>
  <c r="C398" i="5"/>
  <c r="G417" i="5"/>
  <c r="D416" i="5"/>
  <c r="C416" i="5"/>
  <c r="D415" i="5"/>
  <c r="C415" i="5"/>
  <c r="D414" i="5"/>
  <c r="C414" i="5"/>
  <c r="D413" i="5"/>
  <c r="C413" i="5"/>
  <c r="D412" i="5"/>
  <c r="C412" i="5"/>
  <c r="D411" i="5"/>
  <c r="C411" i="5"/>
  <c r="D410" i="5"/>
  <c r="C410" i="5"/>
  <c r="D409" i="5"/>
  <c r="C409" i="5"/>
  <c r="D408" i="5"/>
  <c r="C408" i="5"/>
  <c r="D407" i="5"/>
  <c r="C407" i="5"/>
  <c r="D406" i="5"/>
  <c r="C406" i="5"/>
  <c r="D405" i="5"/>
  <c r="C405" i="5"/>
  <c r="D404" i="5"/>
  <c r="C404" i="5"/>
  <c r="D403" i="5"/>
  <c r="C403" i="5"/>
  <c r="D402" i="5"/>
  <c r="C402" i="5"/>
  <c r="D401" i="5"/>
  <c r="C401" i="5"/>
  <c r="D400" i="5"/>
  <c r="C400" i="5"/>
  <c r="C372" i="5"/>
  <c r="G391" i="5"/>
  <c r="D390" i="5"/>
  <c r="C390" i="5"/>
  <c r="D389" i="5"/>
  <c r="C389" i="5"/>
  <c r="D388" i="5"/>
  <c r="C388" i="5"/>
  <c r="D387" i="5"/>
  <c r="C387" i="5"/>
  <c r="D386" i="5"/>
  <c r="C386" i="5"/>
  <c r="D385" i="5"/>
  <c r="C385" i="5"/>
  <c r="D384" i="5"/>
  <c r="C384" i="5"/>
  <c r="D383" i="5"/>
  <c r="C383" i="5"/>
  <c r="D382" i="5"/>
  <c r="C382" i="5"/>
  <c r="D381" i="5"/>
  <c r="C381" i="5"/>
  <c r="D380" i="5"/>
  <c r="C380" i="5"/>
  <c r="D379" i="5"/>
  <c r="C379" i="5"/>
  <c r="D378" i="5"/>
  <c r="C378" i="5"/>
  <c r="D377" i="5"/>
  <c r="C377" i="5"/>
  <c r="D376" i="5"/>
  <c r="C376" i="5"/>
  <c r="D375" i="5"/>
  <c r="C375" i="5"/>
  <c r="D374" i="5"/>
  <c r="C374" i="5"/>
  <c r="C346" i="5"/>
  <c r="G365" i="5"/>
  <c r="D364" i="5"/>
  <c r="C364" i="5"/>
  <c r="D363" i="5"/>
  <c r="C363" i="5"/>
  <c r="D362" i="5"/>
  <c r="C362" i="5"/>
  <c r="D361" i="5"/>
  <c r="C361" i="5"/>
  <c r="D360" i="5"/>
  <c r="C360" i="5"/>
  <c r="D359" i="5"/>
  <c r="C359" i="5"/>
  <c r="D358" i="5"/>
  <c r="C358" i="5"/>
  <c r="D357" i="5"/>
  <c r="C357" i="5"/>
  <c r="D356" i="5"/>
  <c r="C356" i="5"/>
  <c r="D355" i="5"/>
  <c r="C355" i="5"/>
  <c r="D354" i="5"/>
  <c r="C354" i="5"/>
  <c r="D353" i="5"/>
  <c r="C353" i="5"/>
  <c r="D352" i="5"/>
  <c r="C352" i="5"/>
  <c r="D351" i="5"/>
  <c r="C351" i="5"/>
  <c r="D350" i="5"/>
  <c r="C350" i="5"/>
  <c r="D349" i="5"/>
  <c r="C349" i="5"/>
  <c r="D348" i="5"/>
  <c r="C348" i="5"/>
  <c r="C320" i="5"/>
  <c r="G339" i="5"/>
  <c r="D338" i="5"/>
  <c r="C338" i="5"/>
  <c r="D337" i="5"/>
  <c r="C337" i="5"/>
  <c r="D336" i="5"/>
  <c r="C336" i="5"/>
  <c r="D335" i="5"/>
  <c r="C335" i="5"/>
  <c r="D334" i="5"/>
  <c r="C334" i="5"/>
  <c r="D333" i="5"/>
  <c r="C333" i="5"/>
  <c r="D332" i="5"/>
  <c r="C332" i="5"/>
  <c r="D331" i="5"/>
  <c r="C331" i="5"/>
  <c r="D330" i="5"/>
  <c r="C330" i="5"/>
  <c r="D329" i="5"/>
  <c r="C329" i="5"/>
  <c r="D328" i="5"/>
  <c r="C328" i="5"/>
  <c r="D327" i="5"/>
  <c r="C327" i="5"/>
  <c r="D326" i="5"/>
  <c r="C326" i="5"/>
  <c r="D325" i="5"/>
  <c r="C325" i="5"/>
  <c r="D324" i="5"/>
  <c r="C324" i="5"/>
  <c r="D323" i="5"/>
  <c r="C323" i="5"/>
  <c r="D322" i="5"/>
  <c r="C322" i="5"/>
  <c r="C294" i="5"/>
  <c r="G313" i="5"/>
  <c r="D312" i="5"/>
  <c r="C312" i="5"/>
  <c r="D311" i="5"/>
  <c r="C311" i="5"/>
  <c r="D310" i="5"/>
  <c r="C310" i="5"/>
  <c r="D309" i="5"/>
  <c r="C309" i="5"/>
  <c r="D308" i="5"/>
  <c r="C308" i="5"/>
  <c r="D307" i="5"/>
  <c r="C307" i="5"/>
  <c r="D306" i="5"/>
  <c r="C306" i="5"/>
  <c r="D305" i="5"/>
  <c r="C305" i="5"/>
  <c r="D304" i="5"/>
  <c r="C304" i="5"/>
  <c r="D303" i="5"/>
  <c r="C303" i="5"/>
  <c r="D302" i="5"/>
  <c r="C302" i="5"/>
  <c r="D301" i="5"/>
  <c r="C301" i="5"/>
  <c r="D300" i="5"/>
  <c r="C300" i="5"/>
  <c r="D299" i="5"/>
  <c r="C299" i="5"/>
  <c r="D298" i="5"/>
  <c r="C298" i="5"/>
  <c r="D297" i="5"/>
  <c r="C297" i="5"/>
  <c r="D296" i="5"/>
  <c r="C296" i="5"/>
  <c r="C242" i="5"/>
  <c r="C244" i="5"/>
  <c r="D244" i="5"/>
  <c r="C268" i="5"/>
  <c r="G287" i="5"/>
  <c r="D286" i="5"/>
  <c r="C286" i="5"/>
  <c r="D285" i="5"/>
  <c r="C285" i="5"/>
  <c r="D284" i="5"/>
  <c r="C284" i="5"/>
  <c r="D283" i="5"/>
  <c r="C283" i="5"/>
  <c r="D282" i="5"/>
  <c r="C282" i="5"/>
  <c r="D281" i="5"/>
  <c r="C281" i="5"/>
  <c r="D280" i="5"/>
  <c r="C280" i="5"/>
  <c r="D279" i="5"/>
  <c r="C279" i="5"/>
  <c r="D278" i="5"/>
  <c r="C278" i="5"/>
  <c r="D277" i="5"/>
  <c r="C277" i="5"/>
  <c r="D276" i="5"/>
  <c r="C276" i="5"/>
  <c r="D275" i="5"/>
  <c r="C275" i="5"/>
  <c r="D274" i="5"/>
  <c r="C274" i="5"/>
  <c r="D273" i="5"/>
  <c r="C273" i="5"/>
  <c r="D272" i="5"/>
  <c r="C272" i="5"/>
  <c r="D271" i="5"/>
  <c r="C271" i="5"/>
  <c r="D270" i="5"/>
  <c r="C270" i="5"/>
  <c r="G261" i="5"/>
  <c r="D260" i="5"/>
  <c r="C260" i="5"/>
  <c r="D259" i="5"/>
  <c r="C259" i="5"/>
  <c r="D258" i="5"/>
  <c r="C258" i="5"/>
  <c r="D257" i="5"/>
  <c r="C257" i="5"/>
  <c r="D256" i="5"/>
  <c r="C256" i="5"/>
  <c r="D255" i="5"/>
  <c r="C255" i="5"/>
  <c r="D254" i="5"/>
  <c r="C254" i="5"/>
  <c r="D253" i="5"/>
  <c r="C253" i="5"/>
  <c r="D252" i="5"/>
  <c r="C252" i="5"/>
  <c r="D251" i="5"/>
  <c r="C251" i="5"/>
  <c r="D250" i="5"/>
  <c r="C250" i="5"/>
  <c r="D249" i="5"/>
  <c r="C249" i="5"/>
  <c r="D248" i="5"/>
  <c r="C248" i="5"/>
  <c r="D247" i="5"/>
  <c r="C247" i="5"/>
  <c r="D246" i="5"/>
  <c r="C246" i="5"/>
  <c r="D245" i="5"/>
  <c r="C245" i="5"/>
  <c r="C1" i="5"/>
  <c r="C216" i="5"/>
  <c r="C218" i="5"/>
  <c r="D218" i="5"/>
  <c r="G235" i="5"/>
  <c r="D234" i="5"/>
  <c r="C234" i="5"/>
  <c r="D233" i="5"/>
  <c r="C233" i="5"/>
  <c r="D232" i="5"/>
  <c r="C232" i="5"/>
  <c r="D231" i="5"/>
  <c r="C231" i="5"/>
  <c r="D230" i="5"/>
  <c r="C230" i="5"/>
  <c r="D229" i="5"/>
  <c r="C229" i="5"/>
  <c r="D228" i="5"/>
  <c r="C228" i="5"/>
  <c r="D227" i="5"/>
  <c r="C227" i="5"/>
  <c r="D226" i="5"/>
  <c r="C226" i="5"/>
  <c r="D225" i="5"/>
  <c r="C225" i="5"/>
  <c r="D224" i="5"/>
  <c r="C224" i="5"/>
  <c r="D223" i="5"/>
  <c r="C223" i="5"/>
  <c r="D222" i="5"/>
  <c r="C222" i="5"/>
  <c r="D221" i="5"/>
  <c r="C221" i="5"/>
  <c r="D220" i="5"/>
  <c r="C220" i="5"/>
  <c r="D219" i="5"/>
  <c r="C219" i="5"/>
  <c r="C189" i="5"/>
  <c r="C59" i="5"/>
  <c r="C61" i="5"/>
  <c r="D61" i="5"/>
  <c r="C33" i="5"/>
  <c r="C35" i="5"/>
  <c r="D35" i="5"/>
  <c r="G208" i="5"/>
  <c r="D207" i="5"/>
  <c r="C207" i="5"/>
  <c r="D206" i="5"/>
  <c r="C206" i="5"/>
  <c r="D205" i="5"/>
  <c r="C205" i="5"/>
  <c r="D204" i="5"/>
  <c r="C204" i="5"/>
  <c r="D203" i="5"/>
  <c r="C203" i="5"/>
  <c r="D202" i="5"/>
  <c r="C202" i="5"/>
  <c r="D201" i="5"/>
  <c r="C201" i="5"/>
  <c r="D200" i="5"/>
  <c r="C200" i="5"/>
  <c r="D199" i="5"/>
  <c r="C199" i="5"/>
  <c r="D198" i="5"/>
  <c r="C198" i="5"/>
  <c r="D197" i="5"/>
  <c r="C197" i="5"/>
  <c r="D196" i="5"/>
  <c r="C196" i="5"/>
  <c r="D195" i="5"/>
  <c r="C195" i="5"/>
  <c r="D194" i="5"/>
  <c r="C194" i="5"/>
  <c r="D193" i="5"/>
  <c r="C193" i="5"/>
  <c r="D192" i="5"/>
  <c r="C192" i="5"/>
  <c r="D191" i="5"/>
  <c r="C191" i="5"/>
  <c r="C163" i="5"/>
  <c r="G182" i="5"/>
  <c r="D181" i="5"/>
  <c r="C181" i="5"/>
  <c r="D180" i="5"/>
  <c r="C180" i="5"/>
  <c r="D179" i="5"/>
  <c r="C179" i="5"/>
  <c r="D178" i="5"/>
  <c r="C178" i="5"/>
  <c r="D177" i="5"/>
  <c r="C177" i="5"/>
  <c r="D176" i="5"/>
  <c r="C176" i="5"/>
  <c r="D175" i="5"/>
  <c r="C175" i="5"/>
  <c r="D174" i="5"/>
  <c r="C174" i="5"/>
  <c r="D173" i="5"/>
  <c r="C173" i="5"/>
  <c r="D172" i="5"/>
  <c r="C172" i="5"/>
  <c r="D171" i="5"/>
  <c r="C171" i="5"/>
  <c r="D170" i="5"/>
  <c r="C170" i="5"/>
  <c r="D169" i="5"/>
  <c r="C169" i="5"/>
  <c r="D168" i="5"/>
  <c r="C168" i="5"/>
  <c r="D167" i="5"/>
  <c r="C167" i="5"/>
  <c r="D166" i="5"/>
  <c r="C166" i="5"/>
  <c r="D165" i="5"/>
  <c r="C165" i="5"/>
  <c r="C137" i="5"/>
  <c r="G156" i="5"/>
  <c r="D155" i="5"/>
  <c r="C155" i="5"/>
  <c r="D154" i="5"/>
  <c r="C154" i="5"/>
  <c r="D153" i="5"/>
  <c r="C153" i="5"/>
  <c r="D152" i="5"/>
  <c r="C152" i="5"/>
  <c r="D151" i="5"/>
  <c r="C151" i="5"/>
  <c r="D150" i="5"/>
  <c r="C150" i="5"/>
  <c r="D149" i="5"/>
  <c r="C149" i="5"/>
  <c r="D148" i="5"/>
  <c r="C148" i="5"/>
  <c r="D147" i="5"/>
  <c r="C147" i="5"/>
  <c r="D146" i="5"/>
  <c r="C146" i="5"/>
  <c r="D145" i="5"/>
  <c r="C145" i="5"/>
  <c r="D144" i="5"/>
  <c r="C144" i="5"/>
  <c r="D143" i="5"/>
  <c r="C143" i="5"/>
  <c r="D142" i="5"/>
  <c r="C142" i="5"/>
  <c r="D141" i="5"/>
  <c r="C141" i="5"/>
  <c r="D140" i="5"/>
  <c r="C140" i="5"/>
  <c r="D139" i="5"/>
  <c r="C139" i="5"/>
  <c r="C111" i="5"/>
  <c r="G130" i="5"/>
  <c r="D129" i="5"/>
  <c r="C129" i="5"/>
  <c r="D128" i="5"/>
  <c r="C128" i="5"/>
  <c r="D127" i="5"/>
  <c r="C127" i="5"/>
  <c r="D126" i="5"/>
  <c r="C126" i="5"/>
  <c r="D125" i="5"/>
  <c r="C125" i="5"/>
  <c r="D124" i="5"/>
  <c r="C124" i="5"/>
  <c r="D123" i="5"/>
  <c r="C123" i="5"/>
  <c r="D122" i="5"/>
  <c r="C122" i="5"/>
  <c r="D121" i="5"/>
  <c r="C121" i="5"/>
  <c r="D120" i="5"/>
  <c r="C120" i="5"/>
  <c r="D119" i="5"/>
  <c r="C119" i="5"/>
  <c r="D118" i="5"/>
  <c r="C118" i="5"/>
  <c r="D117" i="5"/>
  <c r="C117" i="5"/>
  <c r="D116" i="5"/>
  <c r="C116" i="5"/>
  <c r="D115" i="5"/>
  <c r="C115" i="5"/>
  <c r="D114" i="5"/>
  <c r="C114" i="5"/>
  <c r="D113" i="5"/>
  <c r="C113" i="5"/>
  <c r="C85" i="5"/>
  <c r="G104" i="5"/>
  <c r="D103" i="5"/>
  <c r="C103" i="5"/>
  <c r="D102" i="5"/>
  <c r="C102" i="5"/>
  <c r="D101" i="5"/>
  <c r="C101" i="5"/>
  <c r="D100" i="5"/>
  <c r="C100" i="5"/>
  <c r="D99" i="5"/>
  <c r="C99" i="5"/>
  <c r="D98" i="5"/>
  <c r="C98" i="5"/>
  <c r="D97" i="5"/>
  <c r="C97" i="5"/>
  <c r="D96" i="5"/>
  <c r="C96" i="5"/>
  <c r="D95" i="5"/>
  <c r="C95" i="5"/>
  <c r="D94" i="5"/>
  <c r="C94" i="5"/>
  <c r="D93" i="5"/>
  <c r="C93" i="5"/>
  <c r="D92" i="5"/>
  <c r="C92" i="5"/>
  <c r="D91" i="5"/>
  <c r="C91" i="5"/>
  <c r="D90" i="5"/>
  <c r="C90" i="5"/>
  <c r="D89" i="5"/>
  <c r="C89" i="5"/>
  <c r="D88" i="5"/>
  <c r="C88" i="5"/>
  <c r="D87" i="5"/>
  <c r="C87" i="5"/>
  <c r="B2" i="4"/>
  <c r="B3" i="4"/>
  <c r="B4" i="4"/>
  <c r="B5" i="4"/>
  <c r="B6" i="4"/>
  <c r="B7" i="4"/>
  <c r="B8" i="4"/>
  <c r="B9" i="4"/>
  <c r="B10" i="4"/>
  <c r="B11" i="4"/>
  <c r="B12" i="4"/>
  <c r="B13" i="4"/>
  <c r="B14" i="4"/>
  <c r="B15" i="4"/>
  <c r="B16" i="4"/>
  <c r="B17" i="4"/>
  <c r="B18" i="4"/>
  <c r="B19" i="4"/>
  <c r="B20" i="4"/>
  <c r="B21" i="4"/>
  <c r="G78" i="5"/>
  <c r="D77" i="5"/>
  <c r="C77" i="5"/>
  <c r="D76" i="5"/>
  <c r="C76" i="5"/>
  <c r="D75" i="5"/>
  <c r="C75" i="5"/>
  <c r="D74" i="5"/>
  <c r="C74" i="5"/>
  <c r="D73" i="5"/>
  <c r="C73" i="5"/>
  <c r="D72" i="5"/>
  <c r="C72" i="5"/>
  <c r="D71" i="5"/>
  <c r="C71" i="5"/>
  <c r="D70" i="5"/>
  <c r="C70" i="5"/>
  <c r="D69" i="5"/>
  <c r="C69" i="5"/>
  <c r="D68" i="5"/>
  <c r="C68" i="5"/>
  <c r="D67" i="5"/>
  <c r="C67" i="5"/>
  <c r="D66" i="5"/>
  <c r="C66" i="5"/>
  <c r="D65" i="5"/>
  <c r="C65" i="5"/>
  <c r="D64" i="5"/>
  <c r="C64" i="5"/>
  <c r="D63" i="5"/>
  <c r="C63" i="5"/>
  <c r="D62" i="5"/>
  <c r="C62" i="5"/>
  <c r="G52" i="5"/>
  <c r="D51" i="5"/>
  <c r="C51" i="5"/>
  <c r="D50" i="5"/>
  <c r="C50" i="5"/>
  <c r="D49" i="5"/>
  <c r="C49" i="5"/>
  <c r="D48" i="5"/>
  <c r="C48" i="5"/>
  <c r="D47" i="5"/>
  <c r="C47" i="5"/>
  <c r="D46" i="5"/>
  <c r="C46" i="5"/>
  <c r="D45" i="5"/>
  <c r="C45" i="5"/>
  <c r="D44" i="5"/>
  <c r="C44" i="5"/>
  <c r="D43" i="5"/>
  <c r="C43" i="5"/>
  <c r="D42" i="5"/>
  <c r="C42" i="5"/>
  <c r="D41" i="5"/>
  <c r="C41" i="5"/>
  <c r="D40" i="5"/>
  <c r="C40" i="5"/>
  <c r="D39" i="5"/>
  <c r="C39" i="5"/>
  <c r="D38" i="5"/>
  <c r="C38" i="5"/>
  <c r="D37" i="5"/>
  <c r="C37" i="5"/>
  <c r="D36" i="5"/>
  <c r="C36" i="5"/>
  <c r="C10" i="5"/>
  <c r="C11" i="5"/>
  <c r="C12" i="5"/>
  <c r="C13" i="5"/>
  <c r="C14" i="5"/>
  <c r="C15" i="5"/>
  <c r="C16" i="5"/>
  <c r="C17" i="5"/>
  <c r="C18" i="5"/>
  <c r="C19" i="5"/>
  <c r="C20" i="5"/>
  <c r="C21" i="5"/>
  <c r="C22" i="5"/>
  <c r="D10" i="5"/>
  <c r="D11" i="5"/>
  <c r="D12" i="5"/>
  <c r="D13" i="5"/>
  <c r="D15" i="5"/>
  <c r="D16" i="5"/>
  <c r="D18" i="5"/>
  <c r="D19" i="5"/>
  <c r="D21" i="5"/>
  <c r="D22" i="5"/>
  <c r="C24" i="5"/>
  <c r="D24" i="5"/>
  <c r="C25" i="5"/>
  <c r="D25" i="5"/>
  <c r="D14" i="5"/>
  <c r="D17" i="5"/>
  <c r="D20" i="5"/>
  <c r="D23" i="5"/>
  <c r="C23" i="5"/>
</calcChain>
</file>

<file path=xl/sharedStrings.xml><?xml version="1.0" encoding="utf-8"?>
<sst xmlns="http://schemas.openxmlformats.org/spreadsheetml/2006/main" count="187" uniqueCount="28">
  <si>
    <t>Données</t>
  </si>
  <si>
    <t>Investissement ouverture de compte</t>
  </si>
  <si>
    <t>V.annuels</t>
  </si>
  <si>
    <t>Frais de versement</t>
  </si>
  <si>
    <t>Frais de gestion</t>
  </si>
  <si>
    <t>Taux de rémunération</t>
  </si>
  <si>
    <t>Années</t>
  </si>
  <si>
    <t>Année</t>
  </si>
  <si>
    <t>Capital</t>
  </si>
  <si>
    <t>Versements annuels</t>
  </si>
  <si>
    <t>Versements complémentaires libres autorisés</t>
  </si>
  <si>
    <t>Taux</t>
  </si>
  <si>
    <t>Capitalisation</t>
  </si>
  <si>
    <t>Valeurs</t>
  </si>
  <si>
    <t>2012</t>
  </si>
  <si>
    <t>2013</t>
  </si>
  <si>
    <t>Minimum garanti %</t>
  </si>
  <si>
    <t>Plancher garanti %</t>
  </si>
  <si>
    <t>Date</t>
  </si>
  <si>
    <t>Quinzaine</t>
  </si>
  <si>
    <t>Versement</t>
  </si>
  <si>
    <t>Interet</t>
  </si>
  <si>
    <t>Quinzaine écoulée</t>
  </si>
  <si>
    <t>Taux interet</t>
  </si>
  <si>
    <t>Années2</t>
  </si>
  <si>
    <t>Total</t>
  </si>
  <si>
    <t>Taux inflation par an</t>
  </si>
  <si>
    <t>http://forum.excel-pratique.com/excel/probleme-textbox-format-pourcentage-vba-t58259.html</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</si>
</sst>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00%"/>
  </numFmts>
  <fonts count="14" x14ac:knownFonts="1">
    <font>
      <sz val="11"/>
      <color theme="1"/>
      <name val="Calibri"/>
      <family val="2"/>
      <scheme val="minor"/>
    </font>
    <font>
      <sz val="11"/>
      <color theme="1"/>
      <name val="Calibri"/>
      <family val="2"/>
      <scheme val="minor"/>
    </font>
    <font>
      <sz val="11"/>
      <color theme="1"/>
      <name val="Comic Sans MS"/>
      <family val="4"/>
    </font>
    <font>
      <sz val="11"/>
      <color rgb="FF000000"/>
      <name val="Calibri"/>
      <family val="2"/>
    </font>
    <font>
      <b/>
      <sz val="11"/>
      <color theme="0"/>
      <name val="Comic Sans MS"/>
    </font>
    <font>
      <sz val="11"/>
      <color theme="0"/>
      <name val="Comic Sans MS"/>
    </font>
    <font>
      <sz val="11"/>
      <color rgb="FF0000FF"/>
      <name val="Comic Sans MS"/>
    </font>
    <font>
      <sz val="11"/>
      <name val="Comic Sans MS"/>
    </font>
    <font>
      <sz val="11"/>
      <color theme="0"/>
      <name val="Calibri"/>
      <scheme val="minor"/>
    </font>
    <font>
      <u/>
      <sz val="11"/>
      <color theme="10"/>
      <name val="Calibri"/>
      <family val="2"/>
      <scheme val="minor"/>
    </font>
    <font>
      <u/>
      <sz val="11"/>
      <color theme="11"/>
      <name val="Calibri"/>
      <family val="2"/>
      <scheme val="minor"/>
    </font>
    <font>
      <b/>
      <sz val="14"/>
      <color theme="0"/>
      <name val="Comic Sans MS"/>
      <family val="4"/>
    </font>
    <font>
      <sz val="14"/>
      <color theme="1"/>
      <name val="Comic Sans MS"/>
      <family val="4"/>
    </font>
    <font>
      <sz val="14"/>
      <color theme="1"/>
      <name val="Calibri"/>
      <family val="2"/>
      <scheme val="minor"/>
    </font>
  </fonts>
  <fills count="2">
    <fill>
      <patternFill patternType="none"/>
    </fill>
    <fill>
      <patternFill patternType="gray125"/>
    </fill>
  </fills>
  <borders count="12">
    <border>
      <left/>
      <right/>
      <top/>
      <bottom/>
      <diagonal/>
    </border>
    <border>
      <left style="medium">
        <color auto="1"/>
      </left>
      <right style="medium">
        <color auto="1"/>
      </right>
      <top style="medium">
        <color auto="1"/>
      </top>
      <bottom style="medium">
        <color auto="1"/>
      </bottom>
      <diagonal/>
    </border>
    <border>
      <left style="medium">
        <color auto="1"/>
      </left>
      <right style="medium">
        <color auto="1"/>
      </right>
      <top/>
      <bottom style="medium">
        <color auto="1"/>
      </bottom>
      <diagonal/>
    </border>
    <border>
      <left/>
      <right/>
      <top style="thin">
        <color auto="1"/>
      </top>
      <bottom style="thin">
        <color auto="1"/>
      </bottom>
      <diagonal/>
    </border>
    <border>
      <left/>
      <right/>
      <top style="thin">
        <color auto="1"/>
      </top>
      <bottom/>
      <diagonal/>
    </border>
    <border>
      <left/>
      <right/>
      <top/>
      <bottom style="thin">
        <color auto="1"/>
      </bottom>
      <diagonal/>
    </border>
    <border>
      <left/>
      <right style="thin">
        <color auto="1"/>
      </right>
      <top/>
      <bottom style="thin">
        <color auto="1"/>
      </bottom>
      <diagonal/>
    </border>
    <border>
      <left style="thin">
        <color auto="1"/>
      </left>
      <right style="thin">
        <color auto="1"/>
      </right>
      <top/>
      <bottom style="thin">
        <color auto="1"/>
      </bottom>
      <diagonal/>
    </border>
    <border>
      <left style="thin">
        <color auto="1"/>
      </left>
      <right/>
      <top/>
      <bottom style="thin">
        <color auto="1"/>
      </bottom>
      <diagonal/>
    </border>
    <border>
      <left/>
      <right style="thin">
        <color auto="1"/>
      </right>
      <top style="thin">
        <color auto="1"/>
      </top>
      <bottom/>
      <diagonal/>
    </border>
    <border>
      <left style="thin">
        <color auto="1"/>
      </left>
      <right style="thin">
        <color auto="1"/>
      </right>
      <top style="thin">
        <color auto="1"/>
      </top>
      <bottom/>
      <diagonal/>
    </border>
    <border>
      <left style="thin">
        <color auto="1"/>
      </left>
      <right/>
      <top style="thin">
        <color auto="1"/>
      </top>
      <bottom/>
      <diagonal/>
    </border>
  </borders>
  <cellStyleXfs count="87">
    <xf numFmtId="0" fontId="0" fillId="0" borderId="0"/>
    <xf numFmtId="9" fontId="1" fillId="0" borderId="0" applyFon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cellStyleXfs>
  <cellXfs count="60">
    <xf numFmtId="0" fontId="0" fillId="0" borderId="0" xfId="0"/>
    <xf numFmtId="0" fontId="0" fillId="0" borderId="0" xfId="0" applyBorder="1"/>
    <xf numFmtId="10" fontId="0" fillId="0" borderId="0" xfId="1" applyNumberFormat="1" applyFont="1" applyBorder="1"/>
    <xf numFmtId="0" fontId="0" fillId="0" borderId="0" xfId="0" applyNumberFormat="1" applyBorder="1"/>
    <xf numFmtId="0" fontId="0" fillId="0" borderId="0" xfId="0" applyAlignment="1"/>
    <xf numFmtId="0" fontId="2" fillId="0" borderId="0" xfId="0" applyFont="1"/>
    <xf numFmtId="0" fontId="2" fillId="0" borderId="0" xfId="0" applyFont="1" applyBorder="1"/>
    <xf numFmtId="0" fontId="5" fillId="0" borderId="0" xfId="0" applyFont="1"/>
    <xf numFmtId="14" fontId="2" fillId="0" borderId="0" xfId="0" applyNumberFormat="1" applyFont="1" applyBorder="1"/>
    <xf numFmtId="0" fontId="2" fillId="0" borderId="0" xfId="0" applyNumberFormat="1" applyFont="1" applyBorder="1"/>
    <xf numFmtId="0" fontId="2" fillId="0" borderId="1" xfId="0" applyFont="1" applyBorder="1" applyAlignment="1">
      <alignment horizontal="center" vertical="center"/>
    </xf>
    <xf numFmtId="0" fontId="6" fillId="0" borderId="0" xfId="0" applyNumberFormat="1" applyFont="1" applyBorder="1"/>
    <xf numFmtId="0" fontId="6" fillId="0" borderId="0" xfId="0" applyFont="1" applyBorder="1"/>
    <xf numFmtId="0" fontId="2" fillId="0" borderId="0" xfId="0" applyFont="1" applyAlignment="1">
      <alignment horizontal="center" vertical="center"/>
    </xf>
    <xf numFmtId="0" fontId="2" fillId="0" borderId="2" xfId="0" applyFont="1" applyBorder="1" applyAlignment="1">
      <alignment horizontal="center" vertical="center"/>
    </xf>
    <xf numFmtId="14" fontId="2" fillId="0" borderId="0" xfId="0" applyNumberFormat="1" applyFont="1" applyAlignment="1">
      <alignment horizontal="center" vertical="center"/>
    </xf>
    <xf numFmtId="0" fontId="7" fillId="0" borderId="0" xfId="0" applyNumberFormat="1" applyFont="1" applyAlignment="1">
      <alignment horizontal="center" vertical="center"/>
    </xf>
    <xf numFmtId="0" fontId="2" fillId="0" borderId="0" xfId="0" applyNumberFormat="1" applyFont="1" applyAlignment="1">
      <alignment horizontal="center" vertical="center"/>
    </xf>
    <xf numFmtId="0" fontId="2" fillId="0" borderId="0" xfId="0" applyFont="1" applyAlignment="1">
      <alignment horizontal="center" vertical="center" wrapText="1"/>
    </xf>
    <xf numFmtId="0" fontId="2" fillId="0" borderId="0" xfId="0" applyFont="1" applyBorder="1" applyAlignment="1">
      <alignment horizontal="center" vertical="center"/>
    </xf>
    <xf numFmtId="10" fontId="2" fillId="0" borderId="0" xfId="1" applyNumberFormat="1" applyFont="1" applyBorder="1" applyAlignment="1">
      <alignment horizontal="center" vertical="center"/>
    </xf>
    <xf numFmtId="0" fontId="4" fillId="0" borderId="0" xfId="0" applyFont="1" applyFill="1" applyBorder="1" applyAlignment="1">
      <alignment horizontal="center" vertical="center"/>
    </xf>
    <xf numFmtId="0" fontId="2" fillId="0" borderId="0" xfId="0" applyFont="1" applyFill="1" applyBorder="1" applyAlignment="1">
      <alignment horizontal="center" vertical="center"/>
    </xf>
    <xf numFmtId="164" fontId="2" fillId="0" borderId="0" xfId="1" applyNumberFormat="1" applyFont="1" applyFill="1" applyBorder="1" applyAlignment="1">
      <alignment horizontal="center" vertical="center"/>
    </xf>
    <xf numFmtId="10" fontId="2" fillId="0" borderId="0" xfId="0" applyNumberFormat="1" applyFont="1" applyFill="1" applyBorder="1" applyAlignment="1">
      <alignment horizontal="center" vertical="center"/>
    </xf>
    <xf numFmtId="9" fontId="2" fillId="0" borderId="0" xfId="1" applyNumberFormat="1" applyFont="1" applyFill="1" applyBorder="1" applyAlignment="1">
      <alignment horizontal="center" vertical="center"/>
    </xf>
    <xf numFmtId="10" fontId="2" fillId="0" borderId="0" xfId="1" applyNumberFormat="1" applyFont="1" applyFill="1" applyBorder="1" applyAlignment="1">
      <alignment horizontal="center" vertical="center"/>
    </xf>
    <xf numFmtId="0" fontId="2" fillId="0" borderId="6" xfId="0" applyFont="1" applyFill="1" applyBorder="1" applyAlignment="1">
      <alignment horizontal="center" vertical="center"/>
    </xf>
    <xf numFmtId="0" fontId="2" fillId="0" borderId="7" xfId="0" applyFont="1" applyFill="1" applyBorder="1" applyAlignment="1">
      <alignment horizontal="center" vertical="center"/>
    </xf>
    <xf numFmtId="0" fontId="2" fillId="0" borderId="8" xfId="0" applyFont="1" applyFill="1" applyBorder="1" applyAlignment="1">
      <alignment horizontal="center" vertical="center"/>
    </xf>
    <xf numFmtId="0" fontId="2" fillId="0" borderId="9" xfId="0" applyFont="1" applyFill="1" applyBorder="1" applyAlignment="1">
      <alignment horizontal="center" vertical="center"/>
    </xf>
    <xf numFmtId="10" fontId="2" fillId="0" borderId="10" xfId="1" applyNumberFormat="1" applyFont="1" applyFill="1" applyBorder="1" applyAlignment="1">
      <alignment horizontal="center" vertical="center"/>
    </xf>
    <xf numFmtId="10" fontId="2" fillId="0" borderId="11" xfId="1" applyNumberFormat="1" applyFont="1" applyFill="1" applyBorder="1" applyAlignment="1">
      <alignment horizontal="center" vertical="center"/>
    </xf>
    <xf numFmtId="14" fontId="8" fillId="0" borderId="0" xfId="0" applyNumberFormat="1" applyFont="1" applyFill="1" applyBorder="1"/>
    <xf numFmtId="2" fontId="2" fillId="0" borderId="0" xfId="0" applyNumberFormat="1" applyFont="1" applyAlignment="1">
      <alignment horizontal="center" vertical="center"/>
    </xf>
    <xf numFmtId="0" fontId="11" fillId="0" borderId="3" xfId="0" applyFont="1" applyFill="1" applyBorder="1" applyAlignment="1">
      <alignment horizontal="center" vertical="center" wrapText="1"/>
    </xf>
    <xf numFmtId="0" fontId="12" fillId="0" borderId="3" xfId="0" applyFont="1" applyFill="1" applyBorder="1" applyAlignment="1">
      <alignment horizontal="center" vertical="center" wrapText="1"/>
    </xf>
    <xf numFmtId="10" fontId="12" fillId="0" borderId="3" xfId="1" applyNumberFormat="1" applyFont="1" applyFill="1" applyBorder="1" applyAlignment="1">
      <alignment horizontal="center" vertical="center" wrapText="1"/>
    </xf>
    <xf numFmtId="0" fontId="12" fillId="0" borderId="4" xfId="0" applyFont="1" applyFill="1" applyBorder="1" applyAlignment="1">
      <alignment horizontal="center" vertical="center"/>
    </xf>
    <xf numFmtId="2" fontId="12" fillId="0" borderId="4" xfId="0" applyNumberFormat="1" applyFont="1" applyFill="1" applyBorder="1" applyAlignment="1">
      <alignment horizontal="center" vertical="center"/>
    </xf>
    <xf numFmtId="10" fontId="12" fillId="0" borderId="4" xfId="1" applyNumberFormat="1" applyFont="1" applyFill="1" applyBorder="1" applyAlignment="1">
      <alignment horizontal="center" vertical="center"/>
    </xf>
    <xf numFmtId="2" fontId="12" fillId="0" borderId="4" xfId="1" applyNumberFormat="1" applyFont="1" applyFill="1" applyBorder="1" applyAlignment="1">
      <alignment horizontal="center" vertical="center"/>
    </xf>
    <xf numFmtId="0" fontId="12" fillId="0" borderId="0" xfId="0" applyFont="1" applyFill="1" applyBorder="1" applyAlignment="1">
      <alignment horizontal="center" vertical="center"/>
    </xf>
    <xf numFmtId="2" fontId="12" fillId="0" borderId="0" xfId="0" applyNumberFormat="1" applyFont="1" applyFill="1" applyBorder="1" applyAlignment="1">
      <alignment horizontal="center" vertical="center"/>
    </xf>
    <xf numFmtId="10" fontId="12" fillId="0" borderId="0" xfId="1" applyNumberFormat="1" applyFont="1" applyFill="1" applyBorder="1" applyAlignment="1">
      <alignment horizontal="center" vertical="center"/>
    </xf>
    <xf numFmtId="2" fontId="12" fillId="0" borderId="0" xfId="1" applyNumberFormat="1" applyFont="1" applyFill="1" applyBorder="1" applyAlignment="1">
      <alignment horizontal="center" vertical="center"/>
    </xf>
    <xf numFmtId="0" fontId="12" fillId="0" borderId="0" xfId="0" applyNumberFormat="1" applyFont="1" applyFill="1" applyBorder="1" applyAlignment="1">
      <alignment horizontal="center" vertical="center"/>
    </xf>
    <xf numFmtId="0" fontId="12" fillId="0" borderId="5" xfId="0" applyFont="1" applyFill="1" applyBorder="1" applyAlignment="1">
      <alignment horizontal="center" vertical="center"/>
    </xf>
    <xf numFmtId="2" fontId="12" fillId="0" borderId="5" xfId="0" applyNumberFormat="1" applyFont="1" applyFill="1" applyBorder="1" applyAlignment="1">
      <alignment horizontal="center" vertical="center"/>
    </xf>
    <xf numFmtId="0" fontId="12" fillId="0" borderId="5" xfId="0" applyNumberFormat="1" applyFont="1" applyFill="1" applyBorder="1" applyAlignment="1">
      <alignment horizontal="center" vertical="center"/>
    </xf>
    <xf numFmtId="10" fontId="12" fillId="0" borderId="5" xfId="1" applyNumberFormat="1" applyFont="1" applyFill="1" applyBorder="1" applyAlignment="1">
      <alignment horizontal="center" vertical="center"/>
    </xf>
    <xf numFmtId="2" fontId="12" fillId="0" borderId="5" xfId="1" applyNumberFormat="1" applyFont="1" applyFill="1" applyBorder="1" applyAlignment="1">
      <alignment horizontal="center" vertical="center"/>
    </xf>
    <xf numFmtId="0" fontId="13" fillId="0" borderId="0" xfId="0" applyFont="1" applyBorder="1" applyAlignment="1">
      <alignment horizontal="center" vertical="center"/>
    </xf>
    <xf numFmtId="10" fontId="12" fillId="0" borderId="0" xfId="0" applyNumberFormat="1" applyFont="1" applyBorder="1" applyAlignment="1">
      <alignment horizontal="center" vertical="center"/>
    </xf>
    <xf numFmtId="2" fontId="12" fillId="0" borderId="0" xfId="0" applyNumberFormat="1" applyFont="1" applyBorder="1" applyAlignment="1">
      <alignment horizontal="center" vertical="center"/>
    </xf>
    <xf numFmtId="2" fontId="2" fillId="0" borderId="0" xfId="0" applyNumberFormat="1" applyFont="1"/>
    <xf numFmtId="2" fontId="2" fillId="0" borderId="0" xfId="0" applyNumberFormat="1" applyFont="1" applyBorder="1"/>
    <xf numFmtId="2" fontId="2" fillId="0" borderId="0" xfId="0" applyNumberFormat="1" applyFont="1" applyAlignment="1">
      <alignment horizontal="center" vertical="center" wrapText="1"/>
    </xf>
    <xf numFmtId="10" fontId="0" fillId="0" borderId="0" xfId="0" applyNumberFormat="1" applyAlignment="1"/>
    <xf numFmtId="0" fontId="9" fillId="0" borderId="0" xfId="86" applyAlignment="1"/>
  </cellXfs>
  <cellStyles count="87">
    <cellStyle name="Lien hypertexte" xfId="2" builtinId="8" hidden="1"/>
    <cellStyle name="Lien hypertexte" xfId="4" builtinId="8" hidden="1"/>
    <cellStyle name="Lien hypertexte" xfId="6" builtinId="8" hidden="1"/>
    <cellStyle name="Lien hypertexte" xfId="8" builtinId="8" hidden="1"/>
    <cellStyle name="Lien hypertexte" xfId="10" builtinId="8" hidden="1"/>
    <cellStyle name="Lien hypertexte" xfId="12" builtinId="8" hidden="1"/>
    <cellStyle name="Lien hypertexte" xfId="14" builtinId="8" hidden="1"/>
    <cellStyle name="Lien hypertexte" xfId="16" builtinId="8" hidden="1"/>
    <cellStyle name="Lien hypertexte" xfId="18" builtinId="8" hidden="1"/>
    <cellStyle name="Lien hypertexte" xfId="20" builtinId="8" hidden="1"/>
    <cellStyle name="Lien hypertexte" xfId="22" builtinId="8" hidden="1"/>
    <cellStyle name="Lien hypertexte" xfId="24" builtinId="8" hidden="1"/>
    <cellStyle name="Lien hypertexte" xfId="26" builtinId="8" hidden="1"/>
    <cellStyle name="Lien hypertexte" xfId="28" builtinId="8" hidden="1"/>
    <cellStyle name="Lien hypertexte" xfId="30" builtinId="8" hidden="1"/>
    <cellStyle name="Lien hypertexte" xfId="32" builtinId="8" hidden="1"/>
    <cellStyle name="Lien hypertexte" xfId="34" builtinId="8" hidden="1"/>
    <cellStyle name="Lien hypertexte" xfId="36" builtinId="8" hidden="1"/>
    <cellStyle name="Lien hypertexte" xfId="38" builtinId="8" hidden="1"/>
    <cellStyle name="Lien hypertexte" xfId="40" builtinId="8" hidden="1"/>
    <cellStyle name="Lien hypertexte" xfId="42" builtinId="8" hidden="1"/>
    <cellStyle name="Lien hypertexte" xfId="44" builtinId="8" hidden="1"/>
    <cellStyle name="Lien hypertexte" xfId="46" builtinId="8" hidden="1"/>
    <cellStyle name="Lien hypertexte" xfId="48" builtinId="8" hidden="1"/>
    <cellStyle name="Lien hypertexte" xfId="50" builtinId="8" hidden="1"/>
    <cellStyle name="Lien hypertexte" xfId="52" builtinId="8" hidden="1"/>
    <cellStyle name="Lien hypertexte" xfId="54" builtinId="8" hidden="1"/>
    <cellStyle name="Lien hypertexte" xfId="56" builtinId="8" hidden="1"/>
    <cellStyle name="Lien hypertexte" xfId="58" builtinId="8" hidden="1"/>
    <cellStyle name="Lien hypertexte" xfId="60" builtinId="8" hidden="1"/>
    <cellStyle name="Lien hypertexte" xfId="62" builtinId="8" hidden="1"/>
    <cellStyle name="Lien hypertexte" xfId="64" builtinId="8" hidden="1"/>
    <cellStyle name="Lien hypertexte" xfId="66" builtinId="8" hidden="1"/>
    <cellStyle name="Lien hypertexte" xfId="68" builtinId="8" hidden="1"/>
    <cellStyle name="Lien hypertexte" xfId="70" builtinId="8" hidden="1"/>
    <cellStyle name="Lien hypertexte" xfId="72" builtinId="8" hidden="1"/>
    <cellStyle name="Lien hypertexte" xfId="74" builtinId="8" hidden="1"/>
    <cellStyle name="Lien hypertexte" xfId="76" builtinId="8" hidden="1"/>
    <cellStyle name="Lien hypertexte" xfId="78" builtinId="8" hidden="1"/>
    <cellStyle name="Lien hypertexte" xfId="80" builtinId="8" hidden="1"/>
    <cellStyle name="Lien hypertexte" xfId="82" builtinId="8" hidden="1"/>
    <cellStyle name="Lien hypertexte" xfId="84" builtinId="8" hidden="1"/>
    <cellStyle name="Lien hypertexte" xfId="86" builtinId="8"/>
    <cellStyle name="Lien hypertexte visité" xfId="3" builtinId="9" hidden="1"/>
    <cellStyle name="Lien hypertexte visité" xfId="5" builtinId="9" hidden="1"/>
    <cellStyle name="Lien hypertexte visité" xfId="7" builtinId="9" hidden="1"/>
    <cellStyle name="Lien hypertexte visité" xfId="9" builtinId="9" hidden="1"/>
    <cellStyle name="Lien hypertexte visité" xfId="11" builtinId="9" hidden="1"/>
    <cellStyle name="Lien hypertexte visité" xfId="13" builtinId="9" hidden="1"/>
    <cellStyle name="Lien hypertexte visité" xfId="15" builtinId="9" hidden="1"/>
    <cellStyle name="Lien hypertexte visité" xfId="17" builtinId="9" hidden="1"/>
    <cellStyle name="Lien hypertexte visité" xfId="19" builtinId="9" hidden="1"/>
    <cellStyle name="Lien hypertexte visité" xfId="21" builtinId="9" hidden="1"/>
    <cellStyle name="Lien hypertexte visité" xfId="23" builtinId="9" hidden="1"/>
    <cellStyle name="Lien hypertexte visité" xfId="25" builtinId="9" hidden="1"/>
    <cellStyle name="Lien hypertexte visité" xfId="27" builtinId="9" hidden="1"/>
    <cellStyle name="Lien hypertexte visité" xfId="29" builtinId="9" hidden="1"/>
    <cellStyle name="Lien hypertexte visité" xfId="31" builtinId="9" hidden="1"/>
    <cellStyle name="Lien hypertexte visité" xfId="33" builtinId="9" hidden="1"/>
    <cellStyle name="Lien hypertexte visité" xfId="35" builtinId="9" hidden="1"/>
    <cellStyle name="Lien hypertexte visité" xfId="37" builtinId="9" hidden="1"/>
    <cellStyle name="Lien hypertexte visité" xfId="39" builtinId="9" hidden="1"/>
    <cellStyle name="Lien hypertexte visité" xfId="41" builtinId="9" hidden="1"/>
    <cellStyle name="Lien hypertexte visité" xfId="43" builtinId="9" hidden="1"/>
    <cellStyle name="Lien hypertexte visité" xfId="45" builtinId="9" hidden="1"/>
    <cellStyle name="Lien hypertexte visité" xfId="47" builtinId="9" hidden="1"/>
    <cellStyle name="Lien hypertexte visité" xfId="49" builtinId="9" hidden="1"/>
    <cellStyle name="Lien hypertexte visité" xfId="51" builtinId="9" hidden="1"/>
    <cellStyle name="Lien hypertexte visité" xfId="53" builtinId="9" hidden="1"/>
    <cellStyle name="Lien hypertexte visité" xfId="55" builtinId="9" hidden="1"/>
    <cellStyle name="Lien hypertexte visité" xfId="57" builtinId="9" hidden="1"/>
    <cellStyle name="Lien hypertexte visité" xfId="59" builtinId="9" hidden="1"/>
    <cellStyle name="Lien hypertexte visité" xfId="61" builtinId="9" hidden="1"/>
    <cellStyle name="Lien hypertexte visité" xfId="63" builtinId="9" hidden="1"/>
    <cellStyle name="Lien hypertexte visité" xfId="65" builtinId="9" hidden="1"/>
    <cellStyle name="Lien hypertexte visité" xfId="67" builtinId="9" hidden="1"/>
    <cellStyle name="Lien hypertexte visité" xfId="69" builtinId="9" hidden="1"/>
    <cellStyle name="Lien hypertexte visité" xfId="71" builtinId="9" hidden="1"/>
    <cellStyle name="Lien hypertexte visité" xfId="73" builtinId="9" hidden="1"/>
    <cellStyle name="Lien hypertexte visité" xfId="75" builtinId="9" hidden="1"/>
    <cellStyle name="Lien hypertexte visité" xfId="77" builtinId="9" hidden="1"/>
    <cellStyle name="Lien hypertexte visité" xfId="79" builtinId="9" hidden="1"/>
    <cellStyle name="Lien hypertexte visité" xfId="81" builtinId="9" hidden="1"/>
    <cellStyle name="Lien hypertexte visité" xfId="83" builtinId="9" hidden="1"/>
    <cellStyle name="Lien hypertexte visité" xfId="85" builtinId="9" hidden="1"/>
    <cellStyle name="Normal" xfId="0" builtinId="0"/>
    <cellStyle name="Pourcentage" xfId="1" builtinId="5"/>
  </cellStyles>
  <dxfs count="337">
    <dxf>
      <font>
        <b val="0"/>
        <i val="0"/>
        <strike val="0"/>
        <condense val="0"/>
        <extend val="0"/>
        <outline val="0"/>
        <shadow val="0"/>
        <u val="none"/>
        <vertAlign val="baseline"/>
        <sz val="11"/>
        <color theme="1"/>
        <name val="Comic Sans MS"/>
        <scheme val="none"/>
      </font>
      <numFmt numFmtId="2" formatCode="0.00"/>
      <alignment horizontal="center" vertical="center" textRotation="0" wrapText="0" indent="0" justifyLastLine="0" shrinkToFit="0" readingOrder="0"/>
    </dxf>
    <dxf>
      <font>
        <strike val="0"/>
        <outline val="0"/>
        <shadow val="0"/>
        <u val="none"/>
        <vertAlign val="baseline"/>
        <sz val="11"/>
        <name val="Comic Sans MS"/>
        <scheme val="none"/>
      </font>
      <numFmt numFmtId="2" formatCode="0.00"/>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numFmt numFmtId="2" formatCode="0.00"/>
      <alignment horizontal="center" vertical="center" textRotation="0" wrapText="0" indent="0" justifyLastLine="0" shrinkToFit="0" readingOrder="0"/>
    </dxf>
    <dxf>
      <font>
        <strike val="0"/>
        <outline val="0"/>
        <shadow val="0"/>
        <u val="none"/>
        <vertAlign val="baseline"/>
        <sz val="11"/>
        <name val="Comic Sans MS"/>
        <scheme val="none"/>
      </font>
      <numFmt numFmtId="2" formatCode="0.00"/>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alignment horizontal="center" vertical="center" textRotation="0" wrapText="0" indent="0" justifyLastLine="0" shrinkToFit="0" readingOrder="0"/>
    </dxf>
    <dxf>
      <font>
        <strike val="0"/>
        <outline val="0"/>
        <shadow val="0"/>
        <u val="none"/>
        <vertAlign val="baseline"/>
        <sz val="11"/>
        <color auto="1"/>
        <name val="Comic Sans MS"/>
        <scheme val="none"/>
      </font>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numFmt numFmtId="165" formatCode="dd/mm/yy"/>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numFmt numFmtId="2" formatCode="0.00"/>
      <alignment horizontal="center" vertical="center" textRotation="0" wrapText="0" indent="0" justifyLastLine="0" shrinkToFit="0" readingOrder="0"/>
    </dxf>
    <dxf>
      <font>
        <strike val="0"/>
        <outline val="0"/>
        <shadow val="0"/>
        <u val="none"/>
        <vertAlign val="baseline"/>
        <sz val="11"/>
        <name val="Comic Sans MS"/>
        <scheme val="none"/>
      </font>
      <numFmt numFmtId="2" formatCode="0.00"/>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numFmt numFmtId="2" formatCode="0.00"/>
      <alignment horizontal="center" vertical="center" textRotation="0" wrapText="0" indent="0" justifyLastLine="0" shrinkToFit="0" readingOrder="0"/>
    </dxf>
    <dxf>
      <font>
        <strike val="0"/>
        <outline val="0"/>
        <shadow val="0"/>
        <u val="none"/>
        <vertAlign val="baseline"/>
        <sz val="11"/>
        <name val="Comic Sans MS"/>
        <scheme val="none"/>
      </font>
      <numFmt numFmtId="2" formatCode="0.00"/>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alignment horizontal="center" vertical="center" textRotation="0" wrapText="0" indent="0" justifyLastLine="0" shrinkToFit="0" readingOrder="0"/>
    </dxf>
    <dxf>
      <font>
        <strike val="0"/>
        <outline val="0"/>
        <shadow val="0"/>
        <u val="none"/>
        <vertAlign val="baseline"/>
        <sz val="11"/>
        <color auto="1"/>
        <name val="Comic Sans MS"/>
        <scheme val="none"/>
      </font>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numFmt numFmtId="165" formatCode="dd/mm/yy"/>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numFmt numFmtId="2" formatCode="0.00"/>
      <alignment horizontal="center" vertical="center" textRotation="0" wrapText="0" indent="0" justifyLastLine="0" shrinkToFit="0" readingOrder="0"/>
    </dxf>
    <dxf>
      <font>
        <strike val="0"/>
        <outline val="0"/>
        <shadow val="0"/>
        <u val="none"/>
        <vertAlign val="baseline"/>
        <sz val="11"/>
        <name val="Comic Sans MS"/>
        <scheme val="none"/>
      </font>
      <numFmt numFmtId="2" formatCode="0.00"/>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numFmt numFmtId="2" formatCode="0.00"/>
      <alignment horizontal="center" vertical="center" textRotation="0" wrapText="0" indent="0" justifyLastLine="0" shrinkToFit="0" readingOrder="0"/>
    </dxf>
    <dxf>
      <font>
        <strike val="0"/>
        <outline val="0"/>
        <shadow val="0"/>
        <u val="none"/>
        <vertAlign val="baseline"/>
        <sz val="11"/>
        <name val="Comic Sans MS"/>
        <scheme val="none"/>
      </font>
      <numFmt numFmtId="2" formatCode="0.00"/>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alignment horizontal="center" vertical="center" textRotation="0" wrapText="0" indent="0" justifyLastLine="0" shrinkToFit="0" readingOrder="0"/>
    </dxf>
    <dxf>
      <font>
        <strike val="0"/>
        <outline val="0"/>
        <shadow val="0"/>
        <u val="none"/>
        <vertAlign val="baseline"/>
        <sz val="11"/>
        <color auto="1"/>
        <name val="Comic Sans MS"/>
        <scheme val="none"/>
      </font>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numFmt numFmtId="165" formatCode="dd/mm/yy"/>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numFmt numFmtId="2" formatCode="0.00"/>
      <alignment horizontal="center" vertical="center" textRotation="0" wrapText="0" indent="0" justifyLastLine="0" shrinkToFit="0" readingOrder="0"/>
    </dxf>
    <dxf>
      <font>
        <strike val="0"/>
        <outline val="0"/>
        <shadow val="0"/>
        <u val="none"/>
        <vertAlign val="baseline"/>
        <sz val="11"/>
        <name val="Comic Sans MS"/>
        <scheme val="none"/>
      </font>
      <numFmt numFmtId="2" formatCode="0.00"/>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numFmt numFmtId="2" formatCode="0.00"/>
      <alignment horizontal="center" vertical="center" textRotation="0" wrapText="0" indent="0" justifyLastLine="0" shrinkToFit="0" readingOrder="0"/>
    </dxf>
    <dxf>
      <font>
        <strike val="0"/>
        <outline val="0"/>
        <shadow val="0"/>
        <u val="none"/>
        <vertAlign val="baseline"/>
        <sz val="11"/>
        <name val="Comic Sans MS"/>
        <scheme val="none"/>
      </font>
      <numFmt numFmtId="2" formatCode="0.00"/>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alignment horizontal="center" vertical="center" textRotation="0" wrapText="0" indent="0" justifyLastLine="0" shrinkToFit="0" readingOrder="0"/>
    </dxf>
    <dxf>
      <font>
        <strike val="0"/>
        <outline val="0"/>
        <shadow val="0"/>
        <u val="none"/>
        <vertAlign val="baseline"/>
        <sz val="11"/>
        <color auto="1"/>
        <name val="Comic Sans MS"/>
        <scheme val="none"/>
      </font>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numFmt numFmtId="165" formatCode="dd/mm/yy"/>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numFmt numFmtId="2" formatCode="0.00"/>
      <alignment horizontal="center" vertical="center" textRotation="0" wrapText="0" indent="0" justifyLastLine="0" shrinkToFit="0" readingOrder="0"/>
    </dxf>
    <dxf>
      <font>
        <strike val="0"/>
        <outline val="0"/>
        <shadow val="0"/>
        <u val="none"/>
        <vertAlign val="baseline"/>
        <sz val="11"/>
        <name val="Comic Sans MS"/>
        <scheme val="none"/>
      </font>
      <numFmt numFmtId="2" formatCode="0.00"/>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numFmt numFmtId="2" formatCode="0.00"/>
      <alignment horizontal="center" vertical="center" textRotation="0" wrapText="0" indent="0" justifyLastLine="0" shrinkToFit="0" readingOrder="0"/>
    </dxf>
    <dxf>
      <font>
        <strike val="0"/>
        <outline val="0"/>
        <shadow val="0"/>
        <u val="none"/>
        <vertAlign val="baseline"/>
        <sz val="11"/>
        <name val="Comic Sans MS"/>
        <scheme val="none"/>
      </font>
      <numFmt numFmtId="2" formatCode="0.00"/>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alignment horizontal="center" vertical="center" textRotation="0" wrapText="0" indent="0" justifyLastLine="0" shrinkToFit="0" readingOrder="0"/>
    </dxf>
    <dxf>
      <font>
        <strike val="0"/>
        <outline val="0"/>
        <shadow val="0"/>
        <u val="none"/>
        <vertAlign val="baseline"/>
        <sz val="11"/>
        <color auto="1"/>
        <name val="Comic Sans MS"/>
        <scheme val="none"/>
      </font>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numFmt numFmtId="165" formatCode="dd/mm/yy"/>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numFmt numFmtId="2" formatCode="0.00"/>
      <alignment horizontal="center" vertical="center" textRotation="0" wrapText="0" indent="0" justifyLastLine="0" shrinkToFit="0" readingOrder="0"/>
    </dxf>
    <dxf>
      <font>
        <strike val="0"/>
        <outline val="0"/>
        <shadow val="0"/>
        <u val="none"/>
        <vertAlign val="baseline"/>
        <sz val="11"/>
        <name val="Comic Sans MS"/>
        <scheme val="none"/>
      </font>
      <numFmt numFmtId="2" formatCode="0.00"/>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numFmt numFmtId="2" formatCode="0.00"/>
      <alignment horizontal="center" vertical="center" textRotation="0" wrapText="0" indent="0" justifyLastLine="0" shrinkToFit="0" readingOrder="0"/>
    </dxf>
    <dxf>
      <font>
        <strike val="0"/>
        <outline val="0"/>
        <shadow val="0"/>
        <u val="none"/>
        <vertAlign val="baseline"/>
        <sz val="11"/>
        <name val="Comic Sans MS"/>
        <scheme val="none"/>
      </font>
      <numFmt numFmtId="2" formatCode="0.00"/>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alignment horizontal="center" vertical="center" textRotation="0" wrapText="0" indent="0" justifyLastLine="0" shrinkToFit="0" readingOrder="0"/>
    </dxf>
    <dxf>
      <font>
        <strike val="0"/>
        <outline val="0"/>
        <shadow val="0"/>
        <u val="none"/>
        <vertAlign val="baseline"/>
        <sz val="11"/>
        <color auto="1"/>
        <name val="Comic Sans MS"/>
        <scheme val="none"/>
      </font>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numFmt numFmtId="165" formatCode="dd/mm/yy"/>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numFmt numFmtId="2" formatCode="0.00"/>
      <alignment horizontal="center" vertical="center" textRotation="0" wrapText="0" indent="0" justifyLastLine="0" shrinkToFit="0" readingOrder="0"/>
    </dxf>
    <dxf>
      <font>
        <strike val="0"/>
        <outline val="0"/>
        <shadow val="0"/>
        <u val="none"/>
        <vertAlign val="baseline"/>
        <sz val="11"/>
        <name val="Comic Sans MS"/>
        <scheme val="none"/>
      </font>
      <numFmt numFmtId="2" formatCode="0.00"/>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numFmt numFmtId="2" formatCode="0.00"/>
      <alignment horizontal="center" vertical="center" textRotation="0" wrapText="0" indent="0" justifyLastLine="0" shrinkToFit="0" readingOrder="0"/>
    </dxf>
    <dxf>
      <font>
        <strike val="0"/>
        <outline val="0"/>
        <shadow val="0"/>
        <u val="none"/>
        <vertAlign val="baseline"/>
        <sz val="11"/>
        <name val="Comic Sans MS"/>
        <scheme val="none"/>
      </font>
      <numFmt numFmtId="2" formatCode="0.00"/>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alignment horizontal="center" vertical="center" textRotation="0" wrapText="0" indent="0" justifyLastLine="0" shrinkToFit="0" readingOrder="0"/>
    </dxf>
    <dxf>
      <font>
        <strike val="0"/>
        <outline val="0"/>
        <shadow val="0"/>
        <u val="none"/>
        <vertAlign val="baseline"/>
        <sz val="11"/>
        <color auto="1"/>
        <name val="Comic Sans MS"/>
        <scheme val="none"/>
      </font>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numFmt numFmtId="165" formatCode="dd/mm/yy"/>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numFmt numFmtId="2" formatCode="0.00"/>
      <alignment horizontal="center" vertical="center" textRotation="0" wrapText="0" indent="0" justifyLastLine="0" shrinkToFit="0" readingOrder="0"/>
    </dxf>
    <dxf>
      <font>
        <strike val="0"/>
        <outline val="0"/>
        <shadow val="0"/>
        <u val="none"/>
        <vertAlign val="baseline"/>
        <sz val="11"/>
        <name val="Comic Sans MS"/>
        <scheme val="none"/>
      </font>
      <numFmt numFmtId="2" formatCode="0.00"/>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numFmt numFmtId="2" formatCode="0.00"/>
      <alignment horizontal="center" vertical="center" textRotation="0" wrapText="0" indent="0" justifyLastLine="0" shrinkToFit="0" readingOrder="0"/>
    </dxf>
    <dxf>
      <font>
        <strike val="0"/>
        <outline val="0"/>
        <shadow val="0"/>
        <u val="none"/>
        <vertAlign val="baseline"/>
        <sz val="11"/>
        <name val="Comic Sans MS"/>
        <scheme val="none"/>
      </font>
      <numFmt numFmtId="2" formatCode="0.00"/>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alignment horizontal="center" vertical="center" textRotation="0" wrapText="0" indent="0" justifyLastLine="0" shrinkToFit="0" readingOrder="0"/>
    </dxf>
    <dxf>
      <font>
        <strike val="0"/>
        <outline val="0"/>
        <shadow val="0"/>
        <u val="none"/>
        <vertAlign val="baseline"/>
        <sz val="11"/>
        <color auto="1"/>
        <name val="Comic Sans MS"/>
        <scheme val="none"/>
      </font>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numFmt numFmtId="165" formatCode="dd/mm/yy"/>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numFmt numFmtId="2" formatCode="0.00"/>
      <alignment horizontal="center" vertical="center" textRotation="0" wrapText="0" indent="0" justifyLastLine="0" shrinkToFit="0" readingOrder="0"/>
    </dxf>
    <dxf>
      <font>
        <strike val="0"/>
        <outline val="0"/>
        <shadow val="0"/>
        <u val="none"/>
        <vertAlign val="baseline"/>
        <sz val="11"/>
        <name val="Comic Sans MS"/>
        <scheme val="none"/>
      </font>
      <numFmt numFmtId="2" formatCode="0.00"/>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numFmt numFmtId="2" formatCode="0.00"/>
      <alignment horizontal="center" vertical="center" textRotation="0" wrapText="0" indent="0" justifyLastLine="0" shrinkToFit="0" readingOrder="0"/>
    </dxf>
    <dxf>
      <font>
        <strike val="0"/>
        <outline val="0"/>
        <shadow val="0"/>
        <u val="none"/>
        <vertAlign val="baseline"/>
        <sz val="11"/>
        <name val="Comic Sans MS"/>
        <scheme val="none"/>
      </font>
      <numFmt numFmtId="2" formatCode="0.00"/>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alignment horizontal="center" vertical="center" textRotation="0" wrapText="0" indent="0" justifyLastLine="0" shrinkToFit="0" readingOrder="0"/>
    </dxf>
    <dxf>
      <font>
        <strike val="0"/>
        <outline val="0"/>
        <shadow val="0"/>
        <u val="none"/>
        <vertAlign val="baseline"/>
        <sz val="11"/>
        <color auto="1"/>
        <name val="Comic Sans MS"/>
        <scheme val="none"/>
      </font>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numFmt numFmtId="165" formatCode="dd/mm/yy"/>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numFmt numFmtId="2" formatCode="0.00"/>
      <alignment horizontal="center" vertical="center" textRotation="0" wrapText="0" indent="0" justifyLastLine="0" shrinkToFit="0" readingOrder="0"/>
    </dxf>
    <dxf>
      <font>
        <strike val="0"/>
        <outline val="0"/>
        <shadow val="0"/>
        <u val="none"/>
        <vertAlign val="baseline"/>
        <sz val="11"/>
        <name val="Comic Sans MS"/>
        <scheme val="none"/>
      </font>
      <numFmt numFmtId="2" formatCode="0.00"/>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numFmt numFmtId="2" formatCode="0.00"/>
      <alignment horizontal="center" vertical="center" textRotation="0" wrapText="0" indent="0" justifyLastLine="0" shrinkToFit="0" readingOrder="0"/>
    </dxf>
    <dxf>
      <font>
        <strike val="0"/>
        <outline val="0"/>
        <shadow val="0"/>
        <u val="none"/>
        <vertAlign val="baseline"/>
        <sz val="11"/>
        <name val="Comic Sans MS"/>
        <scheme val="none"/>
      </font>
      <numFmt numFmtId="2" formatCode="0.00"/>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alignment horizontal="center" vertical="center" textRotation="0" wrapText="0" indent="0" justifyLastLine="0" shrinkToFit="0" readingOrder="0"/>
    </dxf>
    <dxf>
      <font>
        <strike val="0"/>
        <outline val="0"/>
        <shadow val="0"/>
        <u val="none"/>
        <vertAlign val="baseline"/>
        <sz val="11"/>
        <color auto="1"/>
        <name val="Comic Sans MS"/>
        <scheme val="none"/>
      </font>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numFmt numFmtId="165" formatCode="dd/mm/yy"/>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numFmt numFmtId="2" formatCode="0.00"/>
      <alignment horizontal="center" vertical="center" textRotation="0" wrapText="0" indent="0" justifyLastLine="0" shrinkToFit="0" readingOrder="0"/>
    </dxf>
    <dxf>
      <font>
        <strike val="0"/>
        <outline val="0"/>
        <shadow val="0"/>
        <u val="none"/>
        <vertAlign val="baseline"/>
        <sz val="11"/>
        <name val="Comic Sans MS"/>
        <scheme val="none"/>
      </font>
      <numFmt numFmtId="2" formatCode="0.00"/>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numFmt numFmtId="2" formatCode="0.00"/>
      <alignment horizontal="center" vertical="center" textRotation="0" wrapText="0" indent="0" justifyLastLine="0" shrinkToFit="0" readingOrder="0"/>
    </dxf>
    <dxf>
      <font>
        <strike val="0"/>
        <outline val="0"/>
        <shadow val="0"/>
        <u val="none"/>
        <vertAlign val="baseline"/>
        <sz val="11"/>
        <name val="Comic Sans MS"/>
        <scheme val="none"/>
      </font>
      <numFmt numFmtId="2" formatCode="0.00"/>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alignment horizontal="center" vertical="center" textRotation="0" wrapText="0" indent="0" justifyLastLine="0" shrinkToFit="0" readingOrder="0"/>
    </dxf>
    <dxf>
      <font>
        <strike val="0"/>
        <outline val="0"/>
        <shadow val="0"/>
        <u val="none"/>
        <vertAlign val="baseline"/>
        <sz val="11"/>
        <color auto="1"/>
        <name val="Comic Sans MS"/>
        <scheme val="none"/>
      </font>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numFmt numFmtId="165" formatCode="dd/mm/yy"/>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numFmt numFmtId="2" formatCode="0.00"/>
      <alignment horizontal="center" vertical="center" textRotation="0" wrapText="0" indent="0" justifyLastLine="0" shrinkToFit="0" readingOrder="0"/>
    </dxf>
    <dxf>
      <font>
        <strike val="0"/>
        <outline val="0"/>
        <shadow val="0"/>
        <u val="none"/>
        <vertAlign val="baseline"/>
        <sz val="11"/>
        <name val="Comic Sans MS"/>
        <scheme val="none"/>
      </font>
      <numFmt numFmtId="2" formatCode="0.00"/>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numFmt numFmtId="2" formatCode="0.00"/>
      <alignment horizontal="center" vertical="center" textRotation="0" wrapText="0" indent="0" justifyLastLine="0" shrinkToFit="0" readingOrder="0"/>
    </dxf>
    <dxf>
      <font>
        <strike val="0"/>
        <outline val="0"/>
        <shadow val="0"/>
        <u val="none"/>
        <vertAlign val="baseline"/>
        <sz val="11"/>
        <name val="Comic Sans MS"/>
        <scheme val="none"/>
      </font>
      <numFmt numFmtId="2" formatCode="0.00"/>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alignment horizontal="center" vertical="center" textRotation="0" wrapText="0" indent="0" justifyLastLine="0" shrinkToFit="0" readingOrder="0"/>
    </dxf>
    <dxf>
      <font>
        <strike val="0"/>
        <outline val="0"/>
        <shadow val="0"/>
        <u val="none"/>
        <vertAlign val="baseline"/>
        <sz val="11"/>
        <color auto="1"/>
        <name val="Comic Sans MS"/>
        <scheme val="none"/>
      </font>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numFmt numFmtId="165" formatCode="dd/mm/yy"/>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numFmt numFmtId="2" formatCode="0.00"/>
      <alignment horizontal="center" vertical="center" textRotation="0" wrapText="0" indent="0" justifyLastLine="0" shrinkToFit="0" readingOrder="0"/>
    </dxf>
    <dxf>
      <font>
        <strike val="0"/>
        <outline val="0"/>
        <shadow val="0"/>
        <u val="none"/>
        <vertAlign val="baseline"/>
        <sz val="11"/>
        <name val="Comic Sans MS"/>
        <scheme val="none"/>
      </font>
      <numFmt numFmtId="2" formatCode="0.00"/>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numFmt numFmtId="2" formatCode="0.00"/>
      <alignment horizontal="center" vertical="center" textRotation="0" wrapText="0" indent="0" justifyLastLine="0" shrinkToFit="0" readingOrder="0"/>
    </dxf>
    <dxf>
      <font>
        <strike val="0"/>
        <outline val="0"/>
        <shadow val="0"/>
        <u val="none"/>
        <vertAlign val="baseline"/>
        <sz val="11"/>
        <name val="Comic Sans MS"/>
        <scheme val="none"/>
      </font>
      <numFmt numFmtId="2" formatCode="0.00"/>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alignment horizontal="center" vertical="center" textRotation="0" wrapText="0" indent="0" justifyLastLine="0" shrinkToFit="0" readingOrder="0"/>
    </dxf>
    <dxf>
      <font>
        <strike val="0"/>
        <outline val="0"/>
        <shadow val="0"/>
        <u val="none"/>
        <vertAlign val="baseline"/>
        <sz val="11"/>
        <color auto="1"/>
        <name val="Comic Sans MS"/>
        <scheme val="none"/>
      </font>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numFmt numFmtId="165" formatCode="dd/mm/yy"/>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numFmt numFmtId="2" formatCode="0.00"/>
      <alignment horizontal="center" vertical="center" textRotation="0" wrapText="0" indent="0" justifyLastLine="0" shrinkToFit="0" readingOrder="0"/>
    </dxf>
    <dxf>
      <font>
        <strike val="0"/>
        <outline val="0"/>
        <shadow val="0"/>
        <u val="none"/>
        <vertAlign val="baseline"/>
        <sz val="11"/>
        <name val="Comic Sans MS"/>
        <scheme val="none"/>
      </font>
      <numFmt numFmtId="2" formatCode="0.00"/>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numFmt numFmtId="2" formatCode="0.00"/>
      <alignment horizontal="center" vertical="center" textRotation="0" wrapText="0" indent="0" justifyLastLine="0" shrinkToFit="0" readingOrder="0"/>
    </dxf>
    <dxf>
      <font>
        <strike val="0"/>
        <outline val="0"/>
        <shadow val="0"/>
        <u val="none"/>
        <vertAlign val="baseline"/>
        <sz val="11"/>
        <name val="Comic Sans MS"/>
        <scheme val="none"/>
      </font>
      <numFmt numFmtId="2" formatCode="0.00"/>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alignment horizontal="center" vertical="center" textRotation="0" wrapText="0" indent="0" justifyLastLine="0" shrinkToFit="0" readingOrder="0"/>
    </dxf>
    <dxf>
      <font>
        <strike val="0"/>
        <outline val="0"/>
        <shadow val="0"/>
        <u val="none"/>
        <vertAlign val="baseline"/>
        <sz val="11"/>
        <color auto="1"/>
        <name val="Comic Sans MS"/>
        <scheme val="none"/>
      </font>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numFmt numFmtId="165" formatCode="dd/mm/yy"/>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numFmt numFmtId="2" formatCode="0.00"/>
      <alignment horizontal="center" vertical="center" textRotation="0" wrapText="0" indent="0" justifyLastLine="0" shrinkToFit="0" readingOrder="0"/>
    </dxf>
    <dxf>
      <font>
        <strike val="0"/>
        <outline val="0"/>
        <shadow val="0"/>
        <u val="none"/>
        <vertAlign val="baseline"/>
        <sz val="11"/>
        <name val="Comic Sans MS"/>
        <scheme val="none"/>
      </font>
      <numFmt numFmtId="2" formatCode="0.00"/>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numFmt numFmtId="2" formatCode="0.00"/>
      <alignment horizontal="center" vertical="center" textRotation="0" wrapText="0" indent="0" justifyLastLine="0" shrinkToFit="0" readingOrder="0"/>
    </dxf>
    <dxf>
      <font>
        <strike val="0"/>
        <outline val="0"/>
        <shadow val="0"/>
        <u val="none"/>
        <vertAlign val="baseline"/>
        <sz val="11"/>
        <name val="Comic Sans MS"/>
        <scheme val="none"/>
      </font>
      <numFmt numFmtId="2" formatCode="0.00"/>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alignment horizontal="center" vertical="center" textRotation="0" wrapText="0" indent="0" justifyLastLine="0" shrinkToFit="0" readingOrder="0"/>
    </dxf>
    <dxf>
      <font>
        <strike val="0"/>
        <outline val="0"/>
        <shadow val="0"/>
        <u val="none"/>
        <vertAlign val="baseline"/>
        <sz val="11"/>
        <color auto="1"/>
        <name val="Comic Sans MS"/>
        <scheme val="none"/>
      </font>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numFmt numFmtId="165" formatCode="dd/mm/yy"/>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numFmt numFmtId="2" formatCode="0.00"/>
      <alignment horizontal="center" vertical="center" textRotation="0" wrapText="0" indent="0" justifyLastLine="0" shrinkToFit="0" readingOrder="0"/>
    </dxf>
    <dxf>
      <font>
        <strike val="0"/>
        <outline val="0"/>
        <shadow val="0"/>
        <u val="none"/>
        <vertAlign val="baseline"/>
        <sz val="11"/>
        <name val="Comic Sans MS"/>
        <scheme val="none"/>
      </font>
      <numFmt numFmtId="2" formatCode="0.00"/>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numFmt numFmtId="2" formatCode="0.00"/>
      <alignment horizontal="center" vertical="center" textRotation="0" wrapText="0" indent="0" justifyLastLine="0" shrinkToFit="0" readingOrder="0"/>
    </dxf>
    <dxf>
      <font>
        <strike val="0"/>
        <outline val="0"/>
        <shadow val="0"/>
        <u val="none"/>
        <vertAlign val="baseline"/>
        <sz val="11"/>
        <name val="Comic Sans MS"/>
        <scheme val="none"/>
      </font>
      <numFmt numFmtId="2" formatCode="0.00"/>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alignment horizontal="center" vertical="center" textRotation="0" wrapText="0" indent="0" justifyLastLine="0" shrinkToFit="0" readingOrder="0"/>
    </dxf>
    <dxf>
      <font>
        <strike val="0"/>
        <outline val="0"/>
        <shadow val="0"/>
        <u val="none"/>
        <vertAlign val="baseline"/>
        <sz val="11"/>
        <color auto="1"/>
        <name val="Comic Sans MS"/>
        <scheme val="none"/>
      </font>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numFmt numFmtId="165" formatCode="dd/mm/yy"/>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numFmt numFmtId="2" formatCode="0.00"/>
      <alignment horizontal="center" vertical="center" textRotation="0" wrapText="0" indent="0" justifyLastLine="0" shrinkToFit="0" readingOrder="0"/>
    </dxf>
    <dxf>
      <font>
        <strike val="0"/>
        <outline val="0"/>
        <shadow val="0"/>
        <u val="none"/>
        <vertAlign val="baseline"/>
        <sz val="11"/>
        <name val="Comic Sans MS"/>
        <scheme val="none"/>
      </font>
      <numFmt numFmtId="2" formatCode="0.00"/>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numFmt numFmtId="2" formatCode="0.00"/>
      <alignment horizontal="center" vertical="center" textRotation="0" wrapText="0" indent="0" justifyLastLine="0" shrinkToFit="0" readingOrder="0"/>
    </dxf>
    <dxf>
      <font>
        <strike val="0"/>
        <outline val="0"/>
        <shadow val="0"/>
        <u val="none"/>
        <vertAlign val="baseline"/>
        <sz val="11"/>
        <name val="Comic Sans MS"/>
        <scheme val="none"/>
      </font>
      <numFmt numFmtId="2" formatCode="0.00"/>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alignment horizontal="center" vertical="center" textRotation="0" wrapText="0" indent="0" justifyLastLine="0" shrinkToFit="0" readingOrder="0"/>
    </dxf>
    <dxf>
      <font>
        <strike val="0"/>
        <outline val="0"/>
        <shadow val="0"/>
        <u val="none"/>
        <vertAlign val="baseline"/>
        <sz val="11"/>
        <color auto="1"/>
        <name val="Comic Sans MS"/>
        <scheme val="none"/>
      </font>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numFmt numFmtId="165" formatCode="dd/mm/yy"/>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numFmt numFmtId="2" formatCode="0.00"/>
      <alignment horizontal="center" vertical="center" textRotation="0" wrapText="0" indent="0" justifyLastLine="0" shrinkToFit="0" readingOrder="0"/>
    </dxf>
    <dxf>
      <font>
        <strike val="0"/>
        <outline val="0"/>
        <shadow val="0"/>
        <u val="none"/>
        <vertAlign val="baseline"/>
        <sz val="11"/>
        <name val="Comic Sans MS"/>
        <scheme val="none"/>
      </font>
      <numFmt numFmtId="2" formatCode="0.00"/>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numFmt numFmtId="2" formatCode="0.00"/>
      <alignment horizontal="center" vertical="center" textRotation="0" wrapText="0" indent="0" justifyLastLine="0" shrinkToFit="0" readingOrder="0"/>
    </dxf>
    <dxf>
      <font>
        <strike val="0"/>
        <outline val="0"/>
        <shadow val="0"/>
        <u val="none"/>
        <vertAlign val="baseline"/>
        <sz val="11"/>
        <name val="Comic Sans MS"/>
        <scheme val="none"/>
      </font>
      <numFmt numFmtId="2" formatCode="0.00"/>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alignment horizontal="center" vertical="center" textRotation="0" wrapText="0" indent="0" justifyLastLine="0" shrinkToFit="0" readingOrder="0"/>
    </dxf>
    <dxf>
      <font>
        <strike val="0"/>
        <outline val="0"/>
        <shadow val="0"/>
        <u val="none"/>
        <vertAlign val="baseline"/>
        <sz val="11"/>
        <color auto="1"/>
        <name val="Comic Sans MS"/>
        <scheme val="none"/>
      </font>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numFmt numFmtId="165" formatCode="dd/mm/yy"/>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numFmt numFmtId="2" formatCode="0.00"/>
      <alignment horizontal="center" vertical="center" textRotation="0" wrapText="0" indent="0" justifyLastLine="0" shrinkToFit="0" readingOrder="0"/>
    </dxf>
    <dxf>
      <font>
        <strike val="0"/>
        <outline val="0"/>
        <shadow val="0"/>
        <u val="none"/>
        <vertAlign val="baseline"/>
        <sz val="11"/>
        <name val="Comic Sans MS"/>
        <scheme val="none"/>
      </font>
      <numFmt numFmtId="2" formatCode="0.00"/>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numFmt numFmtId="2" formatCode="0.00"/>
      <alignment horizontal="center" vertical="center" textRotation="0" wrapText="0" indent="0" justifyLastLine="0" shrinkToFit="0" readingOrder="0"/>
    </dxf>
    <dxf>
      <font>
        <strike val="0"/>
        <outline val="0"/>
        <shadow val="0"/>
        <u val="none"/>
        <vertAlign val="baseline"/>
        <sz val="11"/>
        <name val="Comic Sans MS"/>
        <scheme val="none"/>
      </font>
      <numFmt numFmtId="2" formatCode="0.00"/>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alignment horizontal="center" vertical="center" textRotation="0" wrapText="0" indent="0" justifyLastLine="0" shrinkToFit="0" readingOrder="0"/>
    </dxf>
    <dxf>
      <font>
        <strike val="0"/>
        <outline val="0"/>
        <shadow val="0"/>
        <u val="none"/>
        <vertAlign val="baseline"/>
        <sz val="11"/>
        <color auto="1"/>
        <name val="Comic Sans MS"/>
        <scheme val="none"/>
      </font>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numFmt numFmtId="165" formatCode="dd/mm/yy"/>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numFmt numFmtId="2" formatCode="0.00"/>
      <alignment horizontal="center" vertical="center" textRotation="0" wrapText="0" indent="0" justifyLastLine="0" shrinkToFit="0" readingOrder="0"/>
    </dxf>
    <dxf>
      <font>
        <strike val="0"/>
        <outline val="0"/>
        <shadow val="0"/>
        <u val="none"/>
        <vertAlign val="baseline"/>
        <sz val="11"/>
        <name val="Comic Sans MS"/>
        <scheme val="none"/>
      </font>
      <numFmt numFmtId="2" formatCode="0.00"/>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numFmt numFmtId="2" formatCode="0.00"/>
      <alignment horizontal="center" vertical="center" textRotation="0" wrapText="0" indent="0" justifyLastLine="0" shrinkToFit="0" readingOrder="0"/>
    </dxf>
    <dxf>
      <font>
        <strike val="0"/>
        <outline val="0"/>
        <shadow val="0"/>
        <u val="none"/>
        <vertAlign val="baseline"/>
        <sz val="11"/>
        <name val="Comic Sans MS"/>
        <scheme val="none"/>
      </font>
      <numFmt numFmtId="2" formatCode="0.00"/>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alignment horizontal="center" vertical="center" textRotation="0" wrapText="0" indent="0" justifyLastLine="0" shrinkToFit="0" readingOrder="0"/>
    </dxf>
    <dxf>
      <font>
        <strike val="0"/>
        <outline val="0"/>
        <shadow val="0"/>
        <u val="none"/>
        <vertAlign val="baseline"/>
        <sz val="11"/>
        <color auto="1"/>
        <name val="Comic Sans MS"/>
        <scheme val="none"/>
      </font>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numFmt numFmtId="165" formatCode="dd/mm/yy"/>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strike val="0"/>
        <outline val="0"/>
        <shadow val="0"/>
        <u val="none"/>
        <vertAlign val="baseline"/>
        <sz val="11"/>
        <name val="Comic Sans MS"/>
        <scheme val="none"/>
      </font>
      <alignment horizontal="center" vertical="center" textRotation="0" wrapText="0" indent="0" justifyLastLine="0" shrinkToFit="0" readingOrder="0"/>
    </dxf>
    <dxf>
      <font>
        <b val="0"/>
        <i val="0"/>
        <strike val="0"/>
        <condense val="0"/>
        <extend val="0"/>
        <outline val="0"/>
        <shadow val="0"/>
        <u val="none"/>
        <vertAlign val="baseline"/>
        <sz val="14"/>
        <color theme="1"/>
        <name val="Comic Sans MS"/>
        <scheme val="none"/>
      </font>
      <numFmt numFmtId="2" formatCode="0.00"/>
      <fill>
        <patternFill patternType="none">
          <fgColor indexed="64"/>
          <bgColor indexed="65"/>
        </patternFill>
      </fill>
      <alignment horizontal="center" vertical="center" textRotation="0" wrapText="0" indent="0" justifyLastLine="0" shrinkToFit="0" readingOrder="0"/>
      <border diagonalUp="0" diagonalDown="0" outline="0">
        <left/>
        <right/>
        <top/>
        <bottom/>
      </border>
    </dxf>
    <dxf>
      <font>
        <strike val="0"/>
        <outline val="0"/>
        <shadow val="0"/>
        <u val="none"/>
        <vertAlign val="baseline"/>
        <sz val="14"/>
        <color theme="1"/>
        <name val="Comic Sans MS"/>
        <scheme val="none"/>
      </font>
      <numFmt numFmtId="2" formatCode="0.00"/>
      <fill>
        <patternFill patternType="none">
          <fgColor indexed="64"/>
          <bgColor auto="1"/>
        </patternFill>
      </fill>
      <alignment horizontal="center" vertical="center" textRotation="0" wrapText="0" indent="0" justifyLastLine="0" shrinkToFit="0" readingOrder="0"/>
    </dxf>
    <dxf>
      <font>
        <b val="0"/>
        <i val="0"/>
        <strike val="0"/>
        <condense val="0"/>
        <extend val="0"/>
        <outline val="0"/>
        <shadow val="0"/>
        <u val="none"/>
        <vertAlign val="baseline"/>
        <sz val="14"/>
        <color theme="1"/>
        <name val="Comic Sans MS"/>
        <scheme val="none"/>
      </font>
      <numFmt numFmtId="2" formatCode="0.00"/>
      <fill>
        <patternFill patternType="none">
          <fgColor indexed="64"/>
          <bgColor indexed="65"/>
        </patternFill>
      </fill>
      <alignment horizontal="center" vertical="center" textRotation="0" wrapText="0" indent="0" justifyLastLine="0" shrinkToFit="0" readingOrder="0"/>
      <border diagonalUp="0" diagonalDown="0" outline="0">
        <left/>
        <right/>
        <top/>
        <bottom/>
      </border>
    </dxf>
    <dxf>
      <font>
        <strike val="0"/>
        <outline val="0"/>
        <shadow val="0"/>
        <u val="none"/>
        <vertAlign val="baseline"/>
        <sz val="14"/>
        <color theme="1"/>
        <name val="Comic Sans MS"/>
        <scheme val="none"/>
      </font>
      <numFmt numFmtId="2" formatCode="0.00"/>
      <fill>
        <patternFill patternType="none">
          <fgColor indexed="64"/>
          <bgColor auto="1"/>
        </patternFill>
      </fill>
      <alignment horizontal="center" vertical="center" textRotation="0" wrapText="0" indent="0" justifyLastLine="0" shrinkToFit="0" readingOrder="0"/>
    </dxf>
    <dxf>
      <font>
        <b val="0"/>
        <i val="0"/>
        <strike val="0"/>
        <condense val="0"/>
        <extend val="0"/>
        <outline val="0"/>
        <shadow val="0"/>
        <u val="none"/>
        <vertAlign val="baseline"/>
        <sz val="14"/>
        <color theme="1"/>
        <name val="Comic Sans MS"/>
        <scheme val="none"/>
      </font>
      <numFmt numFmtId="2" formatCode="0.00"/>
      <alignment horizontal="center" vertical="center" textRotation="0" wrapText="0" indent="0" justifyLastLine="0" shrinkToFit="0" readingOrder="0"/>
      <border diagonalUp="0" diagonalDown="0" outline="0">
        <left/>
        <right/>
        <top/>
        <bottom/>
      </border>
    </dxf>
    <dxf>
      <font>
        <b val="0"/>
        <i val="0"/>
        <strike val="0"/>
        <condense val="0"/>
        <extend val="0"/>
        <outline val="0"/>
        <shadow val="0"/>
        <u val="none"/>
        <vertAlign val="baseline"/>
        <sz val="14"/>
        <color theme="1"/>
        <name val="Comic Sans MS"/>
        <scheme val="none"/>
      </font>
      <numFmt numFmtId="2" formatCode="0.00"/>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4"/>
        <color theme="1"/>
        <name val="Comic Sans MS"/>
        <scheme val="none"/>
      </font>
      <numFmt numFmtId="14" formatCode="0.00%"/>
      <alignment horizontal="center" vertical="center" textRotation="0" wrapText="0" indent="0" justifyLastLine="0" shrinkToFit="0" readingOrder="0"/>
      <border diagonalUp="0" diagonalDown="0" outline="0">
        <left/>
        <right/>
        <top/>
        <bottom/>
      </border>
    </dxf>
    <dxf>
      <font>
        <strike val="0"/>
        <outline val="0"/>
        <shadow val="0"/>
        <u val="none"/>
        <vertAlign val="baseline"/>
        <sz val="14"/>
        <color theme="1"/>
        <name val="Comic Sans MS"/>
        <scheme val="none"/>
      </font>
      <numFmt numFmtId="14" formatCode="0.00%"/>
      <fill>
        <patternFill patternType="none">
          <fgColor indexed="64"/>
          <bgColor auto="1"/>
        </patternFill>
      </fill>
      <alignment horizontal="center" vertical="center" textRotation="0" wrapText="0" indent="0" justifyLastLine="0" shrinkToFit="0" readingOrder="0"/>
    </dxf>
    <dxf>
      <font>
        <b val="0"/>
        <i val="0"/>
        <strike val="0"/>
        <condense val="0"/>
        <extend val="0"/>
        <outline val="0"/>
        <shadow val="0"/>
        <u val="none"/>
        <vertAlign val="baseline"/>
        <sz val="14"/>
        <color theme="1"/>
        <name val="Comic Sans MS"/>
        <scheme val="none"/>
      </font>
      <numFmt numFmtId="0" formatCode="General"/>
      <fill>
        <patternFill patternType="none">
          <fgColor indexed="64"/>
          <bgColor indexed="65"/>
        </patternFill>
      </fill>
      <alignment horizontal="center" vertical="center" textRotation="0" wrapText="0" indent="0" justifyLastLine="0" shrinkToFit="0" readingOrder="0"/>
      <border diagonalUp="0" diagonalDown="0" outline="0">
        <left/>
        <right/>
        <top/>
        <bottom/>
      </border>
    </dxf>
    <dxf>
      <font>
        <strike val="0"/>
        <outline val="0"/>
        <shadow val="0"/>
        <u val="none"/>
        <vertAlign val="baseline"/>
        <sz val="14"/>
        <color theme="1"/>
        <name val="Comic Sans MS"/>
        <scheme val="none"/>
      </font>
      <numFmt numFmtId="0" formatCode="General"/>
      <fill>
        <patternFill patternType="none">
          <fgColor indexed="64"/>
          <bgColor auto="1"/>
        </patternFill>
      </fill>
      <alignment horizontal="center" vertical="center" textRotation="0" wrapText="0" indent="0" justifyLastLine="0" shrinkToFit="0" readingOrder="0"/>
    </dxf>
    <dxf>
      <font>
        <b val="0"/>
        <i val="0"/>
        <strike val="0"/>
        <condense val="0"/>
        <extend val="0"/>
        <outline val="0"/>
        <shadow val="0"/>
        <u val="none"/>
        <vertAlign val="baseline"/>
        <sz val="14"/>
        <color theme="1"/>
        <name val="Comic Sans MS"/>
        <scheme val="none"/>
      </font>
      <numFmt numFmtId="2" formatCode="0.00"/>
      <fill>
        <patternFill patternType="none">
          <fgColor indexed="64"/>
          <bgColor indexed="65"/>
        </patternFill>
      </fill>
      <alignment horizontal="center" vertical="center" textRotation="0" wrapText="0" indent="0" justifyLastLine="0" shrinkToFit="0" readingOrder="0"/>
      <border diagonalUp="0" diagonalDown="0" outline="0">
        <left/>
        <right/>
        <top/>
        <bottom/>
      </border>
    </dxf>
    <dxf>
      <font>
        <strike val="0"/>
        <outline val="0"/>
        <shadow val="0"/>
        <u val="none"/>
        <vertAlign val="baseline"/>
        <sz val="14"/>
        <color theme="1"/>
        <name val="Comic Sans MS"/>
        <scheme val="none"/>
      </font>
      <numFmt numFmtId="2" formatCode="0.00"/>
      <fill>
        <patternFill patternType="none">
          <fgColor indexed="64"/>
          <bgColor auto="1"/>
        </patternFill>
      </fill>
      <alignment horizontal="center" vertical="center" textRotation="0" wrapText="0" indent="0" justifyLastLine="0" shrinkToFit="0" readingOrder="0"/>
    </dxf>
    <dxf>
      <font>
        <b val="0"/>
        <i val="0"/>
        <strike val="0"/>
        <condense val="0"/>
        <extend val="0"/>
        <outline val="0"/>
        <shadow val="0"/>
        <u val="none"/>
        <vertAlign val="baseline"/>
        <sz val="14"/>
        <color theme="1"/>
        <name val="Comic Sans MS"/>
        <scheme val="none"/>
      </font>
      <numFmt numFmtId="0" formatCode="General"/>
      <fill>
        <patternFill patternType="none">
          <fgColor indexed="64"/>
          <bgColor indexed="65"/>
        </patternFill>
      </fill>
      <alignment horizontal="center" vertical="center" textRotation="0" wrapText="0" indent="0" justifyLastLine="0" shrinkToFit="0" readingOrder="0"/>
      <border diagonalUp="0" diagonalDown="0" outline="0">
        <left/>
        <right/>
        <top/>
        <bottom/>
      </border>
    </dxf>
    <dxf>
      <font>
        <strike val="0"/>
        <outline val="0"/>
        <shadow val="0"/>
        <u val="none"/>
        <vertAlign val="baseline"/>
        <sz val="14"/>
        <color theme="1"/>
        <name val="Comic Sans MS"/>
        <scheme val="none"/>
      </font>
      <fill>
        <patternFill patternType="none">
          <fgColor indexed="64"/>
          <bgColor auto="1"/>
        </patternFill>
      </fill>
      <alignment horizontal="center" vertical="center" textRotation="0" wrapText="0" indent="0" justifyLastLine="0" shrinkToFit="0" readingOrder="0"/>
    </dxf>
    <dxf>
      <font>
        <b val="0"/>
        <i val="0"/>
        <strike val="0"/>
        <condense val="0"/>
        <extend val="0"/>
        <outline val="0"/>
        <shadow val="0"/>
        <u val="none"/>
        <vertAlign val="baseline"/>
        <sz val="14"/>
        <color theme="1"/>
        <name val="Comic Sans MS"/>
        <scheme val="none"/>
      </font>
      <numFmt numFmtId="2" formatCode="0.00"/>
      <fill>
        <patternFill patternType="none">
          <fgColor indexed="64"/>
          <bgColor indexed="65"/>
        </patternFill>
      </fill>
      <alignment horizontal="center" vertical="center" textRotation="0" wrapText="0" indent="0" justifyLastLine="0" shrinkToFit="0" readingOrder="0"/>
      <border diagonalUp="0" diagonalDown="0" outline="0">
        <left/>
        <right/>
        <top/>
        <bottom/>
      </border>
    </dxf>
    <dxf>
      <font>
        <strike val="0"/>
        <outline val="0"/>
        <shadow val="0"/>
        <u val="none"/>
        <vertAlign val="baseline"/>
        <sz val="14"/>
        <color theme="1"/>
        <name val="Comic Sans MS"/>
        <scheme val="none"/>
      </font>
      <numFmt numFmtId="2" formatCode="0.00"/>
      <fill>
        <patternFill patternType="none">
          <fgColor indexed="64"/>
          <bgColor auto="1"/>
        </patternFill>
      </fill>
      <alignment horizontal="center" vertical="center" textRotation="0" wrapText="0" indent="0" justifyLastLine="0" shrinkToFit="0" readingOrder="0"/>
    </dxf>
    <dxf>
      <font>
        <b val="0"/>
        <i val="0"/>
        <strike val="0"/>
        <condense val="0"/>
        <extend val="0"/>
        <outline val="0"/>
        <shadow val="0"/>
        <u val="none"/>
        <vertAlign val="baseline"/>
        <sz val="14"/>
        <color theme="1"/>
        <name val="Calibri"/>
        <scheme val="minor"/>
      </font>
      <alignment horizontal="center" vertical="center" textRotation="0" wrapText="0" indent="0" justifyLastLine="0" shrinkToFit="0" readingOrder="0"/>
      <border diagonalUp="0" diagonalDown="0" outline="0">
        <left/>
        <right/>
        <top/>
        <bottom/>
      </border>
    </dxf>
    <dxf>
      <font>
        <strike val="0"/>
        <outline val="0"/>
        <shadow val="0"/>
        <u val="none"/>
        <vertAlign val="baseline"/>
        <sz val="14"/>
        <color theme="1"/>
        <name val="Comic Sans MS"/>
        <scheme val="none"/>
      </fon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4"/>
        <color theme="1"/>
        <name val="Comic Sans MS"/>
        <scheme val="none"/>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dxf>
    <dxf>
      <font>
        <b val="0"/>
        <i val="0"/>
        <strike val="0"/>
        <condense val="0"/>
        <extend val="0"/>
        <outline val="0"/>
        <shadow val="0"/>
        <u val="none"/>
        <vertAlign val="baseline"/>
        <sz val="14"/>
        <color theme="1"/>
        <name val="Comic Sans MS"/>
        <scheme val="none"/>
      </font>
      <fill>
        <patternFill patternType="none">
          <fgColor indexed="64"/>
          <bgColor indexed="65"/>
        </patternFill>
      </fill>
      <alignment horizontal="center" vertical="center" textRotation="0" wrapText="0" indent="0" justifyLastLine="0" shrinkToFit="0" readingOrder="0"/>
    </dxf>
    <dxf>
      <font>
        <strike val="0"/>
        <outline val="0"/>
        <shadow val="0"/>
        <u val="none"/>
        <vertAlign val="baseline"/>
        <sz val="14"/>
      </font>
      <fill>
        <patternFill patternType="none">
          <fgColor indexed="64"/>
          <bgColor auto="1"/>
        </patternFill>
      </fill>
      <alignment horizontal="center" vertical="center" textRotation="0" indent="0" justifyLastLine="0" shrinkToFit="0"/>
    </dxf>
    <dxf>
      <font>
        <strike val="0"/>
        <outline val="0"/>
        <shadow val="0"/>
        <u val="none"/>
        <vertAlign val="baseline"/>
        <sz val="14"/>
        <color theme="1"/>
        <name val="Comic Sans MS"/>
        <scheme val="none"/>
      </font>
      <fill>
        <patternFill patternType="none">
          <fgColor indexed="64"/>
          <bgColor auto="1"/>
        </patternFill>
      </fill>
      <alignment horizontal="center" vertical="center" textRotation="0" wrapText="0" indent="0" justifyLastLine="0" shrinkToFit="0" readingOrder="0"/>
    </dxf>
    <dxf>
      <border>
        <bottom style="thin">
          <color indexed="64"/>
        </bottom>
      </border>
    </dxf>
    <dxf>
      <font>
        <strike val="0"/>
        <outline val="0"/>
        <shadow val="0"/>
        <u val="none"/>
        <vertAlign val="baseline"/>
        <sz val="14"/>
        <color theme="1"/>
        <name val="Comic Sans MS"/>
        <scheme val="none"/>
      </font>
      <fill>
        <patternFill patternType="none">
          <fgColor indexed="64"/>
          <bgColor auto="1"/>
        </patternFill>
      </fill>
      <alignment horizontal="center" vertical="center" textRotation="0" wrapText="1" indent="0" justifyLastLine="0" shrinkToFit="0" readingOrder="0"/>
      <border diagonalUp="0" diagonalDown="0" outline="0">
        <left style="thin">
          <color auto="1"/>
        </left>
        <right style="thin">
          <color auto="1"/>
        </right>
        <top/>
        <bottom/>
      </border>
    </dxf>
    <dxf>
      <fill>
        <patternFill patternType="none"/>
      </fill>
      <alignment horizontal="center" vertical="center" textRotation="0" wrapText="0" indent="0" justifyLastLine="0" shrinkToFit="0"/>
    </dxf>
    <dxf>
      <font>
        <b val="0"/>
        <i val="0"/>
        <strike val="0"/>
        <condense val="0"/>
        <extend val="0"/>
        <outline val="0"/>
        <shadow val="0"/>
        <u val="none"/>
        <vertAlign val="baseline"/>
        <sz val="11"/>
        <color theme="1"/>
        <name val="Comic Sans MS"/>
        <scheme val="none"/>
      </font>
      <fill>
        <patternFill patternType="none">
          <fgColor theme="0" tint="-0.14999847407452621"/>
          <bgColor theme="0" tint="-0.14999847407452621"/>
        </patternFill>
      </fill>
      <alignment horizontal="center" vertical="center" textRotation="0" wrapText="0" indent="0" justifyLastLine="0" shrinkToFit="0"/>
    </dxf>
    <dxf>
      <border diagonalUp="0" diagonalDown="0">
        <left/>
        <right/>
        <top/>
        <bottom/>
      </border>
    </dxf>
    <dxf>
      <fill>
        <patternFill patternType="none"/>
      </fill>
      <alignment horizontal="center" vertical="center" textRotation="0" wrapText="0" indent="0" justifyLastLine="0" shrinkToFit="0"/>
    </dxf>
    <dxf>
      <font>
        <b/>
        <i val="0"/>
        <strike val="0"/>
        <condense val="0"/>
        <extend val="0"/>
        <outline val="0"/>
        <shadow val="0"/>
        <u val="none"/>
        <vertAlign val="baseline"/>
        <sz val="11"/>
        <color theme="0"/>
        <name val="Comic Sans MS"/>
        <scheme val="none"/>
      </font>
      <fill>
        <patternFill patternType="none">
          <fgColor theme="4"/>
          <bgColor theme="4"/>
        </patternFill>
      </fill>
      <alignment horizontal="center" vertical="center" textRotation="0" wrapText="0" indent="0" justifyLastLine="0" shrinkToFit="0" readingOrder="0"/>
    </dxf>
    <dxf>
      <font>
        <b val="0"/>
        <i val="0"/>
        <strike val="0"/>
        <condense val="0"/>
        <extend val="0"/>
        <outline val="0"/>
        <shadow val="0"/>
        <u val="none"/>
        <vertAlign val="baseline"/>
        <sz val="11"/>
        <color theme="1"/>
        <name val="Comic Sans MS"/>
        <scheme val="none"/>
      </font>
      <numFmt numFmtId="14" formatCode="0.00%"/>
      <fill>
        <patternFill patternType="none">
          <fgColor indexed="64"/>
          <bgColor indexed="65"/>
        </patternFill>
      </fill>
      <alignment horizontal="center" vertical="center" textRotation="0" wrapText="0" indent="0" justifyLastLine="0" shrinkToFit="0"/>
      <border diagonalUp="0" diagonalDown="0" outline="0">
        <left style="thin">
          <color auto="1"/>
        </left>
        <right/>
        <top style="thin">
          <color auto="1"/>
        </top>
        <bottom style="thin">
          <color auto="1"/>
        </bottom>
      </border>
    </dxf>
    <dxf>
      <font>
        <b val="0"/>
        <i val="0"/>
        <strike val="0"/>
        <condense val="0"/>
        <extend val="0"/>
        <outline val="0"/>
        <shadow val="0"/>
        <u val="none"/>
        <vertAlign val="baseline"/>
        <sz val="11"/>
        <color theme="1"/>
        <name val="Comic Sans MS"/>
        <scheme val="none"/>
      </font>
      <numFmt numFmtId="14" formatCode="0.00%"/>
      <fill>
        <patternFill patternType="none">
          <fgColor indexed="64"/>
          <bgColor indexed="65"/>
        </patternFill>
      </fill>
      <alignment horizontal="center" vertical="center" textRotation="0" wrapText="0" indent="0" justifyLastLine="0" shrinkToFit="0"/>
      <border diagonalUp="0" diagonalDown="0" outline="0">
        <left style="thin">
          <color auto="1"/>
        </left>
        <right style="thin">
          <color auto="1"/>
        </right>
        <top style="thin">
          <color auto="1"/>
        </top>
        <bottom style="thin">
          <color auto="1"/>
        </bottom>
      </border>
    </dxf>
    <dxf>
      <font>
        <strike val="0"/>
        <outline val="0"/>
        <shadow val="0"/>
        <u val="none"/>
        <vertAlign val="baseline"/>
        <sz val="11"/>
        <name val="Comic Sans MS"/>
        <scheme val="none"/>
      </font>
      <fill>
        <patternFill patternType="none">
          <fgColor indexed="64"/>
          <bgColor indexed="65"/>
        </patternFill>
      </fill>
      <alignment horizontal="center" vertical="center" textRotation="0" wrapText="0" indent="0" justifyLastLine="0" shrinkToFit="0"/>
      <border diagonalUp="0" diagonalDown="0" outline="0">
        <left/>
        <right style="thin">
          <color auto="1"/>
        </right>
        <top style="thin">
          <color auto="1"/>
        </top>
        <bottom style="thin">
          <color auto="1"/>
        </bottom>
      </border>
    </dxf>
    <dxf>
      <border>
        <top style="thin">
          <color auto="1"/>
        </top>
      </border>
    </dxf>
    <dxf>
      <border diagonalUp="0" diagonalDown="0">
        <left style="medium">
          <color indexed="64"/>
        </left>
        <right style="medium">
          <color indexed="64"/>
        </right>
        <top style="medium">
          <color indexed="64"/>
        </top>
        <bottom style="medium">
          <color indexed="64"/>
        </bottom>
      </border>
    </dxf>
    <dxf>
      <font>
        <strike val="0"/>
        <outline val="0"/>
        <shadow val="0"/>
        <u val="none"/>
        <vertAlign val="baseline"/>
        <sz val="11"/>
        <name val="Comic Sans MS"/>
        <scheme val="none"/>
      </font>
      <fill>
        <patternFill patternType="none">
          <fgColor indexed="64"/>
          <bgColor indexed="65"/>
        </patternFill>
      </fill>
      <alignment horizontal="center" vertical="center" textRotation="0" wrapText="0" indent="0" justifyLastLine="0" shrinkToFit="0"/>
    </dxf>
    <dxf>
      <border>
        <bottom style="thin">
          <color auto="1"/>
        </bottom>
      </border>
    </dxf>
    <dxf>
      <font>
        <strike val="0"/>
        <outline val="0"/>
        <shadow val="0"/>
        <u val="none"/>
        <vertAlign val="baseline"/>
        <sz val="11"/>
        <name val="Comic Sans MS"/>
        <scheme val="none"/>
      </font>
      <fill>
        <patternFill patternType="none">
          <fgColor indexed="64"/>
          <bgColor indexed="65"/>
        </patternFill>
      </fill>
      <alignment horizontal="center" vertical="center" textRotation="0" wrapText="0" indent="0" justifyLastLine="0" shrinkToFit="0"/>
      <border diagonalUp="0" diagonalDown="0" outline="0">
        <left style="thin">
          <color auto="1"/>
        </left>
        <right style="thin">
          <color auto="1"/>
        </right>
        <top/>
        <bottom/>
      </border>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microsoft.com/office/2006/relationships/vbaProject" Target="vbaProject.bin"/><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ctrlProps/ctrlProp1.xml><?xml version="1.0" encoding="utf-8"?>
<formControlPr xmlns="http://schemas.microsoft.com/office/spreadsheetml/2009/9/main" objectType="Button" lockText="1"/>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_rels/drawing2.xml.rels><?xml version="1.0" encoding="UTF-8" standalone="yes"?>
<Relationships xmlns="http://schemas.openxmlformats.org/package/2006/relationships"><Relationship Id="rId2" Type="http://schemas.openxmlformats.org/officeDocument/2006/relationships/image" Target="../media/image3.png"/><Relationship Id="rId1" Type="http://schemas.openxmlformats.org/officeDocument/2006/relationships/image" Target="../media/image2.png"/></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0</xdr:row>
      <xdr:rowOff>0</xdr:rowOff>
    </xdr:from>
    <xdr:to>
      <xdr:col>9</xdr:col>
      <xdr:colOff>558800</xdr:colOff>
      <xdr:row>35</xdr:row>
      <xdr:rowOff>29747</xdr:rowOff>
    </xdr:to>
    <xdr:pic macro="[0]!Feuil1.macro">
      <xdr:nvPicPr>
        <xdr:cNvPr id="2" name="Image 1"/>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0" y="0"/>
          <a:ext cx="7988300" cy="6252747"/>
        </a:xfrm>
        <a:prstGeom prst="rect">
          <a:avLst/>
        </a:prstGeom>
      </xdr:spPr>
    </xdr:pic>
    <xdr:clientData/>
  </xdr:twoCellAnchor>
  <xdr:twoCellAnchor>
    <xdr:from>
      <xdr:col>11</xdr:col>
      <xdr:colOff>381000</xdr:colOff>
      <xdr:row>14</xdr:row>
      <xdr:rowOff>95250</xdr:rowOff>
    </xdr:from>
    <xdr:to>
      <xdr:col>22</xdr:col>
      <xdr:colOff>95250</xdr:colOff>
      <xdr:row>24</xdr:row>
      <xdr:rowOff>114300</xdr:rowOff>
    </xdr:to>
    <xdr:sp macro="" textlink="">
      <xdr:nvSpPr>
        <xdr:cNvPr id="3" name="ZoneTexte 2"/>
        <xdr:cNvSpPr txBox="1"/>
      </xdr:nvSpPr>
      <xdr:spPr>
        <a:xfrm>
          <a:off x="8343900" y="2762250"/>
          <a:ext cx="7677150" cy="19240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Bonjour,</a:t>
          </a:r>
          <a:br>
            <a:rPr lang="fr-FR"/>
          </a:br>
          <a:r>
            <a:rPr lang="fr-FR"/>
            <a:t/>
          </a:r>
          <a:br>
            <a:rPr lang="fr-FR"/>
          </a:br>
          <a:r>
            <a:rPr lang="fr-FR"/>
            <a:t>Je n'arrive pas à reprendre les valeurs en pourcentage de la feuille Variables dans ma Userform. Ma formule reprend la valeur mais pas en format pourcentage et quand je valide il me recopie rien. Pour accéder à la Userform il faut cliquer sur l'image.</a:t>
          </a:r>
          <a:br>
            <a:rPr lang="fr-FR"/>
          </a:br>
          <a:r>
            <a:rPr lang="fr-FR"/>
            <a:t/>
          </a:r>
          <a:br>
            <a:rPr lang="fr-FR"/>
          </a:br>
          <a:r>
            <a:rPr lang="fr-FR"/>
            <a:t>Merci d'avance.</a:t>
          </a:r>
          <a:endParaRPr lang="fr-FR" sz="1100"/>
        </a:p>
      </xdr:txBody>
    </xdr:sp>
    <xdr:clientData/>
  </xdr:twoCellAnchor>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2</xdr:col>
          <xdr:colOff>257175</xdr:colOff>
          <xdr:row>0</xdr:row>
          <xdr:rowOff>152400</xdr:rowOff>
        </xdr:from>
        <xdr:to>
          <xdr:col>3</xdr:col>
          <xdr:colOff>371475</xdr:colOff>
          <xdr:row>2</xdr:row>
          <xdr:rowOff>123825</xdr:rowOff>
        </xdr:to>
        <xdr:sp macro="" textlink="">
          <xdr:nvSpPr>
            <xdr:cNvPr id="2051" name="Button 3" hidden="1">
              <a:extLst>
                <a:ext uri="{63B3BB69-23CF-44E3-9099-C40C66FF867C}">
                  <a14:compatExt spid="_x0000_s2051"/>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Chercher</a:t>
              </a:r>
            </a:p>
          </xdr:txBody>
        </xdr:sp>
        <xdr:clientData fPrintsWithSheet="0"/>
      </xdr:twoCellAnchor>
    </mc:Choice>
    <mc:Fallback/>
  </mc:AlternateContent>
  <xdr:twoCellAnchor editAs="oneCell">
    <xdr:from>
      <xdr:col>7</xdr:col>
      <xdr:colOff>0</xdr:colOff>
      <xdr:row>50</xdr:row>
      <xdr:rowOff>241300</xdr:rowOff>
    </xdr:from>
    <xdr:to>
      <xdr:col>7</xdr:col>
      <xdr:colOff>304800</xdr:colOff>
      <xdr:row>52</xdr:row>
      <xdr:rowOff>38100</xdr:rowOff>
    </xdr:to>
    <xdr:pic macro="[0]!fleche">
      <xdr:nvPicPr>
        <xdr:cNvPr id="2" name="Image 1" descr="setas_2545_Fleche_Haut_2.png"/>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8674100" y="13347700"/>
          <a:ext cx="304800" cy="304800"/>
        </a:xfrm>
        <a:prstGeom prst="rect">
          <a:avLst/>
        </a:prstGeom>
      </xdr:spPr>
    </xdr:pic>
    <xdr:clientData/>
  </xdr:twoCellAnchor>
  <xdr:twoCellAnchor editAs="oneCell">
    <xdr:from>
      <xdr:col>7</xdr:col>
      <xdr:colOff>25400</xdr:colOff>
      <xdr:row>25</xdr:row>
      <xdr:rowOff>12700</xdr:rowOff>
    </xdr:from>
    <xdr:to>
      <xdr:col>7</xdr:col>
      <xdr:colOff>292100</xdr:colOff>
      <xdr:row>26</xdr:row>
      <xdr:rowOff>25400</xdr:rowOff>
    </xdr:to>
    <xdr:pic macro="[0]!Valider">
      <xdr:nvPicPr>
        <xdr:cNvPr id="3" name="Image 2" descr="17679-RobinO-Valider.png"/>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8699500" y="6578600"/>
          <a:ext cx="266700" cy="266700"/>
        </a:xfrm>
        <a:prstGeom prst="rect">
          <a:avLst/>
        </a:prstGeom>
      </xdr:spPr>
    </xdr:pic>
    <xdr:clientData/>
  </xdr:twoCellAnchor>
  <xdr:twoCellAnchor editAs="oneCell">
    <xdr:from>
      <xdr:col>7</xdr:col>
      <xdr:colOff>317500</xdr:colOff>
      <xdr:row>51</xdr:row>
      <xdr:rowOff>0</xdr:rowOff>
    </xdr:from>
    <xdr:to>
      <xdr:col>7</xdr:col>
      <xdr:colOff>596900</xdr:colOff>
      <xdr:row>52</xdr:row>
      <xdr:rowOff>25400</xdr:rowOff>
    </xdr:to>
    <xdr:pic macro="[0]!Valider">
      <xdr:nvPicPr>
        <xdr:cNvPr id="23" name="Image 22" descr="17679-RobinO-Valider.png"/>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8991600" y="13360400"/>
          <a:ext cx="279400" cy="279400"/>
        </a:xfrm>
        <a:prstGeom prst="rect">
          <a:avLst/>
        </a:prstGeom>
      </xdr:spPr>
    </xdr:pic>
    <xdr:clientData/>
  </xdr:twoCellAnchor>
  <xdr:twoCellAnchor editAs="oneCell">
    <xdr:from>
      <xdr:col>7</xdr:col>
      <xdr:colOff>0</xdr:colOff>
      <xdr:row>77</xdr:row>
      <xdr:rowOff>0</xdr:rowOff>
    </xdr:from>
    <xdr:to>
      <xdr:col>7</xdr:col>
      <xdr:colOff>304800</xdr:colOff>
      <xdr:row>78</xdr:row>
      <xdr:rowOff>50800</xdr:rowOff>
    </xdr:to>
    <xdr:pic macro="[0]!fleche">
      <xdr:nvPicPr>
        <xdr:cNvPr id="24" name="Image 23" descr="setas_2545_Fleche_Haut_2.png"/>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8674100" y="20154900"/>
          <a:ext cx="304800" cy="304800"/>
        </a:xfrm>
        <a:prstGeom prst="rect">
          <a:avLst/>
        </a:prstGeom>
      </xdr:spPr>
    </xdr:pic>
    <xdr:clientData/>
  </xdr:twoCellAnchor>
  <xdr:twoCellAnchor editAs="oneCell">
    <xdr:from>
      <xdr:col>7</xdr:col>
      <xdr:colOff>317500</xdr:colOff>
      <xdr:row>77</xdr:row>
      <xdr:rowOff>12700</xdr:rowOff>
    </xdr:from>
    <xdr:to>
      <xdr:col>7</xdr:col>
      <xdr:colOff>596900</xdr:colOff>
      <xdr:row>78</xdr:row>
      <xdr:rowOff>38100</xdr:rowOff>
    </xdr:to>
    <xdr:pic macro="[0]!Valider">
      <xdr:nvPicPr>
        <xdr:cNvPr id="25" name="Image 24" descr="17679-RobinO-Valider.png"/>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8991600" y="20167600"/>
          <a:ext cx="279400" cy="279400"/>
        </a:xfrm>
        <a:prstGeom prst="rect">
          <a:avLst/>
        </a:prstGeom>
      </xdr:spPr>
    </xdr:pic>
    <xdr:clientData/>
  </xdr:twoCellAnchor>
  <xdr:twoCellAnchor editAs="oneCell">
    <xdr:from>
      <xdr:col>7</xdr:col>
      <xdr:colOff>0</xdr:colOff>
      <xdr:row>103</xdr:row>
      <xdr:rowOff>0</xdr:rowOff>
    </xdr:from>
    <xdr:to>
      <xdr:col>7</xdr:col>
      <xdr:colOff>304800</xdr:colOff>
      <xdr:row>104</xdr:row>
      <xdr:rowOff>50800</xdr:rowOff>
    </xdr:to>
    <xdr:pic macro="[0]!fleche">
      <xdr:nvPicPr>
        <xdr:cNvPr id="26" name="Image 25" descr="setas_2545_Fleche_Haut_2.png"/>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8674100" y="26949400"/>
          <a:ext cx="304800" cy="304800"/>
        </a:xfrm>
        <a:prstGeom prst="rect">
          <a:avLst/>
        </a:prstGeom>
      </xdr:spPr>
    </xdr:pic>
    <xdr:clientData/>
  </xdr:twoCellAnchor>
  <xdr:twoCellAnchor editAs="oneCell">
    <xdr:from>
      <xdr:col>7</xdr:col>
      <xdr:colOff>317500</xdr:colOff>
      <xdr:row>103</xdr:row>
      <xdr:rowOff>12700</xdr:rowOff>
    </xdr:from>
    <xdr:to>
      <xdr:col>7</xdr:col>
      <xdr:colOff>596900</xdr:colOff>
      <xdr:row>104</xdr:row>
      <xdr:rowOff>38100</xdr:rowOff>
    </xdr:to>
    <xdr:pic macro="[0]!Valider">
      <xdr:nvPicPr>
        <xdr:cNvPr id="27" name="Image 26" descr="17679-RobinO-Valider.png"/>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8991600" y="26962100"/>
          <a:ext cx="279400" cy="279400"/>
        </a:xfrm>
        <a:prstGeom prst="rect">
          <a:avLst/>
        </a:prstGeom>
      </xdr:spPr>
    </xdr:pic>
    <xdr:clientData/>
  </xdr:twoCellAnchor>
  <xdr:twoCellAnchor editAs="oneCell">
    <xdr:from>
      <xdr:col>7</xdr:col>
      <xdr:colOff>0</xdr:colOff>
      <xdr:row>129</xdr:row>
      <xdr:rowOff>0</xdr:rowOff>
    </xdr:from>
    <xdr:to>
      <xdr:col>7</xdr:col>
      <xdr:colOff>304800</xdr:colOff>
      <xdr:row>130</xdr:row>
      <xdr:rowOff>50800</xdr:rowOff>
    </xdr:to>
    <xdr:pic macro="[0]!fleche">
      <xdr:nvPicPr>
        <xdr:cNvPr id="28" name="Image 27" descr="setas_2545_Fleche_Haut_2.png"/>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8674100" y="33743900"/>
          <a:ext cx="304800" cy="304800"/>
        </a:xfrm>
        <a:prstGeom prst="rect">
          <a:avLst/>
        </a:prstGeom>
      </xdr:spPr>
    </xdr:pic>
    <xdr:clientData/>
  </xdr:twoCellAnchor>
  <xdr:twoCellAnchor editAs="oneCell">
    <xdr:from>
      <xdr:col>7</xdr:col>
      <xdr:colOff>317500</xdr:colOff>
      <xdr:row>129</xdr:row>
      <xdr:rowOff>12700</xdr:rowOff>
    </xdr:from>
    <xdr:to>
      <xdr:col>7</xdr:col>
      <xdr:colOff>596900</xdr:colOff>
      <xdr:row>130</xdr:row>
      <xdr:rowOff>38100</xdr:rowOff>
    </xdr:to>
    <xdr:pic macro="[0]!Valider">
      <xdr:nvPicPr>
        <xdr:cNvPr id="29" name="Image 28" descr="17679-RobinO-Valider.png"/>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8991600" y="33756600"/>
          <a:ext cx="279400" cy="279400"/>
        </a:xfrm>
        <a:prstGeom prst="rect">
          <a:avLst/>
        </a:prstGeom>
      </xdr:spPr>
    </xdr:pic>
    <xdr:clientData/>
  </xdr:twoCellAnchor>
  <xdr:twoCellAnchor editAs="oneCell">
    <xdr:from>
      <xdr:col>7</xdr:col>
      <xdr:colOff>0</xdr:colOff>
      <xdr:row>155</xdr:row>
      <xdr:rowOff>0</xdr:rowOff>
    </xdr:from>
    <xdr:to>
      <xdr:col>7</xdr:col>
      <xdr:colOff>304800</xdr:colOff>
      <xdr:row>156</xdr:row>
      <xdr:rowOff>50800</xdr:rowOff>
    </xdr:to>
    <xdr:pic macro="[0]!fleche">
      <xdr:nvPicPr>
        <xdr:cNvPr id="30" name="Image 29" descr="setas_2545_Fleche_Haut_2.png"/>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8674100" y="40538400"/>
          <a:ext cx="304800" cy="304800"/>
        </a:xfrm>
        <a:prstGeom prst="rect">
          <a:avLst/>
        </a:prstGeom>
      </xdr:spPr>
    </xdr:pic>
    <xdr:clientData/>
  </xdr:twoCellAnchor>
  <xdr:twoCellAnchor editAs="oneCell">
    <xdr:from>
      <xdr:col>7</xdr:col>
      <xdr:colOff>317500</xdr:colOff>
      <xdr:row>155</xdr:row>
      <xdr:rowOff>12700</xdr:rowOff>
    </xdr:from>
    <xdr:to>
      <xdr:col>7</xdr:col>
      <xdr:colOff>596900</xdr:colOff>
      <xdr:row>156</xdr:row>
      <xdr:rowOff>38100</xdr:rowOff>
    </xdr:to>
    <xdr:pic macro="[0]!Valider">
      <xdr:nvPicPr>
        <xdr:cNvPr id="31" name="Image 30" descr="17679-RobinO-Valider.png"/>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8991600" y="40551100"/>
          <a:ext cx="279400" cy="279400"/>
        </a:xfrm>
        <a:prstGeom prst="rect">
          <a:avLst/>
        </a:prstGeom>
      </xdr:spPr>
    </xdr:pic>
    <xdr:clientData/>
  </xdr:twoCellAnchor>
  <xdr:twoCellAnchor editAs="oneCell">
    <xdr:from>
      <xdr:col>7</xdr:col>
      <xdr:colOff>0</xdr:colOff>
      <xdr:row>181</xdr:row>
      <xdr:rowOff>0</xdr:rowOff>
    </xdr:from>
    <xdr:to>
      <xdr:col>7</xdr:col>
      <xdr:colOff>304800</xdr:colOff>
      <xdr:row>182</xdr:row>
      <xdr:rowOff>50800</xdr:rowOff>
    </xdr:to>
    <xdr:pic macro="[0]!fleche">
      <xdr:nvPicPr>
        <xdr:cNvPr id="32" name="Image 31" descr="setas_2545_Fleche_Haut_2.png"/>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8674100" y="47332900"/>
          <a:ext cx="304800" cy="304800"/>
        </a:xfrm>
        <a:prstGeom prst="rect">
          <a:avLst/>
        </a:prstGeom>
      </xdr:spPr>
    </xdr:pic>
    <xdr:clientData/>
  </xdr:twoCellAnchor>
  <xdr:twoCellAnchor editAs="oneCell">
    <xdr:from>
      <xdr:col>7</xdr:col>
      <xdr:colOff>317500</xdr:colOff>
      <xdr:row>181</xdr:row>
      <xdr:rowOff>12700</xdr:rowOff>
    </xdr:from>
    <xdr:to>
      <xdr:col>7</xdr:col>
      <xdr:colOff>596900</xdr:colOff>
      <xdr:row>182</xdr:row>
      <xdr:rowOff>38100</xdr:rowOff>
    </xdr:to>
    <xdr:pic macro="[0]!Valider">
      <xdr:nvPicPr>
        <xdr:cNvPr id="33" name="Image 32" descr="17679-RobinO-Valider.png"/>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8991600" y="47345600"/>
          <a:ext cx="279400" cy="279400"/>
        </a:xfrm>
        <a:prstGeom prst="rect">
          <a:avLst/>
        </a:prstGeom>
      </xdr:spPr>
    </xdr:pic>
    <xdr:clientData/>
  </xdr:twoCellAnchor>
  <xdr:twoCellAnchor editAs="oneCell">
    <xdr:from>
      <xdr:col>7</xdr:col>
      <xdr:colOff>0</xdr:colOff>
      <xdr:row>207</xdr:row>
      <xdr:rowOff>0</xdr:rowOff>
    </xdr:from>
    <xdr:to>
      <xdr:col>7</xdr:col>
      <xdr:colOff>304800</xdr:colOff>
      <xdr:row>208</xdr:row>
      <xdr:rowOff>50800</xdr:rowOff>
    </xdr:to>
    <xdr:pic macro="[0]!fleche">
      <xdr:nvPicPr>
        <xdr:cNvPr id="34" name="Image 33" descr="setas_2545_Fleche_Haut_2.png"/>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8674100" y="54127400"/>
          <a:ext cx="304800" cy="304800"/>
        </a:xfrm>
        <a:prstGeom prst="rect">
          <a:avLst/>
        </a:prstGeom>
      </xdr:spPr>
    </xdr:pic>
    <xdr:clientData/>
  </xdr:twoCellAnchor>
  <xdr:twoCellAnchor editAs="oneCell">
    <xdr:from>
      <xdr:col>7</xdr:col>
      <xdr:colOff>317500</xdr:colOff>
      <xdr:row>207</xdr:row>
      <xdr:rowOff>12700</xdr:rowOff>
    </xdr:from>
    <xdr:to>
      <xdr:col>7</xdr:col>
      <xdr:colOff>596900</xdr:colOff>
      <xdr:row>208</xdr:row>
      <xdr:rowOff>38100</xdr:rowOff>
    </xdr:to>
    <xdr:pic macro="[0]!Valider">
      <xdr:nvPicPr>
        <xdr:cNvPr id="35" name="Image 34" descr="17679-RobinO-Valider.png"/>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8991600" y="54140100"/>
          <a:ext cx="279400" cy="279400"/>
        </a:xfrm>
        <a:prstGeom prst="rect">
          <a:avLst/>
        </a:prstGeom>
      </xdr:spPr>
    </xdr:pic>
    <xdr:clientData/>
  </xdr:twoCellAnchor>
  <xdr:twoCellAnchor editAs="oneCell">
    <xdr:from>
      <xdr:col>7</xdr:col>
      <xdr:colOff>0</xdr:colOff>
      <xdr:row>234</xdr:row>
      <xdr:rowOff>0</xdr:rowOff>
    </xdr:from>
    <xdr:to>
      <xdr:col>7</xdr:col>
      <xdr:colOff>304800</xdr:colOff>
      <xdr:row>235</xdr:row>
      <xdr:rowOff>50800</xdr:rowOff>
    </xdr:to>
    <xdr:pic macro="[0]!fleche">
      <xdr:nvPicPr>
        <xdr:cNvPr id="36" name="Image 35" descr="setas_2545_Fleche_Haut_2.png"/>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8674100" y="61175900"/>
          <a:ext cx="304800" cy="304800"/>
        </a:xfrm>
        <a:prstGeom prst="rect">
          <a:avLst/>
        </a:prstGeom>
      </xdr:spPr>
    </xdr:pic>
    <xdr:clientData/>
  </xdr:twoCellAnchor>
  <xdr:twoCellAnchor editAs="oneCell">
    <xdr:from>
      <xdr:col>7</xdr:col>
      <xdr:colOff>317500</xdr:colOff>
      <xdr:row>234</xdr:row>
      <xdr:rowOff>12700</xdr:rowOff>
    </xdr:from>
    <xdr:to>
      <xdr:col>7</xdr:col>
      <xdr:colOff>596900</xdr:colOff>
      <xdr:row>235</xdr:row>
      <xdr:rowOff>38100</xdr:rowOff>
    </xdr:to>
    <xdr:pic macro="[0]!Valider">
      <xdr:nvPicPr>
        <xdr:cNvPr id="37" name="Image 36" descr="17679-RobinO-Valider.png"/>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8991600" y="61188600"/>
          <a:ext cx="279400" cy="279400"/>
        </a:xfrm>
        <a:prstGeom prst="rect">
          <a:avLst/>
        </a:prstGeom>
      </xdr:spPr>
    </xdr:pic>
    <xdr:clientData/>
  </xdr:twoCellAnchor>
  <xdr:twoCellAnchor editAs="oneCell">
    <xdr:from>
      <xdr:col>7</xdr:col>
      <xdr:colOff>0</xdr:colOff>
      <xdr:row>260</xdr:row>
      <xdr:rowOff>0</xdr:rowOff>
    </xdr:from>
    <xdr:to>
      <xdr:col>7</xdr:col>
      <xdr:colOff>304800</xdr:colOff>
      <xdr:row>261</xdr:row>
      <xdr:rowOff>50800</xdr:rowOff>
    </xdr:to>
    <xdr:pic macro="[0]!fleche">
      <xdr:nvPicPr>
        <xdr:cNvPr id="38" name="Image 37" descr="setas_2545_Fleche_Haut_2.png"/>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8674100" y="67970400"/>
          <a:ext cx="304800" cy="304800"/>
        </a:xfrm>
        <a:prstGeom prst="rect">
          <a:avLst/>
        </a:prstGeom>
      </xdr:spPr>
    </xdr:pic>
    <xdr:clientData/>
  </xdr:twoCellAnchor>
  <xdr:twoCellAnchor editAs="oneCell">
    <xdr:from>
      <xdr:col>7</xdr:col>
      <xdr:colOff>317500</xdr:colOff>
      <xdr:row>260</xdr:row>
      <xdr:rowOff>12700</xdr:rowOff>
    </xdr:from>
    <xdr:to>
      <xdr:col>7</xdr:col>
      <xdr:colOff>596900</xdr:colOff>
      <xdr:row>261</xdr:row>
      <xdr:rowOff>38100</xdr:rowOff>
    </xdr:to>
    <xdr:pic macro="[0]!Valider">
      <xdr:nvPicPr>
        <xdr:cNvPr id="39" name="Image 38" descr="17679-RobinO-Valider.png"/>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8991600" y="67983100"/>
          <a:ext cx="279400" cy="279400"/>
        </a:xfrm>
        <a:prstGeom prst="rect">
          <a:avLst/>
        </a:prstGeom>
      </xdr:spPr>
    </xdr:pic>
    <xdr:clientData/>
  </xdr:twoCellAnchor>
  <xdr:twoCellAnchor editAs="oneCell">
    <xdr:from>
      <xdr:col>7</xdr:col>
      <xdr:colOff>0</xdr:colOff>
      <xdr:row>286</xdr:row>
      <xdr:rowOff>0</xdr:rowOff>
    </xdr:from>
    <xdr:to>
      <xdr:col>7</xdr:col>
      <xdr:colOff>304800</xdr:colOff>
      <xdr:row>287</xdr:row>
      <xdr:rowOff>50800</xdr:rowOff>
    </xdr:to>
    <xdr:pic macro="[0]!fleche">
      <xdr:nvPicPr>
        <xdr:cNvPr id="42" name="Image 41" descr="setas_2545_Fleche_Haut_2.png"/>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8674100" y="74764900"/>
          <a:ext cx="304800" cy="304800"/>
        </a:xfrm>
        <a:prstGeom prst="rect">
          <a:avLst/>
        </a:prstGeom>
      </xdr:spPr>
    </xdr:pic>
    <xdr:clientData/>
  </xdr:twoCellAnchor>
  <xdr:twoCellAnchor editAs="oneCell">
    <xdr:from>
      <xdr:col>7</xdr:col>
      <xdr:colOff>317500</xdr:colOff>
      <xdr:row>286</xdr:row>
      <xdr:rowOff>12700</xdr:rowOff>
    </xdr:from>
    <xdr:to>
      <xdr:col>7</xdr:col>
      <xdr:colOff>596900</xdr:colOff>
      <xdr:row>287</xdr:row>
      <xdr:rowOff>38100</xdr:rowOff>
    </xdr:to>
    <xdr:pic macro="[0]!Valider">
      <xdr:nvPicPr>
        <xdr:cNvPr id="43" name="Image 42" descr="17679-RobinO-Valider.png"/>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8991600" y="74777600"/>
          <a:ext cx="279400" cy="279400"/>
        </a:xfrm>
        <a:prstGeom prst="rect">
          <a:avLst/>
        </a:prstGeom>
      </xdr:spPr>
    </xdr:pic>
    <xdr:clientData/>
  </xdr:twoCellAnchor>
  <xdr:twoCellAnchor editAs="oneCell">
    <xdr:from>
      <xdr:col>7</xdr:col>
      <xdr:colOff>0</xdr:colOff>
      <xdr:row>312</xdr:row>
      <xdr:rowOff>0</xdr:rowOff>
    </xdr:from>
    <xdr:to>
      <xdr:col>7</xdr:col>
      <xdr:colOff>304800</xdr:colOff>
      <xdr:row>313</xdr:row>
      <xdr:rowOff>50800</xdr:rowOff>
    </xdr:to>
    <xdr:pic macro="[0]!fleche">
      <xdr:nvPicPr>
        <xdr:cNvPr id="44" name="Image 43" descr="setas_2545_Fleche_Haut_2.png"/>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8674100" y="81559400"/>
          <a:ext cx="304800" cy="304800"/>
        </a:xfrm>
        <a:prstGeom prst="rect">
          <a:avLst/>
        </a:prstGeom>
      </xdr:spPr>
    </xdr:pic>
    <xdr:clientData/>
  </xdr:twoCellAnchor>
  <xdr:twoCellAnchor editAs="oneCell">
    <xdr:from>
      <xdr:col>7</xdr:col>
      <xdr:colOff>317500</xdr:colOff>
      <xdr:row>312</xdr:row>
      <xdr:rowOff>12700</xdr:rowOff>
    </xdr:from>
    <xdr:to>
      <xdr:col>7</xdr:col>
      <xdr:colOff>596900</xdr:colOff>
      <xdr:row>313</xdr:row>
      <xdr:rowOff>38100</xdr:rowOff>
    </xdr:to>
    <xdr:pic macro="[0]!Valider">
      <xdr:nvPicPr>
        <xdr:cNvPr id="45" name="Image 44" descr="17679-RobinO-Valider.png"/>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8991600" y="81572100"/>
          <a:ext cx="279400" cy="279400"/>
        </a:xfrm>
        <a:prstGeom prst="rect">
          <a:avLst/>
        </a:prstGeom>
      </xdr:spPr>
    </xdr:pic>
    <xdr:clientData/>
  </xdr:twoCellAnchor>
  <xdr:twoCellAnchor editAs="oneCell">
    <xdr:from>
      <xdr:col>7</xdr:col>
      <xdr:colOff>0</xdr:colOff>
      <xdr:row>338</xdr:row>
      <xdr:rowOff>0</xdr:rowOff>
    </xdr:from>
    <xdr:to>
      <xdr:col>7</xdr:col>
      <xdr:colOff>304800</xdr:colOff>
      <xdr:row>339</xdr:row>
      <xdr:rowOff>50800</xdr:rowOff>
    </xdr:to>
    <xdr:pic macro="[0]!fleche">
      <xdr:nvPicPr>
        <xdr:cNvPr id="46" name="Image 45" descr="setas_2545_Fleche_Haut_2.png"/>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8674100" y="88353900"/>
          <a:ext cx="304800" cy="304800"/>
        </a:xfrm>
        <a:prstGeom prst="rect">
          <a:avLst/>
        </a:prstGeom>
      </xdr:spPr>
    </xdr:pic>
    <xdr:clientData/>
  </xdr:twoCellAnchor>
  <xdr:twoCellAnchor editAs="oneCell">
    <xdr:from>
      <xdr:col>7</xdr:col>
      <xdr:colOff>317500</xdr:colOff>
      <xdr:row>338</xdr:row>
      <xdr:rowOff>12700</xdr:rowOff>
    </xdr:from>
    <xdr:to>
      <xdr:col>7</xdr:col>
      <xdr:colOff>596900</xdr:colOff>
      <xdr:row>339</xdr:row>
      <xdr:rowOff>38100</xdr:rowOff>
    </xdr:to>
    <xdr:pic macro="[0]!Valider">
      <xdr:nvPicPr>
        <xdr:cNvPr id="47" name="Image 46" descr="17679-RobinO-Valider.png"/>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8991600" y="88366600"/>
          <a:ext cx="279400" cy="279400"/>
        </a:xfrm>
        <a:prstGeom prst="rect">
          <a:avLst/>
        </a:prstGeom>
      </xdr:spPr>
    </xdr:pic>
    <xdr:clientData/>
  </xdr:twoCellAnchor>
  <xdr:twoCellAnchor editAs="oneCell">
    <xdr:from>
      <xdr:col>7</xdr:col>
      <xdr:colOff>0</xdr:colOff>
      <xdr:row>364</xdr:row>
      <xdr:rowOff>0</xdr:rowOff>
    </xdr:from>
    <xdr:to>
      <xdr:col>7</xdr:col>
      <xdr:colOff>304800</xdr:colOff>
      <xdr:row>365</xdr:row>
      <xdr:rowOff>50800</xdr:rowOff>
    </xdr:to>
    <xdr:pic macro="[0]!fleche">
      <xdr:nvPicPr>
        <xdr:cNvPr id="48" name="Image 47" descr="setas_2545_Fleche_Haut_2.png"/>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8674100" y="95148400"/>
          <a:ext cx="304800" cy="304800"/>
        </a:xfrm>
        <a:prstGeom prst="rect">
          <a:avLst/>
        </a:prstGeom>
      </xdr:spPr>
    </xdr:pic>
    <xdr:clientData/>
  </xdr:twoCellAnchor>
  <xdr:twoCellAnchor editAs="oneCell">
    <xdr:from>
      <xdr:col>7</xdr:col>
      <xdr:colOff>317500</xdr:colOff>
      <xdr:row>364</xdr:row>
      <xdr:rowOff>12700</xdr:rowOff>
    </xdr:from>
    <xdr:to>
      <xdr:col>7</xdr:col>
      <xdr:colOff>596900</xdr:colOff>
      <xdr:row>365</xdr:row>
      <xdr:rowOff>38100</xdr:rowOff>
    </xdr:to>
    <xdr:pic macro="[0]!Valider">
      <xdr:nvPicPr>
        <xdr:cNvPr id="49" name="Image 48" descr="17679-RobinO-Valider.png"/>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8991600" y="95161100"/>
          <a:ext cx="279400" cy="279400"/>
        </a:xfrm>
        <a:prstGeom prst="rect">
          <a:avLst/>
        </a:prstGeom>
      </xdr:spPr>
    </xdr:pic>
    <xdr:clientData/>
  </xdr:twoCellAnchor>
  <xdr:twoCellAnchor editAs="oneCell">
    <xdr:from>
      <xdr:col>7</xdr:col>
      <xdr:colOff>0</xdr:colOff>
      <xdr:row>390</xdr:row>
      <xdr:rowOff>0</xdr:rowOff>
    </xdr:from>
    <xdr:to>
      <xdr:col>7</xdr:col>
      <xdr:colOff>304800</xdr:colOff>
      <xdr:row>391</xdr:row>
      <xdr:rowOff>50800</xdr:rowOff>
    </xdr:to>
    <xdr:pic macro="[0]!fleche">
      <xdr:nvPicPr>
        <xdr:cNvPr id="50" name="Image 49" descr="setas_2545_Fleche_Haut_2.png"/>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8674100" y="101942900"/>
          <a:ext cx="304800" cy="304800"/>
        </a:xfrm>
        <a:prstGeom prst="rect">
          <a:avLst/>
        </a:prstGeom>
      </xdr:spPr>
    </xdr:pic>
    <xdr:clientData/>
  </xdr:twoCellAnchor>
  <xdr:twoCellAnchor editAs="oneCell">
    <xdr:from>
      <xdr:col>7</xdr:col>
      <xdr:colOff>317500</xdr:colOff>
      <xdr:row>390</xdr:row>
      <xdr:rowOff>12700</xdr:rowOff>
    </xdr:from>
    <xdr:to>
      <xdr:col>7</xdr:col>
      <xdr:colOff>596900</xdr:colOff>
      <xdr:row>391</xdr:row>
      <xdr:rowOff>38100</xdr:rowOff>
    </xdr:to>
    <xdr:pic macro="[0]!Valider">
      <xdr:nvPicPr>
        <xdr:cNvPr id="51" name="Image 50" descr="17679-RobinO-Valider.png"/>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8991600" y="101955600"/>
          <a:ext cx="279400" cy="279400"/>
        </a:xfrm>
        <a:prstGeom prst="rect">
          <a:avLst/>
        </a:prstGeom>
      </xdr:spPr>
    </xdr:pic>
    <xdr:clientData/>
  </xdr:twoCellAnchor>
  <xdr:twoCellAnchor editAs="oneCell">
    <xdr:from>
      <xdr:col>7</xdr:col>
      <xdr:colOff>0</xdr:colOff>
      <xdr:row>416</xdr:row>
      <xdr:rowOff>0</xdr:rowOff>
    </xdr:from>
    <xdr:to>
      <xdr:col>7</xdr:col>
      <xdr:colOff>304800</xdr:colOff>
      <xdr:row>417</xdr:row>
      <xdr:rowOff>50800</xdr:rowOff>
    </xdr:to>
    <xdr:pic macro="[0]!fleche">
      <xdr:nvPicPr>
        <xdr:cNvPr id="52" name="Image 51" descr="setas_2545_Fleche_Haut_2.png"/>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8674100" y="108737400"/>
          <a:ext cx="304800" cy="304800"/>
        </a:xfrm>
        <a:prstGeom prst="rect">
          <a:avLst/>
        </a:prstGeom>
      </xdr:spPr>
    </xdr:pic>
    <xdr:clientData/>
  </xdr:twoCellAnchor>
  <xdr:twoCellAnchor editAs="oneCell">
    <xdr:from>
      <xdr:col>7</xdr:col>
      <xdr:colOff>317500</xdr:colOff>
      <xdr:row>416</xdr:row>
      <xdr:rowOff>12700</xdr:rowOff>
    </xdr:from>
    <xdr:to>
      <xdr:col>7</xdr:col>
      <xdr:colOff>596900</xdr:colOff>
      <xdr:row>417</xdr:row>
      <xdr:rowOff>38100</xdr:rowOff>
    </xdr:to>
    <xdr:pic macro="[0]!Valider">
      <xdr:nvPicPr>
        <xdr:cNvPr id="53" name="Image 52" descr="17679-RobinO-Valider.png"/>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8991600" y="108750100"/>
          <a:ext cx="279400" cy="279400"/>
        </a:xfrm>
        <a:prstGeom prst="rect">
          <a:avLst/>
        </a:prstGeom>
      </xdr:spPr>
    </xdr:pic>
    <xdr:clientData/>
  </xdr:twoCellAnchor>
  <xdr:twoCellAnchor editAs="oneCell">
    <xdr:from>
      <xdr:col>7</xdr:col>
      <xdr:colOff>0</xdr:colOff>
      <xdr:row>442</xdr:row>
      <xdr:rowOff>0</xdr:rowOff>
    </xdr:from>
    <xdr:to>
      <xdr:col>7</xdr:col>
      <xdr:colOff>304800</xdr:colOff>
      <xdr:row>443</xdr:row>
      <xdr:rowOff>50800</xdr:rowOff>
    </xdr:to>
    <xdr:pic macro="[0]!fleche">
      <xdr:nvPicPr>
        <xdr:cNvPr id="54" name="Image 53" descr="setas_2545_Fleche_Haut_2.png"/>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8674100" y="115531900"/>
          <a:ext cx="304800" cy="304800"/>
        </a:xfrm>
        <a:prstGeom prst="rect">
          <a:avLst/>
        </a:prstGeom>
      </xdr:spPr>
    </xdr:pic>
    <xdr:clientData/>
  </xdr:twoCellAnchor>
  <xdr:twoCellAnchor editAs="oneCell">
    <xdr:from>
      <xdr:col>7</xdr:col>
      <xdr:colOff>317500</xdr:colOff>
      <xdr:row>442</xdr:row>
      <xdr:rowOff>12700</xdr:rowOff>
    </xdr:from>
    <xdr:to>
      <xdr:col>7</xdr:col>
      <xdr:colOff>596900</xdr:colOff>
      <xdr:row>443</xdr:row>
      <xdr:rowOff>38100</xdr:rowOff>
    </xdr:to>
    <xdr:pic macro="[0]!Valider">
      <xdr:nvPicPr>
        <xdr:cNvPr id="55" name="Image 54" descr="17679-RobinO-Valider.png"/>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8991600" y="115544600"/>
          <a:ext cx="279400" cy="279400"/>
        </a:xfrm>
        <a:prstGeom prst="rect">
          <a:avLst/>
        </a:prstGeom>
      </xdr:spPr>
    </xdr:pic>
    <xdr:clientData/>
  </xdr:twoCellAnchor>
  <xdr:twoCellAnchor editAs="oneCell">
    <xdr:from>
      <xdr:col>7</xdr:col>
      <xdr:colOff>0</xdr:colOff>
      <xdr:row>468</xdr:row>
      <xdr:rowOff>0</xdr:rowOff>
    </xdr:from>
    <xdr:to>
      <xdr:col>7</xdr:col>
      <xdr:colOff>304800</xdr:colOff>
      <xdr:row>469</xdr:row>
      <xdr:rowOff>50800</xdr:rowOff>
    </xdr:to>
    <xdr:pic macro="[0]!fleche">
      <xdr:nvPicPr>
        <xdr:cNvPr id="56" name="Image 55" descr="setas_2545_Fleche_Haut_2.png"/>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8674100" y="122326400"/>
          <a:ext cx="304800" cy="304800"/>
        </a:xfrm>
        <a:prstGeom prst="rect">
          <a:avLst/>
        </a:prstGeom>
      </xdr:spPr>
    </xdr:pic>
    <xdr:clientData/>
  </xdr:twoCellAnchor>
  <xdr:twoCellAnchor editAs="oneCell">
    <xdr:from>
      <xdr:col>7</xdr:col>
      <xdr:colOff>317500</xdr:colOff>
      <xdr:row>468</xdr:row>
      <xdr:rowOff>12700</xdr:rowOff>
    </xdr:from>
    <xdr:to>
      <xdr:col>7</xdr:col>
      <xdr:colOff>596900</xdr:colOff>
      <xdr:row>469</xdr:row>
      <xdr:rowOff>38100</xdr:rowOff>
    </xdr:to>
    <xdr:pic macro="[0]!Valider">
      <xdr:nvPicPr>
        <xdr:cNvPr id="57" name="Image 56" descr="17679-RobinO-Valider.png"/>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8991600" y="122339100"/>
          <a:ext cx="279400" cy="279400"/>
        </a:xfrm>
        <a:prstGeom prst="rect">
          <a:avLst/>
        </a:prstGeom>
      </xdr:spPr>
    </xdr:pic>
    <xdr:clientData/>
  </xdr:twoCellAnchor>
  <xdr:twoCellAnchor editAs="oneCell">
    <xdr:from>
      <xdr:col>7</xdr:col>
      <xdr:colOff>0</xdr:colOff>
      <xdr:row>494</xdr:row>
      <xdr:rowOff>0</xdr:rowOff>
    </xdr:from>
    <xdr:to>
      <xdr:col>7</xdr:col>
      <xdr:colOff>304800</xdr:colOff>
      <xdr:row>495</xdr:row>
      <xdr:rowOff>50800</xdr:rowOff>
    </xdr:to>
    <xdr:pic macro="[0]!fleche">
      <xdr:nvPicPr>
        <xdr:cNvPr id="58" name="Image 57" descr="setas_2545_Fleche_Haut_2.png"/>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8674100" y="129120900"/>
          <a:ext cx="304800" cy="304800"/>
        </a:xfrm>
        <a:prstGeom prst="rect">
          <a:avLst/>
        </a:prstGeom>
      </xdr:spPr>
    </xdr:pic>
    <xdr:clientData/>
  </xdr:twoCellAnchor>
  <xdr:twoCellAnchor editAs="oneCell">
    <xdr:from>
      <xdr:col>7</xdr:col>
      <xdr:colOff>317500</xdr:colOff>
      <xdr:row>494</xdr:row>
      <xdr:rowOff>12700</xdr:rowOff>
    </xdr:from>
    <xdr:to>
      <xdr:col>7</xdr:col>
      <xdr:colOff>596900</xdr:colOff>
      <xdr:row>495</xdr:row>
      <xdr:rowOff>38100</xdr:rowOff>
    </xdr:to>
    <xdr:pic macro="[0]!Valider">
      <xdr:nvPicPr>
        <xdr:cNvPr id="59" name="Image 58" descr="17679-RobinO-Valider.png"/>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8991600" y="129133600"/>
          <a:ext cx="279400" cy="279400"/>
        </a:xfrm>
        <a:prstGeom prst="rect">
          <a:avLst/>
        </a:prstGeom>
      </xdr:spPr>
    </xdr:pic>
    <xdr:clientData/>
  </xdr:twoCellAnchor>
  <xdr:twoCellAnchor editAs="oneCell">
    <xdr:from>
      <xdr:col>7</xdr:col>
      <xdr:colOff>0</xdr:colOff>
      <xdr:row>520</xdr:row>
      <xdr:rowOff>0</xdr:rowOff>
    </xdr:from>
    <xdr:to>
      <xdr:col>7</xdr:col>
      <xdr:colOff>304800</xdr:colOff>
      <xdr:row>521</xdr:row>
      <xdr:rowOff>50800</xdr:rowOff>
    </xdr:to>
    <xdr:pic macro="[0]!fleche">
      <xdr:nvPicPr>
        <xdr:cNvPr id="60" name="Image 59" descr="setas_2545_Fleche_Haut_2.png"/>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8674100" y="135915400"/>
          <a:ext cx="304800" cy="304800"/>
        </a:xfrm>
        <a:prstGeom prst="rect">
          <a:avLst/>
        </a:prstGeom>
      </xdr:spPr>
    </xdr:pic>
    <xdr:clientData/>
  </xdr:twoCellAnchor>
  <xdr:twoCellAnchor editAs="oneCell">
    <xdr:from>
      <xdr:col>7</xdr:col>
      <xdr:colOff>317500</xdr:colOff>
      <xdr:row>520</xdr:row>
      <xdr:rowOff>12700</xdr:rowOff>
    </xdr:from>
    <xdr:to>
      <xdr:col>7</xdr:col>
      <xdr:colOff>596900</xdr:colOff>
      <xdr:row>521</xdr:row>
      <xdr:rowOff>38100</xdr:rowOff>
    </xdr:to>
    <xdr:pic macro="[0]!Valider">
      <xdr:nvPicPr>
        <xdr:cNvPr id="61" name="Image 60" descr="17679-RobinO-Valider.png"/>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8991600" y="135928100"/>
          <a:ext cx="279400" cy="279400"/>
        </a:xfrm>
        <a:prstGeom prst="rect">
          <a:avLst/>
        </a:prstGeom>
      </xdr:spPr>
    </xdr:pic>
    <xdr:clientData/>
  </xdr:twoCellAnchor>
</xdr:wsDr>
</file>

<file path=xl/tables/table1.xml><?xml version="1.0" encoding="utf-8"?>
<table xmlns="http://schemas.openxmlformats.org/spreadsheetml/2006/main" id="5" name="Tableau5" displayName="Tableau5" ref="E19:G20" totalsRowShown="0" headerRowDxfId="336" dataDxfId="334" headerRowBorderDxfId="335" tableBorderDxfId="333" totalsRowBorderDxfId="332">
  <tableColumns count="3">
    <tableColumn id="1" name="Année" dataDxfId="331"/>
    <tableColumn id="2" name="2012" dataDxfId="330" dataCellStyle="Pourcentage"/>
    <tableColumn id="3" name="2013" dataDxfId="329" dataCellStyle="Pourcentage"/>
  </tableColumns>
  <tableStyleInfo showFirstColumn="0" showLastColumn="0" showRowStripes="1" showColumnStripes="0"/>
</table>
</file>

<file path=xl/tables/table2.xml><?xml version="1.0" encoding="utf-8"?>
<table xmlns="http://schemas.openxmlformats.org/spreadsheetml/2006/main" id="2" name="Table2" displayName="Table2" ref="E7:F15" totalsRowShown="0" headerRowDxfId="328" dataDxfId="327" tableBorderDxfId="326">
  <tableColumns count="2">
    <tableColumn id="1" name="Données" dataDxfId="325"/>
    <tableColumn id="2" name="Valeurs" dataDxfId="324"/>
  </tableColumns>
  <tableStyleInfo name="TableStyleMedium13" showFirstColumn="0" showLastColumn="0" showRowStripes="1" showColumnStripes="0"/>
</table>
</file>

<file path=xl/tables/table3.xml><?xml version="1.0" encoding="utf-8"?>
<table xmlns="http://schemas.openxmlformats.org/spreadsheetml/2006/main" id="1" name="Tableau1" displayName="Tableau1" ref="C6:L27" totalsRowCount="1" headerRowDxfId="323" dataDxfId="321" totalsRowDxfId="320" headerRowBorderDxfId="322">
  <tableColumns count="10">
    <tableColumn id="6" name="Années" totalsRowLabel="Total" dataDxfId="319" totalsRowDxfId="318"/>
    <tableColumn id="1" name="Années2" dataDxfId="317" totalsRowDxfId="316"/>
    <tableColumn id="2" name="Capital" dataDxfId="315" totalsRowDxfId="314"/>
    <tableColumn id="3" name="Versements annuels" totalsRowFunction="sum" dataDxfId="313" totalsRowDxfId="312">
      <calculatedColumnFormula>IF(D7="","",IF(D7&lt;=Variables!$F$10,Variables!$F$9,""))</calculatedColumnFormula>
    </tableColumn>
    <tableColumn id="4" name="Frais de versement" totalsRowFunction="sum" dataDxfId="311" totalsRowDxfId="310">
      <calculatedColumnFormula>IF(D7="","",(Tableau1[[#This Row],[Versements annuels]]*Variables!$F$12)+Tableau4[[#Totals],[Frais de versement]])</calculatedColumnFormula>
    </tableColumn>
    <tableColumn id="5" name="Versements complémentaires libres autorisés" totalsRowFunction="sum" dataDxfId="309" totalsRowDxfId="308" dataCellStyle="Pourcentage">
      <calculatedColumnFormula>IF(Tableau1[[#This Row],[Années2]]="","",Tableau4[[#Totals],[Versement]])</calculatedColumnFormula>
    </tableColumn>
    <tableColumn id="7" name="Taux de rémunération" dataDxfId="307" totalsRowDxfId="306" dataCellStyle="Pourcentage">
      <calculatedColumnFormula>IF(AND(Variables!$F$20="",Variables!$G$20=""),"",IF(D7="","",IF(Variables!$F$13*AVERAGE(I6,Variables!$G$20)&gt;1.05%,Variables!$F$13*AVERAGE(I6,Variables!$G$20),1.05%)))</calculatedColumnFormula>
    </tableColumn>
    <tableColumn id="10" name="Interet" totalsRowFunction="sum" dataDxfId="305" totalsRowDxfId="304" dataCellStyle="Pourcentage">
      <calculatedColumnFormula>IF(D7="","",Tableau4[[#Totals],[Interet]]+((Tableau1[[#This Row],[Capital]]+Tableau1[[#This Row],[Versements annuels]]+Tableau1[[#This Row],[Versements complémentaires libres autorisés]]))*(1+Tableau1[[#This Row],[Taux de rémunération]])-(Tableau1[[#This Row],[Capital]]+Tableau1[[#This Row],[Versements annuels]]+Tableau1[[#This Row],[Versements complémentaires libres autorisés]]))</calculatedColumnFormula>
    </tableColumn>
    <tableColumn id="8" name="Frais de gestion" totalsRowFunction="sum" dataDxfId="303" totalsRowDxfId="302">
      <calculatedColumnFormula>IF(Tableau1[[#This Row],[Années2]]="","",(Tableau1[[#This Row],[Capital]]+Tableau1[[#This Row],[Versements annuels]]+Tableau1[[#This Row],[Versements complémentaires libres autorisés]]+Tableau1[[#This Row],[Interet]]-Tableau1[[#This Row],[Frais de versement]])*Variables!$F$11)</calculatedColumnFormula>
    </tableColumn>
    <tableColumn id="9" name="Capitalisation" dataDxfId="301" totalsRowDxfId="300">
      <calculatedColumnFormula>IF(D7="","",Tableau1[[#This Row],[Capital]]+Tableau1[[#This Row],[Versements annuels]]+Tableau1[[#This Row],[Versements complémentaires libres autorisés]]+Tableau1[[#This Row],[Interet]]-Tableau1[[#This Row],[Frais de versement]]-Tableau1[[#This Row],[Frais de gestion]])</calculatedColumnFormula>
    </tableColumn>
  </tableColumns>
  <tableStyleInfo name="TableStyleMedium13" showFirstColumn="0" showLastColumn="0" showRowStripes="1" showColumnStripes="0"/>
</table>
</file>

<file path=xl/tables/table4.xml><?xml version="1.0" encoding="utf-8"?>
<table xmlns="http://schemas.openxmlformats.org/spreadsheetml/2006/main" id="4" name="Tableau4" displayName="Tableau4" ref="B8:G26" totalsRowCount="1" headerRowDxfId="299" dataDxfId="298" totalsRowDxfId="297">
  <tableColumns count="6">
    <tableColumn id="1" name="Date" dataDxfId="296" totalsRowDxfId="295"/>
    <tableColumn id="3" name="Quinzaine écoulée" dataDxfId="294" totalsRowDxfId="293">
      <calculatedColumnFormula>IF(Tableau4[[#This Row],[Date]]="","",INT(DAYS360(DATE(YEAR(B9),1,1),B9,TRUE)/15)+1)</calculatedColumnFormula>
    </tableColumn>
    <tableColumn id="4" name="Quinzaine" dataDxfId="292" totalsRowDxfId="291">
      <calculatedColumnFormula>IF(Tableau4[[#This Row],[Date]]="","",24-C9)</calculatedColumnFormula>
    </tableColumn>
    <tableColumn id="5" name="Versement" totalsRowFunction="custom" dataDxfId="290" totalsRowDxfId="289">
      <totalsRowFormula>SUM(Tableau4[Versement])</totalsRowFormula>
    </tableColumn>
    <tableColumn id="2" name="Frais de versement" totalsRowFunction="sum" dataDxfId="288" totalsRowDxfId="287">
      <calculatedColumnFormula>IF(Tableau4[[#This Row],[Date]]="","",Tableau4[[#This Row],[Versement]]*Variables!$F$12)</calculatedColumnFormula>
    </tableColumn>
    <tableColumn id="6" name="Interet" totalsRowFunction="custom" dataDxfId="286" totalsRowDxfId="285">
      <calculatedColumnFormula>IF(Tableau4[[#This Row],[Date]]="","",(E9*(1+($C$7)/24)^V.Complémentaires!D9)-E9)</calculatedColumnFormula>
      <totalsRowFormula>SUM(Tableau4[Interet])</totalsRowFormula>
    </tableColumn>
  </tableColumns>
  <tableStyleInfo name="TableStyleMedium13" showFirstColumn="0" showLastColumn="0" showRowStripes="1" showColumnStripes="0"/>
</table>
</file>

<file path=xl/tables/table5.xml><?xml version="1.0" encoding="utf-8"?>
<table xmlns="http://schemas.openxmlformats.org/spreadsheetml/2006/main" id="3" name="Tableau44" displayName="Tableau44" ref="B34:G52" totalsRowCount="1" headerRowDxfId="284" dataDxfId="283" totalsRowDxfId="282">
  <tableColumns count="6">
    <tableColumn id="1" name="Date" dataDxfId="281" totalsRowDxfId="280"/>
    <tableColumn id="3" name="Quinzaine écoulée" dataDxfId="279" totalsRowDxfId="278">
      <calculatedColumnFormula>IF(Tableau44[[#This Row],[Date]]="","",INT(DAYS360(DATE(YEAR(B35),1,1),B35,TRUE)/15)+1)</calculatedColumnFormula>
    </tableColumn>
    <tableColumn id="4" name="Quinzaine" dataDxfId="277" totalsRowDxfId="276">
      <calculatedColumnFormula>IF(Tableau44[[#This Row],[Date]]="","",24-C35)</calculatedColumnFormula>
    </tableColumn>
    <tableColumn id="5" name="Versement" totalsRowFunction="custom" dataDxfId="275" totalsRowDxfId="274">
      <totalsRowFormula>SUM(Tableau44[Versement])</totalsRowFormula>
    </tableColumn>
    <tableColumn id="2" name="Frais de versement" totalsRowFunction="sum" dataDxfId="273" totalsRowDxfId="272">
      <calculatedColumnFormula>IF(Tableau44[[#This Row],[Date]]="","",Tableau44[[#This Row],[Versement]]*Variables!$F$12)</calculatedColumnFormula>
    </tableColumn>
    <tableColumn id="6" name="Interet" totalsRowFunction="custom" dataDxfId="271" totalsRowDxfId="270">
      <calculatedColumnFormula>IF(Tableau44[[#This Row],[Date]]="","",(E35*(1+($C$33)/24)^V.Complémentaires!D35)-E35)</calculatedColumnFormula>
      <totalsRowFormula>SUM(Tableau44[Interet])</totalsRowFormula>
    </tableColumn>
  </tableColumns>
  <tableStyleInfo name="TableStyleMedium13" showFirstColumn="0" showLastColumn="0" showRowStripes="1" showColumnStripes="0"/>
</table>
</file>

<file path=xl/tables/table6.xml><?xml version="1.0" encoding="utf-8"?>
<table xmlns="http://schemas.openxmlformats.org/spreadsheetml/2006/main" id="6" name="Tableau447" displayName="Tableau447" ref="B60:G78" totalsRowCount="1" headerRowDxfId="269" dataDxfId="268" totalsRowDxfId="267">
  <tableColumns count="6">
    <tableColumn id="1" name="Date" dataDxfId="266" totalsRowDxfId="265"/>
    <tableColumn id="3" name="Quinzaine écoulée" dataDxfId="264" totalsRowDxfId="263">
      <calculatedColumnFormula>IF(Tableau447[[#This Row],[Date]]="","",INT(DAYS360(DATE(YEAR(B61),1,1),B61,TRUE)/15)+1)</calculatedColumnFormula>
    </tableColumn>
    <tableColumn id="4" name="Quinzaine" dataDxfId="262" totalsRowDxfId="261">
      <calculatedColumnFormula>IF(Tableau447[[#This Row],[Date]]="","",24-C61)</calculatedColumnFormula>
    </tableColumn>
    <tableColumn id="5" name="Versement" totalsRowFunction="custom" dataDxfId="260" totalsRowDxfId="259">
      <totalsRowFormula>SUM(Tableau447[Versement])</totalsRowFormula>
    </tableColumn>
    <tableColumn id="2" name="Frais de versement" totalsRowFunction="sum" dataDxfId="258" totalsRowDxfId="257">
      <calculatedColumnFormula>IF(Tableau447[[#This Row],[Date]]="","",Tableau447[[#This Row],[Versement]]*Variables!$F$12)</calculatedColumnFormula>
    </tableColumn>
    <tableColumn id="6" name="Interet" totalsRowFunction="custom" dataDxfId="256" totalsRowDxfId="255">
      <calculatedColumnFormula>IF(Tableau447[[#This Row],[Date]]="","",(E61*(1+($C$59)/24)^V.Complémentaires!D61)-E61)</calculatedColumnFormula>
      <totalsRowFormula>SUM(Tableau447[Interet])</totalsRowFormula>
    </tableColumn>
  </tableColumns>
  <tableStyleInfo name="TableStyleMedium13" showFirstColumn="0" showLastColumn="0" showRowStripes="1" showColumnStripes="0"/>
</table>
</file>

<file path=xl/tables/table7.xml><?xml version="1.0" encoding="utf-8"?>
<table xmlns="http://schemas.openxmlformats.org/spreadsheetml/2006/main" id="7" name="Tableau4478" displayName="Tableau4478" ref="B86:G104" totalsRowCount="1" headerRowDxfId="254" dataDxfId="253" totalsRowDxfId="252">
  <tableColumns count="6">
    <tableColumn id="1" name="Date" dataDxfId="251" totalsRowDxfId="250"/>
    <tableColumn id="3" name="Quinzaine écoulée" dataDxfId="249" totalsRowDxfId="248">
      <calculatedColumnFormula>IF(Tableau4478[[#This Row],[Date]]="","",INT(DAYS360(DATE(YEAR(B87),1,1),B87,TRUE)/15)+1)</calculatedColumnFormula>
    </tableColumn>
    <tableColumn id="4" name="Quinzaine" dataDxfId="247" totalsRowDxfId="246">
      <calculatedColumnFormula>IF(Tableau4478[[#This Row],[Date]]="","",24-C87)</calculatedColumnFormula>
    </tableColumn>
    <tableColumn id="5" name="Versement" totalsRowFunction="custom" dataDxfId="245" totalsRowDxfId="244">
      <totalsRowFormula>SUM(Tableau4478[Versement])</totalsRowFormula>
    </tableColumn>
    <tableColumn id="2" name="Frais de versement" totalsRowFunction="sum" dataDxfId="243" totalsRowDxfId="242">
      <calculatedColumnFormula>IF(Tableau4478[[#This Row],[Date]]="","",Tableau4478[[#This Row],[Versement]]*Variables!$F$12)</calculatedColumnFormula>
    </tableColumn>
    <tableColumn id="6" name="Interet" totalsRowFunction="custom" dataDxfId="241" totalsRowDxfId="240">
      <calculatedColumnFormula>IF(Tableau4478[[#This Row],[Date]]="","",(E87*(1+($C$85)/24)^V.Complémentaires!D87)-E87)</calculatedColumnFormula>
      <totalsRowFormula>SUM(Tableau4478[Interet])</totalsRowFormula>
    </tableColumn>
  </tableColumns>
  <tableStyleInfo name="TableStyleMedium13" showFirstColumn="0" showLastColumn="0" showRowStripes="1" showColumnStripes="0"/>
</table>
</file>

<file path=xl/tables/table8.xml><?xml version="1.0" encoding="utf-8"?>
<table xmlns="http://schemas.openxmlformats.org/spreadsheetml/2006/main" id="8" name="Tableau44789" displayName="Tableau44789" ref="B112:G130" totalsRowCount="1" headerRowDxfId="239" dataDxfId="238" totalsRowDxfId="237">
  <tableColumns count="6">
    <tableColumn id="1" name="Date" dataDxfId="236" totalsRowDxfId="235"/>
    <tableColumn id="3" name="Quinzaine écoulée" dataDxfId="234" totalsRowDxfId="233">
      <calculatedColumnFormula>IF(Tableau44789[[#This Row],[Date]]="","",INT(DAYS360(DATE(YEAR(B113),1,1),B113,TRUE)/15)+1)</calculatedColumnFormula>
    </tableColumn>
    <tableColumn id="4" name="Quinzaine" dataDxfId="232" totalsRowDxfId="231">
      <calculatedColumnFormula>IF(Tableau44789[[#This Row],[Date]]="","",24-C113)</calculatedColumnFormula>
    </tableColumn>
    <tableColumn id="5" name="Versement" totalsRowFunction="custom" dataDxfId="230" totalsRowDxfId="229">
      <totalsRowFormula>SUM(Tableau44789[Versement])</totalsRowFormula>
    </tableColumn>
    <tableColumn id="2" name="Frais de versement" totalsRowFunction="sum" dataDxfId="228" totalsRowDxfId="227">
      <calculatedColumnFormula>IF(Tableau44789[[#This Row],[Date]]="","",Tableau44789[[#This Row],[Versement]]*Variables!$F$12)</calculatedColumnFormula>
    </tableColumn>
    <tableColumn id="6" name="Interet" totalsRowFunction="custom" dataDxfId="226" totalsRowDxfId="225">
      <calculatedColumnFormula>IF(Tableau44789[[#This Row],[Date]]="","",(E113*(1+($C$111)/24)^V.Complémentaires!D113)-E113)</calculatedColumnFormula>
      <totalsRowFormula>SUM(Tableau44789[Interet])</totalsRowFormula>
    </tableColumn>
  </tableColumns>
  <tableStyleInfo name="TableStyleMedium13" showFirstColumn="0" showLastColumn="0" showRowStripes="1" showColumnStripes="0"/>
</table>
</file>

<file path=xl/tables/table9.xml><?xml version="1.0" encoding="utf-8"?>
<table xmlns="http://schemas.openxmlformats.org/spreadsheetml/2006/main" id="9" name="Tableau4478910" displayName="Tableau4478910" ref="B138:G156" totalsRowCount="1" headerRowDxfId="224" dataDxfId="223" totalsRowDxfId="222">
  <tableColumns count="6">
    <tableColumn id="1" name="Date" dataDxfId="221" totalsRowDxfId="220"/>
    <tableColumn id="3" name="Quinzaine écoulée" dataDxfId="219" totalsRowDxfId="218">
      <calculatedColumnFormula>IF(Tableau4478910[[#This Row],[Date]]="","",INT(DAYS360(DATE(YEAR(B139),1,1),B139,TRUE)/15)+1)</calculatedColumnFormula>
    </tableColumn>
    <tableColumn id="4" name="Quinzaine" dataDxfId="217" totalsRowDxfId="216">
      <calculatedColumnFormula>IF(Tableau4478910[[#This Row],[Date]]="","",24-C139)</calculatedColumnFormula>
    </tableColumn>
    <tableColumn id="5" name="Versement" totalsRowFunction="custom" dataDxfId="215" totalsRowDxfId="214">
      <totalsRowFormula>SUM(Tableau4478910[Versement])</totalsRowFormula>
    </tableColumn>
    <tableColumn id="2" name="Frais de versement" totalsRowFunction="sum" dataDxfId="213" totalsRowDxfId="212">
      <calculatedColumnFormula>IF(Tableau4478910[[#This Row],[Date]]="","",Tableau4478910[[#This Row],[Versement]]*Variables!$F$12)</calculatedColumnFormula>
    </tableColumn>
    <tableColumn id="6" name="Interet" totalsRowFunction="custom" dataDxfId="211" totalsRowDxfId="210">
      <calculatedColumnFormula>IF(Tableau4478910[[#This Row],[Date]]="","",(E139*(1+($C$137)/24)^V.Complémentaires!D139)-E139)</calculatedColumnFormula>
      <totalsRowFormula>SUM(Tableau4478910[Interet])</totalsRowFormula>
    </tableColumn>
  </tableColumns>
  <tableStyleInfo name="TableStyleMedium13" showFirstColumn="0" showLastColumn="0" showRowStripes="1" showColumnStripes="0"/>
</table>
</file>

<file path=xl/tables/table10.xml><?xml version="1.0" encoding="utf-8"?>
<table xmlns="http://schemas.openxmlformats.org/spreadsheetml/2006/main" id="10" name="Tableau447891011" displayName="Tableau447891011" ref="B164:G182" totalsRowCount="1" headerRowDxfId="209" dataDxfId="208" totalsRowDxfId="207">
  <tableColumns count="6">
    <tableColumn id="1" name="Date" dataDxfId="206" totalsRowDxfId="205"/>
    <tableColumn id="3" name="Quinzaine écoulée" dataDxfId="204" totalsRowDxfId="203">
      <calculatedColumnFormula>IF(Tableau447891011[[#This Row],[Date]]="","",INT(DAYS360(DATE(YEAR(B165),1,1),B165,TRUE)/15)+1)</calculatedColumnFormula>
    </tableColumn>
    <tableColumn id="4" name="Quinzaine" dataDxfId="202" totalsRowDxfId="201">
      <calculatedColumnFormula>IF(Tableau447891011[[#This Row],[Date]]="","",24-C165)</calculatedColumnFormula>
    </tableColumn>
    <tableColumn id="5" name="Versement" totalsRowFunction="custom" dataDxfId="200" totalsRowDxfId="199">
      <totalsRowFormula>SUM(Tableau447891011[Versement])</totalsRowFormula>
    </tableColumn>
    <tableColumn id="2" name="Frais de versement" totalsRowFunction="sum" dataDxfId="198" totalsRowDxfId="197">
      <calculatedColumnFormula>IF(Tableau447891011[[#This Row],[Date]]="","",Tableau447891011[[#This Row],[Versement]]*Variables!$F$12)</calculatedColumnFormula>
    </tableColumn>
    <tableColumn id="6" name="Interet" totalsRowFunction="custom" dataDxfId="196" totalsRowDxfId="195">
      <calculatedColumnFormula>IF(Tableau447891011[[#This Row],[Date]]="","",(E165*(1+($C$163)/24)^V.Complémentaires!D165)-E165)</calculatedColumnFormula>
      <totalsRowFormula>SUM(Tableau447891011[Interet])</totalsRowFormula>
    </tableColumn>
  </tableColumns>
  <tableStyleInfo name="TableStyleMedium13" showFirstColumn="0" showLastColumn="0" showRowStripes="1" showColumnStripes="0"/>
</table>
</file>

<file path=xl/tables/table11.xml><?xml version="1.0" encoding="utf-8"?>
<table xmlns="http://schemas.openxmlformats.org/spreadsheetml/2006/main" id="11" name="Tableau44789101112" displayName="Tableau44789101112" ref="B190:G208" totalsRowCount="1" headerRowDxfId="194" dataDxfId="193" totalsRowDxfId="192">
  <tableColumns count="6">
    <tableColumn id="1" name="Date" dataDxfId="191" totalsRowDxfId="190"/>
    <tableColumn id="3" name="Quinzaine écoulée" dataDxfId="189" totalsRowDxfId="188">
      <calculatedColumnFormula>IF(Tableau44789101112[[#This Row],[Date]]="","",INT(DAYS360(DATE(YEAR(B191),1,1),B191,TRUE)/15)+1)</calculatedColumnFormula>
    </tableColumn>
    <tableColumn id="4" name="Quinzaine" dataDxfId="187" totalsRowDxfId="186">
      <calculatedColumnFormula>IF(Tableau44789101112[[#This Row],[Date]]="","",24-C191)</calculatedColumnFormula>
    </tableColumn>
    <tableColumn id="5" name="Versement" totalsRowFunction="custom" dataDxfId="185" totalsRowDxfId="184">
      <totalsRowFormula>SUM(Tableau44789101112[Versement])</totalsRowFormula>
    </tableColumn>
    <tableColumn id="2" name="Frais de versement" totalsRowFunction="sum" dataDxfId="183" totalsRowDxfId="182">
      <calculatedColumnFormula>IF(Tableau44789101112[[#This Row],[Date]]="","",Tableau44789101112[[#This Row],[Versement]]*Variables!$F$12)</calculatedColumnFormula>
    </tableColumn>
    <tableColumn id="6" name="Interet" totalsRowFunction="custom" dataDxfId="181" totalsRowDxfId="180">
      <calculatedColumnFormula>IF(Tableau44789101112[[#This Row],[Date]]="","",(E191*(1+($C$189)/24)^V.Complémentaires!D191)-E191)</calculatedColumnFormula>
      <totalsRowFormula>SUM(Tableau44789101112[Interet])</totalsRowFormula>
    </tableColumn>
  </tableColumns>
  <tableStyleInfo name="TableStyleMedium13" showFirstColumn="0" showLastColumn="0" showRowStripes="1" showColumnStripes="0"/>
</table>
</file>

<file path=xl/tables/table12.xml><?xml version="1.0" encoding="utf-8"?>
<table xmlns="http://schemas.openxmlformats.org/spreadsheetml/2006/main" id="12" name="Tableau4478910111213" displayName="Tableau4478910111213" ref="B217:G235" totalsRowCount="1" headerRowDxfId="179" dataDxfId="178" totalsRowDxfId="177">
  <tableColumns count="6">
    <tableColumn id="1" name="Date" dataDxfId="176" totalsRowDxfId="175"/>
    <tableColumn id="3" name="Quinzaine écoulée" dataDxfId="174" totalsRowDxfId="173">
      <calculatedColumnFormula>IF(Tableau4478910111213[[#This Row],[Date]]="","",INT(DAYS360(DATE(YEAR(B218),1,1),B218,TRUE)/15)+1)</calculatedColumnFormula>
    </tableColumn>
    <tableColumn id="4" name="Quinzaine" dataDxfId="172" totalsRowDxfId="171">
      <calculatedColumnFormula>IF(Tableau4478910111213[[#This Row],[Date]]="","",24-C218)</calculatedColumnFormula>
    </tableColumn>
    <tableColumn id="5" name="Versement" totalsRowFunction="custom" dataDxfId="170" totalsRowDxfId="169">
      <totalsRowFormula>SUM(Tableau4478910111213[Versement])</totalsRowFormula>
    </tableColumn>
    <tableColumn id="2" name="Frais de versement" totalsRowFunction="sum" dataDxfId="168" totalsRowDxfId="167">
      <calculatedColumnFormula>IF(Tableau4478910111213[[#This Row],[Date]]="","",Tableau4478910111213[[#This Row],[Versement]]*Variables!$F$12)</calculatedColumnFormula>
    </tableColumn>
    <tableColumn id="6" name="Interet" totalsRowFunction="custom" dataDxfId="166" totalsRowDxfId="165">
      <calculatedColumnFormula>IF(Tableau4478910111213[[#This Row],[Date]]="","",(E218*(1+($C$216)/24)^V.Complémentaires!D218)-E218)</calculatedColumnFormula>
      <totalsRowFormula>SUM(Tableau4478910111213[Interet])</totalsRowFormula>
    </tableColumn>
  </tableColumns>
  <tableStyleInfo name="TableStyleMedium13" showFirstColumn="0" showLastColumn="0" showRowStripes="1" showColumnStripes="0"/>
</table>
</file>

<file path=xl/tables/table13.xml><?xml version="1.0" encoding="utf-8"?>
<table xmlns="http://schemas.openxmlformats.org/spreadsheetml/2006/main" id="13" name="Tableau447891011121314" displayName="Tableau447891011121314" ref="B243:G261" totalsRowCount="1" headerRowDxfId="164" dataDxfId="163" totalsRowDxfId="162">
  <tableColumns count="6">
    <tableColumn id="1" name="Date" dataDxfId="161" totalsRowDxfId="160"/>
    <tableColumn id="3" name="Quinzaine écoulée" dataDxfId="159" totalsRowDxfId="158">
      <calculatedColumnFormula>IF(Tableau447891011121314[[#This Row],[Date]]="","",INT(DAYS360(DATE(YEAR(B244),1,1),B244,TRUE)/15)+1)</calculatedColumnFormula>
    </tableColumn>
    <tableColumn id="4" name="Quinzaine" dataDxfId="157" totalsRowDxfId="156">
      <calculatedColumnFormula>IF(Tableau447891011121314[[#This Row],[Date]]="","",24-C244)</calculatedColumnFormula>
    </tableColumn>
    <tableColumn id="5" name="Versement" totalsRowFunction="custom" dataDxfId="155" totalsRowDxfId="154">
      <totalsRowFormula>SUM(Tableau447891011121314[Versement])</totalsRowFormula>
    </tableColumn>
    <tableColumn id="2" name="Frais de versement" totalsRowFunction="sum" dataDxfId="153" totalsRowDxfId="152">
      <calculatedColumnFormula>IF(Tableau447891011121314[[#This Row],[Date]]="","",Tableau447891011121314[[#This Row],[Versement]]*Variables!$F$12)</calculatedColumnFormula>
    </tableColumn>
    <tableColumn id="6" name="Interet" totalsRowFunction="custom" dataDxfId="151" totalsRowDxfId="150">
      <calculatedColumnFormula>IF(Tableau447891011121314[[#This Row],[Date]]="","",(E244*(1+($C$242)/24)^V.Complémentaires!D244)-E244)</calculatedColumnFormula>
      <totalsRowFormula>SUM(Tableau447891011121314[Interet])</totalsRowFormula>
    </tableColumn>
  </tableColumns>
  <tableStyleInfo name="TableStyleMedium13" showFirstColumn="0" showLastColumn="0" showRowStripes="1" showColumnStripes="0"/>
</table>
</file>

<file path=xl/tables/table14.xml><?xml version="1.0" encoding="utf-8"?>
<table xmlns="http://schemas.openxmlformats.org/spreadsheetml/2006/main" id="14" name="Tableau44789101112131415" displayName="Tableau44789101112131415" ref="B269:G287" totalsRowCount="1" headerRowDxfId="149" dataDxfId="148" totalsRowDxfId="147">
  <tableColumns count="6">
    <tableColumn id="1" name="Date" dataDxfId="146" totalsRowDxfId="145"/>
    <tableColumn id="3" name="Quinzaine écoulée" dataDxfId="144" totalsRowDxfId="143">
      <calculatedColumnFormula>IF(Tableau44789101112131415[[#This Row],[Date]]="","",INT(DAYS360(DATE(YEAR(B270),1,1),B270,TRUE)/15)+1)</calculatedColumnFormula>
    </tableColumn>
    <tableColumn id="4" name="Quinzaine" dataDxfId="142" totalsRowDxfId="141">
      <calculatedColumnFormula>IF(Tableau44789101112131415[[#This Row],[Date]]="","",24-C270)</calculatedColumnFormula>
    </tableColumn>
    <tableColumn id="5" name="Versement" totalsRowFunction="custom" dataDxfId="140" totalsRowDxfId="139">
      <totalsRowFormula>SUM(Tableau44789101112131415[Versement])</totalsRowFormula>
    </tableColumn>
    <tableColumn id="2" name="Frais de versement" totalsRowFunction="sum" dataDxfId="138" totalsRowDxfId="137">
      <calculatedColumnFormula>IF(Tableau44789101112131415[[#This Row],[Date]]="","",Tableau44789101112131415[[#This Row],[Versement]]*Variables!$F$12)</calculatedColumnFormula>
    </tableColumn>
    <tableColumn id="6" name="Interet" totalsRowFunction="custom" dataDxfId="136" totalsRowDxfId="135">
      <calculatedColumnFormula>IF(Tableau44789101112131415[[#This Row],[Date]]="","",(E270*(1+($C$268)/24)^V.Complémentaires!D270)-E270)</calculatedColumnFormula>
      <totalsRowFormula>SUM(Tableau44789101112131415[Interet])</totalsRowFormula>
    </tableColumn>
  </tableColumns>
  <tableStyleInfo name="TableStyleMedium13" showFirstColumn="0" showLastColumn="0" showRowStripes="1" showColumnStripes="0"/>
</table>
</file>

<file path=xl/tables/table15.xml><?xml version="1.0" encoding="utf-8"?>
<table xmlns="http://schemas.openxmlformats.org/spreadsheetml/2006/main" id="15" name="Tableau4478910111213141516" displayName="Tableau4478910111213141516" ref="B295:G313" totalsRowCount="1" headerRowDxfId="134" dataDxfId="133" totalsRowDxfId="132">
  <tableColumns count="6">
    <tableColumn id="1" name="Date" dataDxfId="131" totalsRowDxfId="130"/>
    <tableColumn id="3" name="Quinzaine écoulée" dataDxfId="129" totalsRowDxfId="128">
      <calculatedColumnFormula>IF(Tableau4478910111213141516[[#This Row],[Date]]="","",INT(DAYS360(DATE(YEAR(B296),1,1),B296,TRUE)/15)+1)</calculatedColumnFormula>
    </tableColumn>
    <tableColumn id="4" name="Quinzaine" dataDxfId="127" totalsRowDxfId="126">
      <calculatedColumnFormula>IF(Tableau4478910111213141516[[#This Row],[Date]]="","",24-C296)</calculatedColumnFormula>
    </tableColumn>
    <tableColumn id="5" name="Versement" totalsRowFunction="custom" dataDxfId="125" totalsRowDxfId="124">
      <totalsRowFormula>SUM(Tableau4478910111213141516[Versement])</totalsRowFormula>
    </tableColumn>
    <tableColumn id="2" name="Frais de versement" totalsRowFunction="sum" dataDxfId="123" totalsRowDxfId="122">
      <calculatedColumnFormula>IF(Tableau4478910111213141516[[#This Row],[Date]]="","",Tableau4478910111213141516[[#This Row],[Versement]]*Variables!$F$12)</calculatedColumnFormula>
    </tableColumn>
    <tableColumn id="6" name="Interet" totalsRowFunction="custom" dataDxfId="121" totalsRowDxfId="120">
      <calculatedColumnFormula>IF(Tableau4478910111213141516[[#This Row],[Date]]="","",(E296*(1+($C$294)/24)^V.Complémentaires!D296)-E296)</calculatedColumnFormula>
      <totalsRowFormula>SUM(Tableau4478910111213141516[Interet])</totalsRowFormula>
    </tableColumn>
  </tableColumns>
  <tableStyleInfo name="TableStyleMedium13" showFirstColumn="0" showLastColumn="0" showRowStripes="1" showColumnStripes="0"/>
</table>
</file>

<file path=xl/tables/table16.xml><?xml version="1.0" encoding="utf-8"?>
<table xmlns="http://schemas.openxmlformats.org/spreadsheetml/2006/main" id="16" name="Tableau447891011121314151617" displayName="Tableau447891011121314151617" ref="B321:G339" totalsRowCount="1" headerRowDxfId="119" dataDxfId="118" totalsRowDxfId="117">
  <tableColumns count="6">
    <tableColumn id="1" name="Date" dataDxfId="116" totalsRowDxfId="115"/>
    <tableColumn id="3" name="Quinzaine écoulée" dataDxfId="114" totalsRowDxfId="113">
      <calculatedColumnFormula>IF(Tableau447891011121314151617[[#This Row],[Date]]="","",INT(DAYS360(DATE(YEAR(B322),1,1),B322,TRUE)/15)+1)</calculatedColumnFormula>
    </tableColumn>
    <tableColumn id="4" name="Quinzaine" dataDxfId="112" totalsRowDxfId="111">
      <calculatedColumnFormula>IF(Tableau447891011121314151617[[#This Row],[Date]]="","",24-C322)</calculatedColumnFormula>
    </tableColumn>
    <tableColumn id="5" name="Versement" totalsRowFunction="custom" dataDxfId="110" totalsRowDxfId="109">
      <totalsRowFormula>SUM(Tableau447891011121314151617[Versement])</totalsRowFormula>
    </tableColumn>
    <tableColumn id="2" name="Frais de versement" totalsRowFunction="sum" dataDxfId="108" totalsRowDxfId="107">
      <calculatedColumnFormula>IF(Tableau447891011121314151617[[#This Row],[Date]]="","",Tableau447891011121314151617[[#This Row],[Versement]]*Variables!$F$12)</calculatedColumnFormula>
    </tableColumn>
    <tableColumn id="6" name="Interet" totalsRowFunction="custom" dataDxfId="106" totalsRowDxfId="105">
      <calculatedColumnFormula>IF(Tableau447891011121314151617[[#This Row],[Date]]="","",(E322*(1+($C$320)/24)^V.Complémentaires!D322)-E322)</calculatedColumnFormula>
      <totalsRowFormula>SUM(Tableau447891011121314151617[Interet])</totalsRowFormula>
    </tableColumn>
  </tableColumns>
  <tableStyleInfo name="TableStyleMedium13" showFirstColumn="0" showLastColumn="0" showRowStripes="1" showColumnStripes="0"/>
</table>
</file>

<file path=xl/tables/table17.xml><?xml version="1.0" encoding="utf-8"?>
<table xmlns="http://schemas.openxmlformats.org/spreadsheetml/2006/main" id="17" name="Tableau44789101112131415161718" displayName="Tableau44789101112131415161718" ref="B347:G365" totalsRowCount="1" headerRowDxfId="104" dataDxfId="103" totalsRowDxfId="102">
  <tableColumns count="6">
    <tableColumn id="1" name="Date" dataDxfId="101" totalsRowDxfId="100"/>
    <tableColumn id="3" name="Quinzaine écoulée" dataDxfId="99" totalsRowDxfId="98">
      <calculatedColumnFormula>IF(Tableau44789101112131415161718[[#This Row],[Date]]="","",INT(DAYS360(DATE(YEAR(B348),1,1),B348,TRUE)/15)+1)</calculatedColumnFormula>
    </tableColumn>
    <tableColumn id="4" name="Quinzaine" dataDxfId="97" totalsRowDxfId="96">
      <calculatedColumnFormula>IF(Tableau44789101112131415161718[[#This Row],[Date]]="","",24-C348)</calculatedColumnFormula>
    </tableColumn>
    <tableColumn id="5" name="Versement" totalsRowFunction="custom" dataDxfId="95" totalsRowDxfId="94">
      <totalsRowFormula>SUM(Tableau44789101112131415161718[Versement])</totalsRowFormula>
    </tableColumn>
    <tableColumn id="2" name="Frais de versement" totalsRowFunction="sum" dataDxfId="93" totalsRowDxfId="92">
      <calculatedColumnFormula>IF(Tableau44789101112131415161718[[#This Row],[Date]]="","",Tableau44789101112131415161718[[#This Row],[Versement]]*Variables!$F$12)</calculatedColumnFormula>
    </tableColumn>
    <tableColumn id="6" name="Interet" totalsRowFunction="custom" dataDxfId="91" totalsRowDxfId="90">
      <calculatedColumnFormula>IF(Tableau44789101112131415161718[[#This Row],[Date]]="","",(E348*(1+($C$346)/24)^V.Complémentaires!D348)-E348)</calculatedColumnFormula>
      <totalsRowFormula>SUM(Tableau44789101112131415161718[Interet])</totalsRowFormula>
    </tableColumn>
  </tableColumns>
  <tableStyleInfo name="TableStyleMedium13" showFirstColumn="0" showLastColumn="0" showRowStripes="1" showColumnStripes="0"/>
</table>
</file>

<file path=xl/tables/table18.xml><?xml version="1.0" encoding="utf-8"?>
<table xmlns="http://schemas.openxmlformats.org/spreadsheetml/2006/main" id="18" name="Tableau4478910111213141516171819" displayName="Tableau4478910111213141516171819" ref="B373:G391" totalsRowCount="1" headerRowDxfId="89" dataDxfId="88" totalsRowDxfId="87">
  <tableColumns count="6">
    <tableColumn id="1" name="Date" dataDxfId="86" totalsRowDxfId="85"/>
    <tableColumn id="3" name="Quinzaine écoulée" dataDxfId="84" totalsRowDxfId="83">
      <calculatedColumnFormula>IF(Tableau4478910111213141516171819[[#This Row],[Date]]="","",INT(DAYS360(DATE(YEAR(B374),1,1),B374,TRUE)/15)+1)</calculatedColumnFormula>
    </tableColumn>
    <tableColumn id="4" name="Quinzaine" dataDxfId="82" totalsRowDxfId="81">
      <calculatedColumnFormula>IF(Tableau4478910111213141516171819[[#This Row],[Date]]="","",24-C374)</calculatedColumnFormula>
    </tableColumn>
    <tableColumn id="5" name="Versement" totalsRowFunction="custom" dataDxfId="80" totalsRowDxfId="79">
      <totalsRowFormula>SUM(Tableau4478910111213141516171819[Versement])</totalsRowFormula>
    </tableColumn>
    <tableColumn id="2" name="Frais de versement" totalsRowFunction="sum" dataDxfId="78" totalsRowDxfId="77">
      <calculatedColumnFormula>IF(Tableau4478910111213141516171819[[#This Row],[Date]]="","",Tableau4478910111213141516171819[[#This Row],[Versement]]*Variables!$F$12)</calculatedColumnFormula>
    </tableColumn>
    <tableColumn id="6" name="Interet" totalsRowFunction="custom" dataDxfId="76" totalsRowDxfId="75">
      <calculatedColumnFormula>IF(Tableau4478910111213141516171819[[#This Row],[Date]]="","",(E374*(1+($C$372)/24)^V.Complémentaires!D374)-E374)</calculatedColumnFormula>
      <totalsRowFormula>SUM(Tableau4478910111213141516171819[Interet])</totalsRowFormula>
    </tableColumn>
  </tableColumns>
  <tableStyleInfo name="TableStyleMedium13" showFirstColumn="0" showLastColumn="0" showRowStripes="1" showColumnStripes="0"/>
</table>
</file>

<file path=xl/tables/table19.xml><?xml version="1.0" encoding="utf-8"?>
<table xmlns="http://schemas.openxmlformats.org/spreadsheetml/2006/main" id="19" name="Tableau447891011121314151617181920" displayName="Tableau447891011121314151617181920" ref="B399:G417" totalsRowCount="1" headerRowDxfId="74" dataDxfId="73" totalsRowDxfId="72">
  <tableColumns count="6">
    <tableColumn id="1" name="Date" dataDxfId="71" totalsRowDxfId="70"/>
    <tableColumn id="3" name="Quinzaine écoulée" dataDxfId="69" totalsRowDxfId="68">
      <calculatedColumnFormula>IF(Tableau447891011121314151617181920[[#This Row],[Date]]="","",INT(DAYS360(DATE(YEAR(B400),1,1),B400,TRUE)/15)+1)</calculatedColumnFormula>
    </tableColumn>
    <tableColumn id="4" name="Quinzaine" dataDxfId="67" totalsRowDxfId="66">
      <calculatedColumnFormula>IF(Tableau447891011121314151617181920[[#This Row],[Date]]="","",24-C400)</calculatedColumnFormula>
    </tableColumn>
    <tableColumn id="5" name="Versement" totalsRowFunction="custom" dataDxfId="65" totalsRowDxfId="64">
      <totalsRowFormula>SUM(Tableau447891011121314151617181920[Versement])</totalsRowFormula>
    </tableColumn>
    <tableColumn id="2" name="Frais de versement" totalsRowFunction="sum" dataDxfId="63" totalsRowDxfId="62">
      <calculatedColumnFormula>IF(Tableau447891011121314151617181920[[#This Row],[Date]]="","",Tableau447891011121314151617181920[[#This Row],[Versement]]*Variables!$F$12)</calculatedColumnFormula>
    </tableColumn>
    <tableColumn id="6" name="Interet" totalsRowFunction="custom" dataDxfId="61" totalsRowDxfId="60">
      <calculatedColumnFormula>IF(Tableau447891011121314151617181920[[#This Row],[Date]]="","",(E400*(1+($C$398)/24)^V.Complémentaires!D400)-E400)</calculatedColumnFormula>
      <totalsRowFormula>SUM(Tableau447891011121314151617181920[Interet])</totalsRowFormula>
    </tableColumn>
  </tableColumns>
  <tableStyleInfo name="TableStyleMedium13" showFirstColumn="0" showLastColumn="0" showRowStripes="1" showColumnStripes="0"/>
</table>
</file>

<file path=xl/tables/table20.xml><?xml version="1.0" encoding="utf-8"?>
<table xmlns="http://schemas.openxmlformats.org/spreadsheetml/2006/main" id="20" name="Tableau44789101112131415161718192021" displayName="Tableau44789101112131415161718192021" ref="B425:G443" totalsRowCount="1" headerRowDxfId="59" dataDxfId="58" totalsRowDxfId="57">
  <tableColumns count="6">
    <tableColumn id="1" name="Date" dataDxfId="56" totalsRowDxfId="55"/>
    <tableColumn id="3" name="Quinzaine écoulée" dataDxfId="54" totalsRowDxfId="53">
      <calculatedColumnFormula>IF(Tableau44789101112131415161718192021[[#This Row],[Date]]="","",INT(DAYS360(DATE(YEAR(B426),1,1),B426,TRUE)/15)+1)</calculatedColumnFormula>
    </tableColumn>
    <tableColumn id="4" name="Quinzaine" dataDxfId="52" totalsRowDxfId="51">
      <calculatedColumnFormula>IF(Tableau44789101112131415161718192021[[#This Row],[Date]]="","",24-C426)</calculatedColumnFormula>
    </tableColumn>
    <tableColumn id="5" name="Versement" totalsRowFunction="custom" dataDxfId="50" totalsRowDxfId="49">
      <totalsRowFormula>SUM(Tableau44789101112131415161718192021[Versement])</totalsRowFormula>
    </tableColumn>
    <tableColumn id="2" name="Frais de versement" totalsRowFunction="sum" dataDxfId="48" totalsRowDxfId="47">
      <calculatedColumnFormula>IF(Tableau44789101112131415161718192021[[#This Row],[Date]]="","",Tableau44789101112131415161718192021[[#This Row],[Versement]]*Variables!$F$12)</calculatedColumnFormula>
    </tableColumn>
    <tableColumn id="6" name="Interet" totalsRowFunction="custom" dataDxfId="46" totalsRowDxfId="45">
      <calculatedColumnFormula>IF(Tableau44789101112131415161718192021[[#This Row],[Date]]="","",(E426*(1+($C$424)/24)^V.Complémentaires!D426)-E426)</calculatedColumnFormula>
      <totalsRowFormula>SUM(Tableau44789101112131415161718192021[Interet])</totalsRowFormula>
    </tableColumn>
  </tableColumns>
  <tableStyleInfo name="TableStyleMedium13" showFirstColumn="0" showLastColumn="0" showRowStripes="1" showColumnStripes="0"/>
</table>
</file>

<file path=xl/tables/table21.xml><?xml version="1.0" encoding="utf-8"?>
<table xmlns="http://schemas.openxmlformats.org/spreadsheetml/2006/main" id="21" name="Tableau4478910111213141516171819202122" displayName="Tableau4478910111213141516171819202122" ref="B451:G469" totalsRowCount="1" headerRowDxfId="44" dataDxfId="43" totalsRowDxfId="42">
  <tableColumns count="6">
    <tableColumn id="1" name="Date" dataDxfId="41" totalsRowDxfId="40"/>
    <tableColumn id="3" name="Quinzaine écoulée" dataDxfId="39" totalsRowDxfId="38">
      <calculatedColumnFormula>IF(Tableau4478910111213141516171819202122[[#This Row],[Date]]="","",INT(DAYS360(DATE(YEAR(B452),1,1),B452,TRUE)/15)+1)</calculatedColumnFormula>
    </tableColumn>
    <tableColumn id="4" name="Quinzaine" dataDxfId="37" totalsRowDxfId="36">
      <calculatedColumnFormula>IF(Tableau4478910111213141516171819202122[[#This Row],[Date]]="","",24-C452)</calculatedColumnFormula>
    </tableColumn>
    <tableColumn id="5" name="Versement" totalsRowFunction="custom" dataDxfId="35" totalsRowDxfId="34">
      <totalsRowFormula>SUM(Tableau4478910111213141516171819202122[Versement])</totalsRowFormula>
    </tableColumn>
    <tableColumn id="2" name="Frais de versement" totalsRowFunction="sum" dataDxfId="33" totalsRowDxfId="32">
      <calculatedColumnFormula>IF(Tableau4478910111213141516171819202122[[#This Row],[Date]]="","",Tableau4478910111213141516171819202122[[#This Row],[Versement]]*Variables!$F$12)</calculatedColumnFormula>
    </tableColumn>
    <tableColumn id="6" name="Interet" totalsRowFunction="custom" dataDxfId="31" totalsRowDxfId="30">
      <calculatedColumnFormula>IF(Tableau4478910111213141516171819202122[[#This Row],[Date]]="","",(E452*(1+($C$450)/24)^V.Complémentaires!D452)-E452)</calculatedColumnFormula>
      <totalsRowFormula>SUM(Tableau4478910111213141516171819202122[Interet])</totalsRowFormula>
    </tableColumn>
  </tableColumns>
  <tableStyleInfo name="TableStyleMedium13" showFirstColumn="0" showLastColumn="0" showRowStripes="1" showColumnStripes="0"/>
</table>
</file>

<file path=xl/tables/table22.xml><?xml version="1.0" encoding="utf-8"?>
<table xmlns="http://schemas.openxmlformats.org/spreadsheetml/2006/main" id="22" name="Tableau447891011121314151617181920212223" displayName="Tableau447891011121314151617181920212223" ref="B477:G495" totalsRowCount="1" headerRowDxfId="29" dataDxfId="28" totalsRowDxfId="27">
  <tableColumns count="6">
    <tableColumn id="1" name="Date" dataDxfId="26" totalsRowDxfId="25"/>
    <tableColumn id="3" name="Quinzaine écoulée" dataDxfId="24" totalsRowDxfId="23">
      <calculatedColumnFormula>IF(Tableau447891011121314151617181920212223[[#This Row],[Date]]="","",INT(DAYS360(DATE(YEAR(B478),1,1),B478,TRUE)/15)+1)</calculatedColumnFormula>
    </tableColumn>
    <tableColumn id="4" name="Quinzaine" dataDxfId="22" totalsRowDxfId="21">
      <calculatedColumnFormula>IF(Tableau447891011121314151617181920212223[[#This Row],[Date]]="","",24-C478)</calculatedColumnFormula>
    </tableColumn>
    <tableColumn id="5" name="Versement" totalsRowFunction="custom" dataDxfId="20" totalsRowDxfId="19">
      <totalsRowFormula>SUM(Tableau447891011121314151617181920212223[Versement])</totalsRowFormula>
    </tableColumn>
    <tableColumn id="2" name="Frais de versement" totalsRowFunction="sum" dataDxfId="18" totalsRowDxfId="17">
      <calculatedColumnFormula>IF(Tableau447891011121314151617181920212223[[#This Row],[Date]]="","",Tableau447891011121314151617181920212223[[#This Row],[Versement]]*Variables!$F$12)</calculatedColumnFormula>
    </tableColumn>
    <tableColumn id="6" name="Interet" totalsRowFunction="custom" dataDxfId="16" totalsRowDxfId="15">
      <calculatedColumnFormula>IF(Tableau447891011121314151617181920212223[[#This Row],[Date]]="","",(E478*(1+($C$476)/24)^V.Complémentaires!D478)-E478)</calculatedColumnFormula>
      <totalsRowFormula>SUM(Tableau447891011121314151617181920212223[Interet])</totalsRowFormula>
    </tableColumn>
  </tableColumns>
  <tableStyleInfo name="TableStyleMedium13" showFirstColumn="0" showLastColumn="0" showRowStripes="1" showColumnStripes="0"/>
</table>
</file>

<file path=xl/tables/table23.xml><?xml version="1.0" encoding="utf-8"?>
<table xmlns="http://schemas.openxmlformats.org/spreadsheetml/2006/main" id="23" name="Tableau44789101112131415161718192021222324" displayName="Tableau44789101112131415161718192021222324" ref="B503:G521" totalsRowCount="1" headerRowDxfId="14" dataDxfId="13" totalsRowDxfId="12">
  <tableColumns count="6">
    <tableColumn id="1" name="Date" dataDxfId="11" totalsRowDxfId="10"/>
    <tableColumn id="3" name="Quinzaine écoulée" dataDxfId="9" totalsRowDxfId="8">
      <calculatedColumnFormula>IF(Tableau44789101112131415161718192021222324[[#This Row],[Date]]="","",INT(DAYS360(DATE(YEAR(B504),1,1),B504,TRUE)/15)+1)</calculatedColumnFormula>
    </tableColumn>
    <tableColumn id="4" name="Quinzaine" dataDxfId="7" totalsRowDxfId="6">
      <calculatedColumnFormula>IF(Tableau44789101112131415161718192021222324[[#This Row],[Date]]="","",24-C504)</calculatedColumnFormula>
    </tableColumn>
    <tableColumn id="5" name="Versement" totalsRowFunction="custom" dataDxfId="5" totalsRowDxfId="4">
      <totalsRowFormula>SUM(Tableau44789101112131415161718192021222324[Versement])</totalsRowFormula>
    </tableColumn>
    <tableColumn id="2" name="Frais de versement" totalsRowFunction="sum" dataDxfId="3" totalsRowDxfId="2">
      <calculatedColumnFormula>IF(Tableau44789101112131415161718192021222324[[#This Row],[Date]]="","",Tableau44789101112131415161718192021222324[[#This Row],[Versement]]*Variables!$F$12)</calculatedColumnFormula>
    </tableColumn>
    <tableColumn id="6" name="Interet" totalsRowFunction="custom" dataDxfId="1" totalsRowDxfId="0">
      <calculatedColumnFormula>IF(Tableau44789101112131415161718192021222324[[#This Row],[Date]]="","",(E504*(1+($C$502)/24)^V.Complémentaires!D504)-E504)</calculatedColumnFormula>
      <totalsRowFormula>SUM(Tableau44789101112131415161718192021222324[Interet])</totalsRowFormula>
    </tableColumn>
  </tableColumns>
  <tableStyleInfo name="TableStyleMedium13"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Incrustation">
      <a:fillStyleLst>
        <a:solidFill>
          <a:schemeClr val="phClr"/>
        </a:solidFill>
        <a:gradFill rotWithShape="1">
          <a:gsLst>
            <a:gs pos="0">
              <a:schemeClr val="phClr">
                <a:tint val="20000"/>
                <a:satMod val="180000"/>
                <a:lumMod val="98000"/>
              </a:schemeClr>
            </a:gs>
            <a:gs pos="40000">
              <a:schemeClr val="phClr">
                <a:tint val="30000"/>
                <a:satMod val="260000"/>
                <a:lumMod val="84000"/>
              </a:schemeClr>
            </a:gs>
            <a:gs pos="100000">
              <a:schemeClr val="phClr">
                <a:tint val="100000"/>
                <a:satMod val="110000"/>
                <a:lumMod val="100000"/>
              </a:schemeClr>
            </a:gs>
          </a:gsLst>
          <a:lin ang="5040000" scaled="1"/>
        </a:gradFill>
        <a:gradFill rotWithShape="1">
          <a:gsLst>
            <a:gs pos="0">
              <a:schemeClr val="phClr"/>
            </a:gs>
            <a:gs pos="100000">
              <a:schemeClr val="phClr">
                <a:shade val="75000"/>
                <a:satMod val="120000"/>
                <a:lumMod val="90000"/>
              </a:schemeClr>
            </a:gs>
          </a:gsLst>
          <a:lin ang="5400000" scaled="0"/>
        </a:gradFill>
      </a:fillStyleLst>
      <a:lnStyleLst>
        <a:ln w="9525" cap="flat" cmpd="sng" algn="ctr">
          <a:solidFill>
            <a:schemeClr val="phClr"/>
          </a:solidFill>
          <a:prstDash val="solid"/>
        </a:ln>
        <a:ln w="15875" cap="flat" cmpd="sng" algn="ctr">
          <a:solidFill>
            <a:schemeClr val="phClr"/>
          </a:solidFill>
          <a:prstDash val="solid"/>
        </a:ln>
        <a:ln w="22225" cap="flat" cmpd="sng" algn="ctr">
          <a:solidFill>
            <a:schemeClr val="phClr"/>
          </a:solidFill>
          <a:prstDash val="solid"/>
        </a:ln>
      </a:lnStyleLst>
      <a:effectStyleLst>
        <a:effectStyle>
          <a:effectLst/>
        </a:effectStyle>
        <a:effectStyle>
          <a:effectLst>
            <a:outerShdw blurRad="50800" dist="25400" dir="5400000" rotWithShape="0">
              <a:srgbClr val="000000">
                <a:alpha val="28000"/>
              </a:srgbClr>
            </a:outerShdw>
          </a:effectLst>
          <a:scene3d>
            <a:camera prst="orthographicFront">
              <a:rot lat="0" lon="0" rev="0"/>
            </a:camera>
            <a:lightRig rig="threePt" dir="tl">
              <a:rot lat="0" lon="0" rev="20400000"/>
            </a:lightRig>
          </a:scene3d>
          <a:sp3d>
            <a:bevelT w="50800" h="12700" prst="softRound"/>
          </a:sp3d>
        </a:effectStyle>
        <a:effectStyle>
          <a:effectLst>
            <a:outerShdw blurRad="44450" dist="50800" dir="5400000" sx="96000" rotWithShape="0">
              <a:srgbClr val="000000">
                <a:alpha val="34000"/>
              </a:srgbClr>
            </a:outerShdw>
          </a:effectLst>
          <a:scene3d>
            <a:camera prst="orthographicFront">
              <a:rot lat="0" lon="0" rev="0"/>
            </a:camera>
            <a:lightRig rig="threePt" dir="tl">
              <a:rot lat="0" lon="0" rev="20400000"/>
            </a:lightRig>
          </a:scene3d>
          <a:sp3d contourW="15875">
            <a:bevelT w="101600" h="25400" prst="softRound"/>
            <a:contourClr>
              <a:schemeClr val="phClr">
                <a:shade val="30000"/>
              </a:schemeClr>
            </a:contourClr>
          </a:sp3d>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forum.excel-pratique.com/excel/probleme-textbox-format-pourcentage-vba-t58259.html" TargetMode="External"/></Relationships>
</file>

<file path=xl/worksheets/_rels/sheet3.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table" Target="../tables/table1.xml"/></Relationships>
</file>

<file path=xl/worksheets/_rels/sheet4.xml.rels><?xml version="1.0" encoding="UTF-8" standalone="yes"?>
<Relationships xmlns="http://schemas.openxmlformats.org/package/2006/relationships"><Relationship Id="rId1" Type="http://schemas.openxmlformats.org/officeDocument/2006/relationships/table" Target="../tables/table3.xml"/></Relationships>
</file>

<file path=xl/worksheets/_rels/sheet5.xml.rels><?xml version="1.0" encoding="UTF-8" standalone="yes"?>
<Relationships xmlns="http://schemas.openxmlformats.org/package/2006/relationships"><Relationship Id="rId8" Type="http://schemas.openxmlformats.org/officeDocument/2006/relationships/table" Target="../tables/table7.xml"/><Relationship Id="rId13" Type="http://schemas.openxmlformats.org/officeDocument/2006/relationships/table" Target="../tables/table12.xml"/><Relationship Id="rId18" Type="http://schemas.openxmlformats.org/officeDocument/2006/relationships/table" Target="../tables/table17.xml"/><Relationship Id="rId3" Type="http://schemas.openxmlformats.org/officeDocument/2006/relationships/vmlDrawing" Target="../drawings/vmlDrawing1.vml"/><Relationship Id="rId21" Type="http://schemas.openxmlformats.org/officeDocument/2006/relationships/table" Target="../tables/table20.xml"/><Relationship Id="rId7" Type="http://schemas.openxmlformats.org/officeDocument/2006/relationships/table" Target="../tables/table6.xml"/><Relationship Id="rId12" Type="http://schemas.openxmlformats.org/officeDocument/2006/relationships/table" Target="../tables/table11.xml"/><Relationship Id="rId17" Type="http://schemas.openxmlformats.org/officeDocument/2006/relationships/table" Target="../tables/table16.xml"/><Relationship Id="rId2" Type="http://schemas.openxmlformats.org/officeDocument/2006/relationships/drawing" Target="../drawings/drawing2.xml"/><Relationship Id="rId16" Type="http://schemas.openxmlformats.org/officeDocument/2006/relationships/table" Target="../tables/table15.xml"/><Relationship Id="rId20" Type="http://schemas.openxmlformats.org/officeDocument/2006/relationships/table" Target="../tables/table19.xml"/><Relationship Id="rId1" Type="http://schemas.openxmlformats.org/officeDocument/2006/relationships/printerSettings" Target="../printerSettings/printerSettings1.bin"/><Relationship Id="rId6" Type="http://schemas.openxmlformats.org/officeDocument/2006/relationships/table" Target="../tables/table5.xml"/><Relationship Id="rId11" Type="http://schemas.openxmlformats.org/officeDocument/2006/relationships/table" Target="../tables/table10.xml"/><Relationship Id="rId24" Type="http://schemas.openxmlformats.org/officeDocument/2006/relationships/table" Target="../tables/table23.xml"/><Relationship Id="rId5" Type="http://schemas.openxmlformats.org/officeDocument/2006/relationships/table" Target="../tables/table4.xml"/><Relationship Id="rId15" Type="http://schemas.openxmlformats.org/officeDocument/2006/relationships/table" Target="../tables/table14.xml"/><Relationship Id="rId23" Type="http://schemas.openxmlformats.org/officeDocument/2006/relationships/table" Target="../tables/table22.xml"/><Relationship Id="rId10" Type="http://schemas.openxmlformats.org/officeDocument/2006/relationships/table" Target="../tables/table9.xml"/><Relationship Id="rId19" Type="http://schemas.openxmlformats.org/officeDocument/2006/relationships/table" Target="../tables/table18.xml"/><Relationship Id="rId4" Type="http://schemas.openxmlformats.org/officeDocument/2006/relationships/ctrlProp" Target="../ctrlProps/ctrlProp1.xml"/><Relationship Id="rId9" Type="http://schemas.openxmlformats.org/officeDocument/2006/relationships/table" Target="../tables/table8.xml"/><Relationship Id="rId14" Type="http://schemas.openxmlformats.org/officeDocument/2006/relationships/table" Target="../tables/table13.xml"/><Relationship Id="rId22" Type="http://schemas.openxmlformats.org/officeDocument/2006/relationships/table" Target="../tables/table2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enableFormatConditionsCalculation="0"/>
  <dimension ref="K1:N6"/>
  <sheetViews>
    <sheetView tabSelected="1" workbookViewId="0">
      <selection activeCell="C40" sqref="C40"/>
    </sheetView>
  </sheetViews>
  <sheetFormatPr baseColWidth="10" defaultColWidth="10.85546875" defaultRowHeight="15" x14ac:dyDescent="0.25"/>
  <cols>
    <col min="1" max="16384" width="10.85546875" style="4"/>
  </cols>
  <sheetData>
    <row r="1" spans="11:14" x14ac:dyDescent="0.25">
      <c r="N1" s="59" t="s">
        <v>27</v>
      </c>
    </row>
    <row r="6" spans="11:14" x14ac:dyDescent="0.25">
      <c r="K6" s="58"/>
    </row>
  </sheetData>
  <hyperlinks>
    <hyperlink ref="N1" r:id="rId1"/>
  </hyperlinks>
  <pageMargins left="0.7" right="0.7" top="0.75" bottom="0.75" header="0.3" footer="0.3"/>
  <pageSetup paperSize="9" orientation="portrait" horizontalDpi="4294967292" verticalDpi="4294967292"/>
  <drawing r:id="rId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enableFormatConditionsCalculation="0"/>
  <dimension ref="A1:B20"/>
  <sheetViews>
    <sheetView workbookViewId="0">
      <selection activeCell="B21" sqref="B21"/>
    </sheetView>
  </sheetViews>
  <sheetFormatPr baseColWidth="10" defaultRowHeight="15" x14ac:dyDescent="0.25"/>
  <sheetData>
    <row r="1" spans="1:2" x14ac:dyDescent="0.25">
      <c r="A1">
        <f ca="1">YEAR('Tableau Projection'!A1)</f>
        <v>2014</v>
      </c>
      <c r="B1">
        <v>1</v>
      </c>
    </row>
    <row r="2" spans="1:2" x14ac:dyDescent="0.25">
      <c r="A2">
        <f ca="1">A1+1</f>
        <v>2015</v>
      </c>
      <c r="B2">
        <v>30</v>
      </c>
    </row>
    <row r="3" spans="1:2" x14ac:dyDescent="0.25">
      <c r="A3">
        <f ca="1">A2+1</f>
        <v>2016</v>
      </c>
      <c r="B3">
        <v>56</v>
      </c>
    </row>
    <row r="4" spans="1:2" x14ac:dyDescent="0.25">
      <c r="A4">
        <f t="shared" ref="A4:A20" ca="1" si="0">A3+1</f>
        <v>2017</v>
      </c>
      <c r="B4">
        <v>82</v>
      </c>
    </row>
    <row r="5" spans="1:2" x14ac:dyDescent="0.25">
      <c r="A5">
        <f t="shared" ca="1" si="0"/>
        <v>2018</v>
      </c>
      <c r="B5">
        <v>108</v>
      </c>
    </row>
    <row r="6" spans="1:2" x14ac:dyDescent="0.25">
      <c r="A6">
        <f t="shared" ca="1" si="0"/>
        <v>2019</v>
      </c>
      <c r="B6">
        <v>134</v>
      </c>
    </row>
    <row r="7" spans="1:2" x14ac:dyDescent="0.25">
      <c r="A7">
        <f t="shared" ca="1" si="0"/>
        <v>2020</v>
      </c>
      <c r="B7">
        <v>160</v>
      </c>
    </row>
    <row r="8" spans="1:2" x14ac:dyDescent="0.25">
      <c r="A8">
        <f t="shared" ca="1" si="0"/>
        <v>2021</v>
      </c>
      <c r="B8">
        <v>186</v>
      </c>
    </row>
    <row r="9" spans="1:2" x14ac:dyDescent="0.25">
      <c r="A9">
        <f t="shared" ca="1" si="0"/>
        <v>2022</v>
      </c>
      <c r="B9">
        <v>213</v>
      </c>
    </row>
    <row r="10" spans="1:2" x14ac:dyDescent="0.25">
      <c r="A10">
        <f t="shared" ca="1" si="0"/>
        <v>2023</v>
      </c>
      <c r="B10">
        <v>239</v>
      </c>
    </row>
    <row r="11" spans="1:2" x14ac:dyDescent="0.25">
      <c r="A11">
        <f t="shared" ca="1" si="0"/>
        <v>2024</v>
      </c>
      <c r="B11">
        <v>265</v>
      </c>
    </row>
    <row r="12" spans="1:2" x14ac:dyDescent="0.25">
      <c r="A12">
        <f t="shared" ca="1" si="0"/>
        <v>2025</v>
      </c>
      <c r="B12">
        <v>291</v>
      </c>
    </row>
    <row r="13" spans="1:2" x14ac:dyDescent="0.25">
      <c r="A13">
        <f t="shared" ca="1" si="0"/>
        <v>2026</v>
      </c>
      <c r="B13">
        <v>317</v>
      </c>
    </row>
    <row r="14" spans="1:2" x14ac:dyDescent="0.25">
      <c r="A14">
        <f t="shared" ca="1" si="0"/>
        <v>2027</v>
      </c>
      <c r="B14">
        <v>343</v>
      </c>
    </row>
    <row r="15" spans="1:2" x14ac:dyDescent="0.25">
      <c r="A15">
        <f t="shared" ca="1" si="0"/>
        <v>2028</v>
      </c>
      <c r="B15">
        <v>369</v>
      </c>
    </row>
    <row r="16" spans="1:2" x14ac:dyDescent="0.25">
      <c r="A16">
        <f t="shared" ca="1" si="0"/>
        <v>2029</v>
      </c>
      <c r="B16">
        <v>395</v>
      </c>
    </row>
    <row r="17" spans="1:2" x14ac:dyDescent="0.25">
      <c r="A17">
        <f t="shared" ca="1" si="0"/>
        <v>2030</v>
      </c>
      <c r="B17">
        <v>421</v>
      </c>
    </row>
    <row r="18" spans="1:2" x14ac:dyDescent="0.25">
      <c r="A18">
        <f t="shared" ca="1" si="0"/>
        <v>2031</v>
      </c>
      <c r="B18">
        <v>447</v>
      </c>
    </row>
    <row r="19" spans="1:2" x14ac:dyDescent="0.25">
      <c r="A19">
        <f t="shared" ca="1" si="0"/>
        <v>2032</v>
      </c>
      <c r="B19">
        <v>473</v>
      </c>
    </row>
    <row r="20" spans="1:2" x14ac:dyDescent="0.25">
      <c r="A20">
        <f t="shared" ca="1" si="0"/>
        <v>2033</v>
      </c>
      <c r="B20">
        <v>499</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enableFormatConditionsCalculation="0"/>
  <dimension ref="E7:G20"/>
  <sheetViews>
    <sheetView showGridLines="0" zoomScale="77" zoomScaleNormal="77" zoomScalePageLayoutView="77" workbookViewId="0">
      <selection activeCell="Q21" sqref="Q21"/>
    </sheetView>
  </sheetViews>
  <sheetFormatPr baseColWidth="10" defaultColWidth="10.85546875" defaultRowHeight="18.95" customHeight="1" x14ac:dyDescent="0.25"/>
  <cols>
    <col min="1" max="1" width="16.42578125" style="13" customWidth="1"/>
    <col min="2" max="4" width="10.85546875" style="13"/>
    <col min="5" max="5" width="33" style="13" bestFit="1" customWidth="1"/>
    <col min="6" max="7" width="14.28515625" style="13" customWidth="1"/>
    <col min="8" max="16384" width="10.85546875" style="13"/>
  </cols>
  <sheetData>
    <row r="7" spans="5:7" ht="18.95" customHeight="1" x14ac:dyDescent="0.25">
      <c r="E7" s="21" t="s">
        <v>0</v>
      </c>
      <c r="F7" s="21" t="s">
        <v>13</v>
      </c>
      <c r="G7" s="22"/>
    </row>
    <row r="8" spans="5:7" ht="18.95" customHeight="1" x14ac:dyDescent="0.25">
      <c r="E8" s="22" t="s">
        <v>1</v>
      </c>
      <c r="F8" s="22">
        <v>2000</v>
      </c>
      <c r="G8" s="22"/>
    </row>
    <row r="9" spans="5:7" ht="18.95" customHeight="1" x14ac:dyDescent="0.25">
      <c r="E9" s="22" t="s">
        <v>2</v>
      </c>
      <c r="F9" s="22">
        <v>950</v>
      </c>
      <c r="G9" s="22"/>
    </row>
    <row r="10" spans="5:7" ht="18.95" customHeight="1" x14ac:dyDescent="0.25">
      <c r="E10" s="22" t="s">
        <v>7</v>
      </c>
      <c r="F10" s="22">
        <v>20</v>
      </c>
      <c r="G10" s="22"/>
    </row>
    <row r="11" spans="5:7" ht="18.95" customHeight="1" x14ac:dyDescent="0.25">
      <c r="E11" s="22" t="s">
        <v>4</v>
      </c>
      <c r="F11" s="23">
        <v>1.25E-3</v>
      </c>
      <c r="G11" s="22"/>
    </row>
    <row r="12" spans="5:7" ht="18.95" customHeight="1" x14ac:dyDescent="0.25">
      <c r="E12" s="22" t="s">
        <v>3</v>
      </c>
      <c r="F12" s="24">
        <v>1.2500000000000001E-2</v>
      </c>
      <c r="G12" s="22"/>
    </row>
    <row r="13" spans="5:7" ht="18.95" customHeight="1" x14ac:dyDescent="0.25">
      <c r="E13" s="22" t="s">
        <v>16</v>
      </c>
      <c r="F13" s="25">
        <v>0.7</v>
      </c>
      <c r="G13" s="22"/>
    </row>
    <row r="14" spans="5:7" ht="18.95" customHeight="1" x14ac:dyDescent="0.25">
      <c r="E14" s="22" t="s">
        <v>17</v>
      </c>
      <c r="F14" s="26">
        <v>1.0500000000000001E-2</v>
      </c>
      <c r="G14" s="22"/>
    </row>
    <row r="15" spans="5:7" ht="18.95" customHeight="1" x14ac:dyDescent="0.25">
      <c r="E15" s="22" t="s">
        <v>26</v>
      </c>
      <c r="F15" s="24">
        <v>6.0000000000000001E-3</v>
      </c>
      <c r="G15" s="22"/>
    </row>
    <row r="16" spans="5:7" ht="18.95" customHeight="1" x14ac:dyDescent="0.25">
      <c r="E16" s="22"/>
      <c r="F16" s="22"/>
      <c r="G16" s="22"/>
    </row>
    <row r="17" spans="5:7" ht="18.95" customHeight="1" x14ac:dyDescent="0.25">
      <c r="E17" s="22"/>
      <c r="F17" s="22"/>
      <c r="G17" s="22"/>
    </row>
    <row r="18" spans="5:7" ht="18.95" customHeight="1" x14ac:dyDescent="0.25">
      <c r="E18" s="22"/>
      <c r="F18" s="22"/>
      <c r="G18" s="22"/>
    </row>
    <row r="19" spans="5:7" ht="18.95" customHeight="1" x14ac:dyDescent="0.25">
      <c r="E19" s="27" t="s">
        <v>7</v>
      </c>
      <c r="F19" s="28" t="s">
        <v>14</v>
      </c>
      <c r="G19" s="29" t="s">
        <v>15</v>
      </c>
    </row>
    <row r="20" spans="5:7" ht="18.95" customHeight="1" x14ac:dyDescent="0.25">
      <c r="E20" s="30" t="s">
        <v>11</v>
      </c>
      <c r="F20" s="31">
        <v>2.2000000000000002E-2</v>
      </c>
      <c r="G20" s="32">
        <v>0.02</v>
      </c>
    </row>
  </sheetData>
  <pageMargins left="0.7" right="0.7" top="0.75" bottom="0.75" header="0.3" footer="0.3"/>
  <pageSetup paperSize="9" orientation="portrait"/>
  <tableParts count="2">
    <tablePart r:id="rId1"/>
    <tablePart r:id="rId2"/>
  </tableParts>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enableFormatConditionsCalculation="0"/>
  <dimension ref="A1:L56"/>
  <sheetViews>
    <sheetView showGridLines="0" zoomScale="64" zoomScaleNormal="64" zoomScalePageLayoutView="64" workbookViewId="0">
      <selection activeCell="I9" sqref="I9"/>
    </sheetView>
  </sheetViews>
  <sheetFormatPr baseColWidth="10" defaultColWidth="10.85546875" defaultRowHeight="15" x14ac:dyDescent="0.25"/>
  <cols>
    <col min="1" max="2" width="10.85546875" style="1"/>
    <col min="3" max="3" width="21.28515625" style="1" customWidth="1"/>
    <col min="4" max="4" width="21.28515625" style="1" hidden="1" customWidth="1"/>
    <col min="5" max="5" width="20" style="1" customWidth="1"/>
    <col min="6" max="6" width="43.85546875" style="1" customWidth="1"/>
    <col min="7" max="7" width="32.7109375" style="1" customWidth="1"/>
    <col min="8" max="8" width="33.85546875" style="2" customWidth="1"/>
    <col min="9" max="10" width="18.140625" style="1" customWidth="1"/>
    <col min="11" max="11" width="12.140625" style="1" customWidth="1"/>
    <col min="12" max="12" width="19.28515625" style="1" customWidth="1"/>
    <col min="13" max="16384" width="10.85546875" style="1"/>
  </cols>
  <sheetData>
    <row r="1" spans="1:12" x14ac:dyDescent="0.25">
      <c r="A1" s="33">
        <f ca="1">TODAY()</f>
        <v>41978</v>
      </c>
    </row>
    <row r="6" spans="1:12" ht="59.25" customHeight="1" x14ac:dyDescent="0.25">
      <c r="C6" s="35" t="s">
        <v>6</v>
      </c>
      <c r="D6" s="36" t="s">
        <v>24</v>
      </c>
      <c r="E6" s="36" t="s">
        <v>8</v>
      </c>
      <c r="F6" s="36" t="s">
        <v>9</v>
      </c>
      <c r="G6" s="36" t="s">
        <v>3</v>
      </c>
      <c r="H6" s="36" t="s">
        <v>10</v>
      </c>
      <c r="I6" s="37" t="s">
        <v>5</v>
      </c>
      <c r="J6" s="37" t="s">
        <v>21</v>
      </c>
      <c r="K6" s="36" t="s">
        <v>4</v>
      </c>
      <c r="L6" s="36" t="s">
        <v>12</v>
      </c>
    </row>
    <row r="7" spans="1:12" ht="27.95" customHeight="1" x14ac:dyDescent="0.25">
      <c r="C7" s="38">
        <f ca="1">IF(Tableau1[[#This Row],[Années2]]="","",YEAR(A1))</f>
        <v>2014</v>
      </c>
      <c r="D7" s="38">
        <f>IF(OR(ISBLANK(Variables!$F$10),Variables!$F$10=0),"",1)</f>
        <v>1</v>
      </c>
      <c r="E7" s="39">
        <f>IF(Tableau1[[#This Row],[Années2]]="","",Variables!F8)</f>
        <v>2000</v>
      </c>
      <c r="F7" s="38">
        <f>IF(D7="","",IF(D7&lt;=Variables!$F$10,Variables!$F$9,""))</f>
        <v>950</v>
      </c>
      <c r="G7" s="39">
        <f>IF(D7="","",(Tableau1[[#This Row],[Versements annuels]]*Variables!$F$12)+Tableau4[[#Totals],[Frais de versement]])</f>
        <v>11.875</v>
      </c>
      <c r="H7" s="38">
        <f>IF(Tableau1[[#This Row],[Années2]]="","",Tableau4[[#Totals],[Versement]])</f>
        <v>0</v>
      </c>
      <c r="I7" s="40">
        <f>IF(D7="","",IF(Variables!$F$13*AVERAGE(Variables!$F$20,Variables!$G$20)&gt;1.05%,Variables!$F$13*AVERAGE(Variables!$F$20,Variables!$G$20),1.05%))</f>
        <v>1.47E-2</v>
      </c>
      <c r="J7" s="41">
        <f>IF(D7="","",Tableau4[[#Totals],[Interet]]+((Tableau1[[#This Row],[Capital]]+Tableau1[[#This Row],[Versements annuels]]+Tableau1[[#This Row],[Versements complémentaires libres autorisés]]))*(1+Tableau1[[#This Row],[Taux de rémunération]])-(Tableau1[[#This Row],[Capital]]+Tableau1[[#This Row],[Versements annuels]]+Tableau1[[#This Row],[Versements complémentaires libres autorisés]]))</f>
        <v>43.364999999999782</v>
      </c>
      <c r="K7" s="39">
        <f>IF(Tableau1[[#This Row],[Années2]]="","",(Tableau1[[#This Row],[Capital]]+Tableau1[[#This Row],[Versements annuels]]+Tableau1[[#This Row],[Versements complémentaires libres autorisés]]+Tableau1[[#This Row],[Interet]]-Tableau1[[#This Row],[Frais de versement]])*Variables!$F$11)</f>
        <v>3.7268624999999997</v>
      </c>
      <c r="L7" s="39">
        <f>IF(D7="","",Tableau1[[#This Row],[Capital]]+Tableau1[[#This Row],[Versements annuels]]+Tableau1[[#This Row],[Versements complémentaires libres autorisés]]+Tableau1[[#This Row],[Interet]]-Tableau1[[#This Row],[Frais de versement]]-Tableau1[[#This Row],[Frais de gestion]])</f>
        <v>2977.7631374999996</v>
      </c>
    </row>
    <row r="8" spans="1:12" ht="27.95" customHeight="1" x14ac:dyDescent="0.25">
      <c r="C8" s="42">
        <f ca="1">IF(Tableau1[[#This Row],[Années2]]="","",C7+1)</f>
        <v>2015</v>
      </c>
      <c r="D8" s="42">
        <f>IF(D7="","",IF(D7+1&gt;Variables!$F$10,"",'Tableau Projection'!D7+1))</f>
        <v>2</v>
      </c>
      <c r="E8" s="43">
        <f>IF(D7="","",IF(D7+1&gt;Variables!$F$10,"",'Tableau Projection'!L7))</f>
        <v>2977.7631374999996</v>
      </c>
      <c r="F8" s="42">
        <f>IF(D8="","",IF(D8&lt;=Variables!$F$10,Variables!$F$9,""))</f>
        <v>950</v>
      </c>
      <c r="G8" s="43">
        <f>IF(D8="","",(Tableau1[[#This Row],[Versements annuels]]*Variables!$F$12)+Tableau44[[#Totals],[Frais de versement]])</f>
        <v>11.875</v>
      </c>
      <c r="H8" s="42">
        <f>IF(Tableau1[[#This Row],[Années2]]="","",Tableau44[[#Totals],[Versement]])</f>
        <v>0</v>
      </c>
      <c r="I8" s="44">
        <f>IF(D8="","",IF(Variables!$F$13*AVERAGE(I7,Variables!$G$20)&gt;1.05%,Variables!$F$13*AVERAGE(I7,Variables!$G$20),1.05%))</f>
        <v>1.2145E-2</v>
      </c>
      <c r="J8" s="45">
        <f>IF(D8="","",Tableau4[[#Totals],[Interet]]+((Tableau1[[#This Row],[Capital]]+Tableau1[[#This Row],[Versements annuels]]+Tableau1[[#This Row],[Versements complémentaires libres autorisés]]))*(1+Tableau1[[#This Row],[Taux de rémunération]])-(Tableau1[[#This Row],[Capital]]+Tableau1[[#This Row],[Versements annuels]]+Tableau1[[#This Row],[Versements complémentaires libres autorisés]]))</f>
        <v>47.702683304937636</v>
      </c>
      <c r="K8" s="43">
        <f>IF(Tableau1[[#This Row],[Années2]]="","",(Tableau1[[#This Row],[Capital]]+Tableau1[[#This Row],[Versements annuels]]+Tableau1[[#This Row],[Versements complémentaires libres autorisés]]+Tableau1[[#This Row],[Interet]]-Tableau1[[#This Row],[Frais de versement]])*Variables!$F$11)</f>
        <v>4.9544885260061715</v>
      </c>
      <c r="L8" s="43">
        <f>IF(D8="","",Tableau1[[#This Row],[Capital]]+Tableau1[[#This Row],[Versements annuels]]+Tableau1[[#This Row],[Versements complémentaires libres autorisés]]+Tableau1[[#This Row],[Interet]]-Tableau1[[#This Row],[Frais de versement]]-Tableau1[[#This Row],[Frais de gestion]])</f>
        <v>3958.6363322789311</v>
      </c>
    </row>
    <row r="9" spans="1:12" ht="27.95" customHeight="1" x14ac:dyDescent="0.25">
      <c r="C9" s="42">
        <f ca="1">IF(Tableau1[[#This Row],[Années2]]="","",C8+1)</f>
        <v>2016</v>
      </c>
      <c r="D9" s="42">
        <f>IF(D8="","",IF(D8+1&gt;Variables!$F$10,"",'Tableau Projection'!D8+1))</f>
        <v>3</v>
      </c>
      <c r="E9" s="43">
        <f>IF(D8="","",IF(D8+1&gt;Variables!$F$10,"",'Tableau Projection'!L8))</f>
        <v>3958.6363322789311</v>
      </c>
      <c r="F9" s="42">
        <f>IF(D9="","",IF(D9&lt;=Variables!$F$10,Variables!$F$9,""))</f>
        <v>950</v>
      </c>
      <c r="G9" s="43">
        <f>IF(D9="","",(Tableau1[[#This Row],[Versements annuels]]*Variables!$F$12)+Tableau447[[#Totals],[Frais de versement]])</f>
        <v>11.875</v>
      </c>
      <c r="H9" s="42">
        <f>IF(Tableau1[[#This Row],[Années2]]="","",Tableau447[[#Totals],[Versement]])</f>
        <v>0</v>
      </c>
      <c r="I9" s="44">
        <f>IF(D9="","",IF(Variables!$F$13*AVERAGE(I8,I7)&gt;1.05%,Variables!$F$13*AVERAGE(I8,I7),1.05%))</f>
        <v>1.0500000000000001E-2</v>
      </c>
      <c r="J9" s="45">
        <f>IF(D9="","",Tableau4[[#Totals],[Interet]]+((Tableau1[[#This Row],[Capital]]+Tableau1[[#This Row],[Versements annuels]]+Tableau1[[#This Row],[Versements complémentaires libres autorisés]]))*(1+Tableau1[[#This Row],[Taux de rémunération]])-(Tableau1[[#This Row],[Capital]]+Tableau1[[#This Row],[Versements annuels]]+Tableau1[[#This Row],[Versements complémentaires libres autorisés]]))</f>
        <v>51.540681488928385</v>
      </c>
      <c r="K9" s="43">
        <f>IF(Tableau1[[#This Row],[Années2]]="","",(Tableau1[[#This Row],[Capital]]+Tableau1[[#This Row],[Versements annuels]]+Tableau1[[#This Row],[Versements complémentaires libres autorisés]]+Tableau1[[#This Row],[Interet]]-Tableau1[[#This Row],[Frais de versement]])*Variables!$F$11)</f>
        <v>6.1853775172098242</v>
      </c>
      <c r="L9" s="43">
        <f>IF(D9="","",Tableau1[[#This Row],[Capital]]+Tableau1[[#This Row],[Versements annuels]]+Tableau1[[#This Row],[Versements complémentaires libres autorisés]]+Tableau1[[#This Row],[Interet]]-Tableau1[[#This Row],[Frais de versement]]-Tableau1[[#This Row],[Frais de gestion]])</f>
        <v>4942.1166362506501</v>
      </c>
    </row>
    <row r="10" spans="1:12" ht="27.95" customHeight="1" x14ac:dyDescent="0.25">
      <c r="C10" s="42">
        <f ca="1">IF(Tableau1[[#This Row],[Années2]]="","",C9+1)</f>
        <v>2017</v>
      </c>
      <c r="D10" s="42">
        <f>IF(D9="","",IF(D9+1&gt;Variables!$F$10,"",'Tableau Projection'!D9+1))</f>
        <v>4</v>
      </c>
      <c r="E10" s="43">
        <f>IF(D9="","",IF(D9+1&gt;Variables!$F$10,"",'Tableau Projection'!L9))</f>
        <v>4942.1166362506501</v>
      </c>
      <c r="F10" s="42">
        <f>IF(D10="","",IF(D10&lt;=Variables!$F$10,Variables!$F$9,""))</f>
        <v>950</v>
      </c>
      <c r="G10" s="43">
        <f>IF(D10="","",(Tableau1[[#This Row],[Versements annuels]]*Variables!$F$12)+Tableau4478[[#Totals],[Frais de versement]])</f>
        <v>11.875</v>
      </c>
      <c r="H10" s="42">
        <f>IF(Tableau1[[#This Row],[Années2]]="","",Tableau4478[[#Totals],[Versement]])</f>
        <v>0</v>
      </c>
      <c r="I10" s="44">
        <f>IF(D10="","",IF(Variables!$F$13*AVERAGE(I9,I8)&gt;1.05%,Variables!$F$13*AVERAGE(I9,I8),1.05%))</f>
        <v>1.0500000000000001E-2</v>
      </c>
      <c r="J10" s="45">
        <f>IF(D10="","",Tableau4[[#Totals],[Interet]]+((Tableau1[[#This Row],[Capital]]+Tableau1[[#This Row],[Versements annuels]]+Tableau1[[#This Row],[Versements complémentaires libres autorisés]]))*(1+Tableau1[[#This Row],[Taux de rémunération]])-(Tableau1[[#This Row],[Capital]]+Tableau1[[#This Row],[Versements annuels]]+Tableau1[[#This Row],[Versements complémentaires libres autorisés]]))</f>
        <v>61.867224680631807</v>
      </c>
      <c r="K10" s="43">
        <f>IF(Tableau1[[#This Row],[Années2]]="","",(Tableau1[[#This Row],[Capital]]+Tableau1[[#This Row],[Versements annuels]]+Tableau1[[#This Row],[Versements complémentaires libres autorisés]]+Tableau1[[#This Row],[Interet]]-Tableau1[[#This Row],[Frais de versement]])*Variables!$F$11)</f>
        <v>7.4276360761641023</v>
      </c>
      <c r="L10" s="43">
        <f>IF(D10="","",Tableau1[[#This Row],[Capital]]+Tableau1[[#This Row],[Versements annuels]]+Tableau1[[#This Row],[Versements complémentaires libres autorisés]]+Tableau1[[#This Row],[Interet]]-Tableau1[[#This Row],[Frais de versement]]-Tableau1[[#This Row],[Frais de gestion]])</f>
        <v>5934.6812248551178</v>
      </c>
    </row>
    <row r="11" spans="1:12" ht="27.95" customHeight="1" x14ac:dyDescent="0.25">
      <c r="C11" s="42">
        <f ca="1">IF(Tableau1[[#This Row],[Années2]]="","",C10+1)</f>
        <v>2018</v>
      </c>
      <c r="D11" s="42">
        <f>IF(D10="","",IF(D10+1&gt;Variables!$F$10,"",'Tableau Projection'!D10+1))</f>
        <v>5</v>
      </c>
      <c r="E11" s="43">
        <f>IF(D10="","",IF(D10+1&gt;Variables!$F$10,"",'Tableau Projection'!L10))</f>
        <v>5934.6812248551178</v>
      </c>
      <c r="F11" s="42">
        <f>IF(D11="","",IF(D11&lt;=Variables!$F$10,Variables!$F$9,""))</f>
        <v>950</v>
      </c>
      <c r="G11" s="43">
        <f>IF(D11="","",(Tableau1[[#This Row],[Versements annuels]]*Variables!$F$12)+Tableau44789[[#Totals],[Frais de versement]])</f>
        <v>11.875</v>
      </c>
      <c r="H11" s="42">
        <f>IF(Tableau1[[#This Row],[Années2]]="","",Tableau44789[[#Totals],[Versement]])</f>
        <v>0</v>
      </c>
      <c r="I11" s="44">
        <f>IF(D11="","",IF(Variables!$F$13*AVERAGE(I10,I9)&gt;1.05%,Variables!$F$13*AVERAGE(I10,I9),1.05%))</f>
        <v>1.0500000000000001E-2</v>
      </c>
      <c r="J11" s="45">
        <f>IF(D11="","",Tableau4[[#Totals],[Interet]]+((Tableau1[[#This Row],[Capital]]+Tableau1[[#This Row],[Versements annuels]]+Tableau1[[#This Row],[Versements complémentaires libres autorisés]]))*(1+Tableau1[[#This Row],[Taux de rémunération]])-(Tableau1[[#This Row],[Capital]]+Tableau1[[#This Row],[Versements annuels]]+Tableau1[[#This Row],[Versements complémentaires libres autorisés]]))</f>
        <v>72.289152860977993</v>
      </c>
      <c r="K11" s="43">
        <f>IF(Tableau1[[#This Row],[Années2]]="","",(Tableau1[[#This Row],[Capital]]+Tableau1[[#This Row],[Versements annuels]]+Tableau1[[#This Row],[Versements complémentaires libres autorisés]]+Tableau1[[#This Row],[Interet]]-Tableau1[[#This Row],[Frais de versement]])*Variables!$F$11)</f>
        <v>8.6813692221451202</v>
      </c>
      <c r="L11" s="43">
        <f>IF(D11="","",Tableau1[[#This Row],[Capital]]+Tableau1[[#This Row],[Versements annuels]]+Tableau1[[#This Row],[Versements complémentaires libres autorisés]]+Tableau1[[#This Row],[Interet]]-Tableau1[[#This Row],[Frais de versement]]-Tableau1[[#This Row],[Frais de gestion]])</f>
        <v>6936.4140084939509</v>
      </c>
    </row>
    <row r="12" spans="1:12" ht="27.95" customHeight="1" x14ac:dyDescent="0.25">
      <c r="C12" s="42">
        <f ca="1">IF(Tableau1[[#This Row],[Années2]]="","",C11+1)</f>
        <v>2019</v>
      </c>
      <c r="D12" s="42">
        <f>IF(D11="","",IF(D11+1&gt;Variables!$F$10,"",'Tableau Projection'!D11+1))</f>
        <v>6</v>
      </c>
      <c r="E12" s="43">
        <f>IF(D11="","",IF(D11+1&gt;Variables!$F$10,"",'Tableau Projection'!L11))</f>
        <v>6936.4140084939509</v>
      </c>
      <c r="F12" s="42">
        <f>IF(D12="","",IF(D12&lt;=Variables!$F$10,Variables!$F$9,""))</f>
        <v>950</v>
      </c>
      <c r="G12" s="43">
        <f>IF(D12="","",(Tableau1[[#This Row],[Versements annuels]]*Variables!$F$12)+Tableau4478910[[#Totals],[Frais de versement]])</f>
        <v>11.875</v>
      </c>
      <c r="H12" s="42">
        <f>IF(Tableau1[[#This Row],[Années2]]="","",Tableau4478910[[#Totals],[Versement]])</f>
        <v>0</v>
      </c>
      <c r="I12" s="44">
        <f>IF(D12="","",IF(Variables!$F$13*AVERAGE(I11,I10)&gt;1.05%,Variables!$F$13*AVERAGE(I11,I10),1.05%))</f>
        <v>1.0500000000000001E-2</v>
      </c>
      <c r="J12" s="45">
        <f>IF(D12="","",Tableau4[[#Totals],[Interet]]+((Tableau1[[#This Row],[Capital]]+Tableau1[[#This Row],[Versements annuels]]+Tableau1[[#This Row],[Versements complémentaires libres autorisés]]))*(1+Tableau1[[#This Row],[Taux de rémunération]])-(Tableau1[[#This Row],[Capital]]+Tableau1[[#This Row],[Versements annuels]]+Tableau1[[#This Row],[Versements complémentaires libres autorisés]]))</f>
        <v>82.807347089185896</v>
      </c>
      <c r="K12" s="43">
        <f>IF(Tableau1[[#This Row],[Années2]]="","",(Tableau1[[#This Row],[Capital]]+Tableau1[[#This Row],[Versements annuels]]+Tableau1[[#This Row],[Versements complémentaires libres autorisés]]+Tableau1[[#This Row],[Interet]]-Tableau1[[#This Row],[Frais de versement]])*Variables!$F$11)</f>
        <v>9.9466829444789209</v>
      </c>
      <c r="L12" s="43">
        <f>IF(D12="","",Tableau1[[#This Row],[Capital]]+Tableau1[[#This Row],[Versements annuels]]+Tableau1[[#This Row],[Versements complémentaires libres autorisés]]+Tableau1[[#This Row],[Interet]]-Tableau1[[#This Row],[Frais de versement]]-Tableau1[[#This Row],[Frais de gestion]])</f>
        <v>7947.3996726386576</v>
      </c>
    </row>
    <row r="13" spans="1:12" ht="27.95" customHeight="1" x14ac:dyDescent="0.25">
      <c r="C13" s="42">
        <f ca="1">IF(Tableau1[[#This Row],[Années2]]="","",C12+1)</f>
        <v>2020</v>
      </c>
      <c r="D13" s="42">
        <f>IF(D12="","",IF(D12+1&gt;Variables!$F$10,"",'Tableau Projection'!D12+1))</f>
        <v>7</v>
      </c>
      <c r="E13" s="43">
        <f>IF(D12="","",IF(D12+1&gt;Variables!$F$10,"",'Tableau Projection'!L12))</f>
        <v>7947.3996726386576</v>
      </c>
      <c r="F13" s="42">
        <f>IF(D13="","",IF(D13&lt;=Variables!$F$10,Variables!$F$9,""))</f>
        <v>950</v>
      </c>
      <c r="G13" s="43">
        <f>IF(D13="","",(Tableau1[[#This Row],[Versements annuels]]*Variables!$F$12)+Tableau447891011[[#Totals],[Frais de versement]])</f>
        <v>11.875</v>
      </c>
      <c r="H13" s="42">
        <f>IF(Tableau1[[#This Row],[Années2]]="","",Tableau447891011[[#Totals],[Versement]])</f>
        <v>0</v>
      </c>
      <c r="I13" s="44">
        <f>IF(D13="","",IF(Variables!$F$13*AVERAGE(I12,I11)&gt;1.05%,Variables!$F$13*AVERAGE(I12,I11),1.05%))</f>
        <v>1.0500000000000001E-2</v>
      </c>
      <c r="J13" s="45">
        <f>IF(D13="","",Tableau4[[#Totals],[Interet]]+((Tableau1[[#This Row],[Capital]]+Tableau1[[#This Row],[Versements annuels]]+Tableau1[[#This Row],[Versements complémentaires libres autorisés]]))*(1+Tableau1[[#This Row],[Taux de rémunération]])-(Tableau1[[#This Row],[Capital]]+Tableau1[[#This Row],[Versements annuels]]+Tableau1[[#This Row],[Versements complémentaires libres autorisés]]))</f>
        <v>93.422696562705823</v>
      </c>
      <c r="K13" s="43">
        <f>IF(Tableau1[[#This Row],[Années2]]="","",(Tableau1[[#This Row],[Capital]]+Tableau1[[#This Row],[Versements annuels]]+Tableau1[[#This Row],[Versements complémentaires libres autorisés]]+Tableau1[[#This Row],[Interet]]-Tableau1[[#This Row],[Frais de versement]])*Variables!$F$11)</f>
        <v>11.223684211501704</v>
      </c>
      <c r="L13" s="43">
        <f>IF(D13="","",Tableau1[[#This Row],[Capital]]+Tableau1[[#This Row],[Versements annuels]]+Tableau1[[#This Row],[Versements complémentaires libres autorisés]]+Tableau1[[#This Row],[Interet]]-Tableau1[[#This Row],[Frais de versement]]-Tableau1[[#This Row],[Frais de gestion]])</f>
        <v>8967.7236849898618</v>
      </c>
    </row>
    <row r="14" spans="1:12" ht="27.95" customHeight="1" x14ac:dyDescent="0.25">
      <c r="C14" s="42">
        <f ca="1">IF(Tableau1[[#This Row],[Années2]]="","",C13+1)</f>
        <v>2021</v>
      </c>
      <c r="D14" s="42">
        <f>IF(D13="","",IF(D13+1&gt;Variables!$F$10,"",'Tableau Projection'!D13+1))</f>
        <v>8</v>
      </c>
      <c r="E14" s="43">
        <f>IF(D13="","",IF(D13+1&gt;Variables!$F$10,"",'Tableau Projection'!L13))</f>
        <v>8967.7236849898618</v>
      </c>
      <c r="F14" s="42">
        <f>IF(D14="","",IF(D14&lt;=Variables!$F$10,Variables!$F$9,""))</f>
        <v>950</v>
      </c>
      <c r="G14" s="43">
        <f>IF(D14="","",(Tableau1[[#This Row],[Versements annuels]]*Variables!$F$12)+Tableau44789101112[[#Totals],[Frais de versement]])</f>
        <v>11.875</v>
      </c>
      <c r="H14" s="42">
        <f>IF(Tableau1[[#This Row],[Années2]]="","",Tableau44789101112[[#Totals],[Versement]])</f>
        <v>0</v>
      </c>
      <c r="I14" s="44">
        <f>IF(D14="","",IF(Variables!$F$13*AVERAGE(I13,I12)&gt;1.05%,Variables!$F$13*AVERAGE(I13,I12),1.05%))</f>
        <v>1.0500000000000001E-2</v>
      </c>
      <c r="J14" s="45">
        <f>IF(D14="","",Tableau4[[#Totals],[Interet]]+((Tableau1[[#This Row],[Capital]]+Tableau1[[#This Row],[Versements annuels]]+Tableau1[[#This Row],[Versements complémentaires libres autorisés]]))*(1+Tableau1[[#This Row],[Taux de rémunération]])-(Tableau1[[#This Row],[Capital]]+Tableau1[[#This Row],[Versements annuels]]+Tableau1[[#This Row],[Versements complémentaires libres autorisés]]))</f>
        <v>104.13609869239372</v>
      </c>
      <c r="K14" s="43">
        <f>IF(Tableau1[[#This Row],[Années2]]="","",(Tableau1[[#This Row],[Capital]]+Tableau1[[#This Row],[Versements annuels]]+Tableau1[[#This Row],[Versements complémentaires libres autorisés]]+Tableau1[[#This Row],[Interet]]-Tableau1[[#This Row],[Frais de versement]])*Variables!$F$11)</f>
        <v>12.51248097960282</v>
      </c>
      <c r="L14" s="43">
        <f>IF(D14="","",Tableau1[[#This Row],[Capital]]+Tableau1[[#This Row],[Versements annuels]]+Tableau1[[#This Row],[Versements complémentaires libres autorisés]]+Tableau1[[#This Row],[Interet]]-Tableau1[[#This Row],[Frais de versement]]-Tableau1[[#This Row],[Frais de gestion]])</f>
        <v>9997.4723027026521</v>
      </c>
    </row>
    <row r="15" spans="1:12" ht="27.95" customHeight="1" x14ac:dyDescent="0.25">
      <c r="C15" s="42">
        <f ca="1">IF(Tableau1[[#This Row],[Années2]]="","",C14+1)</f>
        <v>2022</v>
      </c>
      <c r="D15" s="42">
        <f>IF(D14="","",IF(D14+1&gt;Variables!$F$10,"",'Tableau Projection'!D14+1))</f>
        <v>9</v>
      </c>
      <c r="E15" s="43">
        <f>IF(D14="","",IF(D14+1&gt;Variables!$F$10,"",'Tableau Projection'!L14))</f>
        <v>9997.4723027026521</v>
      </c>
      <c r="F15" s="42">
        <f>IF(D15="","",IF(D15&lt;=Variables!$F$10,Variables!$F$9,""))</f>
        <v>950</v>
      </c>
      <c r="G15" s="43">
        <f>IF(D15="","",(Tableau1[[#This Row],[Versements annuels]]*Variables!$F$12)+Tableau4478910111213[[#Totals],[Frais de versement]])</f>
        <v>11.875</v>
      </c>
      <c r="H15" s="42">
        <f>IF(Tableau1[[#This Row],[Années2]]="","",Tableau4478910111213[[#Totals],[Versement]])</f>
        <v>0</v>
      </c>
      <c r="I15" s="44">
        <f>IF(D15="","",IF(Variables!$F$13*AVERAGE(I14,I13)&gt;1.05%,Variables!$F$13*AVERAGE(I14,I13),1.05%))</f>
        <v>1.0500000000000001E-2</v>
      </c>
      <c r="J15" s="45">
        <f>IF(D15="","",Tableau4[[#Totals],[Interet]]+((Tableau1[[#This Row],[Capital]]+Tableau1[[#This Row],[Versements annuels]]+Tableau1[[#This Row],[Versements complémentaires libres autorisés]]))*(1+Tableau1[[#This Row],[Taux de rémunération]])-(Tableau1[[#This Row],[Capital]]+Tableau1[[#This Row],[Versements annuels]]+Tableau1[[#This Row],[Versements complémentaires libres autorisés]]))</f>
        <v>114.94845917837665</v>
      </c>
      <c r="K15" s="43">
        <f>IF(Tableau1[[#This Row],[Années2]]="","",(Tableau1[[#This Row],[Capital]]+Tableau1[[#This Row],[Versements annuels]]+Tableau1[[#This Row],[Versements complémentaires libres autorisés]]+Tableau1[[#This Row],[Interet]]-Tableau1[[#This Row],[Frais de versement]])*Variables!$F$11)</f>
        <v>13.813182202351285</v>
      </c>
      <c r="L15" s="43">
        <f>IF(D15="","",Tableau1[[#This Row],[Capital]]+Tableau1[[#This Row],[Versements annuels]]+Tableau1[[#This Row],[Versements complémentaires libres autorisés]]+Tableau1[[#This Row],[Interet]]-Tableau1[[#This Row],[Frais de versement]]-Tableau1[[#This Row],[Frais de gestion]])</f>
        <v>11036.732579678677</v>
      </c>
    </row>
    <row r="16" spans="1:12" ht="27.95" customHeight="1" x14ac:dyDescent="0.25">
      <c r="C16" s="42">
        <f ca="1">IF(Tableau1[[#This Row],[Années2]]="","",C15+1)</f>
        <v>2023</v>
      </c>
      <c r="D16" s="42">
        <f>IF(D15="","",IF(D15+1&gt;Variables!$F$10,"",'Tableau Projection'!D15+1))</f>
        <v>10</v>
      </c>
      <c r="E16" s="43">
        <f>IF(D15="","",IF(D15+1&gt;Variables!$F$10,"",'Tableau Projection'!L15))</f>
        <v>11036.732579678677</v>
      </c>
      <c r="F16" s="42">
        <f>IF(D16="","",IF(D16&lt;=Variables!$F$10,Variables!$F$9,""))</f>
        <v>950</v>
      </c>
      <c r="G16" s="43">
        <f>IF(D16="","",(Tableau1[[#This Row],[Versements annuels]]*Variables!$F$12)+Tableau447891011121314[[#Totals],[Frais de versement]])</f>
        <v>11.875</v>
      </c>
      <c r="H16" s="42">
        <f>IF(Tableau1[[#This Row],[Années2]]="","",Tableau447891011121314[[#Totals],[Versement]])</f>
        <v>0</v>
      </c>
      <c r="I16" s="44">
        <f>IF(D16="","",IF(Variables!$F$13*AVERAGE(I15,I14)&gt;1.05%,Variables!$F$13*AVERAGE(I15,I14),1.05%))</f>
        <v>1.0500000000000001E-2</v>
      </c>
      <c r="J16" s="45">
        <f>IF(D16="","",Tableau4[[#Totals],[Interet]]+((Tableau1[[#This Row],[Capital]]+Tableau1[[#This Row],[Versements annuels]]+Tableau1[[#This Row],[Versements complémentaires libres autorisés]]))*(1+Tableau1[[#This Row],[Taux de rémunération]])-(Tableau1[[#This Row],[Capital]]+Tableau1[[#This Row],[Versements annuels]]+Tableau1[[#This Row],[Versements complémentaires libres autorisés]]))</f>
        <v>125.86069208662593</v>
      </c>
      <c r="K16" s="43">
        <f>IF(Tableau1[[#This Row],[Années2]]="","",(Tableau1[[#This Row],[Capital]]+Tableau1[[#This Row],[Versements annuels]]+Tableau1[[#This Row],[Versements complémentaires libres autorisés]]+Tableau1[[#This Row],[Interet]]-Tableau1[[#This Row],[Frais de versement]])*Variables!$F$11)</f>
        <v>15.12589783970663</v>
      </c>
      <c r="L16" s="43">
        <f>IF(D16="","",Tableau1[[#This Row],[Capital]]+Tableau1[[#This Row],[Versements annuels]]+Tableau1[[#This Row],[Versements complémentaires libres autorisés]]+Tableau1[[#This Row],[Interet]]-Tableau1[[#This Row],[Frais de versement]]-Tableau1[[#This Row],[Frais de gestion]])</f>
        <v>12085.592373925596</v>
      </c>
    </row>
    <row r="17" spans="3:12" ht="27.95" customHeight="1" x14ac:dyDescent="0.25">
      <c r="C17" s="42">
        <f ca="1">IF(Tableau1[[#This Row],[Années2]]="","",C16+1)</f>
        <v>2024</v>
      </c>
      <c r="D17" s="42">
        <f>IF(D16="","",IF(D16+1&gt;Variables!$F$10,"",'Tableau Projection'!D16+1))</f>
        <v>11</v>
      </c>
      <c r="E17" s="43">
        <f>IF(D16="","",IF(D16+1&gt;Variables!$F$10,"",'Tableau Projection'!L16))</f>
        <v>12085.592373925596</v>
      </c>
      <c r="F17" s="42">
        <f>IF(D17="","",IF(D17&lt;=Variables!$F$10,Variables!$F$9,""))</f>
        <v>950</v>
      </c>
      <c r="G17" s="43">
        <f>IF(D17="","",(Tableau1[[#This Row],[Versements annuels]]*Variables!$F$12)+Tableau44789101112131415[[#Totals],[Frais de versement]])</f>
        <v>11.875</v>
      </c>
      <c r="H17" s="46">
        <f>IF(Tableau1[[#This Row],[Années2]]="","",Tableau44789101112131415[[#Totals],[Versement]])</f>
        <v>0</v>
      </c>
      <c r="I17" s="44">
        <f>IF(D17="","",IF(Variables!$F$13*AVERAGE(I16,I15)&gt;1.05%,Variables!$F$13*AVERAGE(I16,I15),1.05%))</f>
        <v>1.0500000000000001E-2</v>
      </c>
      <c r="J17" s="45">
        <f>IF(D17="","",Tableau4[[#Totals],[Interet]]+((Tableau1[[#This Row],[Capital]]+Tableau1[[#This Row],[Versements annuels]]+Tableau1[[#This Row],[Versements complémentaires libres autorisés]]))*(1+Tableau1[[#This Row],[Taux de rémunération]])-(Tableau1[[#This Row],[Capital]]+Tableau1[[#This Row],[Versements annuels]]+Tableau1[[#This Row],[Versements complémentaires libres autorisés]]))</f>
        <v>136.87371992621775</v>
      </c>
      <c r="K17" s="43">
        <f>IF(Tableau1[[#This Row],[Années2]]="","",(Tableau1[[#This Row],[Capital]]+Tableau1[[#This Row],[Versements annuels]]+Tableau1[[#This Row],[Versements complémentaires libres autorisés]]+Tableau1[[#This Row],[Interet]]-Tableau1[[#This Row],[Frais de versement]])*Variables!$F$11)</f>
        <v>16.450738867314769</v>
      </c>
      <c r="L17" s="43">
        <f>IF(D17="","",Tableau1[[#This Row],[Capital]]+Tableau1[[#This Row],[Versements annuels]]+Tableau1[[#This Row],[Versements complémentaires libres autorisés]]+Tableau1[[#This Row],[Interet]]-Tableau1[[#This Row],[Frais de versement]]-Tableau1[[#This Row],[Frais de gestion]])</f>
        <v>13144.140354984498</v>
      </c>
    </row>
    <row r="18" spans="3:12" ht="27.95" customHeight="1" x14ac:dyDescent="0.25">
      <c r="C18" s="42">
        <f ca="1">IF(Tableau1[[#This Row],[Années2]]="","",C17+1)</f>
        <v>2025</v>
      </c>
      <c r="D18" s="42">
        <f>IF(D17="","",IF(D17+1&gt;Variables!$F$10,"",'Tableau Projection'!D17+1))</f>
        <v>12</v>
      </c>
      <c r="E18" s="43">
        <f>IF(D17="","",IF(D17+1&gt;Variables!$F$10,"",'Tableau Projection'!L17))</f>
        <v>13144.140354984498</v>
      </c>
      <c r="F18" s="42">
        <f>IF(D18="","",IF(D18&lt;=Variables!$F$10,Variables!$F$9,""))</f>
        <v>950</v>
      </c>
      <c r="G18" s="43">
        <f>IF(D18="","",(Tableau1[[#This Row],[Versements annuels]]*Variables!$F$12)+Tableau4478910111213141516[[#Totals],[Frais de versement]])</f>
        <v>11.875</v>
      </c>
      <c r="H18" s="46">
        <f>IF(Tableau1[[#This Row],[Années2]]="","",Tableau4478910111213141516[[#Totals],[Versement]])</f>
        <v>0</v>
      </c>
      <c r="I18" s="44">
        <f>IF(D18="","",IF(Variables!$F$13*AVERAGE(I17,I16)&gt;1.05%,Variables!$F$13*AVERAGE(I17,I16),1.05%))</f>
        <v>1.0500000000000001E-2</v>
      </c>
      <c r="J18" s="45">
        <f>IF(D18="","",Tableau4[[#Totals],[Interet]]+((Tableau1[[#This Row],[Capital]]+Tableau1[[#This Row],[Versements annuels]]+Tableau1[[#This Row],[Versements complémentaires libres autorisés]]))*(1+Tableau1[[#This Row],[Taux de rémunération]])-(Tableau1[[#This Row],[Capital]]+Tableau1[[#This Row],[Versements annuels]]+Tableau1[[#This Row],[Versements complémentaires libres autorisés]]))</f>
        <v>147.9884737273369</v>
      </c>
      <c r="K18" s="43">
        <f>IF(Tableau1[[#This Row],[Années2]]="","",(Tableau1[[#This Row],[Capital]]+Tableau1[[#This Row],[Versements annuels]]+Tableau1[[#This Row],[Versements complémentaires libres autorisés]]+Tableau1[[#This Row],[Interet]]-Tableau1[[#This Row],[Frais de versement]])*Variables!$F$11)</f>
        <v>17.787817285889794</v>
      </c>
      <c r="L18" s="43">
        <f>IF(D18="","",Tableau1[[#This Row],[Capital]]+Tableau1[[#This Row],[Versements annuels]]+Tableau1[[#This Row],[Versements complémentaires libres autorisés]]+Tableau1[[#This Row],[Interet]]-Tableau1[[#This Row],[Frais de versement]]-Tableau1[[#This Row],[Frais de gestion]])</f>
        <v>14212.466011425946</v>
      </c>
    </row>
    <row r="19" spans="3:12" ht="27.95" customHeight="1" x14ac:dyDescent="0.25">
      <c r="C19" s="42">
        <f ca="1">IF(Tableau1[[#This Row],[Années2]]="","",C18+1)</f>
        <v>2026</v>
      </c>
      <c r="D19" s="42">
        <f>IF(D18="","",IF(D18+1&gt;Variables!$F$10,"",'Tableau Projection'!D18+1))</f>
        <v>13</v>
      </c>
      <c r="E19" s="43">
        <f>IF(D18="","",IF(D18+1&gt;Variables!$F$10,"",'Tableau Projection'!L18))</f>
        <v>14212.466011425946</v>
      </c>
      <c r="F19" s="42">
        <f>IF(D19="","",IF(D19&lt;=Variables!$F$10,Variables!$F$9,""))</f>
        <v>950</v>
      </c>
      <c r="G19" s="43">
        <f>IF(D19="","",(Tableau1[[#This Row],[Versements annuels]]*Variables!$F$12)+Tableau447891011121314151617[[#Totals],[Frais de versement]])</f>
        <v>11.875</v>
      </c>
      <c r="H19" s="46">
        <f>IF(Tableau1[[#This Row],[Années2]]="","",Tableau447891011121314151617[[#Totals],[Versement]])</f>
        <v>0</v>
      </c>
      <c r="I19" s="44">
        <f>IF(D19="","",IF(Variables!$F$13*AVERAGE(I18,I17)&gt;1.05%,Variables!$F$13*AVERAGE(I18,I17),1.05%))</f>
        <v>1.0500000000000001E-2</v>
      </c>
      <c r="J19" s="45">
        <f>IF(D19="","",Tableau4[[#Totals],[Interet]]+((Tableau1[[#This Row],[Capital]]+Tableau1[[#This Row],[Versements annuels]]+Tableau1[[#This Row],[Versements complémentaires libres autorisés]]))*(1+Tableau1[[#This Row],[Taux de rémunération]])-(Tableau1[[#This Row],[Capital]]+Tableau1[[#This Row],[Versements annuels]]+Tableau1[[#This Row],[Versements complémentaires libres autorisés]]))</f>
        <v>159.20589311997173</v>
      </c>
      <c r="K19" s="43">
        <f>IF(Tableau1[[#This Row],[Années2]]="","",(Tableau1[[#This Row],[Capital]]+Tableau1[[#This Row],[Versements annuels]]+Tableau1[[#This Row],[Versements complémentaires libres autorisés]]+Tableau1[[#This Row],[Interet]]-Tableau1[[#This Row],[Frais de versement]])*Variables!$F$11)</f>
        <v>19.137246130682396</v>
      </c>
      <c r="L19" s="43">
        <f>IF(D19="","",Tableau1[[#This Row],[Capital]]+Tableau1[[#This Row],[Versements annuels]]+Tableau1[[#This Row],[Versements complémentaires libres autorisés]]+Tableau1[[#This Row],[Interet]]-Tableau1[[#This Row],[Frais de versement]]-Tableau1[[#This Row],[Frais de gestion]])</f>
        <v>15290.659658415236</v>
      </c>
    </row>
    <row r="20" spans="3:12" ht="27.95" customHeight="1" x14ac:dyDescent="0.25">
      <c r="C20" s="42">
        <f ca="1">IF(Tableau1[[#This Row],[Années2]]="","",C19+1)</f>
        <v>2027</v>
      </c>
      <c r="D20" s="42">
        <f>IF(D19="","",IF(D19+1&gt;Variables!$F$10,"",'Tableau Projection'!D19+1))</f>
        <v>14</v>
      </c>
      <c r="E20" s="43">
        <f>IF(D19="","",IF(D19+1&gt;Variables!$F$10,"",'Tableau Projection'!L19))</f>
        <v>15290.659658415236</v>
      </c>
      <c r="F20" s="42">
        <f>IF(D20="","",IF(D20&lt;=Variables!$F$10,Variables!$F$9,""))</f>
        <v>950</v>
      </c>
      <c r="G20" s="43">
        <f>IF(D20="","",(Tableau1[[#This Row],[Versements annuels]]*Variables!$F$12)+Tableau44789101112131415161718[[#Totals],[Frais de versement]])</f>
        <v>11.875</v>
      </c>
      <c r="H20" s="46">
        <f>IF(Tableau1[[#This Row],[Années2]]="","",Tableau44789101112131415161718[[#Totals],[Versement]])</f>
        <v>0</v>
      </c>
      <c r="I20" s="44">
        <f>IF(D20="","",IF(Variables!$F$13*AVERAGE(I19,I18)&gt;1.05%,Variables!$F$13*AVERAGE(I19,I18),1.05%))</f>
        <v>1.0500000000000001E-2</v>
      </c>
      <c r="J20" s="45">
        <f>IF(D20="","",Tableau4[[#Totals],[Interet]]+((Tableau1[[#This Row],[Capital]]+Tableau1[[#This Row],[Versements annuels]]+Tableau1[[#This Row],[Versements complémentaires libres autorisés]]))*(1+Tableau1[[#This Row],[Taux de rémunération]])-(Tableau1[[#This Row],[Capital]]+Tableau1[[#This Row],[Versements annuels]]+Tableau1[[#This Row],[Versements complémentaires libres autorisés]]))</f>
        <v>170.52692641336034</v>
      </c>
      <c r="K20" s="43">
        <f>IF(Tableau1[[#This Row],[Années2]]="","",(Tableau1[[#This Row],[Capital]]+Tableau1[[#This Row],[Versements annuels]]+Tableau1[[#This Row],[Versements complémentaires libres autorisés]]+Tableau1[[#This Row],[Interet]]-Tableau1[[#This Row],[Frais de versement]])*Variables!$F$11)</f>
        <v>20.499139481035744</v>
      </c>
      <c r="L20" s="43">
        <f>IF(D20="","",Tableau1[[#This Row],[Capital]]+Tableau1[[#This Row],[Versements annuels]]+Tableau1[[#This Row],[Versements complémentaires libres autorisés]]+Tableau1[[#This Row],[Interet]]-Tableau1[[#This Row],[Frais de versement]]-Tableau1[[#This Row],[Frais de gestion]])</f>
        <v>16378.812445347561</v>
      </c>
    </row>
    <row r="21" spans="3:12" ht="27.95" customHeight="1" x14ac:dyDescent="0.25">
      <c r="C21" s="42">
        <f ca="1">IF(Tableau1[[#This Row],[Années2]]="","",C20+1)</f>
        <v>2028</v>
      </c>
      <c r="D21" s="42">
        <f>IF(D20="","",IF(D20+1&gt;Variables!$F$10,"",'Tableau Projection'!D20+1))</f>
        <v>15</v>
      </c>
      <c r="E21" s="43">
        <f>IF(D20="","",IF(D20+1&gt;Variables!$F$10,"",'Tableau Projection'!L20))</f>
        <v>16378.812445347561</v>
      </c>
      <c r="F21" s="42">
        <f>IF(D21="","",IF(D21&lt;=Variables!$F$10,Variables!$F$9,""))</f>
        <v>950</v>
      </c>
      <c r="G21" s="43">
        <f>IF(D21="","",(Tableau1[[#This Row],[Versements annuels]]*Variables!$F$12)+Tableau4478910111213141516171819[[#Totals],[Frais de versement]])</f>
        <v>11.875</v>
      </c>
      <c r="H21" s="46">
        <f>IF(Tableau1[[#This Row],[Années2]]="","",Tableau4478910111213141516171819[[#Totals],[Versement]])</f>
        <v>0</v>
      </c>
      <c r="I21" s="44">
        <f>IF(D21="","",IF(Variables!$F$13*AVERAGE(I20,I19)&gt;1.05%,Variables!$F$13*AVERAGE(I20,I19),1.05%))</f>
        <v>1.0500000000000001E-2</v>
      </c>
      <c r="J21" s="45">
        <f>IF(D21="","",Tableau4[[#Totals],[Interet]]+((Tableau1[[#This Row],[Capital]]+Tableau1[[#This Row],[Versements annuels]]+Tableau1[[#This Row],[Versements complémentaires libres autorisés]]))*(1+Tableau1[[#This Row],[Taux de rémunération]])-(Tableau1[[#This Row],[Capital]]+Tableau1[[#This Row],[Versements annuels]]+Tableau1[[#This Row],[Versements complémentaires libres autorisés]]))</f>
        <v>181.95253067614976</v>
      </c>
      <c r="K21" s="43">
        <f>IF(Tableau1[[#This Row],[Années2]]="","",(Tableau1[[#This Row],[Capital]]+Tableau1[[#This Row],[Versements annuels]]+Tableau1[[#This Row],[Versements complémentaires libres autorisés]]+Tableau1[[#This Row],[Interet]]-Tableau1[[#This Row],[Frais de versement]])*Variables!$F$11)</f>
        <v>21.873612470029638</v>
      </c>
      <c r="L21" s="43">
        <f>IF(D21="","",Tableau1[[#This Row],[Capital]]+Tableau1[[#This Row],[Versements annuels]]+Tableau1[[#This Row],[Versements complémentaires libres autorisés]]+Tableau1[[#This Row],[Interet]]-Tableau1[[#This Row],[Frais de versement]]-Tableau1[[#This Row],[Frais de gestion]])</f>
        <v>17477.016363553681</v>
      </c>
    </row>
    <row r="22" spans="3:12" ht="27.95" customHeight="1" x14ac:dyDescent="0.25">
      <c r="C22" s="42">
        <f ca="1">IF(Tableau1[[#This Row],[Années2]]="","",C21+1)</f>
        <v>2029</v>
      </c>
      <c r="D22" s="42">
        <f>IF(D21="","",IF(D21+1&gt;Variables!$F$10,"",'Tableau Projection'!D21+1))</f>
        <v>16</v>
      </c>
      <c r="E22" s="43">
        <f>IF(D21="","",IF(D21+1&gt;Variables!$F$10,"",'Tableau Projection'!L21))</f>
        <v>17477.016363553681</v>
      </c>
      <c r="F22" s="42">
        <f>IF(D22="","",IF(D22&lt;=Variables!$F$10,Variables!$F$9,""))</f>
        <v>950</v>
      </c>
      <c r="G22" s="43">
        <f>IF(D22="","",(Tableau1[[#This Row],[Versements annuels]]*Variables!$F$12)+Tableau447891011121314151617181920[[#Totals],[Frais de versement]])</f>
        <v>11.875</v>
      </c>
      <c r="H22" s="46">
        <f>IF(Tableau1[[#This Row],[Années2]]="","",Tableau447891011121314151617181920[[#Totals],[Versement]])</f>
        <v>0</v>
      </c>
      <c r="I22" s="44">
        <f>IF(D22="","",IF(Variables!$F$13*AVERAGE(I21,I20)&gt;1.05%,Variables!$F$13*AVERAGE(I21,I20),1.05%))</f>
        <v>1.0500000000000001E-2</v>
      </c>
      <c r="J22" s="45">
        <f>IF(D22="","",Tableau4[[#Totals],[Interet]]+((Tableau1[[#This Row],[Capital]]+Tableau1[[#This Row],[Versements annuels]]+Tableau1[[#This Row],[Versements complémentaires libres autorisés]]))*(1+Tableau1[[#This Row],[Taux de rémunération]])-(Tableau1[[#This Row],[Capital]]+Tableau1[[#This Row],[Versements annuels]]+Tableau1[[#This Row],[Versements complémentaires libres autorisés]]))</f>
        <v>193.48367181731373</v>
      </c>
      <c r="K22" s="43">
        <f>IF(Tableau1[[#This Row],[Années2]]="","",(Tableau1[[#This Row],[Capital]]+Tableau1[[#This Row],[Versements annuels]]+Tableau1[[#This Row],[Versements complémentaires libres autorisés]]+Tableau1[[#This Row],[Interet]]-Tableau1[[#This Row],[Frais de versement]])*Variables!$F$11)</f>
        <v>23.260781294213743</v>
      </c>
      <c r="L22" s="43">
        <f>IF(D22="","",Tableau1[[#This Row],[Capital]]+Tableau1[[#This Row],[Versements annuels]]+Tableau1[[#This Row],[Versements complémentaires libres autorisés]]+Tableau1[[#This Row],[Interet]]-Tableau1[[#This Row],[Frais de versement]]-Tableau1[[#This Row],[Frais de gestion]])</f>
        <v>18585.36425407678</v>
      </c>
    </row>
    <row r="23" spans="3:12" ht="27.95" customHeight="1" x14ac:dyDescent="0.25">
      <c r="C23" s="42">
        <f ca="1">IF(Tableau1[[#This Row],[Années2]]="","",C22+1)</f>
        <v>2030</v>
      </c>
      <c r="D23" s="42">
        <f>IF(D22="","",IF(D22+1&gt;Variables!$F$10,"",'Tableau Projection'!D22+1))</f>
        <v>17</v>
      </c>
      <c r="E23" s="43">
        <f>IF(D22="","",IF(D22+1&gt;Variables!$F$10,"",'Tableau Projection'!L22))</f>
        <v>18585.36425407678</v>
      </c>
      <c r="F23" s="42">
        <f>IF(D23="","",IF(D23&lt;=Variables!$F$10,Variables!$F$9,""))</f>
        <v>950</v>
      </c>
      <c r="G23" s="43">
        <f>IF(D23="","",(Tableau1[[#This Row],[Versements annuels]]*Variables!$F$12)+Tableau44789101112131415161718192021[[#Totals],[Frais de versement]])</f>
        <v>11.875</v>
      </c>
      <c r="H23" s="46">
        <f>IF(Tableau1[[#This Row],[Années2]]="","",Tableau44789101112131415161718192021[[#Totals],[Versement]])</f>
        <v>0</v>
      </c>
      <c r="I23" s="44">
        <f>IF(D23="","",IF(Variables!$F$13*AVERAGE(I22,I21)&gt;1.05%,Variables!$F$13*AVERAGE(I22,I21),1.05%))</f>
        <v>1.0500000000000001E-2</v>
      </c>
      <c r="J23" s="45">
        <f>IF(D23="","",Tableau4[[#Totals],[Interet]]+((Tableau1[[#This Row],[Capital]]+Tableau1[[#This Row],[Versements annuels]]+Tableau1[[#This Row],[Versements complémentaires libres autorisés]]))*(1+Tableau1[[#This Row],[Taux de rémunération]])-(Tableau1[[#This Row],[Capital]]+Tableau1[[#This Row],[Versements annuels]]+Tableau1[[#This Row],[Versements complémentaires libres autorisés]]))</f>
        <v>205.12132466780531</v>
      </c>
      <c r="K23" s="43">
        <f>IF(Tableau1[[#This Row],[Années2]]="","",(Tableau1[[#This Row],[Capital]]+Tableau1[[#This Row],[Versements annuels]]+Tableau1[[#This Row],[Versements complémentaires libres autorisés]]+Tableau1[[#This Row],[Interet]]-Tableau1[[#This Row],[Frais de versement]])*Variables!$F$11)</f>
        <v>24.660763223430731</v>
      </c>
      <c r="L23" s="43">
        <f>IF(D23="","",Tableau1[[#This Row],[Capital]]+Tableau1[[#This Row],[Versements annuels]]+Tableau1[[#This Row],[Versements complémentaires libres autorisés]]+Tableau1[[#This Row],[Interet]]-Tableau1[[#This Row],[Frais de versement]]-Tableau1[[#This Row],[Frais de gestion]])</f>
        <v>19703.949815521155</v>
      </c>
    </row>
    <row r="24" spans="3:12" ht="27.95" customHeight="1" x14ac:dyDescent="0.25">
      <c r="C24" s="42">
        <f ca="1">IF(Tableau1[[#This Row],[Années2]]="","",C23+1)</f>
        <v>2031</v>
      </c>
      <c r="D24" s="42">
        <f>IF(D23="","",IF(D23+1&gt;Variables!$F$10,"",'Tableau Projection'!D23+1))</f>
        <v>18</v>
      </c>
      <c r="E24" s="43">
        <f>IF(D23="","",IF(D23+1&gt;Variables!$F$10,"",'Tableau Projection'!L23))</f>
        <v>19703.949815521155</v>
      </c>
      <c r="F24" s="42">
        <f>IF(D24="","",IF(D24&lt;=Variables!$F$10,Variables!$F$9,""))</f>
        <v>950</v>
      </c>
      <c r="G24" s="43">
        <f>IF(D24="","",(Tableau1[[#This Row],[Versements annuels]]*Variables!$F$12)+Tableau4478910111213141516171819202122[[#Totals],[Frais de versement]])</f>
        <v>11.875</v>
      </c>
      <c r="H24" s="46">
        <f>IF(Tableau1[[#This Row],[Années2]]="","",Tableau4478910111213141516171819202122[[#Totals],[Versement]])</f>
        <v>0</v>
      </c>
      <c r="I24" s="44">
        <f>IF(D24="","",IF(Variables!$F$13*AVERAGE(I23,I22)&gt;1.05%,Variables!$F$13*AVERAGE(I23,I22),1.05%))</f>
        <v>1.0500000000000001E-2</v>
      </c>
      <c r="J24" s="45">
        <f>IF(D24="","",Tableau4[[#Totals],[Interet]]+((Tableau1[[#This Row],[Capital]]+Tableau1[[#This Row],[Versements annuels]]+Tableau1[[#This Row],[Versements complémentaires libres autorisés]]))*(1+Tableau1[[#This Row],[Taux de rémunération]])-(Tableau1[[#This Row],[Capital]]+Tableau1[[#This Row],[Versements annuels]]+Tableau1[[#This Row],[Versements complémentaires libres autorisés]]))</f>
        <v>216.86647306297164</v>
      </c>
      <c r="K24" s="43">
        <f>IF(Tableau1[[#This Row],[Années2]]="","",(Tableau1[[#This Row],[Capital]]+Tableau1[[#This Row],[Versements annuels]]+Tableau1[[#This Row],[Versements complémentaires libres autorisés]]+Tableau1[[#This Row],[Interet]]-Tableau1[[#This Row],[Frais de versement]])*Variables!$F$11)</f>
        <v>26.073676610730161</v>
      </c>
      <c r="L24" s="43">
        <f>IF(D24="","",Tableau1[[#This Row],[Capital]]+Tableau1[[#This Row],[Versements annuels]]+Tableau1[[#This Row],[Versements complémentaires libres autorisés]]+Tableau1[[#This Row],[Interet]]-Tableau1[[#This Row],[Frais de versement]]-Tableau1[[#This Row],[Frais de gestion]])</f>
        <v>20832.867611973397</v>
      </c>
    </row>
    <row r="25" spans="3:12" ht="27.95" customHeight="1" x14ac:dyDescent="0.25">
      <c r="C25" s="42">
        <f ca="1">IF(Tableau1[[#This Row],[Années2]]="","",C24+1)</f>
        <v>2032</v>
      </c>
      <c r="D25" s="42">
        <f>IF(D24="","",IF(D24+1&gt;Variables!$F$10,"",'Tableau Projection'!D24+1))</f>
        <v>19</v>
      </c>
      <c r="E25" s="43">
        <f>IF(D24="","",IF(D24+1&gt;Variables!$F$10,"",'Tableau Projection'!L24))</f>
        <v>20832.867611973397</v>
      </c>
      <c r="F25" s="42">
        <f>IF(D25="","",IF(D25&lt;=Variables!$F$10,Variables!$F$9,""))</f>
        <v>950</v>
      </c>
      <c r="G25" s="43">
        <f>IF(D25="","",(Tableau1[[#This Row],[Versements annuels]]*Variables!$F$12)+Tableau447891011121314151617181920212223[[#Totals],[Frais de versement]])</f>
        <v>11.875</v>
      </c>
      <c r="H25" s="46">
        <f>IF(Tableau1[[#This Row],[Années2]]="","",Tableau447891011121314151617181920212223[[#Totals],[Versement]])</f>
        <v>0</v>
      </c>
      <c r="I25" s="44">
        <f>IF(D25="","",IF(Variables!$F$13*AVERAGE(I24,I23)&gt;1.05%,Variables!$F$13*AVERAGE(I24,I23),1.05%))</f>
        <v>1.0500000000000001E-2</v>
      </c>
      <c r="J25" s="45">
        <f>IF(D25="","",Tableau4[[#Totals],[Interet]]+((Tableau1[[#This Row],[Capital]]+Tableau1[[#This Row],[Versements annuels]]+Tableau1[[#This Row],[Versements complémentaires libres autorisés]]))*(1+Tableau1[[#This Row],[Taux de rémunération]])-(Tableau1[[#This Row],[Capital]]+Tableau1[[#This Row],[Versements annuels]]+Tableau1[[#This Row],[Versements complémentaires libres autorisés]]))</f>
        <v>228.72010992571813</v>
      </c>
      <c r="K25" s="43">
        <f>IF(Tableau1[[#This Row],[Années2]]="","",(Tableau1[[#This Row],[Capital]]+Tableau1[[#This Row],[Versements annuels]]+Tableau1[[#This Row],[Versements complémentaires libres autorisés]]+Tableau1[[#This Row],[Interet]]-Tableau1[[#This Row],[Frais de versement]])*Variables!$F$11)</f>
        <v>27.499640902373894</v>
      </c>
      <c r="L25" s="43">
        <f>IF(D25="","",Tableau1[[#This Row],[Capital]]+Tableau1[[#This Row],[Versements annuels]]+Tableau1[[#This Row],[Versements complémentaires libres autorisés]]+Tableau1[[#This Row],[Interet]]-Tableau1[[#This Row],[Frais de versement]]-Tableau1[[#This Row],[Frais de gestion]])</f>
        <v>21972.213080996742</v>
      </c>
    </row>
    <row r="26" spans="3:12" ht="27.95" customHeight="1" x14ac:dyDescent="0.25">
      <c r="C26" s="47">
        <f ca="1">IF(Tableau1[[#This Row],[Années2]]="","",C25+1)</f>
        <v>2033</v>
      </c>
      <c r="D26" s="47">
        <f>IF(D25="","",IF(D25+1&gt;Variables!$F$10,"",'Tableau Projection'!D25+1))</f>
        <v>20</v>
      </c>
      <c r="E26" s="48">
        <f>IF(D25="","",IF(D25+1&gt;Variables!$F$10,"",'Tableau Projection'!L25))</f>
        <v>21972.213080996742</v>
      </c>
      <c r="F26" s="47">
        <f>IF(D26="","",IF(D26&lt;=Variables!$F$10,Variables!$F$9,""))</f>
        <v>950</v>
      </c>
      <c r="G26" s="48">
        <f>IF(D26="","",(Tableau1[[#This Row],[Versements annuels]]*Variables!$F$12)+Tableau44789101112131415161718192021222324[[#Totals],[Frais de versement]])</f>
        <v>11.875</v>
      </c>
      <c r="H26" s="49">
        <f>IF(Tableau1[[#This Row],[Années2]]="","",Tableau44789101112131415161718192021222324[[#Totals],[Versement]])</f>
        <v>0</v>
      </c>
      <c r="I26" s="50">
        <f>IF(D26="","",IF(Variables!$F$13*AVERAGE(I25,I24)&gt;1.05%,Variables!$F$13*AVERAGE(I25,I24),1.05%))</f>
        <v>1.0500000000000001E-2</v>
      </c>
      <c r="J26" s="51">
        <f>IF(D26="","",Tableau4[[#Totals],[Interet]]+((Tableau1[[#This Row],[Capital]]+Tableau1[[#This Row],[Versements annuels]]+Tableau1[[#This Row],[Versements complémentaires libres autorisés]]))*(1+Tableau1[[#This Row],[Taux de rémunération]])-(Tableau1[[#This Row],[Capital]]+Tableau1[[#This Row],[Versements annuels]]+Tableau1[[#This Row],[Versements complémentaires libres autorisés]]))</f>
        <v>240.68323735046579</v>
      </c>
      <c r="K26" s="48">
        <f>IF(Tableau1[[#This Row],[Années2]]="","",(Tableau1[[#This Row],[Capital]]+Tableau1[[#This Row],[Versements annuels]]+Tableau1[[#This Row],[Versements complémentaires libres autorisés]]+Tableau1[[#This Row],[Interet]]-Tableau1[[#This Row],[Frais de versement]])*Variables!$F$11)</f>
        <v>28.938776647934009</v>
      </c>
      <c r="L26" s="48">
        <f>IF(D26="","",Tableau1[[#This Row],[Capital]]+Tableau1[[#This Row],[Versements annuels]]+Tableau1[[#This Row],[Versements complémentaires libres autorisés]]+Tableau1[[#This Row],[Interet]]-Tableau1[[#This Row],[Frais de versement]]-Tableau1[[#This Row],[Frais de gestion]])</f>
        <v>23122.082541699274</v>
      </c>
    </row>
    <row r="27" spans="3:12" ht="27.95" customHeight="1" x14ac:dyDescent="0.25">
      <c r="C27" s="42" t="s">
        <v>25</v>
      </c>
      <c r="D27" s="52"/>
      <c r="E27" s="43"/>
      <c r="F27" s="46">
        <f>SUBTOTAL(109,Tableau1[Versements annuels])</f>
        <v>19000</v>
      </c>
      <c r="G27" s="43">
        <f>SUBTOTAL(109,Tableau1[Frais de versement])</f>
        <v>237.5</v>
      </c>
      <c r="H27" s="46">
        <f>SUBTOTAL(109,Tableau1[Versements complémentaires libres autorisés])</f>
        <v>0</v>
      </c>
      <c r="I27" s="53"/>
      <c r="J27" s="54">
        <f>SUBTOTAL(109,Tableau1[Interet])</f>
        <v>2679.3623966320747</v>
      </c>
      <c r="K27" s="43">
        <f>SUBTOTAL(109,Tableau1[Frais de gestion])</f>
        <v>319.77985493280136</v>
      </c>
      <c r="L27" s="43"/>
    </row>
    <row r="28" spans="3:12" x14ac:dyDescent="0.25">
      <c r="F28" s="3"/>
    </row>
    <row r="29" spans="3:12" x14ac:dyDescent="0.25">
      <c r="F29" s="3"/>
    </row>
    <row r="30" spans="3:12" x14ac:dyDescent="0.25">
      <c r="F30" s="3"/>
    </row>
    <row r="31" spans="3:12" x14ac:dyDescent="0.25">
      <c r="F31" s="3"/>
    </row>
    <row r="32" spans="3:12" x14ac:dyDescent="0.25">
      <c r="F32" s="3"/>
    </row>
    <row r="33" spans="6:6" x14ac:dyDescent="0.25">
      <c r="F33" s="3"/>
    </row>
    <row r="34" spans="6:6" x14ac:dyDescent="0.25">
      <c r="F34" s="3"/>
    </row>
    <row r="35" spans="6:6" x14ac:dyDescent="0.25">
      <c r="F35" s="3"/>
    </row>
    <row r="36" spans="6:6" x14ac:dyDescent="0.25">
      <c r="F36" s="3"/>
    </row>
    <row r="37" spans="6:6" x14ac:dyDescent="0.25">
      <c r="F37" s="3"/>
    </row>
    <row r="38" spans="6:6" x14ac:dyDescent="0.25">
      <c r="F38" s="3"/>
    </row>
    <row r="39" spans="6:6" x14ac:dyDescent="0.25">
      <c r="F39" s="3"/>
    </row>
    <row r="40" spans="6:6" x14ac:dyDescent="0.25">
      <c r="F40" s="3"/>
    </row>
    <row r="41" spans="6:6" x14ac:dyDescent="0.25">
      <c r="F41" s="3"/>
    </row>
    <row r="42" spans="6:6" x14ac:dyDescent="0.25">
      <c r="F42" s="3"/>
    </row>
    <row r="43" spans="6:6" x14ac:dyDescent="0.25">
      <c r="F43" s="3"/>
    </row>
    <row r="44" spans="6:6" x14ac:dyDescent="0.25">
      <c r="F44" s="3"/>
    </row>
    <row r="45" spans="6:6" x14ac:dyDescent="0.25">
      <c r="F45" s="3"/>
    </row>
    <row r="46" spans="6:6" x14ac:dyDescent="0.25">
      <c r="F46" s="3"/>
    </row>
    <row r="47" spans="6:6" x14ac:dyDescent="0.25">
      <c r="F47" s="3"/>
    </row>
    <row r="48" spans="6:6" x14ac:dyDescent="0.25">
      <c r="F48" s="3"/>
    </row>
    <row r="49" spans="6:6" x14ac:dyDescent="0.25">
      <c r="F49" s="3"/>
    </row>
    <row r="50" spans="6:6" x14ac:dyDescent="0.25">
      <c r="F50" s="3"/>
    </row>
    <row r="51" spans="6:6" x14ac:dyDescent="0.25">
      <c r="F51" s="3"/>
    </row>
    <row r="52" spans="6:6" x14ac:dyDescent="0.25">
      <c r="F52" s="3"/>
    </row>
    <row r="53" spans="6:6" x14ac:dyDescent="0.25">
      <c r="F53" s="3"/>
    </row>
    <row r="54" spans="6:6" x14ac:dyDescent="0.25">
      <c r="F54" s="3"/>
    </row>
    <row r="55" spans="6:6" x14ac:dyDescent="0.25">
      <c r="F55" s="3"/>
    </row>
    <row r="56" spans="6:6" x14ac:dyDescent="0.25">
      <c r="F56" s="3"/>
    </row>
  </sheetData>
  <pageMargins left="0.7" right="0.7" top="0.75" bottom="0.75" header="0.3" footer="0.3"/>
  <pageSetup paperSize="9" orientation="portrait" horizontalDpi="1200" verticalDpi="1200"/>
  <ignoredErrors>
    <ignoredError sqref="I7:I9 I10:I26 G8:G9 H8:H11 G10:G11 H13:H26 G12:H12 G13 G14:G15 G16:G26" calculatedColumn="1"/>
    <ignoredError sqref="D8:F26 F7 J8:J26 D7" emptyCellReference="1"/>
  </ignoredErrors>
  <tableParts count="1">
    <tablePart r:id="rId1"/>
  </tableParts>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5" enableFormatConditionsCalculation="0"/>
  <dimension ref="A1:G521"/>
  <sheetViews>
    <sheetView showGridLines="0" workbookViewId="0">
      <selection activeCell="B9" sqref="B9"/>
    </sheetView>
  </sheetViews>
  <sheetFormatPr baseColWidth="10" defaultColWidth="10.85546875" defaultRowHeight="20.100000000000001" customHeight="1" x14ac:dyDescent="0.3"/>
  <cols>
    <col min="1" max="1" width="10.85546875" style="6"/>
    <col min="2" max="5" width="17.140625" style="6" customWidth="1"/>
    <col min="6" max="7" width="17.140625" style="56" customWidth="1"/>
    <col min="8" max="16384" width="10.85546875" style="6"/>
  </cols>
  <sheetData>
    <row r="1" spans="1:7" s="5" customFormat="1" ht="20.100000000000001" customHeight="1" thickBot="1" x14ac:dyDescent="0.35">
      <c r="A1" s="6"/>
      <c r="C1" s="7">
        <f ca="1">VLOOKUP(B2,Macro_V.Compl!A1:B20,2,FALSE)</f>
        <v>343</v>
      </c>
      <c r="F1" s="55"/>
      <c r="G1" s="55"/>
    </row>
    <row r="2" spans="1:7" s="5" customFormat="1" ht="20.100000000000001" customHeight="1" thickBot="1" x14ac:dyDescent="0.35">
      <c r="B2" s="10">
        <v>2027</v>
      </c>
      <c r="F2" s="55"/>
      <c r="G2" s="55"/>
    </row>
    <row r="3" spans="1:7" s="5" customFormat="1" ht="20.100000000000001" customHeight="1" x14ac:dyDescent="0.3">
      <c r="B3" s="6"/>
      <c r="C3" s="6"/>
      <c r="D3" s="6"/>
      <c r="E3" s="6"/>
      <c r="F3" s="56"/>
      <c r="G3" s="56"/>
    </row>
    <row r="4" spans="1:7" s="5" customFormat="1" ht="20.100000000000001" customHeight="1" x14ac:dyDescent="0.3">
      <c r="B4" s="6"/>
      <c r="C4" s="6"/>
      <c r="D4" s="6"/>
      <c r="E4" s="6"/>
      <c r="F4" s="56"/>
      <c r="G4" s="56"/>
    </row>
    <row r="5" spans="1:7" s="5" customFormat="1" ht="20.100000000000001" customHeight="1" thickBot="1" x14ac:dyDescent="0.35">
      <c r="B5" s="6"/>
      <c r="C5" s="6"/>
      <c r="D5" s="6"/>
      <c r="E5" s="6"/>
      <c r="F5" s="56"/>
      <c r="G5" s="56"/>
    </row>
    <row r="6" spans="1:7" s="5" customFormat="1" ht="20.100000000000001" customHeight="1" thickBot="1" x14ac:dyDescent="0.35">
      <c r="B6" s="10" t="s">
        <v>7</v>
      </c>
      <c r="C6" s="19">
        <f ca="1">YEAR('Tableau Projection'!A1)</f>
        <v>2014</v>
      </c>
      <c r="D6" s="13"/>
      <c r="E6" s="13"/>
      <c r="F6" s="34"/>
      <c r="G6" s="34"/>
    </row>
    <row r="7" spans="1:7" s="5" customFormat="1" ht="20.100000000000001" customHeight="1" thickBot="1" x14ac:dyDescent="0.35">
      <c r="B7" s="14" t="s">
        <v>23</v>
      </c>
      <c r="C7" s="20">
        <f ca="1">IF(Tableau1[[#This Row],[Taux de rémunération]]="","",VLOOKUP(C6,'Tableau Projection'!$C$6:$L$28,7,FALSE))</f>
        <v>1.47E-2</v>
      </c>
      <c r="D7" s="13"/>
      <c r="E7" s="13"/>
      <c r="F7" s="34"/>
      <c r="G7" s="34"/>
    </row>
    <row r="8" spans="1:7" s="5" customFormat="1" ht="36.950000000000003" customHeight="1" x14ac:dyDescent="0.3">
      <c r="B8" s="13" t="s">
        <v>18</v>
      </c>
      <c r="C8" s="18" t="s">
        <v>22</v>
      </c>
      <c r="D8" s="13" t="s">
        <v>19</v>
      </c>
      <c r="E8" s="13" t="s">
        <v>20</v>
      </c>
      <c r="F8" s="57" t="s">
        <v>3</v>
      </c>
      <c r="G8" s="34" t="s">
        <v>21</v>
      </c>
    </row>
    <row r="9" spans="1:7" s="5" customFormat="1" ht="20.100000000000001" customHeight="1" x14ac:dyDescent="0.3">
      <c r="B9" s="15"/>
      <c r="C9" s="16" t="str">
        <f>IF(Tableau4[[#This Row],[Date]]="","",INT(DAYS360(DATE(YEAR(B9),1,1),B9,TRUE)/15)+1)</f>
        <v/>
      </c>
      <c r="D9" s="13" t="str">
        <f>IF(Tableau4[[#This Row],[Date]]="","",24-C9)</f>
        <v/>
      </c>
      <c r="E9" s="17"/>
      <c r="F9" s="34" t="str">
        <f>IF(Tableau4[[#This Row],[Date]]="","",Tableau4[[#This Row],[Versement]]*Variables!$F$12)</f>
        <v/>
      </c>
      <c r="G9" s="34" t="str">
        <f>IF(Tableau4[[#This Row],[Date]]="","",(E9*(1+($C$7)/24)^V.Complémentaires!D9)-E9)</f>
        <v/>
      </c>
    </row>
    <row r="10" spans="1:7" s="5" customFormat="1" ht="20.100000000000001" customHeight="1" x14ac:dyDescent="0.3">
      <c r="B10" s="15"/>
      <c r="C10" s="16" t="str">
        <f>IF(Tableau4[[#This Row],[Date]]="","",INT(DAYS360(DATE(YEAR(B10),1,1),B10,TRUE)/15)+1)</f>
        <v/>
      </c>
      <c r="D10" s="13" t="str">
        <f>IF(Tableau4[[#This Row],[Date]]="","",24-C10)</f>
        <v/>
      </c>
      <c r="E10" s="13"/>
      <c r="F10" s="34" t="str">
        <f>IF(Tableau4[[#This Row],[Date]]="","",Tableau4[[#This Row],[Versement]]*Variables!$F$12)</f>
        <v/>
      </c>
      <c r="G10" s="34" t="str">
        <f>IF(Tableau4[[#This Row],[Date]]="","",(E10*(1+($C$7)/24)^V.Complémentaires!D10)-E10)</f>
        <v/>
      </c>
    </row>
    <row r="11" spans="1:7" s="5" customFormat="1" ht="20.100000000000001" customHeight="1" x14ac:dyDescent="0.3">
      <c r="B11" s="15"/>
      <c r="C11" s="16" t="str">
        <f>IF(Tableau4[[#This Row],[Date]]="","",INT(DAYS360(DATE(YEAR(B11),1,1),B11,TRUE)/15)+1)</f>
        <v/>
      </c>
      <c r="D11" s="13" t="str">
        <f>IF(Tableau4[[#This Row],[Date]]="","",24-C11)</f>
        <v/>
      </c>
      <c r="E11" s="13"/>
      <c r="F11" s="34" t="str">
        <f>IF(Tableau4[[#This Row],[Date]]="","",Tableau4[[#This Row],[Versement]]*Variables!$F$12)</f>
        <v/>
      </c>
      <c r="G11" s="34" t="str">
        <f>IF(Tableau4[[#This Row],[Date]]="","",(E11*(1+($C$7)/24)^V.Complémentaires!D11)-E11)</f>
        <v/>
      </c>
    </row>
    <row r="12" spans="1:7" s="5" customFormat="1" ht="20.100000000000001" customHeight="1" x14ac:dyDescent="0.3">
      <c r="B12" s="13"/>
      <c r="C12" s="16" t="str">
        <f>IF(Tableau4[[#This Row],[Date]]="","",INT(DAYS360(DATE(YEAR(B12),1,1),B12,TRUE)/15)+1)</f>
        <v/>
      </c>
      <c r="D12" s="13" t="str">
        <f>IF(Tableau4[[#This Row],[Date]]="","",24-C12)</f>
        <v/>
      </c>
      <c r="E12" s="13"/>
      <c r="F12" s="34" t="str">
        <f>IF(Tableau4[[#This Row],[Date]]="","",Tableau4[[#This Row],[Versement]]*Variables!$F$12)</f>
        <v/>
      </c>
      <c r="G12" s="34" t="str">
        <f>IF(Tableau4[[#This Row],[Date]]="","",(E12*(1+($C$7)/24)^V.Complémentaires!D12)-E12)</f>
        <v/>
      </c>
    </row>
    <row r="13" spans="1:7" s="5" customFormat="1" ht="20.100000000000001" customHeight="1" x14ac:dyDescent="0.3">
      <c r="B13" s="13"/>
      <c r="C13" s="16" t="str">
        <f>IF(Tableau4[[#This Row],[Date]]="","",INT(DAYS360(DATE(YEAR(B13),1,1),B13,TRUE)/15)+1)</f>
        <v/>
      </c>
      <c r="D13" s="13" t="str">
        <f>IF(Tableau4[[#This Row],[Date]]="","",24-C13)</f>
        <v/>
      </c>
      <c r="E13" s="13"/>
      <c r="F13" s="34" t="str">
        <f>IF(Tableau4[[#This Row],[Date]]="","",Tableau4[[#This Row],[Versement]]*Variables!$F$12)</f>
        <v/>
      </c>
      <c r="G13" s="34" t="str">
        <f>IF(Tableau4[[#This Row],[Date]]="","",(E13*(1+($C$7)/24)^V.Complémentaires!D13)-E13)</f>
        <v/>
      </c>
    </row>
    <row r="14" spans="1:7" s="5" customFormat="1" ht="20.100000000000001" customHeight="1" x14ac:dyDescent="0.3">
      <c r="B14" s="13"/>
      <c r="C14" s="16" t="str">
        <f>IF(Tableau4[[#This Row],[Date]]="","",INT(DAYS360(DATE(YEAR(B14),1,1),B14,TRUE)/15)+1)</f>
        <v/>
      </c>
      <c r="D14" s="13" t="str">
        <f>IF(Tableau4[[#This Row],[Date]]="","",24-C14)</f>
        <v/>
      </c>
      <c r="E14" s="13"/>
      <c r="F14" s="34" t="str">
        <f>IF(Tableau4[[#This Row],[Date]]="","",Tableau4[[#This Row],[Versement]]*Variables!$F$12)</f>
        <v/>
      </c>
      <c r="G14" s="34" t="str">
        <f>IF(Tableau4[[#This Row],[Date]]="","",(E14*(1+($C$7)/24)^V.Complémentaires!D14)-E14)</f>
        <v/>
      </c>
    </row>
    <row r="15" spans="1:7" s="5" customFormat="1" ht="20.100000000000001" customHeight="1" x14ac:dyDescent="0.3">
      <c r="B15" s="13"/>
      <c r="C15" s="16" t="str">
        <f>IF(Tableau4[[#This Row],[Date]]="","",INT(DAYS360(DATE(YEAR(B15),1,1),B15,TRUE)/15)+1)</f>
        <v/>
      </c>
      <c r="D15" s="13" t="str">
        <f>IF(Tableau4[[#This Row],[Date]]="","",24-C15)</f>
        <v/>
      </c>
      <c r="E15" s="13"/>
      <c r="F15" s="34" t="str">
        <f>IF(Tableau4[[#This Row],[Date]]="","",Tableau4[[#This Row],[Versement]]*Variables!$F$12)</f>
        <v/>
      </c>
      <c r="G15" s="34" t="str">
        <f>IF(Tableau4[[#This Row],[Date]]="","",(E15*(1+($C$7)/24)^V.Complémentaires!D15)-E15)</f>
        <v/>
      </c>
    </row>
    <row r="16" spans="1:7" s="5" customFormat="1" ht="20.100000000000001" customHeight="1" x14ac:dyDescent="0.3">
      <c r="B16" s="13"/>
      <c r="C16" s="16" t="str">
        <f>IF(Tableau4[[#This Row],[Date]]="","",INT(DAYS360(DATE(YEAR(B16),1,1),B16,TRUE)/15)+1)</f>
        <v/>
      </c>
      <c r="D16" s="13" t="str">
        <f>IF(Tableau4[[#This Row],[Date]]="","",24-C16)</f>
        <v/>
      </c>
      <c r="E16" s="13"/>
      <c r="F16" s="34" t="str">
        <f>IF(Tableau4[[#This Row],[Date]]="","",Tableau4[[#This Row],[Versement]]*Variables!$F$12)</f>
        <v/>
      </c>
      <c r="G16" s="34" t="str">
        <f>IF(Tableau4[[#This Row],[Date]]="","",(E16*(1+($C$7)/24)^V.Complémentaires!D16)-E16)</f>
        <v/>
      </c>
    </row>
    <row r="17" spans="2:7" s="5" customFormat="1" ht="20.100000000000001" customHeight="1" x14ac:dyDescent="0.3">
      <c r="B17" s="15"/>
      <c r="C17" s="16" t="str">
        <f>IF(Tableau4[[#This Row],[Date]]="","",INT(DAYS360(DATE(YEAR(B17),1,1),B17,TRUE)/15)+1)</f>
        <v/>
      </c>
      <c r="D17" s="13" t="str">
        <f>IF(Tableau4[[#This Row],[Date]]="","",24-C17)</f>
        <v/>
      </c>
      <c r="E17" s="13"/>
      <c r="F17" s="34" t="str">
        <f>IF(Tableau4[[#This Row],[Date]]="","",Tableau4[[#This Row],[Versement]]*Variables!$F$12)</f>
        <v/>
      </c>
      <c r="G17" s="34" t="str">
        <f>IF(Tableau4[[#This Row],[Date]]="","",(E17*(1+($C$7)/24)^V.Complémentaires!D17)-E17)</f>
        <v/>
      </c>
    </row>
    <row r="18" spans="2:7" s="5" customFormat="1" ht="20.100000000000001" customHeight="1" x14ac:dyDescent="0.3">
      <c r="B18" s="13"/>
      <c r="C18" s="16" t="str">
        <f>IF(Tableau4[[#This Row],[Date]]="","",INT(DAYS360(DATE(YEAR(B18),1,1),B18,TRUE)/15)+1)</f>
        <v/>
      </c>
      <c r="D18" s="13" t="str">
        <f>IF(Tableau4[[#This Row],[Date]]="","",24-C18)</f>
        <v/>
      </c>
      <c r="E18" s="13"/>
      <c r="F18" s="34" t="str">
        <f>IF(Tableau4[[#This Row],[Date]]="","",Tableau4[[#This Row],[Versement]]*Variables!$F$12)</f>
        <v/>
      </c>
      <c r="G18" s="34" t="str">
        <f>IF(Tableau4[[#This Row],[Date]]="","",(E18*(1+($C$7)/24)^V.Complémentaires!D18)-E18)</f>
        <v/>
      </c>
    </row>
    <row r="19" spans="2:7" s="5" customFormat="1" ht="20.100000000000001" customHeight="1" x14ac:dyDescent="0.3">
      <c r="B19" s="13"/>
      <c r="C19" s="16" t="str">
        <f>IF(Tableau4[[#This Row],[Date]]="","",INT(DAYS360(DATE(YEAR(B19),1,1),B19,TRUE)/15)+1)</f>
        <v/>
      </c>
      <c r="D19" s="13" t="str">
        <f>IF(Tableau4[[#This Row],[Date]]="","",24-C19)</f>
        <v/>
      </c>
      <c r="E19" s="13"/>
      <c r="F19" s="34" t="str">
        <f>IF(Tableau4[[#This Row],[Date]]="","",Tableau4[[#This Row],[Versement]]*Variables!$F$12)</f>
        <v/>
      </c>
      <c r="G19" s="34" t="str">
        <f>IF(Tableau4[[#This Row],[Date]]="","",(E19*(1+($C$7)/24)^V.Complémentaires!D19)-E19)</f>
        <v/>
      </c>
    </row>
    <row r="20" spans="2:7" s="5" customFormat="1" ht="20.100000000000001" customHeight="1" x14ac:dyDescent="0.3">
      <c r="B20" s="13"/>
      <c r="C20" s="16" t="str">
        <f>IF(Tableau4[[#This Row],[Date]]="","",INT(DAYS360(DATE(YEAR(B20),1,1),B20,TRUE)/15)+1)</f>
        <v/>
      </c>
      <c r="D20" s="13" t="str">
        <f>IF(Tableau4[[#This Row],[Date]]="","",24-C20)</f>
        <v/>
      </c>
      <c r="E20" s="13"/>
      <c r="F20" s="34" t="str">
        <f>IF(Tableau4[[#This Row],[Date]]="","",Tableau4[[#This Row],[Versement]]*Variables!$F$12)</f>
        <v/>
      </c>
      <c r="G20" s="34" t="str">
        <f>IF(Tableau4[[#This Row],[Date]]="","",(E20*(1+($C$7)/24)^V.Complémentaires!D20)-E20)</f>
        <v/>
      </c>
    </row>
    <row r="21" spans="2:7" s="5" customFormat="1" ht="20.100000000000001" customHeight="1" x14ac:dyDescent="0.3">
      <c r="B21" s="13"/>
      <c r="C21" s="16" t="str">
        <f>IF(Tableau4[[#This Row],[Date]]="","",INT(DAYS360(DATE(YEAR(B21),1,1),B21,TRUE)/15)+1)</f>
        <v/>
      </c>
      <c r="D21" s="13" t="str">
        <f>IF(Tableau4[[#This Row],[Date]]="","",24-C21)</f>
        <v/>
      </c>
      <c r="E21" s="13"/>
      <c r="F21" s="34" t="str">
        <f>IF(Tableau4[[#This Row],[Date]]="","",Tableau4[[#This Row],[Versement]]*Variables!$F$12)</f>
        <v/>
      </c>
      <c r="G21" s="34" t="str">
        <f>IF(Tableau4[[#This Row],[Date]]="","",(E21*(1+($C$7)/24)^V.Complémentaires!D21)-E21)</f>
        <v/>
      </c>
    </row>
    <row r="22" spans="2:7" s="5" customFormat="1" ht="20.100000000000001" customHeight="1" x14ac:dyDescent="0.3">
      <c r="B22" s="13"/>
      <c r="C22" s="16" t="str">
        <f>IF(Tableau4[[#This Row],[Date]]="","",INT(DAYS360(DATE(YEAR(B22),1,1),B22,TRUE)/15)+1)</f>
        <v/>
      </c>
      <c r="D22" s="13" t="str">
        <f>IF(Tableau4[[#This Row],[Date]]="","",24-C22)</f>
        <v/>
      </c>
      <c r="E22" s="13"/>
      <c r="F22" s="34" t="str">
        <f>IF(Tableau4[[#This Row],[Date]]="","",Tableau4[[#This Row],[Versement]]*Variables!$F$12)</f>
        <v/>
      </c>
      <c r="G22" s="34" t="str">
        <f>IF(Tableau4[[#This Row],[Date]]="","",(E22*(1+($C$7)/24)^V.Complémentaires!D22)-E22)</f>
        <v/>
      </c>
    </row>
    <row r="23" spans="2:7" s="5" customFormat="1" ht="20.100000000000001" customHeight="1" x14ac:dyDescent="0.3">
      <c r="B23" s="13"/>
      <c r="C23" s="16" t="str">
        <f>IF(Tableau4[[#This Row],[Date]]="","",INT(DAYS360(DATE(YEAR(B23),1,1),B23,TRUE)/15)+1)</f>
        <v/>
      </c>
      <c r="D23" s="13" t="str">
        <f>IF(Tableau4[[#This Row],[Date]]="","",24-C23)</f>
        <v/>
      </c>
      <c r="E23" s="13"/>
      <c r="F23" s="34" t="str">
        <f>IF(Tableau4[[#This Row],[Date]]="","",Tableau4[[#This Row],[Versement]]*Variables!$F$12)</f>
        <v/>
      </c>
      <c r="G23" s="34" t="str">
        <f>IF(Tableau4[[#This Row],[Date]]="","",(E23*(1+($C$7)/24)^V.Complémentaires!D23)-E23)</f>
        <v/>
      </c>
    </row>
    <row r="24" spans="2:7" ht="20.100000000000001" customHeight="1" x14ac:dyDescent="0.3">
      <c r="B24" s="13"/>
      <c r="C24" s="16" t="str">
        <f>IF(Tableau4[[#This Row],[Date]]="","",INT(DAYS360(DATE(YEAR(B24),1,1),B24,TRUE)/15)+1)</f>
        <v/>
      </c>
      <c r="D24" s="13" t="str">
        <f>IF(Tableau4[[#This Row],[Date]]="","",24-C24)</f>
        <v/>
      </c>
      <c r="E24" s="13"/>
      <c r="F24" s="34" t="str">
        <f>IF(Tableau4[[#This Row],[Date]]="","",Tableau4[[#This Row],[Versement]]*Variables!$F$12)</f>
        <v/>
      </c>
      <c r="G24" s="34" t="str">
        <f>IF(Tableau4[[#This Row],[Date]]="","",(E24*(1+($C$7)/24)^V.Complémentaires!D24)-E24)</f>
        <v/>
      </c>
    </row>
    <row r="25" spans="2:7" ht="20.100000000000001" customHeight="1" x14ac:dyDescent="0.3">
      <c r="B25" s="13"/>
      <c r="C25" s="16" t="str">
        <f>IF(Tableau4[[#This Row],[Date]]="","",INT(DAYS360(DATE(YEAR(B25),1,1),B25,TRUE)/15)+1)</f>
        <v/>
      </c>
      <c r="D25" s="13" t="str">
        <f>IF(Tableau4[[#This Row],[Date]]="","",24-C25)</f>
        <v/>
      </c>
      <c r="E25" s="13"/>
      <c r="F25" s="34" t="str">
        <f>IF(Tableau4[[#This Row],[Date]]="","",Tableau4[[#This Row],[Versement]]*Variables!$F$12)</f>
        <v/>
      </c>
      <c r="G25" s="34" t="str">
        <f>IF(Tableau4[[#This Row],[Date]]="","",(E25*(1+($C$7)/24)^V.Complémentaires!D25)-E25)</f>
        <v/>
      </c>
    </row>
    <row r="26" spans="2:7" ht="20.100000000000001" customHeight="1" x14ac:dyDescent="0.3">
      <c r="B26" s="13"/>
      <c r="C26" s="13"/>
      <c r="D26" s="13"/>
      <c r="E26" s="13">
        <f>SUM(Tableau4[Versement])</f>
        <v>0</v>
      </c>
      <c r="F26" s="34">
        <f>SUBTOTAL(109,Tableau4[Frais de versement])</f>
        <v>0</v>
      </c>
      <c r="G26" s="34">
        <f>SUM(Tableau4[Interet])</f>
        <v>0</v>
      </c>
    </row>
    <row r="28" spans="2:7" ht="20.100000000000001" customHeight="1" x14ac:dyDescent="0.3">
      <c r="B28" s="8"/>
      <c r="C28" s="11"/>
      <c r="E28" s="9"/>
    </row>
    <row r="29" spans="2:7" ht="20.100000000000001" customHeight="1" x14ac:dyDescent="0.3">
      <c r="B29" s="8"/>
      <c r="C29" s="12"/>
    </row>
    <row r="31" spans="2:7" ht="20.100000000000001" customHeight="1" thickBot="1" x14ac:dyDescent="0.35"/>
    <row r="32" spans="2:7" ht="20.100000000000001" customHeight="1" thickBot="1" x14ac:dyDescent="0.35">
      <c r="B32" s="10" t="s">
        <v>7</v>
      </c>
      <c r="C32" s="19">
        <f ca="1">C6+1</f>
        <v>2015</v>
      </c>
      <c r="D32" s="13"/>
      <c r="E32" s="13"/>
      <c r="F32" s="34"/>
      <c r="G32" s="34"/>
    </row>
    <row r="33" spans="2:7" ht="20.100000000000001" customHeight="1" thickBot="1" x14ac:dyDescent="0.35">
      <c r="B33" s="14" t="s">
        <v>23</v>
      </c>
      <c r="C33" s="20">
        <f ca="1">IF('Tableau Projection'!I8="","",VLOOKUP(C32,'Tableau Projection'!$C$6:$L$28,7,FALSE))</f>
        <v>1.2145E-2</v>
      </c>
      <c r="D33" s="13"/>
      <c r="E33" s="13"/>
      <c r="F33" s="34"/>
      <c r="G33" s="34"/>
    </row>
    <row r="34" spans="2:7" ht="35.1" customHeight="1" x14ac:dyDescent="0.3">
      <c r="B34" s="13" t="s">
        <v>18</v>
      </c>
      <c r="C34" s="18" t="s">
        <v>22</v>
      </c>
      <c r="D34" s="13" t="s">
        <v>19</v>
      </c>
      <c r="E34" s="13" t="s">
        <v>20</v>
      </c>
      <c r="F34" s="57" t="s">
        <v>3</v>
      </c>
      <c r="G34" s="34" t="s">
        <v>21</v>
      </c>
    </row>
    <row r="35" spans="2:7" ht="20.100000000000001" customHeight="1" x14ac:dyDescent="0.3">
      <c r="B35" s="15"/>
      <c r="C35" s="16" t="str">
        <f>IF(Tableau44[[#This Row],[Date]]="","",INT(DAYS360(DATE(YEAR(B35),1,1),B35,TRUE)/15)+1)</f>
        <v/>
      </c>
      <c r="D35" s="13" t="str">
        <f>IF(Tableau44[[#This Row],[Date]]="","",24-C35)</f>
        <v/>
      </c>
      <c r="E35" s="17"/>
      <c r="F35" s="34" t="str">
        <f>IF(Tableau44[[#This Row],[Date]]="","",Tableau44[[#This Row],[Versement]]*Variables!$F$12)</f>
        <v/>
      </c>
      <c r="G35" s="34" t="str">
        <f>IF(Tableau44[[#This Row],[Date]]="","",(E35*(1+($C$33)/24)^V.Complémentaires!D35)-E35)</f>
        <v/>
      </c>
    </row>
    <row r="36" spans="2:7" ht="20.100000000000001" customHeight="1" x14ac:dyDescent="0.3">
      <c r="B36" s="15"/>
      <c r="C36" s="16" t="str">
        <f>IF(Tableau44[[#This Row],[Date]]="","",INT(DAYS360(DATE(YEAR(B36),1,1),B36,TRUE)/15)+1)</f>
        <v/>
      </c>
      <c r="D36" s="13" t="str">
        <f>IF(Tableau44[[#This Row],[Date]]="","",24-C36)</f>
        <v/>
      </c>
      <c r="E36" s="13"/>
      <c r="F36" s="34" t="str">
        <f>IF(Tableau44[[#This Row],[Date]]="","",Tableau44[[#This Row],[Versement]]*Variables!$F$12)</f>
        <v/>
      </c>
      <c r="G36" s="34" t="str">
        <f>IF(Tableau44[[#This Row],[Date]]="","",(E36*(1+($C$33)/24)^V.Complémentaires!D36)-E36)</f>
        <v/>
      </c>
    </row>
    <row r="37" spans="2:7" ht="20.100000000000001" customHeight="1" x14ac:dyDescent="0.3">
      <c r="B37" s="15"/>
      <c r="C37" s="16" t="str">
        <f>IF(Tableau44[[#This Row],[Date]]="","",INT(DAYS360(DATE(YEAR(B37),1,1),B37,TRUE)/15)+1)</f>
        <v/>
      </c>
      <c r="D37" s="13" t="str">
        <f>IF(Tableau44[[#This Row],[Date]]="","",24-C37)</f>
        <v/>
      </c>
      <c r="E37" s="13"/>
      <c r="F37" s="34" t="str">
        <f>IF(Tableau44[[#This Row],[Date]]="","",Tableau44[[#This Row],[Versement]]*Variables!$F$12)</f>
        <v/>
      </c>
      <c r="G37" s="34" t="str">
        <f>IF(Tableau44[[#This Row],[Date]]="","",(E37*(1+($C$33)/24)^V.Complémentaires!D37)-E37)</f>
        <v/>
      </c>
    </row>
    <row r="38" spans="2:7" ht="20.100000000000001" customHeight="1" x14ac:dyDescent="0.3">
      <c r="B38" s="13"/>
      <c r="C38" s="16" t="str">
        <f>IF(Tableau44[[#This Row],[Date]]="","",INT(DAYS360(DATE(YEAR(B38),1,1),B38,TRUE)/15)+1)</f>
        <v/>
      </c>
      <c r="D38" s="13" t="str">
        <f>IF(Tableau44[[#This Row],[Date]]="","",24-C38)</f>
        <v/>
      </c>
      <c r="E38" s="13"/>
      <c r="F38" s="34" t="str">
        <f>IF(Tableau44[[#This Row],[Date]]="","",Tableau44[[#This Row],[Versement]]*Variables!$F$12)</f>
        <v/>
      </c>
      <c r="G38" s="34" t="str">
        <f>IF(Tableau44[[#This Row],[Date]]="","",(E38*(1+($C$33)/24)^V.Complémentaires!D38)-E38)</f>
        <v/>
      </c>
    </row>
    <row r="39" spans="2:7" ht="20.100000000000001" customHeight="1" x14ac:dyDescent="0.3">
      <c r="B39" s="13"/>
      <c r="C39" s="16" t="str">
        <f>IF(Tableau44[[#This Row],[Date]]="","",INT(DAYS360(DATE(YEAR(B39),1,1),B39,TRUE)/15)+1)</f>
        <v/>
      </c>
      <c r="D39" s="13" t="str">
        <f>IF(Tableau44[[#This Row],[Date]]="","",24-C39)</f>
        <v/>
      </c>
      <c r="E39" s="13"/>
      <c r="F39" s="34" t="str">
        <f>IF(Tableau44[[#This Row],[Date]]="","",Tableau44[[#This Row],[Versement]]*Variables!$F$12)</f>
        <v/>
      </c>
      <c r="G39" s="34" t="str">
        <f>IF(Tableau44[[#This Row],[Date]]="","",(E39*(1+($C$33)/24)^V.Complémentaires!D39)-E39)</f>
        <v/>
      </c>
    </row>
    <row r="40" spans="2:7" ht="20.100000000000001" customHeight="1" x14ac:dyDescent="0.3">
      <c r="B40" s="13"/>
      <c r="C40" s="16" t="str">
        <f>IF(Tableau44[[#This Row],[Date]]="","",INT(DAYS360(DATE(YEAR(B40),1,1),B40,TRUE)/15)+1)</f>
        <v/>
      </c>
      <c r="D40" s="13" t="str">
        <f>IF(Tableau44[[#This Row],[Date]]="","",24-C40)</f>
        <v/>
      </c>
      <c r="E40" s="13"/>
      <c r="F40" s="34" t="str">
        <f>IF(Tableau44[[#This Row],[Date]]="","",Tableau44[[#This Row],[Versement]]*Variables!$F$12)</f>
        <v/>
      </c>
      <c r="G40" s="34" t="str">
        <f>IF(Tableau44[[#This Row],[Date]]="","",(E40*(1+($C$33)/24)^V.Complémentaires!D40)-E40)</f>
        <v/>
      </c>
    </row>
    <row r="41" spans="2:7" ht="20.100000000000001" customHeight="1" x14ac:dyDescent="0.3">
      <c r="B41" s="13"/>
      <c r="C41" s="16" t="str">
        <f>IF(Tableau44[[#This Row],[Date]]="","",INT(DAYS360(DATE(YEAR(B41),1,1),B41,TRUE)/15)+1)</f>
        <v/>
      </c>
      <c r="D41" s="13" t="str">
        <f>IF(Tableau44[[#This Row],[Date]]="","",24-C41)</f>
        <v/>
      </c>
      <c r="E41" s="13"/>
      <c r="F41" s="34" t="str">
        <f>IF(Tableau44[[#This Row],[Date]]="","",Tableau44[[#This Row],[Versement]]*Variables!$F$12)</f>
        <v/>
      </c>
      <c r="G41" s="34" t="str">
        <f>IF(Tableau44[[#This Row],[Date]]="","",(E41*(1+($C$33)/24)^V.Complémentaires!D41)-E41)</f>
        <v/>
      </c>
    </row>
    <row r="42" spans="2:7" ht="20.100000000000001" customHeight="1" x14ac:dyDescent="0.3">
      <c r="B42" s="13"/>
      <c r="C42" s="16" t="str">
        <f>IF(Tableau44[[#This Row],[Date]]="","",INT(DAYS360(DATE(YEAR(B42),1,1),B42,TRUE)/15)+1)</f>
        <v/>
      </c>
      <c r="D42" s="13" t="str">
        <f>IF(Tableau44[[#This Row],[Date]]="","",24-C42)</f>
        <v/>
      </c>
      <c r="E42" s="13"/>
      <c r="F42" s="34" t="str">
        <f>IF(Tableau44[[#This Row],[Date]]="","",Tableau44[[#This Row],[Versement]]*Variables!$F$12)</f>
        <v/>
      </c>
      <c r="G42" s="34" t="str">
        <f>IF(Tableau44[[#This Row],[Date]]="","",(E42*(1+($C$33)/24)^V.Complémentaires!D42)-E42)</f>
        <v/>
      </c>
    </row>
    <row r="43" spans="2:7" ht="20.100000000000001" customHeight="1" x14ac:dyDescent="0.3">
      <c r="B43" s="15"/>
      <c r="C43" s="16" t="str">
        <f>IF(Tableau44[[#This Row],[Date]]="","",INT(DAYS360(DATE(YEAR(B43),1,1),B43,TRUE)/15)+1)</f>
        <v/>
      </c>
      <c r="D43" s="13" t="str">
        <f>IF(Tableau44[[#This Row],[Date]]="","",24-C43)</f>
        <v/>
      </c>
      <c r="E43" s="13"/>
      <c r="F43" s="34" t="str">
        <f>IF(Tableau44[[#This Row],[Date]]="","",Tableau44[[#This Row],[Versement]]*Variables!$F$12)</f>
        <v/>
      </c>
      <c r="G43" s="34" t="str">
        <f>IF(Tableau44[[#This Row],[Date]]="","",(E43*(1+($C$33)/24)^V.Complémentaires!D43)-E43)</f>
        <v/>
      </c>
    </row>
    <row r="44" spans="2:7" ht="20.100000000000001" customHeight="1" x14ac:dyDescent="0.3">
      <c r="B44" s="13"/>
      <c r="C44" s="16" t="str">
        <f>IF(Tableau44[[#This Row],[Date]]="","",INT(DAYS360(DATE(YEAR(B44),1,1),B44,TRUE)/15)+1)</f>
        <v/>
      </c>
      <c r="D44" s="13" t="str">
        <f>IF(Tableau44[[#This Row],[Date]]="","",24-C44)</f>
        <v/>
      </c>
      <c r="E44" s="13"/>
      <c r="F44" s="34" t="str">
        <f>IF(Tableau44[[#This Row],[Date]]="","",Tableau44[[#This Row],[Versement]]*Variables!$F$12)</f>
        <v/>
      </c>
      <c r="G44" s="34" t="str">
        <f>IF(Tableau44[[#This Row],[Date]]="","",(E44*(1+($C$33)/24)^V.Complémentaires!D44)-E44)</f>
        <v/>
      </c>
    </row>
    <row r="45" spans="2:7" ht="20.100000000000001" customHeight="1" x14ac:dyDescent="0.3">
      <c r="B45" s="13"/>
      <c r="C45" s="16" t="str">
        <f>IF(Tableau44[[#This Row],[Date]]="","",INT(DAYS360(DATE(YEAR(B45),1,1),B45,TRUE)/15)+1)</f>
        <v/>
      </c>
      <c r="D45" s="13" t="str">
        <f>IF(Tableau44[[#This Row],[Date]]="","",24-C45)</f>
        <v/>
      </c>
      <c r="E45" s="13"/>
      <c r="F45" s="34" t="str">
        <f>IF(Tableau44[[#This Row],[Date]]="","",Tableau44[[#This Row],[Versement]]*Variables!$F$12)</f>
        <v/>
      </c>
      <c r="G45" s="34" t="str">
        <f>IF(Tableau44[[#This Row],[Date]]="","",(E45*(1+($C$33)/24)^V.Complémentaires!D45)-E45)</f>
        <v/>
      </c>
    </row>
    <row r="46" spans="2:7" ht="20.100000000000001" customHeight="1" x14ac:dyDescent="0.3">
      <c r="B46" s="13"/>
      <c r="C46" s="16" t="str">
        <f>IF(Tableau44[[#This Row],[Date]]="","",INT(DAYS360(DATE(YEAR(B46),1,1),B46,TRUE)/15)+1)</f>
        <v/>
      </c>
      <c r="D46" s="13" t="str">
        <f>IF(Tableau44[[#This Row],[Date]]="","",24-C46)</f>
        <v/>
      </c>
      <c r="E46" s="13"/>
      <c r="F46" s="34" t="str">
        <f>IF(Tableau44[[#This Row],[Date]]="","",Tableau44[[#This Row],[Versement]]*Variables!$F$12)</f>
        <v/>
      </c>
      <c r="G46" s="34" t="str">
        <f>IF(Tableau44[[#This Row],[Date]]="","",(E46*(1+($C$33)/24)^V.Complémentaires!D46)-E46)</f>
        <v/>
      </c>
    </row>
    <row r="47" spans="2:7" ht="20.100000000000001" customHeight="1" x14ac:dyDescent="0.3">
      <c r="B47" s="13"/>
      <c r="C47" s="16" t="str">
        <f>IF(Tableau44[[#This Row],[Date]]="","",INT(DAYS360(DATE(YEAR(B47),1,1),B47,TRUE)/15)+1)</f>
        <v/>
      </c>
      <c r="D47" s="13" t="str">
        <f>IF(Tableau44[[#This Row],[Date]]="","",24-C47)</f>
        <v/>
      </c>
      <c r="E47" s="13"/>
      <c r="F47" s="34" t="str">
        <f>IF(Tableau44[[#This Row],[Date]]="","",Tableau44[[#This Row],[Versement]]*Variables!$F$12)</f>
        <v/>
      </c>
      <c r="G47" s="34" t="str">
        <f>IF(Tableau44[[#This Row],[Date]]="","",(E47*(1+($C$33)/24)^V.Complémentaires!D47)-E47)</f>
        <v/>
      </c>
    </row>
    <row r="48" spans="2:7" ht="20.100000000000001" customHeight="1" x14ac:dyDescent="0.3">
      <c r="B48" s="13"/>
      <c r="C48" s="16" t="str">
        <f>IF(Tableau44[[#This Row],[Date]]="","",INT(DAYS360(DATE(YEAR(B48),1,1),B48,TRUE)/15)+1)</f>
        <v/>
      </c>
      <c r="D48" s="13" t="str">
        <f>IF(Tableau44[[#This Row],[Date]]="","",24-C48)</f>
        <v/>
      </c>
      <c r="E48" s="13"/>
      <c r="F48" s="34" t="str">
        <f>IF(Tableau44[[#This Row],[Date]]="","",Tableau44[[#This Row],[Versement]]*Variables!$F$12)</f>
        <v/>
      </c>
      <c r="G48" s="34" t="str">
        <f>IF(Tableau44[[#This Row],[Date]]="","",(E48*(1+($C$33)/24)^V.Complémentaires!D48)-E48)</f>
        <v/>
      </c>
    </row>
    <row r="49" spans="2:7" ht="20.100000000000001" customHeight="1" x14ac:dyDescent="0.3">
      <c r="B49" s="13"/>
      <c r="C49" s="16" t="str">
        <f>IF(Tableau44[[#This Row],[Date]]="","",INT(DAYS360(DATE(YEAR(B49),1,1),B49,TRUE)/15)+1)</f>
        <v/>
      </c>
      <c r="D49" s="13" t="str">
        <f>IF(Tableau44[[#This Row],[Date]]="","",24-C49)</f>
        <v/>
      </c>
      <c r="E49" s="13"/>
      <c r="F49" s="34" t="str">
        <f>IF(Tableau44[[#This Row],[Date]]="","",Tableau44[[#This Row],[Versement]]*Variables!$F$12)</f>
        <v/>
      </c>
      <c r="G49" s="34" t="str">
        <f>IF(Tableau44[[#This Row],[Date]]="","",(E49*(1+($C$33)/24)^V.Complémentaires!D49)-E49)</f>
        <v/>
      </c>
    </row>
    <row r="50" spans="2:7" ht="20.100000000000001" customHeight="1" x14ac:dyDescent="0.3">
      <c r="B50" s="13"/>
      <c r="C50" s="16" t="str">
        <f>IF(Tableau44[[#This Row],[Date]]="","",INT(DAYS360(DATE(YEAR(B50),1,1),B50,TRUE)/15)+1)</f>
        <v/>
      </c>
      <c r="D50" s="13" t="str">
        <f>IF(Tableau44[[#This Row],[Date]]="","",24-C50)</f>
        <v/>
      </c>
      <c r="E50" s="13"/>
      <c r="F50" s="34" t="str">
        <f>IF(Tableau44[[#This Row],[Date]]="","",Tableau44[[#This Row],[Versement]]*Variables!$F$12)</f>
        <v/>
      </c>
      <c r="G50" s="34" t="str">
        <f>IF(Tableau44[[#This Row],[Date]]="","",(E50*(1+($C$33)/24)^V.Complémentaires!D50)-E50)</f>
        <v/>
      </c>
    </row>
    <row r="51" spans="2:7" ht="20.100000000000001" customHeight="1" x14ac:dyDescent="0.3">
      <c r="B51" s="13"/>
      <c r="C51" s="16" t="str">
        <f>IF(Tableau44[[#This Row],[Date]]="","",INT(DAYS360(DATE(YEAR(B51),1,1),B51,TRUE)/15)+1)</f>
        <v/>
      </c>
      <c r="D51" s="13" t="str">
        <f>IF(Tableau44[[#This Row],[Date]]="","",24-C51)</f>
        <v/>
      </c>
      <c r="E51" s="13"/>
      <c r="F51" s="34" t="str">
        <f>IF(Tableau44[[#This Row],[Date]]="","",Tableau44[[#This Row],[Versement]]*Variables!$F$12)</f>
        <v/>
      </c>
      <c r="G51" s="34" t="str">
        <f>IF(Tableau44[[#This Row],[Date]]="","",(E51*(1+($C$33)/24)^V.Complémentaires!D51)-E51)</f>
        <v/>
      </c>
    </row>
    <row r="52" spans="2:7" ht="20.100000000000001" customHeight="1" x14ac:dyDescent="0.3">
      <c r="B52" s="13"/>
      <c r="C52" s="13"/>
      <c r="D52" s="13"/>
      <c r="E52" s="13">
        <f>SUM(Tableau44[Versement])</f>
        <v>0</v>
      </c>
      <c r="F52" s="34">
        <f>SUBTOTAL(109,Tableau44[Frais de versement])</f>
        <v>0</v>
      </c>
      <c r="G52" s="34">
        <f>SUM(Tableau44[Interet])</f>
        <v>0</v>
      </c>
    </row>
    <row r="57" spans="2:7" ht="20.100000000000001" customHeight="1" thickBot="1" x14ac:dyDescent="0.35"/>
    <row r="58" spans="2:7" ht="20.100000000000001" customHeight="1" thickBot="1" x14ac:dyDescent="0.35">
      <c r="B58" s="10" t="s">
        <v>7</v>
      </c>
      <c r="C58" s="19">
        <f ca="1">C32+1</f>
        <v>2016</v>
      </c>
      <c r="D58" s="13"/>
      <c r="E58" s="13"/>
      <c r="F58" s="34"/>
      <c r="G58" s="34"/>
    </row>
    <row r="59" spans="2:7" ht="20.100000000000001" customHeight="1" thickBot="1" x14ac:dyDescent="0.35">
      <c r="B59" s="14" t="s">
        <v>23</v>
      </c>
      <c r="C59" s="20">
        <f ca="1">IF('Tableau Projection'!I9="","",VLOOKUP(C58,'Tableau Projection'!$C$6:$L$28,7,FALSE))</f>
        <v>1.0500000000000001E-2</v>
      </c>
      <c r="D59" s="13"/>
      <c r="E59" s="13"/>
      <c r="F59" s="34"/>
      <c r="G59" s="34"/>
    </row>
    <row r="60" spans="2:7" ht="35.1" customHeight="1" x14ac:dyDescent="0.3">
      <c r="B60" s="13" t="s">
        <v>18</v>
      </c>
      <c r="C60" s="18" t="s">
        <v>22</v>
      </c>
      <c r="D60" s="13" t="s">
        <v>19</v>
      </c>
      <c r="E60" s="13" t="s">
        <v>20</v>
      </c>
      <c r="F60" s="57" t="s">
        <v>3</v>
      </c>
      <c r="G60" s="34" t="s">
        <v>21</v>
      </c>
    </row>
    <row r="61" spans="2:7" ht="20.100000000000001" customHeight="1" x14ac:dyDescent="0.3">
      <c r="B61" s="15"/>
      <c r="C61" s="16" t="str">
        <f>IF(Tableau447[[#This Row],[Date]]="","",INT(DAYS360(DATE(YEAR(B61),1,1),B61,TRUE)/15)+1)</f>
        <v/>
      </c>
      <c r="D61" s="13" t="str">
        <f>IF(Tableau447[[#This Row],[Date]]="","",24-C61)</f>
        <v/>
      </c>
      <c r="E61" s="17"/>
      <c r="F61" s="34" t="str">
        <f>IF(Tableau447[[#This Row],[Date]]="","",Tableau447[[#This Row],[Versement]]*Variables!$F$12)</f>
        <v/>
      </c>
      <c r="G61" s="34" t="str">
        <f>IF(Tableau447[[#This Row],[Date]]="","",(E61*(1+($C$59)/24)^V.Complémentaires!D61)-E61)</f>
        <v/>
      </c>
    </row>
    <row r="62" spans="2:7" ht="20.100000000000001" customHeight="1" x14ac:dyDescent="0.3">
      <c r="B62" s="15"/>
      <c r="C62" s="16" t="str">
        <f>IF(Tableau447[[#This Row],[Date]]="","",INT(DAYS360(DATE(YEAR(B62),1,1),B62,TRUE)/15)+1)</f>
        <v/>
      </c>
      <c r="D62" s="13" t="str">
        <f>IF(Tableau447[[#This Row],[Date]]="","",24-C62)</f>
        <v/>
      </c>
      <c r="E62" s="13"/>
      <c r="F62" s="34" t="str">
        <f>IF(Tableau447[[#This Row],[Date]]="","",Tableau447[[#This Row],[Versement]]*Variables!$F$12)</f>
        <v/>
      </c>
      <c r="G62" s="34" t="str">
        <f>IF(Tableau447[[#This Row],[Date]]="","",(E62*(1+($C$59)/24)^V.Complémentaires!D62)-E62)</f>
        <v/>
      </c>
    </row>
    <row r="63" spans="2:7" ht="20.100000000000001" customHeight="1" x14ac:dyDescent="0.3">
      <c r="B63" s="15"/>
      <c r="C63" s="16" t="str">
        <f>IF(Tableau447[[#This Row],[Date]]="","",INT(DAYS360(DATE(YEAR(B63),1,1),B63,TRUE)/15)+1)</f>
        <v/>
      </c>
      <c r="D63" s="13" t="str">
        <f>IF(Tableau447[[#This Row],[Date]]="","",24-C63)</f>
        <v/>
      </c>
      <c r="E63" s="13"/>
      <c r="F63" s="34" t="str">
        <f>IF(Tableau447[[#This Row],[Date]]="","",Tableau447[[#This Row],[Versement]]*Variables!$F$12)</f>
        <v/>
      </c>
      <c r="G63" s="34" t="str">
        <f>IF(Tableau447[[#This Row],[Date]]="","",(E63*(1+($C$59)/24)^V.Complémentaires!D63)-E63)</f>
        <v/>
      </c>
    </row>
    <row r="64" spans="2:7" ht="20.100000000000001" customHeight="1" x14ac:dyDescent="0.3">
      <c r="B64" s="13"/>
      <c r="C64" s="16" t="str">
        <f>IF(Tableau447[[#This Row],[Date]]="","",INT(DAYS360(DATE(YEAR(B64),1,1),B64,TRUE)/15)+1)</f>
        <v/>
      </c>
      <c r="D64" s="13" t="str">
        <f>IF(Tableau447[[#This Row],[Date]]="","",24-C64)</f>
        <v/>
      </c>
      <c r="E64" s="13"/>
      <c r="F64" s="34" t="str">
        <f>IF(Tableau447[[#This Row],[Date]]="","",Tableau447[[#This Row],[Versement]]*Variables!$F$12)</f>
        <v/>
      </c>
      <c r="G64" s="34" t="str">
        <f>IF(Tableau447[[#This Row],[Date]]="","",(E64*(1+($C$59)/24)^V.Complémentaires!D64)-E64)</f>
        <v/>
      </c>
    </row>
    <row r="65" spans="2:7" ht="20.100000000000001" customHeight="1" x14ac:dyDescent="0.3">
      <c r="B65" s="13"/>
      <c r="C65" s="16" t="str">
        <f>IF(Tableau447[[#This Row],[Date]]="","",INT(DAYS360(DATE(YEAR(B65),1,1),B65,TRUE)/15)+1)</f>
        <v/>
      </c>
      <c r="D65" s="13" t="str">
        <f>IF(Tableau447[[#This Row],[Date]]="","",24-C65)</f>
        <v/>
      </c>
      <c r="E65" s="13"/>
      <c r="F65" s="34" t="str">
        <f>IF(Tableau447[[#This Row],[Date]]="","",Tableau447[[#This Row],[Versement]]*Variables!$F$12)</f>
        <v/>
      </c>
      <c r="G65" s="34" t="str">
        <f>IF(Tableau447[[#This Row],[Date]]="","",(E65*(1+($C$59)/24)^V.Complémentaires!D65)-E65)</f>
        <v/>
      </c>
    </row>
    <row r="66" spans="2:7" ht="20.100000000000001" customHeight="1" x14ac:dyDescent="0.3">
      <c r="B66" s="13"/>
      <c r="C66" s="16" t="str">
        <f>IF(Tableau447[[#This Row],[Date]]="","",INT(DAYS360(DATE(YEAR(B66),1,1),B66,TRUE)/15)+1)</f>
        <v/>
      </c>
      <c r="D66" s="13" t="str">
        <f>IF(Tableau447[[#This Row],[Date]]="","",24-C66)</f>
        <v/>
      </c>
      <c r="E66" s="13"/>
      <c r="F66" s="34" t="str">
        <f>IF(Tableau447[[#This Row],[Date]]="","",Tableau447[[#This Row],[Versement]]*Variables!$F$12)</f>
        <v/>
      </c>
      <c r="G66" s="34" t="str">
        <f>IF(Tableau447[[#This Row],[Date]]="","",(E66*(1+($C$59)/24)^V.Complémentaires!D66)-E66)</f>
        <v/>
      </c>
    </row>
    <row r="67" spans="2:7" ht="20.100000000000001" customHeight="1" x14ac:dyDescent="0.3">
      <c r="B67" s="13"/>
      <c r="C67" s="16" t="str">
        <f>IF(Tableau447[[#This Row],[Date]]="","",INT(DAYS360(DATE(YEAR(B67),1,1),B67,TRUE)/15)+1)</f>
        <v/>
      </c>
      <c r="D67" s="13" t="str">
        <f>IF(Tableau447[[#This Row],[Date]]="","",24-C67)</f>
        <v/>
      </c>
      <c r="E67" s="13"/>
      <c r="F67" s="34" t="str">
        <f>IF(Tableau447[[#This Row],[Date]]="","",Tableau447[[#This Row],[Versement]]*Variables!$F$12)</f>
        <v/>
      </c>
      <c r="G67" s="34" t="str">
        <f>IF(Tableau447[[#This Row],[Date]]="","",(E67*(1+($C$59)/24)^V.Complémentaires!D67)-E67)</f>
        <v/>
      </c>
    </row>
    <row r="68" spans="2:7" ht="20.100000000000001" customHeight="1" x14ac:dyDescent="0.3">
      <c r="B68" s="13"/>
      <c r="C68" s="16" t="str">
        <f>IF(Tableau447[[#This Row],[Date]]="","",INT(DAYS360(DATE(YEAR(B68),1,1),B68,TRUE)/15)+1)</f>
        <v/>
      </c>
      <c r="D68" s="13" t="str">
        <f>IF(Tableau447[[#This Row],[Date]]="","",24-C68)</f>
        <v/>
      </c>
      <c r="E68" s="13"/>
      <c r="F68" s="34" t="str">
        <f>IF(Tableau447[[#This Row],[Date]]="","",Tableau447[[#This Row],[Versement]]*Variables!$F$12)</f>
        <v/>
      </c>
      <c r="G68" s="34" t="str">
        <f>IF(Tableau447[[#This Row],[Date]]="","",(E68*(1+($C$59)/24)^V.Complémentaires!D68)-E68)</f>
        <v/>
      </c>
    </row>
    <row r="69" spans="2:7" ht="20.100000000000001" customHeight="1" x14ac:dyDescent="0.3">
      <c r="B69" s="15"/>
      <c r="C69" s="16" t="str">
        <f>IF(Tableau447[[#This Row],[Date]]="","",INT(DAYS360(DATE(YEAR(B69),1,1),B69,TRUE)/15)+1)</f>
        <v/>
      </c>
      <c r="D69" s="13" t="str">
        <f>IF(Tableau447[[#This Row],[Date]]="","",24-C69)</f>
        <v/>
      </c>
      <c r="E69" s="13"/>
      <c r="F69" s="34" t="str">
        <f>IF(Tableau447[[#This Row],[Date]]="","",Tableau447[[#This Row],[Versement]]*Variables!$F$12)</f>
        <v/>
      </c>
      <c r="G69" s="34" t="str">
        <f>IF(Tableau447[[#This Row],[Date]]="","",(E69*(1+($C$59)/24)^V.Complémentaires!D69)-E69)</f>
        <v/>
      </c>
    </row>
    <row r="70" spans="2:7" ht="20.100000000000001" customHeight="1" x14ac:dyDescent="0.3">
      <c r="B70" s="13"/>
      <c r="C70" s="16" t="str">
        <f>IF(Tableau447[[#This Row],[Date]]="","",INT(DAYS360(DATE(YEAR(B70),1,1),B70,TRUE)/15)+1)</f>
        <v/>
      </c>
      <c r="D70" s="13" t="str">
        <f>IF(Tableau447[[#This Row],[Date]]="","",24-C70)</f>
        <v/>
      </c>
      <c r="E70" s="13"/>
      <c r="F70" s="34" t="str">
        <f>IF(Tableau447[[#This Row],[Date]]="","",Tableau447[[#This Row],[Versement]]*Variables!$F$12)</f>
        <v/>
      </c>
      <c r="G70" s="34" t="str">
        <f>IF(Tableau447[[#This Row],[Date]]="","",(E70*(1+($C$59)/24)^V.Complémentaires!D70)-E70)</f>
        <v/>
      </c>
    </row>
    <row r="71" spans="2:7" ht="20.100000000000001" customHeight="1" x14ac:dyDescent="0.3">
      <c r="B71" s="13"/>
      <c r="C71" s="16" t="str">
        <f>IF(Tableau447[[#This Row],[Date]]="","",INT(DAYS360(DATE(YEAR(B71),1,1),B71,TRUE)/15)+1)</f>
        <v/>
      </c>
      <c r="D71" s="13" t="str">
        <f>IF(Tableau447[[#This Row],[Date]]="","",24-C71)</f>
        <v/>
      </c>
      <c r="E71" s="13"/>
      <c r="F71" s="34" t="str">
        <f>IF(Tableau447[[#This Row],[Date]]="","",Tableau447[[#This Row],[Versement]]*Variables!$F$12)</f>
        <v/>
      </c>
      <c r="G71" s="34" t="str">
        <f>IF(Tableau447[[#This Row],[Date]]="","",(E71*(1+($C$59)/24)^V.Complémentaires!D71)-E71)</f>
        <v/>
      </c>
    </row>
    <row r="72" spans="2:7" ht="20.100000000000001" customHeight="1" x14ac:dyDescent="0.3">
      <c r="B72" s="13"/>
      <c r="C72" s="16" t="str">
        <f>IF(Tableau447[[#This Row],[Date]]="","",INT(DAYS360(DATE(YEAR(B72),1,1),B72,TRUE)/15)+1)</f>
        <v/>
      </c>
      <c r="D72" s="13" t="str">
        <f>IF(Tableau447[[#This Row],[Date]]="","",24-C72)</f>
        <v/>
      </c>
      <c r="E72" s="13"/>
      <c r="F72" s="34" t="str">
        <f>IF(Tableau447[[#This Row],[Date]]="","",Tableau447[[#This Row],[Versement]]*Variables!$F$12)</f>
        <v/>
      </c>
      <c r="G72" s="34" t="str">
        <f>IF(Tableau447[[#This Row],[Date]]="","",(E72*(1+($C$59)/24)^V.Complémentaires!D72)-E72)</f>
        <v/>
      </c>
    </row>
    <row r="73" spans="2:7" ht="20.100000000000001" customHeight="1" x14ac:dyDescent="0.3">
      <c r="B73" s="13"/>
      <c r="C73" s="16" t="str">
        <f>IF(Tableau447[[#This Row],[Date]]="","",INT(DAYS360(DATE(YEAR(B73),1,1),B73,TRUE)/15)+1)</f>
        <v/>
      </c>
      <c r="D73" s="13" t="str">
        <f>IF(Tableau447[[#This Row],[Date]]="","",24-C73)</f>
        <v/>
      </c>
      <c r="E73" s="13"/>
      <c r="F73" s="34" t="str">
        <f>IF(Tableau447[[#This Row],[Date]]="","",Tableau447[[#This Row],[Versement]]*Variables!$F$12)</f>
        <v/>
      </c>
      <c r="G73" s="34" t="str">
        <f>IF(Tableau447[[#This Row],[Date]]="","",(E73*(1+($C$59)/24)^V.Complémentaires!D73)-E73)</f>
        <v/>
      </c>
    </row>
    <row r="74" spans="2:7" ht="20.100000000000001" customHeight="1" x14ac:dyDescent="0.3">
      <c r="B74" s="13"/>
      <c r="C74" s="16" t="str">
        <f>IF(Tableau447[[#This Row],[Date]]="","",INT(DAYS360(DATE(YEAR(B74),1,1),B74,TRUE)/15)+1)</f>
        <v/>
      </c>
      <c r="D74" s="13" t="str">
        <f>IF(Tableau447[[#This Row],[Date]]="","",24-C74)</f>
        <v/>
      </c>
      <c r="E74" s="13"/>
      <c r="F74" s="34" t="str">
        <f>IF(Tableau447[[#This Row],[Date]]="","",Tableau447[[#This Row],[Versement]]*Variables!$F$12)</f>
        <v/>
      </c>
      <c r="G74" s="34" t="str">
        <f>IF(Tableau447[[#This Row],[Date]]="","",(E74*(1+($C$59)/24)^V.Complémentaires!D74)-E74)</f>
        <v/>
      </c>
    </row>
    <row r="75" spans="2:7" ht="20.100000000000001" customHeight="1" x14ac:dyDescent="0.3">
      <c r="B75" s="13"/>
      <c r="C75" s="16" t="str">
        <f>IF(Tableau447[[#This Row],[Date]]="","",INT(DAYS360(DATE(YEAR(B75),1,1),B75,TRUE)/15)+1)</f>
        <v/>
      </c>
      <c r="D75" s="13" t="str">
        <f>IF(Tableau447[[#This Row],[Date]]="","",24-C75)</f>
        <v/>
      </c>
      <c r="E75" s="13"/>
      <c r="F75" s="34" t="str">
        <f>IF(Tableau447[[#This Row],[Date]]="","",Tableau447[[#This Row],[Versement]]*Variables!$F$12)</f>
        <v/>
      </c>
      <c r="G75" s="34" t="str">
        <f>IF(Tableau447[[#This Row],[Date]]="","",(E75*(1+($C$59)/24)^V.Complémentaires!D75)-E75)</f>
        <v/>
      </c>
    </row>
    <row r="76" spans="2:7" ht="20.100000000000001" customHeight="1" x14ac:dyDescent="0.3">
      <c r="B76" s="13"/>
      <c r="C76" s="16" t="str">
        <f>IF(Tableau447[[#This Row],[Date]]="","",INT(DAYS360(DATE(YEAR(B76),1,1),B76,TRUE)/15)+1)</f>
        <v/>
      </c>
      <c r="D76" s="13" t="str">
        <f>IF(Tableau447[[#This Row],[Date]]="","",24-C76)</f>
        <v/>
      </c>
      <c r="E76" s="13"/>
      <c r="F76" s="34" t="str">
        <f>IF(Tableau447[[#This Row],[Date]]="","",Tableau447[[#This Row],[Versement]]*Variables!$F$12)</f>
        <v/>
      </c>
      <c r="G76" s="34" t="str">
        <f>IF(Tableau447[[#This Row],[Date]]="","",(E76*(1+($C$59)/24)^V.Complémentaires!D76)-E76)</f>
        <v/>
      </c>
    </row>
    <row r="77" spans="2:7" ht="20.100000000000001" customHeight="1" x14ac:dyDescent="0.3">
      <c r="B77" s="13"/>
      <c r="C77" s="16" t="str">
        <f>IF(Tableau447[[#This Row],[Date]]="","",INT(DAYS360(DATE(YEAR(B77),1,1),B77,TRUE)/15)+1)</f>
        <v/>
      </c>
      <c r="D77" s="13" t="str">
        <f>IF(Tableau447[[#This Row],[Date]]="","",24-C77)</f>
        <v/>
      </c>
      <c r="E77" s="13"/>
      <c r="F77" s="34" t="str">
        <f>IF(Tableau447[[#This Row],[Date]]="","",Tableau447[[#This Row],[Versement]]*Variables!$F$12)</f>
        <v/>
      </c>
      <c r="G77" s="34" t="str">
        <f>IF(Tableau447[[#This Row],[Date]]="","",(E77*(1+($C$59)/24)^V.Complémentaires!D77)-E77)</f>
        <v/>
      </c>
    </row>
    <row r="78" spans="2:7" ht="20.100000000000001" customHeight="1" x14ac:dyDescent="0.3">
      <c r="B78" s="13"/>
      <c r="C78" s="13"/>
      <c r="D78" s="13"/>
      <c r="E78" s="13">
        <f>SUM(Tableau447[Versement])</f>
        <v>0</v>
      </c>
      <c r="F78" s="34">
        <f>SUBTOTAL(109,Tableau447[Frais de versement])</f>
        <v>0</v>
      </c>
      <c r="G78" s="34">
        <f>SUM(Tableau447[Interet])</f>
        <v>0</v>
      </c>
    </row>
    <row r="83" spans="2:7" ht="20.100000000000001" customHeight="1" thickBot="1" x14ac:dyDescent="0.35"/>
    <row r="84" spans="2:7" ht="20.100000000000001" customHeight="1" thickBot="1" x14ac:dyDescent="0.35">
      <c r="B84" s="10" t="s">
        <v>7</v>
      </c>
      <c r="C84" s="19">
        <f ca="1">C58+1</f>
        <v>2017</v>
      </c>
      <c r="D84" s="13"/>
      <c r="E84" s="13"/>
      <c r="F84" s="34"/>
      <c r="G84" s="34"/>
    </row>
    <row r="85" spans="2:7" ht="20.100000000000001" customHeight="1" thickBot="1" x14ac:dyDescent="0.35">
      <c r="B85" s="14" t="s">
        <v>23</v>
      </c>
      <c r="C85" s="20">
        <f ca="1">IF('Tableau Projection'!I10="","",VLOOKUP(C84,'Tableau Projection'!$C$6:$L$28,7,FALSE))</f>
        <v>1.0500000000000001E-2</v>
      </c>
      <c r="D85" s="13"/>
      <c r="E85" s="13"/>
      <c r="F85" s="34"/>
      <c r="G85" s="34"/>
    </row>
    <row r="86" spans="2:7" ht="35.1" customHeight="1" x14ac:dyDescent="0.3">
      <c r="B86" s="13" t="s">
        <v>18</v>
      </c>
      <c r="C86" s="18" t="s">
        <v>22</v>
      </c>
      <c r="D86" s="13" t="s">
        <v>19</v>
      </c>
      <c r="E86" s="13" t="s">
        <v>20</v>
      </c>
      <c r="F86" s="57" t="s">
        <v>3</v>
      </c>
      <c r="G86" s="34" t="s">
        <v>21</v>
      </c>
    </row>
    <row r="87" spans="2:7" ht="20.100000000000001" customHeight="1" x14ac:dyDescent="0.3">
      <c r="B87" s="15"/>
      <c r="C87" s="16" t="str">
        <f>IF(Tableau4478[[#This Row],[Date]]="","",INT(DAYS360(DATE(YEAR(B87),1,1),B87,TRUE)/15)+1)</f>
        <v/>
      </c>
      <c r="D87" s="13" t="str">
        <f>IF(Tableau4478[[#This Row],[Date]]="","",24-C87)</f>
        <v/>
      </c>
      <c r="E87" s="17"/>
      <c r="F87" s="34" t="str">
        <f>IF(Tableau4478[[#This Row],[Date]]="","",Tableau4478[[#This Row],[Versement]]*Variables!$F$12)</f>
        <v/>
      </c>
      <c r="G87" s="34" t="str">
        <f>IF(Tableau4478[[#This Row],[Date]]="","",(E87*(1+($C$85)/24)^V.Complémentaires!D87)-E87)</f>
        <v/>
      </c>
    </row>
    <row r="88" spans="2:7" ht="20.100000000000001" customHeight="1" x14ac:dyDescent="0.3">
      <c r="B88" s="15"/>
      <c r="C88" s="16" t="str">
        <f>IF(Tableau4478[[#This Row],[Date]]="","",INT(DAYS360(DATE(YEAR(B88),1,1),B88,TRUE)/15)+1)</f>
        <v/>
      </c>
      <c r="D88" s="13" t="str">
        <f>IF(Tableau4478[[#This Row],[Date]]="","",24-C88)</f>
        <v/>
      </c>
      <c r="E88" s="13"/>
      <c r="F88" s="34" t="str">
        <f>IF(Tableau4478[[#This Row],[Date]]="","",Tableau4478[[#This Row],[Versement]]*Variables!$F$12)</f>
        <v/>
      </c>
      <c r="G88" s="34" t="str">
        <f>IF(Tableau4478[[#This Row],[Date]]="","",(E88*(1+($C$85)/24)^V.Complémentaires!D88)-E88)</f>
        <v/>
      </c>
    </row>
    <row r="89" spans="2:7" ht="20.100000000000001" customHeight="1" x14ac:dyDescent="0.3">
      <c r="B89" s="15"/>
      <c r="C89" s="16" t="str">
        <f>IF(Tableau4478[[#This Row],[Date]]="","",INT(DAYS360(DATE(YEAR(B89),1,1),B89,TRUE)/15)+1)</f>
        <v/>
      </c>
      <c r="D89" s="13" t="str">
        <f>IF(Tableau4478[[#This Row],[Date]]="","",24-C89)</f>
        <v/>
      </c>
      <c r="E89" s="13"/>
      <c r="F89" s="34" t="str">
        <f>IF(Tableau4478[[#This Row],[Date]]="","",Tableau4478[[#This Row],[Versement]]*Variables!$F$12)</f>
        <v/>
      </c>
      <c r="G89" s="34" t="str">
        <f>IF(Tableau4478[[#This Row],[Date]]="","",(E89*(1+($C$85)/24)^V.Complémentaires!D89)-E89)</f>
        <v/>
      </c>
    </row>
    <row r="90" spans="2:7" ht="20.100000000000001" customHeight="1" x14ac:dyDescent="0.3">
      <c r="B90" s="13"/>
      <c r="C90" s="16" t="str">
        <f>IF(Tableau4478[[#This Row],[Date]]="","",INT(DAYS360(DATE(YEAR(B90),1,1),B90,TRUE)/15)+1)</f>
        <v/>
      </c>
      <c r="D90" s="13" t="str">
        <f>IF(Tableau4478[[#This Row],[Date]]="","",24-C90)</f>
        <v/>
      </c>
      <c r="E90" s="13"/>
      <c r="F90" s="34" t="str">
        <f>IF(Tableau4478[[#This Row],[Date]]="","",Tableau4478[[#This Row],[Versement]]*Variables!$F$12)</f>
        <v/>
      </c>
      <c r="G90" s="34" t="str">
        <f>IF(Tableau4478[[#This Row],[Date]]="","",(E90*(1+($C$85)/24)^V.Complémentaires!D90)-E90)</f>
        <v/>
      </c>
    </row>
    <row r="91" spans="2:7" ht="20.100000000000001" customHeight="1" x14ac:dyDescent="0.3">
      <c r="B91" s="13"/>
      <c r="C91" s="16" t="str">
        <f>IF(Tableau4478[[#This Row],[Date]]="","",INT(DAYS360(DATE(YEAR(B91),1,1),B91,TRUE)/15)+1)</f>
        <v/>
      </c>
      <c r="D91" s="13" t="str">
        <f>IF(Tableau4478[[#This Row],[Date]]="","",24-C91)</f>
        <v/>
      </c>
      <c r="E91" s="13"/>
      <c r="F91" s="34" t="str">
        <f>IF(Tableau4478[[#This Row],[Date]]="","",Tableau4478[[#This Row],[Versement]]*Variables!$F$12)</f>
        <v/>
      </c>
      <c r="G91" s="34" t="str">
        <f>IF(Tableau4478[[#This Row],[Date]]="","",(E91*(1+($C$85)/24)^V.Complémentaires!D91)-E91)</f>
        <v/>
      </c>
    </row>
    <row r="92" spans="2:7" ht="20.100000000000001" customHeight="1" x14ac:dyDescent="0.3">
      <c r="B92" s="13"/>
      <c r="C92" s="16" t="str">
        <f>IF(Tableau4478[[#This Row],[Date]]="","",INT(DAYS360(DATE(YEAR(B92),1,1),B92,TRUE)/15)+1)</f>
        <v/>
      </c>
      <c r="D92" s="13" t="str">
        <f>IF(Tableau4478[[#This Row],[Date]]="","",24-C92)</f>
        <v/>
      </c>
      <c r="E92" s="13"/>
      <c r="F92" s="34" t="str">
        <f>IF(Tableau4478[[#This Row],[Date]]="","",Tableau4478[[#This Row],[Versement]]*Variables!$F$12)</f>
        <v/>
      </c>
      <c r="G92" s="34" t="str">
        <f>IF(Tableau4478[[#This Row],[Date]]="","",(E92*(1+($C$85)/24)^V.Complémentaires!D92)-E92)</f>
        <v/>
      </c>
    </row>
    <row r="93" spans="2:7" ht="20.100000000000001" customHeight="1" x14ac:dyDescent="0.3">
      <c r="B93" s="13"/>
      <c r="C93" s="16" t="str">
        <f>IF(Tableau4478[[#This Row],[Date]]="","",INT(DAYS360(DATE(YEAR(B93),1,1),B93,TRUE)/15)+1)</f>
        <v/>
      </c>
      <c r="D93" s="13" t="str">
        <f>IF(Tableau4478[[#This Row],[Date]]="","",24-C93)</f>
        <v/>
      </c>
      <c r="E93" s="13"/>
      <c r="F93" s="34" t="str">
        <f>IF(Tableau4478[[#This Row],[Date]]="","",Tableau4478[[#This Row],[Versement]]*Variables!$F$12)</f>
        <v/>
      </c>
      <c r="G93" s="34" t="str">
        <f>IF(Tableau4478[[#This Row],[Date]]="","",(E93*(1+($C$85)/24)^V.Complémentaires!D93)-E93)</f>
        <v/>
      </c>
    </row>
    <row r="94" spans="2:7" ht="20.100000000000001" customHeight="1" x14ac:dyDescent="0.3">
      <c r="B94" s="13"/>
      <c r="C94" s="16" t="str">
        <f>IF(Tableau4478[[#This Row],[Date]]="","",INT(DAYS360(DATE(YEAR(B94),1,1),B94,TRUE)/15)+1)</f>
        <v/>
      </c>
      <c r="D94" s="13" t="str">
        <f>IF(Tableau4478[[#This Row],[Date]]="","",24-C94)</f>
        <v/>
      </c>
      <c r="E94" s="13"/>
      <c r="F94" s="34" t="str">
        <f>IF(Tableau4478[[#This Row],[Date]]="","",Tableau4478[[#This Row],[Versement]]*Variables!$F$12)</f>
        <v/>
      </c>
      <c r="G94" s="34" t="str">
        <f>IF(Tableau4478[[#This Row],[Date]]="","",(E94*(1+($C$85)/24)^V.Complémentaires!D94)-E94)</f>
        <v/>
      </c>
    </row>
    <row r="95" spans="2:7" ht="20.100000000000001" customHeight="1" x14ac:dyDescent="0.3">
      <c r="B95" s="15"/>
      <c r="C95" s="16" t="str">
        <f>IF(Tableau4478[[#This Row],[Date]]="","",INT(DAYS360(DATE(YEAR(B95),1,1),B95,TRUE)/15)+1)</f>
        <v/>
      </c>
      <c r="D95" s="13" t="str">
        <f>IF(Tableau4478[[#This Row],[Date]]="","",24-C95)</f>
        <v/>
      </c>
      <c r="E95" s="13"/>
      <c r="F95" s="34" t="str">
        <f>IF(Tableau4478[[#This Row],[Date]]="","",Tableau4478[[#This Row],[Versement]]*Variables!$F$12)</f>
        <v/>
      </c>
      <c r="G95" s="34" t="str">
        <f>IF(Tableau4478[[#This Row],[Date]]="","",(E95*(1+($C$85)/24)^V.Complémentaires!D95)-E95)</f>
        <v/>
      </c>
    </row>
    <row r="96" spans="2:7" ht="20.100000000000001" customHeight="1" x14ac:dyDescent="0.3">
      <c r="B96" s="13"/>
      <c r="C96" s="16" t="str">
        <f>IF(Tableau4478[[#This Row],[Date]]="","",INT(DAYS360(DATE(YEAR(B96),1,1),B96,TRUE)/15)+1)</f>
        <v/>
      </c>
      <c r="D96" s="13" t="str">
        <f>IF(Tableau4478[[#This Row],[Date]]="","",24-C96)</f>
        <v/>
      </c>
      <c r="E96" s="13"/>
      <c r="F96" s="34" t="str">
        <f>IF(Tableau4478[[#This Row],[Date]]="","",Tableau4478[[#This Row],[Versement]]*Variables!$F$12)</f>
        <v/>
      </c>
      <c r="G96" s="34" t="str">
        <f>IF(Tableau4478[[#This Row],[Date]]="","",(E96*(1+($C$85)/24)^V.Complémentaires!D96)-E96)</f>
        <v/>
      </c>
    </row>
    <row r="97" spans="2:7" ht="20.100000000000001" customHeight="1" x14ac:dyDescent="0.3">
      <c r="B97" s="13"/>
      <c r="C97" s="16" t="str">
        <f>IF(Tableau4478[[#This Row],[Date]]="","",INT(DAYS360(DATE(YEAR(B97),1,1),B97,TRUE)/15)+1)</f>
        <v/>
      </c>
      <c r="D97" s="13" t="str">
        <f>IF(Tableau4478[[#This Row],[Date]]="","",24-C97)</f>
        <v/>
      </c>
      <c r="E97" s="13"/>
      <c r="F97" s="34" t="str">
        <f>IF(Tableau4478[[#This Row],[Date]]="","",Tableau4478[[#This Row],[Versement]]*Variables!$F$12)</f>
        <v/>
      </c>
      <c r="G97" s="34" t="str">
        <f>IF(Tableau4478[[#This Row],[Date]]="","",(E97*(1+($C$85)/24)^V.Complémentaires!D97)-E97)</f>
        <v/>
      </c>
    </row>
    <row r="98" spans="2:7" ht="20.100000000000001" customHeight="1" x14ac:dyDescent="0.3">
      <c r="B98" s="13"/>
      <c r="C98" s="16" t="str">
        <f>IF(Tableau4478[[#This Row],[Date]]="","",INT(DAYS360(DATE(YEAR(B98),1,1),B98,TRUE)/15)+1)</f>
        <v/>
      </c>
      <c r="D98" s="13" t="str">
        <f>IF(Tableau4478[[#This Row],[Date]]="","",24-C98)</f>
        <v/>
      </c>
      <c r="E98" s="13"/>
      <c r="F98" s="34" t="str">
        <f>IF(Tableau4478[[#This Row],[Date]]="","",Tableau4478[[#This Row],[Versement]]*Variables!$F$12)</f>
        <v/>
      </c>
      <c r="G98" s="34" t="str">
        <f>IF(Tableau4478[[#This Row],[Date]]="","",(E98*(1+($C$85)/24)^V.Complémentaires!D98)-E98)</f>
        <v/>
      </c>
    </row>
    <row r="99" spans="2:7" ht="20.100000000000001" customHeight="1" x14ac:dyDescent="0.3">
      <c r="B99" s="13"/>
      <c r="C99" s="16" t="str">
        <f>IF(Tableau4478[[#This Row],[Date]]="","",INT(DAYS360(DATE(YEAR(B99),1,1),B99,TRUE)/15)+1)</f>
        <v/>
      </c>
      <c r="D99" s="13" t="str">
        <f>IF(Tableau4478[[#This Row],[Date]]="","",24-C99)</f>
        <v/>
      </c>
      <c r="E99" s="13"/>
      <c r="F99" s="34" t="str">
        <f>IF(Tableau4478[[#This Row],[Date]]="","",Tableau4478[[#This Row],[Versement]]*Variables!$F$12)</f>
        <v/>
      </c>
      <c r="G99" s="34" t="str">
        <f>IF(Tableau4478[[#This Row],[Date]]="","",(E99*(1+($C$85)/24)^V.Complémentaires!D99)-E99)</f>
        <v/>
      </c>
    </row>
    <row r="100" spans="2:7" ht="20.100000000000001" customHeight="1" x14ac:dyDescent="0.3">
      <c r="B100" s="13"/>
      <c r="C100" s="16" t="str">
        <f>IF(Tableau4478[[#This Row],[Date]]="","",INT(DAYS360(DATE(YEAR(B100),1,1),B100,TRUE)/15)+1)</f>
        <v/>
      </c>
      <c r="D100" s="13" t="str">
        <f>IF(Tableau4478[[#This Row],[Date]]="","",24-C100)</f>
        <v/>
      </c>
      <c r="E100" s="13"/>
      <c r="F100" s="34" t="str">
        <f>IF(Tableau4478[[#This Row],[Date]]="","",Tableau4478[[#This Row],[Versement]]*Variables!$F$12)</f>
        <v/>
      </c>
      <c r="G100" s="34" t="str">
        <f>IF(Tableau4478[[#This Row],[Date]]="","",(E100*(1+($C$85)/24)^V.Complémentaires!D100)-E100)</f>
        <v/>
      </c>
    </row>
    <row r="101" spans="2:7" ht="20.100000000000001" customHeight="1" x14ac:dyDescent="0.3">
      <c r="B101" s="13"/>
      <c r="C101" s="16" t="str">
        <f>IF(Tableau4478[[#This Row],[Date]]="","",INT(DAYS360(DATE(YEAR(B101),1,1),B101,TRUE)/15)+1)</f>
        <v/>
      </c>
      <c r="D101" s="13" t="str">
        <f>IF(Tableau4478[[#This Row],[Date]]="","",24-C101)</f>
        <v/>
      </c>
      <c r="E101" s="13"/>
      <c r="F101" s="34" t="str">
        <f>IF(Tableau4478[[#This Row],[Date]]="","",Tableau4478[[#This Row],[Versement]]*Variables!$F$12)</f>
        <v/>
      </c>
      <c r="G101" s="34" t="str">
        <f>IF(Tableau4478[[#This Row],[Date]]="","",(E101*(1+($C$85)/24)^V.Complémentaires!D101)-E101)</f>
        <v/>
      </c>
    </row>
    <row r="102" spans="2:7" ht="20.100000000000001" customHeight="1" x14ac:dyDescent="0.3">
      <c r="B102" s="13"/>
      <c r="C102" s="16" t="str">
        <f>IF(Tableau4478[[#This Row],[Date]]="","",INT(DAYS360(DATE(YEAR(B102),1,1),B102,TRUE)/15)+1)</f>
        <v/>
      </c>
      <c r="D102" s="13" t="str">
        <f>IF(Tableau4478[[#This Row],[Date]]="","",24-C102)</f>
        <v/>
      </c>
      <c r="E102" s="13"/>
      <c r="F102" s="34" t="str">
        <f>IF(Tableau4478[[#This Row],[Date]]="","",Tableau4478[[#This Row],[Versement]]*Variables!$F$12)</f>
        <v/>
      </c>
      <c r="G102" s="34" t="str">
        <f>IF(Tableau4478[[#This Row],[Date]]="","",(E102*(1+($C$85)/24)^V.Complémentaires!D102)-E102)</f>
        <v/>
      </c>
    </row>
    <row r="103" spans="2:7" ht="20.100000000000001" customHeight="1" x14ac:dyDescent="0.3">
      <c r="B103" s="13"/>
      <c r="C103" s="16" t="str">
        <f>IF(Tableau4478[[#This Row],[Date]]="","",INT(DAYS360(DATE(YEAR(B103),1,1),B103,TRUE)/15)+1)</f>
        <v/>
      </c>
      <c r="D103" s="13" t="str">
        <f>IF(Tableau4478[[#This Row],[Date]]="","",24-C103)</f>
        <v/>
      </c>
      <c r="E103" s="13"/>
      <c r="F103" s="34" t="str">
        <f>IF(Tableau4478[[#This Row],[Date]]="","",Tableau4478[[#This Row],[Versement]]*Variables!$F$12)</f>
        <v/>
      </c>
      <c r="G103" s="34" t="str">
        <f>IF(Tableau4478[[#This Row],[Date]]="","",(E103*(1+($C$85)/24)^V.Complémentaires!D103)-E103)</f>
        <v/>
      </c>
    </row>
    <row r="104" spans="2:7" ht="20.100000000000001" customHeight="1" x14ac:dyDescent="0.3">
      <c r="B104" s="13"/>
      <c r="C104" s="13"/>
      <c r="D104" s="13"/>
      <c r="E104" s="13">
        <f>SUM(Tableau4478[Versement])</f>
        <v>0</v>
      </c>
      <c r="F104" s="34">
        <f>SUBTOTAL(109,Tableau4478[Frais de versement])</f>
        <v>0</v>
      </c>
      <c r="G104" s="34">
        <f>SUM(Tableau4478[Interet])</f>
        <v>0</v>
      </c>
    </row>
    <row r="109" spans="2:7" ht="20.100000000000001" customHeight="1" thickBot="1" x14ac:dyDescent="0.35"/>
    <row r="110" spans="2:7" ht="20.100000000000001" customHeight="1" thickBot="1" x14ac:dyDescent="0.35">
      <c r="B110" s="10" t="s">
        <v>7</v>
      </c>
      <c r="C110" s="19">
        <f ca="1">C84+1</f>
        <v>2018</v>
      </c>
      <c r="D110" s="13"/>
      <c r="E110" s="13"/>
      <c r="F110" s="34"/>
      <c r="G110" s="34"/>
    </row>
    <row r="111" spans="2:7" ht="20.100000000000001" customHeight="1" thickBot="1" x14ac:dyDescent="0.35">
      <c r="B111" s="14" t="s">
        <v>23</v>
      </c>
      <c r="C111" s="20">
        <f ca="1">IF('Tableau Projection'!I11="","",VLOOKUP(C110,'Tableau Projection'!$C$6:$L$28,7,FALSE))</f>
        <v>1.0500000000000001E-2</v>
      </c>
      <c r="D111" s="13"/>
      <c r="E111" s="13"/>
      <c r="F111" s="34"/>
      <c r="G111" s="34"/>
    </row>
    <row r="112" spans="2:7" ht="35.1" customHeight="1" x14ac:dyDescent="0.3">
      <c r="B112" s="13" t="s">
        <v>18</v>
      </c>
      <c r="C112" s="18" t="s">
        <v>22</v>
      </c>
      <c r="D112" s="13" t="s">
        <v>19</v>
      </c>
      <c r="E112" s="13" t="s">
        <v>20</v>
      </c>
      <c r="F112" s="57" t="s">
        <v>3</v>
      </c>
      <c r="G112" s="34" t="s">
        <v>21</v>
      </c>
    </row>
    <row r="113" spans="2:7" ht="20.100000000000001" customHeight="1" x14ac:dyDescent="0.3">
      <c r="B113" s="15"/>
      <c r="C113" s="16" t="str">
        <f>IF(Tableau44789[[#This Row],[Date]]="","",INT(DAYS360(DATE(YEAR(B113),1,1),B113,TRUE)/15)+1)</f>
        <v/>
      </c>
      <c r="D113" s="13" t="str">
        <f>IF(Tableau44789[[#This Row],[Date]]="","",24-C113)</f>
        <v/>
      </c>
      <c r="E113" s="17"/>
      <c r="F113" s="34" t="str">
        <f>IF(Tableau44789[[#This Row],[Date]]="","",Tableau44789[[#This Row],[Versement]]*Variables!$F$12)</f>
        <v/>
      </c>
      <c r="G113" s="34" t="str">
        <f>IF(Tableau44789[[#This Row],[Date]]="","",(E113*(1+($C$111)/24)^V.Complémentaires!D113)-E113)</f>
        <v/>
      </c>
    </row>
    <row r="114" spans="2:7" ht="20.100000000000001" customHeight="1" x14ac:dyDescent="0.3">
      <c r="B114" s="15"/>
      <c r="C114" s="16" t="str">
        <f>IF(Tableau44789[[#This Row],[Date]]="","",INT(DAYS360(DATE(YEAR(B114),1,1),B114,TRUE)/15)+1)</f>
        <v/>
      </c>
      <c r="D114" s="13" t="str">
        <f>IF(Tableau44789[[#This Row],[Date]]="","",24-C114)</f>
        <v/>
      </c>
      <c r="E114" s="13"/>
      <c r="F114" s="34" t="str">
        <f>IF(Tableau44789[[#This Row],[Date]]="","",Tableau44789[[#This Row],[Versement]]*Variables!$F$12)</f>
        <v/>
      </c>
      <c r="G114" s="34" t="str">
        <f>IF(Tableau44789[[#This Row],[Date]]="","",(E114*(1+($C$111)/24)^V.Complémentaires!D114)-E114)</f>
        <v/>
      </c>
    </row>
    <row r="115" spans="2:7" ht="20.100000000000001" customHeight="1" x14ac:dyDescent="0.3">
      <c r="B115" s="15"/>
      <c r="C115" s="16" t="str">
        <f>IF(Tableau44789[[#This Row],[Date]]="","",INT(DAYS360(DATE(YEAR(B115),1,1),B115,TRUE)/15)+1)</f>
        <v/>
      </c>
      <c r="D115" s="13" t="str">
        <f>IF(Tableau44789[[#This Row],[Date]]="","",24-C115)</f>
        <v/>
      </c>
      <c r="E115" s="13"/>
      <c r="F115" s="34" t="str">
        <f>IF(Tableau44789[[#This Row],[Date]]="","",Tableau44789[[#This Row],[Versement]]*Variables!$F$12)</f>
        <v/>
      </c>
      <c r="G115" s="34" t="str">
        <f>IF(Tableau44789[[#This Row],[Date]]="","",(E115*(1+($C$111)/24)^V.Complémentaires!D115)-E115)</f>
        <v/>
      </c>
    </row>
    <row r="116" spans="2:7" ht="20.100000000000001" customHeight="1" x14ac:dyDescent="0.3">
      <c r="B116" s="13"/>
      <c r="C116" s="16" t="str">
        <f>IF(Tableau44789[[#This Row],[Date]]="","",INT(DAYS360(DATE(YEAR(B116),1,1),B116,TRUE)/15)+1)</f>
        <v/>
      </c>
      <c r="D116" s="13" t="str">
        <f>IF(Tableau44789[[#This Row],[Date]]="","",24-C116)</f>
        <v/>
      </c>
      <c r="E116" s="13"/>
      <c r="F116" s="34" t="str">
        <f>IF(Tableau44789[[#This Row],[Date]]="","",Tableau44789[[#This Row],[Versement]]*Variables!$F$12)</f>
        <v/>
      </c>
      <c r="G116" s="34" t="str">
        <f>IF(Tableau44789[[#This Row],[Date]]="","",(E116*(1+($C$111)/24)^V.Complémentaires!D116)-E116)</f>
        <v/>
      </c>
    </row>
    <row r="117" spans="2:7" ht="20.100000000000001" customHeight="1" x14ac:dyDescent="0.3">
      <c r="B117" s="13"/>
      <c r="C117" s="16" t="str">
        <f>IF(Tableau44789[[#This Row],[Date]]="","",INT(DAYS360(DATE(YEAR(B117),1,1),B117,TRUE)/15)+1)</f>
        <v/>
      </c>
      <c r="D117" s="13" t="str">
        <f>IF(Tableau44789[[#This Row],[Date]]="","",24-C117)</f>
        <v/>
      </c>
      <c r="E117" s="13"/>
      <c r="F117" s="34" t="str">
        <f>IF(Tableau44789[[#This Row],[Date]]="","",Tableau44789[[#This Row],[Versement]]*Variables!$F$12)</f>
        <v/>
      </c>
      <c r="G117" s="34" t="str">
        <f>IF(Tableau44789[[#This Row],[Date]]="","",(E117*(1+($C$111)/24)^V.Complémentaires!D117)-E117)</f>
        <v/>
      </c>
    </row>
    <row r="118" spans="2:7" ht="20.100000000000001" customHeight="1" x14ac:dyDescent="0.3">
      <c r="B118" s="13"/>
      <c r="C118" s="16" t="str">
        <f>IF(Tableau44789[[#This Row],[Date]]="","",INT(DAYS360(DATE(YEAR(B118),1,1),B118,TRUE)/15)+1)</f>
        <v/>
      </c>
      <c r="D118" s="13" t="str">
        <f>IF(Tableau44789[[#This Row],[Date]]="","",24-C118)</f>
        <v/>
      </c>
      <c r="E118" s="13"/>
      <c r="F118" s="34" t="str">
        <f>IF(Tableau44789[[#This Row],[Date]]="","",Tableau44789[[#This Row],[Versement]]*Variables!$F$12)</f>
        <v/>
      </c>
      <c r="G118" s="34" t="str">
        <f>IF(Tableau44789[[#This Row],[Date]]="","",(E118*(1+($C$111)/24)^V.Complémentaires!D118)-E118)</f>
        <v/>
      </c>
    </row>
    <row r="119" spans="2:7" ht="20.100000000000001" customHeight="1" x14ac:dyDescent="0.3">
      <c r="B119" s="13"/>
      <c r="C119" s="16" t="str">
        <f>IF(Tableau44789[[#This Row],[Date]]="","",INT(DAYS360(DATE(YEAR(B119),1,1),B119,TRUE)/15)+1)</f>
        <v/>
      </c>
      <c r="D119" s="13" t="str">
        <f>IF(Tableau44789[[#This Row],[Date]]="","",24-C119)</f>
        <v/>
      </c>
      <c r="E119" s="13"/>
      <c r="F119" s="34" t="str">
        <f>IF(Tableau44789[[#This Row],[Date]]="","",Tableau44789[[#This Row],[Versement]]*Variables!$F$12)</f>
        <v/>
      </c>
      <c r="G119" s="34" t="str">
        <f>IF(Tableau44789[[#This Row],[Date]]="","",(E119*(1+($C$111)/24)^V.Complémentaires!D119)-E119)</f>
        <v/>
      </c>
    </row>
    <row r="120" spans="2:7" ht="20.100000000000001" customHeight="1" x14ac:dyDescent="0.3">
      <c r="B120" s="13"/>
      <c r="C120" s="16" t="str">
        <f>IF(Tableau44789[[#This Row],[Date]]="","",INT(DAYS360(DATE(YEAR(B120),1,1),B120,TRUE)/15)+1)</f>
        <v/>
      </c>
      <c r="D120" s="13" t="str">
        <f>IF(Tableau44789[[#This Row],[Date]]="","",24-C120)</f>
        <v/>
      </c>
      <c r="E120" s="13"/>
      <c r="F120" s="34" t="str">
        <f>IF(Tableau44789[[#This Row],[Date]]="","",Tableau44789[[#This Row],[Versement]]*Variables!$F$12)</f>
        <v/>
      </c>
      <c r="G120" s="34" t="str">
        <f>IF(Tableau44789[[#This Row],[Date]]="","",(E120*(1+($C$111)/24)^V.Complémentaires!D120)-E120)</f>
        <v/>
      </c>
    </row>
    <row r="121" spans="2:7" ht="20.100000000000001" customHeight="1" x14ac:dyDescent="0.3">
      <c r="B121" s="15"/>
      <c r="C121" s="16" t="str">
        <f>IF(Tableau44789[[#This Row],[Date]]="","",INT(DAYS360(DATE(YEAR(B121),1,1),B121,TRUE)/15)+1)</f>
        <v/>
      </c>
      <c r="D121" s="13" t="str">
        <f>IF(Tableau44789[[#This Row],[Date]]="","",24-C121)</f>
        <v/>
      </c>
      <c r="E121" s="13"/>
      <c r="F121" s="34" t="str">
        <f>IF(Tableau44789[[#This Row],[Date]]="","",Tableau44789[[#This Row],[Versement]]*Variables!$F$12)</f>
        <v/>
      </c>
      <c r="G121" s="34" t="str">
        <f>IF(Tableau44789[[#This Row],[Date]]="","",(E121*(1+($C$111)/24)^V.Complémentaires!D121)-E121)</f>
        <v/>
      </c>
    </row>
    <row r="122" spans="2:7" ht="20.100000000000001" customHeight="1" x14ac:dyDescent="0.3">
      <c r="B122" s="13"/>
      <c r="C122" s="16" t="str">
        <f>IF(Tableau44789[[#This Row],[Date]]="","",INT(DAYS360(DATE(YEAR(B122),1,1),B122,TRUE)/15)+1)</f>
        <v/>
      </c>
      <c r="D122" s="13" t="str">
        <f>IF(Tableau44789[[#This Row],[Date]]="","",24-C122)</f>
        <v/>
      </c>
      <c r="E122" s="13"/>
      <c r="F122" s="34" t="str">
        <f>IF(Tableau44789[[#This Row],[Date]]="","",Tableau44789[[#This Row],[Versement]]*Variables!$F$12)</f>
        <v/>
      </c>
      <c r="G122" s="34" t="str">
        <f>IF(Tableau44789[[#This Row],[Date]]="","",(E122*(1+($C$111)/24)^V.Complémentaires!D122)-E122)</f>
        <v/>
      </c>
    </row>
    <row r="123" spans="2:7" ht="20.100000000000001" customHeight="1" x14ac:dyDescent="0.3">
      <c r="B123" s="13"/>
      <c r="C123" s="16" t="str">
        <f>IF(Tableau44789[[#This Row],[Date]]="","",INT(DAYS360(DATE(YEAR(B123),1,1),B123,TRUE)/15)+1)</f>
        <v/>
      </c>
      <c r="D123" s="13" t="str">
        <f>IF(Tableau44789[[#This Row],[Date]]="","",24-C123)</f>
        <v/>
      </c>
      <c r="E123" s="13"/>
      <c r="F123" s="34" t="str">
        <f>IF(Tableau44789[[#This Row],[Date]]="","",Tableau44789[[#This Row],[Versement]]*Variables!$F$12)</f>
        <v/>
      </c>
      <c r="G123" s="34" t="str">
        <f>IF(Tableau44789[[#This Row],[Date]]="","",(E123*(1+($C$111)/24)^V.Complémentaires!D123)-E123)</f>
        <v/>
      </c>
    </row>
    <row r="124" spans="2:7" ht="20.100000000000001" customHeight="1" x14ac:dyDescent="0.3">
      <c r="B124" s="13"/>
      <c r="C124" s="16" t="str">
        <f>IF(Tableau44789[[#This Row],[Date]]="","",INT(DAYS360(DATE(YEAR(B124),1,1),B124,TRUE)/15)+1)</f>
        <v/>
      </c>
      <c r="D124" s="13" t="str">
        <f>IF(Tableau44789[[#This Row],[Date]]="","",24-C124)</f>
        <v/>
      </c>
      <c r="E124" s="13"/>
      <c r="F124" s="34" t="str">
        <f>IF(Tableau44789[[#This Row],[Date]]="","",Tableau44789[[#This Row],[Versement]]*Variables!$F$12)</f>
        <v/>
      </c>
      <c r="G124" s="34" t="str">
        <f>IF(Tableau44789[[#This Row],[Date]]="","",(E124*(1+($C$111)/24)^V.Complémentaires!D124)-E124)</f>
        <v/>
      </c>
    </row>
    <row r="125" spans="2:7" ht="20.100000000000001" customHeight="1" x14ac:dyDescent="0.3">
      <c r="B125" s="13"/>
      <c r="C125" s="16" t="str">
        <f>IF(Tableau44789[[#This Row],[Date]]="","",INT(DAYS360(DATE(YEAR(B125),1,1),B125,TRUE)/15)+1)</f>
        <v/>
      </c>
      <c r="D125" s="13" t="str">
        <f>IF(Tableau44789[[#This Row],[Date]]="","",24-C125)</f>
        <v/>
      </c>
      <c r="E125" s="13"/>
      <c r="F125" s="34" t="str">
        <f>IF(Tableau44789[[#This Row],[Date]]="","",Tableau44789[[#This Row],[Versement]]*Variables!$F$12)</f>
        <v/>
      </c>
      <c r="G125" s="34" t="str">
        <f>IF(Tableau44789[[#This Row],[Date]]="","",(E125*(1+($C$111)/24)^V.Complémentaires!D125)-E125)</f>
        <v/>
      </c>
    </row>
    <row r="126" spans="2:7" ht="20.100000000000001" customHeight="1" x14ac:dyDescent="0.3">
      <c r="B126" s="13"/>
      <c r="C126" s="16" t="str">
        <f>IF(Tableau44789[[#This Row],[Date]]="","",INT(DAYS360(DATE(YEAR(B126),1,1),B126,TRUE)/15)+1)</f>
        <v/>
      </c>
      <c r="D126" s="13" t="str">
        <f>IF(Tableau44789[[#This Row],[Date]]="","",24-C126)</f>
        <v/>
      </c>
      <c r="E126" s="13"/>
      <c r="F126" s="34" t="str">
        <f>IF(Tableau44789[[#This Row],[Date]]="","",Tableau44789[[#This Row],[Versement]]*Variables!$F$12)</f>
        <v/>
      </c>
      <c r="G126" s="34" t="str">
        <f>IF(Tableau44789[[#This Row],[Date]]="","",(E126*(1+($C$111)/24)^V.Complémentaires!D126)-E126)</f>
        <v/>
      </c>
    </row>
    <row r="127" spans="2:7" ht="20.100000000000001" customHeight="1" x14ac:dyDescent="0.3">
      <c r="B127" s="13"/>
      <c r="C127" s="16" t="str">
        <f>IF(Tableau44789[[#This Row],[Date]]="","",INT(DAYS360(DATE(YEAR(B127),1,1),B127,TRUE)/15)+1)</f>
        <v/>
      </c>
      <c r="D127" s="13" t="str">
        <f>IF(Tableau44789[[#This Row],[Date]]="","",24-C127)</f>
        <v/>
      </c>
      <c r="E127" s="13"/>
      <c r="F127" s="34" t="str">
        <f>IF(Tableau44789[[#This Row],[Date]]="","",Tableau44789[[#This Row],[Versement]]*Variables!$F$12)</f>
        <v/>
      </c>
      <c r="G127" s="34" t="str">
        <f>IF(Tableau44789[[#This Row],[Date]]="","",(E127*(1+($C$111)/24)^V.Complémentaires!D127)-E127)</f>
        <v/>
      </c>
    </row>
    <row r="128" spans="2:7" ht="20.100000000000001" customHeight="1" x14ac:dyDescent="0.3">
      <c r="B128" s="13"/>
      <c r="C128" s="16" t="str">
        <f>IF(Tableau44789[[#This Row],[Date]]="","",INT(DAYS360(DATE(YEAR(B128),1,1),B128,TRUE)/15)+1)</f>
        <v/>
      </c>
      <c r="D128" s="13" t="str">
        <f>IF(Tableau44789[[#This Row],[Date]]="","",24-C128)</f>
        <v/>
      </c>
      <c r="E128" s="13"/>
      <c r="F128" s="34" t="str">
        <f>IF(Tableau44789[[#This Row],[Date]]="","",Tableau44789[[#This Row],[Versement]]*Variables!$F$12)</f>
        <v/>
      </c>
      <c r="G128" s="34" t="str">
        <f>IF(Tableau44789[[#This Row],[Date]]="","",(E128*(1+($C$111)/24)^V.Complémentaires!D128)-E128)</f>
        <v/>
      </c>
    </row>
    <row r="129" spans="2:7" ht="20.100000000000001" customHeight="1" x14ac:dyDescent="0.3">
      <c r="B129" s="13"/>
      <c r="C129" s="16" t="str">
        <f>IF(Tableau44789[[#This Row],[Date]]="","",INT(DAYS360(DATE(YEAR(B129),1,1),B129,TRUE)/15)+1)</f>
        <v/>
      </c>
      <c r="D129" s="13" t="str">
        <f>IF(Tableau44789[[#This Row],[Date]]="","",24-C129)</f>
        <v/>
      </c>
      <c r="E129" s="13"/>
      <c r="F129" s="34" t="str">
        <f>IF(Tableau44789[[#This Row],[Date]]="","",Tableau44789[[#This Row],[Versement]]*Variables!$F$12)</f>
        <v/>
      </c>
      <c r="G129" s="34" t="str">
        <f>IF(Tableau44789[[#This Row],[Date]]="","",(E129*(1+($C$111)/24)^V.Complémentaires!D129)-E129)</f>
        <v/>
      </c>
    </row>
    <row r="130" spans="2:7" ht="20.100000000000001" customHeight="1" x14ac:dyDescent="0.3">
      <c r="B130" s="13"/>
      <c r="C130" s="13"/>
      <c r="D130" s="13"/>
      <c r="E130" s="13">
        <f>SUM(Tableau44789[Versement])</f>
        <v>0</v>
      </c>
      <c r="F130" s="34">
        <f>SUBTOTAL(109,Tableau44789[Frais de versement])</f>
        <v>0</v>
      </c>
      <c r="G130" s="34">
        <f>SUM(Tableau44789[Interet])</f>
        <v>0</v>
      </c>
    </row>
    <row r="135" spans="2:7" ht="20.100000000000001" customHeight="1" thickBot="1" x14ac:dyDescent="0.35"/>
    <row r="136" spans="2:7" ht="20.100000000000001" customHeight="1" thickBot="1" x14ac:dyDescent="0.35">
      <c r="B136" s="10" t="s">
        <v>7</v>
      </c>
      <c r="C136" s="19">
        <f ca="1">C110+1</f>
        <v>2019</v>
      </c>
      <c r="D136" s="13"/>
      <c r="E136" s="13"/>
      <c r="F136" s="34"/>
      <c r="G136" s="34"/>
    </row>
    <row r="137" spans="2:7" ht="20.100000000000001" customHeight="1" thickBot="1" x14ac:dyDescent="0.35">
      <c r="B137" s="14" t="s">
        <v>23</v>
      </c>
      <c r="C137" s="20">
        <f ca="1">IF('Tableau Projection'!I12="","",VLOOKUP(C136,'Tableau Projection'!$C$6:$L$28,7,FALSE))</f>
        <v>1.0500000000000001E-2</v>
      </c>
      <c r="D137" s="13"/>
      <c r="E137" s="13"/>
      <c r="F137" s="34"/>
      <c r="G137" s="34"/>
    </row>
    <row r="138" spans="2:7" ht="35.1" customHeight="1" x14ac:dyDescent="0.3">
      <c r="B138" s="13" t="s">
        <v>18</v>
      </c>
      <c r="C138" s="18" t="s">
        <v>22</v>
      </c>
      <c r="D138" s="13" t="s">
        <v>19</v>
      </c>
      <c r="E138" s="13" t="s">
        <v>20</v>
      </c>
      <c r="F138" s="57" t="s">
        <v>3</v>
      </c>
      <c r="G138" s="34" t="s">
        <v>21</v>
      </c>
    </row>
    <row r="139" spans="2:7" ht="20.100000000000001" customHeight="1" x14ac:dyDescent="0.3">
      <c r="B139" s="15"/>
      <c r="C139" s="16" t="str">
        <f>IF(Tableau4478910[[#This Row],[Date]]="","",INT(DAYS360(DATE(YEAR(B139),1,1),B139,TRUE)/15)+1)</f>
        <v/>
      </c>
      <c r="D139" s="13" t="str">
        <f>IF(Tableau4478910[[#This Row],[Date]]="","",24-C139)</f>
        <v/>
      </c>
      <c r="E139" s="17"/>
      <c r="F139" s="34" t="str">
        <f>IF(Tableau4478910[[#This Row],[Date]]="","",Tableau4478910[[#This Row],[Versement]]*Variables!$F$12)</f>
        <v/>
      </c>
      <c r="G139" s="34" t="str">
        <f>IF(Tableau4478910[[#This Row],[Date]]="","",(E139*(1+($C$137)/24)^V.Complémentaires!D139)-E139)</f>
        <v/>
      </c>
    </row>
    <row r="140" spans="2:7" ht="20.100000000000001" customHeight="1" x14ac:dyDescent="0.3">
      <c r="B140" s="15"/>
      <c r="C140" s="16" t="str">
        <f>IF(Tableau4478910[[#This Row],[Date]]="","",INT(DAYS360(DATE(YEAR(B140),1,1),B140,TRUE)/15)+1)</f>
        <v/>
      </c>
      <c r="D140" s="13" t="str">
        <f>IF(Tableau4478910[[#This Row],[Date]]="","",24-C140)</f>
        <v/>
      </c>
      <c r="E140" s="13"/>
      <c r="F140" s="34" t="str">
        <f>IF(Tableau4478910[[#This Row],[Date]]="","",Tableau4478910[[#This Row],[Versement]]*Variables!$F$12)</f>
        <v/>
      </c>
      <c r="G140" s="34" t="str">
        <f>IF(Tableau4478910[[#This Row],[Date]]="","",(E140*(1+($C$137)/24)^V.Complémentaires!D140)-E140)</f>
        <v/>
      </c>
    </row>
    <row r="141" spans="2:7" ht="20.100000000000001" customHeight="1" x14ac:dyDescent="0.3">
      <c r="B141" s="15"/>
      <c r="C141" s="16" t="str">
        <f>IF(Tableau4478910[[#This Row],[Date]]="","",INT(DAYS360(DATE(YEAR(B141),1,1),B141,TRUE)/15)+1)</f>
        <v/>
      </c>
      <c r="D141" s="13" t="str">
        <f>IF(Tableau4478910[[#This Row],[Date]]="","",24-C141)</f>
        <v/>
      </c>
      <c r="E141" s="13"/>
      <c r="F141" s="34" t="str">
        <f>IF(Tableau4478910[[#This Row],[Date]]="","",Tableau4478910[[#This Row],[Versement]]*Variables!$F$12)</f>
        <v/>
      </c>
      <c r="G141" s="34" t="str">
        <f>IF(Tableau4478910[[#This Row],[Date]]="","",(E141*(1+($C$137)/24)^V.Complémentaires!D141)-E141)</f>
        <v/>
      </c>
    </row>
    <row r="142" spans="2:7" ht="20.100000000000001" customHeight="1" x14ac:dyDescent="0.3">
      <c r="B142" s="13"/>
      <c r="C142" s="16" t="str">
        <f>IF(Tableau4478910[[#This Row],[Date]]="","",INT(DAYS360(DATE(YEAR(B142),1,1),B142,TRUE)/15)+1)</f>
        <v/>
      </c>
      <c r="D142" s="13" t="str">
        <f>IF(Tableau4478910[[#This Row],[Date]]="","",24-C142)</f>
        <v/>
      </c>
      <c r="E142" s="13"/>
      <c r="F142" s="34" t="str">
        <f>IF(Tableau4478910[[#This Row],[Date]]="","",Tableau4478910[[#This Row],[Versement]]*Variables!$F$12)</f>
        <v/>
      </c>
      <c r="G142" s="34" t="str">
        <f>IF(Tableau4478910[[#This Row],[Date]]="","",(E142*(1+($C$137)/24)^V.Complémentaires!D142)-E142)</f>
        <v/>
      </c>
    </row>
    <row r="143" spans="2:7" ht="20.100000000000001" customHeight="1" x14ac:dyDescent="0.3">
      <c r="B143" s="13"/>
      <c r="C143" s="16" t="str">
        <f>IF(Tableau4478910[[#This Row],[Date]]="","",INT(DAYS360(DATE(YEAR(B143),1,1),B143,TRUE)/15)+1)</f>
        <v/>
      </c>
      <c r="D143" s="13" t="str">
        <f>IF(Tableau4478910[[#This Row],[Date]]="","",24-C143)</f>
        <v/>
      </c>
      <c r="E143" s="13"/>
      <c r="F143" s="34" t="str">
        <f>IF(Tableau4478910[[#This Row],[Date]]="","",Tableau4478910[[#This Row],[Versement]]*Variables!$F$12)</f>
        <v/>
      </c>
      <c r="G143" s="34" t="str">
        <f>IF(Tableau4478910[[#This Row],[Date]]="","",(E143*(1+($C$137)/24)^V.Complémentaires!D143)-E143)</f>
        <v/>
      </c>
    </row>
    <row r="144" spans="2:7" ht="20.100000000000001" customHeight="1" x14ac:dyDescent="0.3">
      <c r="B144" s="13"/>
      <c r="C144" s="16" t="str">
        <f>IF(Tableau4478910[[#This Row],[Date]]="","",INT(DAYS360(DATE(YEAR(B144),1,1),B144,TRUE)/15)+1)</f>
        <v/>
      </c>
      <c r="D144" s="13" t="str">
        <f>IF(Tableau4478910[[#This Row],[Date]]="","",24-C144)</f>
        <v/>
      </c>
      <c r="E144" s="13"/>
      <c r="F144" s="34" t="str">
        <f>IF(Tableau4478910[[#This Row],[Date]]="","",Tableau4478910[[#This Row],[Versement]]*Variables!$F$12)</f>
        <v/>
      </c>
      <c r="G144" s="34" t="str">
        <f>IF(Tableau4478910[[#This Row],[Date]]="","",(E144*(1+($C$137)/24)^V.Complémentaires!D144)-E144)</f>
        <v/>
      </c>
    </row>
    <row r="145" spans="2:7" ht="20.100000000000001" customHeight="1" x14ac:dyDescent="0.3">
      <c r="B145" s="13"/>
      <c r="C145" s="16" t="str">
        <f>IF(Tableau4478910[[#This Row],[Date]]="","",INT(DAYS360(DATE(YEAR(B145),1,1),B145,TRUE)/15)+1)</f>
        <v/>
      </c>
      <c r="D145" s="13" t="str">
        <f>IF(Tableau4478910[[#This Row],[Date]]="","",24-C145)</f>
        <v/>
      </c>
      <c r="E145" s="13"/>
      <c r="F145" s="34" t="str">
        <f>IF(Tableau4478910[[#This Row],[Date]]="","",Tableau4478910[[#This Row],[Versement]]*Variables!$F$12)</f>
        <v/>
      </c>
      <c r="G145" s="34" t="str">
        <f>IF(Tableau4478910[[#This Row],[Date]]="","",(E145*(1+($C$137)/24)^V.Complémentaires!D145)-E145)</f>
        <v/>
      </c>
    </row>
    <row r="146" spans="2:7" ht="20.100000000000001" customHeight="1" x14ac:dyDescent="0.3">
      <c r="B146" s="13"/>
      <c r="C146" s="16" t="str">
        <f>IF(Tableau4478910[[#This Row],[Date]]="","",INT(DAYS360(DATE(YEAR(B146),1,1),B146,TRUE)/15)+1)</f>
        <v/>
      </c>
      <c r="D146" s="13" t="str">
        <f>IF(Tableau4478910[[#This Row],[Date]]="","",24-C146)</f>
        <v/>
      </c>
      <c r="E146" s="13"/>
      <c r="F146" s="34" t="str">
        <f>IF(Tableau4478910[[#This Row],[Date]]="","",Tableau4478910[[#This Row],[Versement]]*Variables!$F$12)</f>
        <v/>
      </c>
      <c r="G146" s="34" t="str">
        <f>IF(Tableau4478910[[#This Row],[Date]]="","",(E146*(1+($C$137)/24)^V.Complémentaires!D146)-E146)</f>
        <v/>
      </c>
    </row>
    <row r="147" spans="2:7" ht="20.100000000000001" customHeight="1" x14ac:dyDescent="0.3">
      <c r="B147" s="15"/>
      <c r="C147" s="16" t="str">
        <f>IF(Tableau4478910[[#This Row],[Date]]="","",INT(DAYS360(DATE(YEAR(B147),1,1),B147,TRUE)/15)+1)</f>
        <v/>
      </c>
      <c r="D147" s="13" t="str">
        <f>IF(Tableau4478910[[#This Row],[Date]]="","",24-C147)</f>
        <v/>
      </c>
      <c r="E147" s="13"/>
      <c r="F147" s="34" t="str">
        <f>IF(Tableau4478910[[#This Row],[Date]]="","",Tableau4478910[[#This Row],[Versement]]*Variables!$F$12)</f>
        <v/>
      </c>
      <c r="G147" s="34" t="str">
        <f>IF(Tableau4478910[[#This Row],[Date]]="","",(E147*(1+($C$137)/24)^V.Complémentaires!D147)-E147)</f>
        <v/>
      </c>
    </row>
    <row r="148" spans="2:7" ht="20.100000000000001" customHeight="1" x14ac:dyDescent="0.3">
      <c r="B148" s="13"/>
      <c r="C148" s="16" t="str">
        <f>IF(Tableau4478910[[#This Row],[Date]]="","",INT(DAYS360(DATE(YEAR(B148),1,1),B148,TRUE)/15)+1)</f>
        <v/>
      </c>
      <c r="D148" s="13" t="str">
        <f>IF(Tableau4478910[[#This Row],[Date]]="","",24-C148)</f>
        <v/>
      </c>
      <c r="E148" s="13"/>
      <c r="F148" s="34" t="str">
        <f>IF(Tableau4478910[[#This Row],[Date]]="","",Tableau4478910[[#This Row],[Versement]]*Variables!$F$12)</f>
        <v/>
      </c>
      <c r="G148" s="34" t="str">
        <f>IF(Tableau4478910[[#This Row],[Date]]="","",(E148*(1+($C$137)/24)^V.Complémentaires!D148)-E148)</f>
        <v/>
      </c>
    </row>
    <row r="149" spans="2:7" ht="20.100000000000001" customHeight="1" x14ac:dyDescent="0.3">
      <c r="B149" s="13"/>
      <c r="C149" s="16" t="str">
        <f>IF(Tableau4478910[[#This Row],[Date]]="","",INT(DAYS360(DATE(YEAR(B149),1,1),B149,TRUE)/15)+1)</f>
        <v/>
      </c>
      <c r="D149" s="13" t="str">
        <f>IF(Tableau4478910[[#This Row],[Date]]="","",24-C149)</f>
        <v/>
      </c>
      <c r="E149" s="13"/>
      <c r="F149" s="34" t="str">
        <f>IF(Tableau4478910[[#This Row],[Date]]="","",Tableau4478910[[#This Row],[Versement]]*Variables!$F$12)</f>
        <v/>
      </c>
      <c r="G149" s="34" t="str">
        <f>IF(Tableau4478910[[#This Row],[Date]]="","",(E149*(1+($C$137)/24)^V.Complémentaires!D149)-E149)</f>
        <v/>
      </c>
    </row>
    <row r="150" spans="2:7" ht="20.100000000000001" customHeight="1" x14ac:dyDescent="0.3">
      <c r="B150" s="13"/>
      <c r="C150" s="16" t="str">
        <f>IF(Tableau4478910[[#This Row],[Date]]="","",INT(DAYS360(DATE(YEAR(B150),1,1),B150,TRUE)/15)+1)</f>
        <v/>
      </c>
      <c r="D150" s="13" t="str">
        <f>IF(Tableau4478910[[#This Row],[Date]]="","",24-C150)</f>
        <v/>
      </c>
      <c r="E150" s="13"/>
      <c r="F150" s="34" t="str">
        <f>IF(Tableau4478910[[#This Row],[Date]]="","",Tableau4478910[[#This Row],[Versement]]*Variables!$F$12)</f>
        <v/>
      </c>
      <c r="G150" s="34" t="str">
        <f>IF(Tableau4478910[[#This Row],[Date]]="","",(E150*(1+($C$137)/24)^V.Complémentaires!D150)-E150)</f>
        <v/>
      </c>
    </row>
    <row r="151" spans="2:7" ht="20.100000000000001" customHeight="1" x14ac:dyDescent="0.3">
      <c r="B151" s="13"/>
      <c r="C151" s="16" t="str">
        <f>IF(Tableau4478910[[#This Row],[Date]]="","",INT(DAYS360(DATE(YEAR(B151),1,1),B151,TRUE)/15)+1)</f>
        <v/>
      </c>
      <c r="D151" s="13" t="str">
        <f>IF(Tableau4478910[[#This Row],[Date]]="","",24-C151)</f>
        <v/>
      </c>
      <c r="E151" s="13"/>
      <c r="F151" s="34" t="str">
        <f>IF(Tableau4478910[[#This Row],[Date]]="","",Tableau4478910[[#This Row],[Versement]]*Variables!$F$12)</f>
        <v/>
      </c>
      <c r="G151" s="34" t="str">
        <f>IF(Tableau4478910[[#This Row],[Date]]="","",(E151*(1+($C$137)/24)^V.Complémentaires!D151)-E151)</f>
        <v/>
      </c>
    </row>
    <row r="152" spans="2:7" ht="20.100000000000001" customHeight="1" x14ac:dyDescent="0.3">
      <c r="B152" s="13"/>
      <c r="C152" s="16" t="str">
        <f>IF(Tableau4478910[[#This Row],[Date]]="","",INT(DAYS360(DATE(YEAR(B152),1,1),B152,TRUE)/15)+1)</f>
        <v/>
      </c>
      <c r="D152" s="13" t="str">
        <f>IF(Tableau4478910[[#This Row],[Date]]="","",24-C152)</f>
        <v/>
      </c>
      <c r="E152" s="13"/>
      <c r="F152" s="34" t="str">
        <f>IF(Tableau4478910[[#This Row],[Date]]="","",Tableau4478910[[#This Row],[Versement]]*Variables!$F$12)</f>
        <v/>
      </c>
      <c r="G152" s="34" t="str">
        <f>IF(Tableau4478910[[#This Row],[Date]]="","",(E152*(1+($C$137)/24)^V.Complémentaires!D152)-E152)</f>
        <v/>
      </c>
    </row>
    <row r="153" spans="2:7" ht="20.100000000000001" customHeight="1" x14ac:dyDescent="0.3">
      <c r="B153" s="13"/>
      <c r="C153" s="16" t="str">
        <f>IF(Tableau4478910[[#This Row],[Date]]="","",INT(DAYS360(DATE(YEAR(B153),1,1),B153,TRUE)/15)+1)</f>
        <v/>
      </c>
      <c r="D153" s="13" t="str">
        <f>IF(Tableau4478910[[#This Row],[Date]]="","",24-C153)</f>
        <v/>
      </c>
      <c r="E153" s="13"/>
      <c r="F153" s="34" t="str">
        <f>IF(Tableau4478910[[#This Row],[Date]]="","",Tableau4478910[[#This Row],[Versement]]*Variables!$F$12)</f>
        <v/>
      </c>
      <c r="G153" s="34" t="str">
        <f>IF(Tableau4478910[[#This Row],[Date]]="","",(E153*(1+($C$137)/24)^V.Complémentaires!D153)-E153)</f>
        <v/>
      </c>
    </row>
    <row r="154" spans="2:7" ht="20.100000000000001" customHeight="1" x14ac:dyDescent="0.3">
      <c r="B154" s="13"/>
      <c r="C154" s="16" t="str">
        <f>IF(Tableau4478910[[#This Row],[Date]]="","",INT(DAYS360(DATE(YEAR(B154),1,1),B154,TRUE)/15)+1)</f>
        <v/>
      </c>
      <c r="D154" s="13" t="str">
        <f>IF(Tableau4478910[[#This Row],[Date]]="","",24-C154)</f>
        <v/>
      </c>
      <c r="E154" s="13"/>
      <c r="F154" s="34" t="str">
        <f>IF(Tableau4478910[[#This Row],[Date]]="","",Tableau4478910[[#This Row],[Versement]]*Variables!$F$12)</f>
        <v/>
      </c>
      <c r="G154" s="34" t="str">
        <f>IF(Tableau4478910[[#This Row],[Date]]="","",(E154*(1+($C$137)/24)^V.Complémentaires!D154)-E154)</f>
        <v/>
      </c>
    </row>
    <row r="155" spans="2:7" ht="20.100000000000001" customHeight="1" x14ac:dyDescent="0.3">
      <c r="B155" s="13"/>
      <c r="C155" s="16" t="str">
        <f>IF(Tableau4478910[[#This Row],[Date]]="","",INT(DAYS360(DATE(YEAR(B155),1,1),B155,TRUE)/15)+1)</f>
        <v/>
      </c>
      <c r="D155" s="13" t="str">
        <f>IF(Tableau4478910[[#This Row],[Date]]="","",24-C155)</f>
        <v/>
      </c>
      <c r="E155" s="13"/>
      <c r="F155" s="34" t="str">
        <f>IF(Tableau4478910[[#This Row],[Date]]="","",Tableau4478910[[#This Row],[Versement]]*Variables!$F$12)</f>
        <v/>
      </c>
      <c r="G155" s="34" t="str">
        <f>IF(Tableau4478910[[#This Row],[Date]]="","",(E155*(1+($C$137)/24)^V.Complémentaires!D155)-E155)</f>
        <v/>
      </c>
    </row>
    <row r="156" spans="2:7" ht="20.100000000000001" customHeight="1" x14ac:dyDescent="0.3">
      <c r="B156" s="13"/>
      <c r="C156" s="13"/>
      <c r="D156" s="13"/>
      <c r="E156" s="13">
        <f>SUM(Tableau4478910[Versement])</f>
        <v>0</v>
      </c>
      <c r="F156" s="34">
        <f>SUBTOTAL(109,Tableau4478910[Frais de versement])</f>
        <v>0</v>
      </c>
      <c r="G156" s="34">
        <f>SUM(Tableau4478910[Interet])</f>
        <v>0</v>
      </c>
    </row>
    <row r="161" spans="2:7" ht="20.100000000000001" customHeight="1" thickBot="1" x14ac:dyDescent="0.35"/>
    <row r="162" spans="2:7" ht="20.100000000000001" customHeight="1" thickBot="1" x14ac:dyDescent="0.35">
      <c r="B162" s="10" t="s">
        <v>7</v>
      </c>
      <c r="C162" s="19">
        <f ca="1">C136+1</f>
        <v>2020</v>
      </c>
      <c r="D162" s="13"/>
      <c r="E162" s="13"/>
      <c r="F162" s="34"/>
      <c r="G162" s="34"/>
    </row>
    <row r="163" spans="2:7" ht="20.100000000000001" customHeight="1" thickBot="1" x14ac:dyDescent="0.35">
      <c r="B163" s="14" t="s">
        <v>23</v>
      </c>
      <c r="C163" s="20">
        <f ca="1">IF('Tableau Projection'!I13="","",VLOOKUP(C162,'Tableau Projection'!$C$6:$L$28,7,FALSE))</f>
        <v>1.0500000000000001E-2</v>
      </c>
      <c r="D163" s="13"/>
      <c r="E163" s="13"/>
      <c r="F163" s="34"/>
      <c r="G163" s="34"/>
    </row>
    <row r="164" spans="2:7" ht="35.1" customHeight="1" x14ac:dyDescent="0.3">
      <c r="B164" s="13" t="s">
        <v>18</v>
      </c>
      <c r="C164" s="18" t="s">
        <v>22</v>
      </c>
      <c r="D164" s="13" t="s">
        <v>19</v>
      </c>
      <c r="E164" s="13" t="s">
        <v>20</v>
      </c>
      <c r="F164" s="57" t="s">
        <v>3</v>
      </c>
      <c r="G164" s="34" t="s">
        <v>21</v>
      </c>
    </row>
    <row r="165" spans="2:7" ht="20.100000000000001" customHeight="1" x14ac:dyDescent="0.3">
      <c r="B165" s="15"/>
      <c r="C165" s="16" t="str">
        <f>IF(Tableau447891011[[#This Row],[Date]]="","",INT(DAYS360(DATE(YEAR(B165),1,1),B165,TRUE)/15)+1)</f>
        <v/>
      </c>
      <c r="D165" s="13" t="str">
        <f>IF(Tableau447891011[[#This Row],[Date]]="","",24-C165)</f>
        <v/>
      </c>
      <c r="E165" s="17"/>
      <c r="F165" s="34" t="str">
        <f>IF(Tableau447891011[[#This Row],[Date]]="","",Tableau447891011[[#This Row],[Versement]]*Variables!$F$12)</f>
        <v/>
      </c>
      <c r="G165" s="34" t="str">
        <f>IF(Tableau447891011[[#This Row],[Date]]="","",(E165*(1+($C$163)/24)^V.Complémentaires!D165)-E165)</f>
        <v/>
      </c>
    </row>
    <row r="166" spans="2:7" ht="20.100000000000001" customHeight="1" x14ac:dyDescent="0.3">
      <c r="B166" s="15"/>
      <c r="C166" s="16" t="str">
        <f>IF(Tableau447891011[[#This Row],[Date]]="","",INT(DAYS360(DATE(YEAR(B166),1,1),B166,TRUE)/15)+1)</f>
        <v/>
      </c>
      <c r="D166" s="13" t="str">
        <f>IF(Tableau447891011[[#This Row],[Date]]="","",24-C166)</f>
        <v/>
      </c>
      <c r="E166" s="13"/>
      <c r="F166" s="34" t="str">
        <f>IF(Tableau447891011[[#This Row],[Date]]="","",Tableau447891011[[#This Row],[Versement]]*Variables!$F$12)</f>
        <v/>
      </c>
      <c r="G166" s="34" t="str">
        <f>IF(Tableau447891011[[#This Row],[Date]]="","",(E166*(1+($C$163)/24)^V.Complémentaires!D166)-E166)</f>
        <v/>
      </c>
    </row>
    <row r="167" spans="2:7" ht="20.100000000000001" customHeight="1" x14ac:dyDescent="0.3">
      <c r="B167" s="15"/>
      <c r="C167" s="16" t="str">
        <f>IF(Tableau447891011[[#This Row],[Date]]="","",INT(DAYS360(DATE(YEAR(B167),1,1),B167,TRUE)/15)+1)</f>
        <v/>
      </c>
      <c r="D167" s="13" t="str">
        <f>IF(Tableau447891011[[#This Row],[Date]]="","",24-C167)</f>
        <v/>
      </c>
      <c r="E167" s="13"/>
      <c r="F167" s="34" t="str">
        <f>IF(Tableau447891011[[#This Row],[Date]]="","",Tableau447891011[[#This Row],[Versement]]*Variables!$F$12)</f>
        <v/>
      </c>
      <c r="G167" s="34" t="str">
        <f>IF(Tableau447891011[[#This Row],[Date]]="","",(E167*(1+($C$163)/24)^V.Complémentaires!D167)-E167)</f>
        <v/>
      </c>
    </row>
    <row r="168" spans="2:7" ht="20.100000000000001" customHeight="1" x14ac:dyDescent="0.3">
      <c r="B168" s="13"/>
      <c r="C168" s="16" t="str">
        <f>IF(Tableau447891011[[#This Row],[Date]]="","",INT(DAYS360(DATE(YEAR(B168),1,1),B168,TRUE)/15)+1)</f>
        <v/>
      </c>
      <c r="D168" s="13" t="str">
        <f>IF(Tableau447891011[[#This Row],[Date]]="","",24-C168)</f>
        <v/>
      </c>
      <c r="E168" s="13"/>
      <c r="F168" s="34" t="str">
        <f>IF(Tableau447891011[[#This Row],[Date]]="","",Tableau447891011[[#This Row],[Versement]]*Variables!$F$12)</f>
        <v/>
      </c>
      <c r="G168" s="34" t="str">
        <f>IF(Tableau447891011[[#This Row],[Date]]="","",(E168*(1+($C$163)/24)^V.Complémentaires!D168)-E168)</f>
        <v/>
      </c>
    </row>
    <row r="169" spans="2:7" ht="20.100000000000001" customHeight="1" x14ac:dyDescent="0.3">
      <c r="B169" s="13"/>
      <c r="C169" s="16" t="str">
        <f>IF(Tableau447891011[[#This Row],[Date]]="","",INT(DAYS360(DATE(YEAR(B169),1,1),B169,TRUE)/15)+1)</f>
        <v/>
      </c>
      <c r="D169" s="13" t="str">
        <f>IF(Tableau447891011[[#This Row],[Date]]="","",24-C169)</f>
        <v/>
      </c>
      <c r="E169" s="13"/>
      <c r="F169" s="34" t="str">
        <f>IF(Tableau447891011[[#This Row],[Date]]="","",Tableau447891011[[#This Row],[Versement]]*Variables!$F$12)</f>
        <v/>
      </c>
      <c r="G169" s="34" t="str">
        <f>IF(Tableau447891011[[#This Row],[Date]]="","",(E169*(1+($C$163)/24)^V.Complémentaires!D169)-E169)</f>
        <v/>
      </c>
    </row>
    <row r="170" spans="2:7" ht="20.100000000000001" customHeight="1" x14ac:dyDescent="0.3">
      <c r="B170" s="13"/>
      <c r="C170" s="16" t="str">
        <f>IF(Tableau447891011[[#This Row],[Date]]="","",INT(DAYS360(DATE(YEAR(B170),1,1),B170,TRUE)/15)+1)</f>
        <v/>
      </c>
      <c r="D170" s="13" t="str">
        <f>IF(Tableau447891011[[#This Row],[Date]]="","",24-C170)</f>
        <v/>
      </c>
      <c r="E170" s="13"/>
      <c r="F170" s="34" t="str">
        <f>IF(Tableau447891011[[#This Row],[Date]]="","",Tableau447891011[[#This Row],[Versement]]*Variables!$F$12)</f>
        <v/>
      </c>
      <c r="G170" s="34" t="str">
        <f>IF(Tableau447891011[[#This Row],[Date]]="","",(E170*(1+($C$163)/24)^V.Complémentaires!D170)-E170)</f>
        <v/>
      </c>
    </row>
    <row r="171" spans="2:7" ht="20.100000000000001" customHeight="1" x14ac:dyDescent="0.3">
      <c r="B171" s="13"/>
      <c r="C171" s="16" t="str">
        <f>IF(Tableau447891011[[#This Row],[Date]]="","",INT(DAYS360(DATE(YEAR(B171),1,1),B171,TRUE)/15)+1)</f>
        <v/>
      </c>
      <c r="D171" s="13" t="str">
        <f>IF(Tableau447891011[[#This Row],[Date]]="","",24-C171)</f>
        <v/>
      </c>
      <c r="E171" s="13"/>
      <c r="F171" s="34" t="str">
        <f>IF(Tableau447891011[[#This Row],[Date]]="","",Tableau447891011[[#This Row],[Versement]]*Variables!$F$12)</f>
        <v/>
      </c>
      <c r="G171" s="34" t="str">
        <f>IF(Tableau447891011[[#This Row],[Date]]="","",(E171*(1+($C$163)/24)^V.Complémentaires!D171)-E171)</f>
        <v/>
      </c>
    </row>
    <row r="172" spans="2:7" ht="20.100000000000001" customHeight="1" x14ac:dyDescent="0.3">
      <c r="B172" s="13"/>
      <c r="C172" s="16" t="str">
        <f>IF(Tableau447891011[[#This Row],[Date]]="","",INT(DAYS360(DATE(YEAR(B172),1,1),B172,TRUE)/15)+1)</f>
        <v/>
      </c>
      <c r="D172" s="13" t="str">
        <f>IF(Tableau447891011[[#This Row],[Date]]="","",24-C172)</f>
        <v/>
      </c>
      <c r="E172" s="13"/>
      <c r="F172" s="34" t="str">
        <f>IF(Tableau447891011[[#This Row],[Date]]="","",Tableau447891011[[#This Row],[Versement]]*Variables!$F$12)</f>
        <v/>
      </c>
      <c r="G172" s="34" t="str">
        <f>IF(Tableau447891011[[#This Row],[Date]]="","",(E172*(1+($C$163)/24)^V.Complémentaires!D172)-E172)</f>
        <v/>
      </c>
    </row>
    <row r="173" spans="2:7" ht="20.100000000000001" customHeight="1" x14ac:dyDescent="0.3">
      <c r="B173" s="15"/>
      <c r="C173" s="16" t="str">
        <f>IF(Tableau447891011[[#This Row],[Date]]="","",INT(DAYS360(DATE(YEAR(B173),1,1),B173,TRUE)/15)+1)</f>
        <v/>
      </c>
      <c r="D173" s="13" t="str">
        <f>IF(Tableau447891011[[#This Row],[Date]]="","",24-C173)</f>
        <v/>
      </c>
      <c r="E173" s="13"/>
      <c r="F173" s="34" t="str">
        <f>IF(Tableau447891011[[#This Row],[Date]]="","",Tableau447891011[[#This Row],[Versement]]*Variables!$F$12)</f>
        <v/>
      </c>
      <c r="G173" s="34" t="str">
        <f>IF(Tableau447891011[[#This Row],[Date]]="","",(E173*(1+($C$163)/24)^V.Complémentaires!D173)-E173)</f>
        <v/>
      </c>
    </row>
    <row r="174" spans="2:7" ht="20.100000000000001" customHeight="1" x14ac:dyDescent="0.3">
      <c r="B174" s="13"/>
      <c r="C174" s="16" t="str">
        <f>IF(Tableau447891011[[#This Row],[Date]]="","",INT(DAYS360(DATE(YEAR(B174),1,1),B174,TRUE)/15)+1)</f>
        <v/>
      </c>
      <c r="D174" s="13" t="str">
        <f>IF(Tableau447891011[[#This Row],[Date]]="","",24-C174)</f>
        <v/>
      </c>
      <c r="E174" s="13"/>
      <c r="F174" s="34" t="str">
        <f>IF(Tableau447891011[[#This Row],[Date]]="","",Tableau447891011[[#This Row],[Versement]]*Variables!$F$12)</f>
        <v/>
      </c>
      <c r="G174" s="34" t="str">
        <f>IF(Tableau447891011[[#This Row],[Date]]="","",(E174*(1+($C$163)/24)^V.Complémentaires!D174)-E174)</f>
        <v/>
      </c>
    </row>
    <row r="175" spans="2:7" ht="20.100000000000001" customHeight="1" x14ac:dyDescent="0.3">
      <c r="B175" s="13"/>
      <c r="C175" s="16" t="str">
        <f>IF(Tableau447891011[[#This Row],[Date]]="","",INT(DAYS360(DATE(YEAR(B175),1,1),B175,TRUE)/15)+1)</f>
        <v/>
      </c>
      <c r="D175" s="13" t="str">
        <f>IF(Tableau447891011[[#This Row],[Date]]="","",24-C175)</f>
        <v/>
      </c>
      <c r="E175" s="13"/>
      <c r="F175" s="34" t="str">
        <f>IF(Tableau447891011[[#This Row],[Date]]="","",Tableau447891011[[#This Row],[Versement]]*Variables!$F$12)</f>
        <v/>
      </c>
      <c r="G175" s="34" t="str">
        <f>IF(Tableau447891011[[#This Row],[Date]]="","",(E175*(1+($C$163)/24)^V.Complémentaires!D175)-E175)</f>
        <v/>
      </c>
    </row>
    <row r="176" spans="2:7" ht="20.100000000000001" customHeight="1" x14ac:dyDescent="0.3">
      <c r="B176" s="13"/>
      <c r="C176" s="16" t="str">
        <f>IF(Tableau447891011[[#This Row],[Date]]="","",INT(DAYS360(DATE(YEAR(B176),1,1),B176,TRUE)/15)+1)</f>
        <v/>
      </c>
      <c r="D176" s="13" t="str">
        <f>IF(Tableau447891011[[#This Row],[Date]]="","",24-C176)</f>
        <v/>
      </c>
      <c r="E176" s="13"/>
      <c r="F176" s="34" t="str">
        <f>IF(Tableau447891011[[#This Row],[Date]]="","",Tableau447891011[[#This Row],[Versement]]*Variables!$F$12)</f>
        <v/>
      </c>
      <c r="G176" s="34" t="str">
        <f>IF(Tableau447891011[[#This Row],[Date]]="","",(E176*(1+($C$163)/24)^V.Complémentaires!D176)-E176)</f>
        <v/>
      </c>
    </row>
    <row r="177" spans="2:7" ht="20.100000000000001" customHeight="1" x14ac:dyDescent="0.3">
      <c r="B177" s="13"/>
      <c r="C177" s="16" t="str">
        <f>IF(Tableau447891011[[#This Row],[Date]]="","",INT(DAYS360(DATE(YEAR(B177),1,1),B177,TRUE)/15)+1)</f>
        <v/>
      </c>
      <c r="D177" s="13" t="str">
        <f>IF(Tableau447891011[[#This Row],[Date]]="","",24-C177)</f>
        <v/>
      </c>
      <c r="E177" s="13"/>
      <c r="F177" s="34" t="str">
        <f>IF(Tableau447891011[[#This Row],[Date]]="","",Tableau447891011[[#This Row],[Versement]]*Variables!$F$12)</f>
        <v/>
      </c>
      <c r="G177" s="34" t="str">
        <f>IF(Tableau447891011[[#This Row],[Date]]="","",(E177*(1+($C$163)/24)^V.Complémentaires!D177)-E177)</f>
        <v/>
      </c>
    </row>
    <row r="178" spans="2:7" ht="20.100000000000001" customHeight="1" x14ac:dyDescent="0.3">
      <c r="B178" s="13"/>
      <c r="C178" s="16" t="str">
        <f>IF(Tableau447891011[[#This Row],[Date]]="","",INT(DAYS360(DATE(YEAR(B178),1,1),B178,TRUE)/15)+1)</f>
        <v/>
      </c>
      <c r="D178" s="13" t="str">
        <f>IF(Tableau447891011[[#This Row],[Date]]="","",24-C178)</f>
        <v/>
      </c>
      <c r="E178" s="13"/>
      <c r="F178" s="34" t="str">
        <f>IF(Tableau447891011[[#This Row],[Date]]="","",Tableau447891011[[#This Row],[Versement]]*Variables!$F$12)</f>
        <v/>
      </c>
      <c r="G178" s="34" t="str">
        <f>IF(Tableau447891011[[#This Row],[Date]]="","",(E178*(1+($C$163)/24)^V.Complémentaires!D178)-E178)</f>
        <v/>
      </c>
    </row>
    <row r="179" spans="2:7" ht="20.100000000000001" customHeight="1" x14ac:dyDescent="0.3">
      <c r="B179" s="13"/>
      <c r="C179" s="16" t="str">
        <f>IF(Tableau447891011[[#This Row],[Date]]="","",INT(DAYS360(DATE(YEAR(B179),1,1),B179,TRUE)/15)+1)</f>
        <v/>
      </c>
      <c r="D179" s="13" t="str">
        <f>IF(Tableau447891011[[#This Row],[Date]]="","",24-C179)</f>
        <v/>
      </c>
      <c r="E179" s="13"/>
      <c r="F179" s="34" t="str">
        <f>IF(Tableau447891011[[#This Row],[Date]]="","",Tableau447891011[[#This Row],[Versement]]*Variables!$F$12)</f>
        <v/>
      </c>
      <c r="G179" s="34" t="str">
        <f>IF(Tableau447891011[[#This Row],[Date]]="","",(E179*(1+($C$163)/24)^V.Complémentaires!D179)-E179)</f>
        <v/>
      </c>
    </row>
    <row r="180" spans="2:7" ht="20.100000000000001" customHeight="1" x14ac:dyDescent="0.3">
      <c r="B180" s="13"/>
      <c r="C180" s="16" t="str">
        <f>IF(Tableau447891011[[#This Row],[Date]]="","",INT(DAYS360(DATE(YEAR(B180),1,1),B180,TRUE)/15)+1)</f>
        <v/>
      </c>
      <c r="D180" s="13" t="str">
        <f>IF(Tableau447891011[[#This Row],[Date]]="","",24-C180)</f>
        <v/>
      </c>
      <c r="E180" s="13"/>
      <c r="F180" s="34" t="str">
        <f>IF(Tableau447891011[[#This Row],[Date]]="","",Tableau447891011[[#This Row],[Versement]]*Variables!$F$12)</f>
        <v/>
      </c>
      <c r="G180" s="34" t="str">
        <f>IF(Tableau447891011[[#This Row],[Date]]="","",(E180*(1+($C$163)/24)^V.Complémentaires!D180)-E180)</f>
        <v/>
      </c>
    </row>
    <row r="181" spans="2:7" ht="20.100000000000001" customHeight="1" x14ac:dyDescent="0.3">
      <c r="B181" s="13"/>
      <c r="C181" s="16" t="str">
        <f>IF(Tableau447891011[[#This Row],[Date]]="","",INT(DAYS360(DATE(YEAR(B181),1,1),B181,TRUE)/15)+1)</f>
        <v/>
      </c>
      <c r="D181" s="13" t="str">
        <f>IF(Tableau447891011[[#This Row],[Date]]="","",24-C181)</f>
        <v/>
      </c>
      <c r="E181" s="13"/>
      <c r="F181" s="34" t="str">
        <f>IF(Tableau447891011[[#This Row],[Date]]="","",Tableau447891011[[#This Row],[Versement]]*Variables!$F$12)</f>
        <v/>
      </c>
      <c r="G181" s="34" t="str">
        <f>IF(Tableau447891011[[#This Row],[Date]]="","",(E181*(1+($C$163)/24)^V.Complémentaires!D181)-E181)</f>
        <v/>
      </c>
    </row>
    <row r="182" spans="2:7" ht="20.100000000000001" customHeight="1" x14ac:dyDescent="0.3">
      <c r="B182" s="13"/>
      <c r="C182" s="13"/>
      <c r="D182" s="13"/>
      <c r="E182" s="13">
        <f>SUM(Tableau447891011[Versement])</f>
        <v>0</v>
      </c>
      <c r="F182" s="34">
        <f>SUBTOTAL(109,Tableau447891011[Frais de versement])</f>
        <v>0</v>
      </c>
      <c r="G182" s="34">
        <f>SUM(Tableau447891011[Interet])</f>
        <v>0</v>
      </c>
    </row>
    <row r="187" spans="2:7" ht="20.100000000000001" customHeight="1" thickBot="1" x14ac:dyDescent="0.35"/>
    <row r="188" spans="2:7" ht="20.100000000000001" customHeight="1" thickBot="1" x14ac:dyDescent="0.35">
      <c r="B188" s="10" t="s">
        <v>7</v>
      </c>
      <c r="C188" s="19">
        <f ca="1">C162+1</f>
        <v>2021</v>
      </c>
      <c r="D188" s="13"/>
      <c r="E188" s="13"/>
      <c r="F188" s="34"/>
      <c r="G188" s="34"/>
    </row>
    <row r="189" spans="2:7" ht="20.100000000000001" customHeight="1" thickBot="1" x14ac:dyDescent="0.35">
      <c r="B189" s="14" t="s">
        <v>23</v>
      </c>
      <c r="C189" s="20">
        <f ca="1">IF('Tableau Projection'!I14="","",VLOOKUP(C188,'Tableau Projection'!$C$6:$L$28,7,FALSE))</f>
        <v>1.0500000000000001E-2</v>
      </c>
      <c r="D189" s="13"/>
      <c r="E189" s="13"/>
      <c r="F189" s="34"/>
      <c r="G189" s="34"/>
    </row>
    <row r="190" spans="2:7" ht="35.1" customHeight="1" x14ac:dyDescent="0.3">
      <c r="B190" s="13" t="s">
        <v>18</v>
      </c>
      <c r="C190" s="18" t="s">
        <v>22</v>
      </c>
      <c r="D190" s="13" t="s">
        <v>19</v>
      </c>
      <c r="E190" s="13" t="s">
        <v>20</v>
      </c>
      <c r="F190" s="57" t="s">
        <v>3</v>
      </c>
      <c r="G190" s="34" t="s">
        <v>21</v>
      </c>
    </row>
    <row r="191" spans="2:7" ht="20.100000000000001" customHeight="1" x14ac:dyDescent="0.3">
      <c r="B191" s="15"/>
      <c r="C191" s="16" t="str">
        <f>IF(Tableau44789101112[[#This Row],[Date]]="","",INT(DAYS360(DATE(YEAR(B191),1,1),B191,TRUE)/15)+1)</f>
        <v/>
      </c>
      <c r="D191" s="13" t="str">
        <f>IF(Tableau44789101112[[#This Row],[Date]]="","",24-C191)</f>
        <v/>
      </c>
      <c r="E191" s="17"/>
      <c r="F191" s="34" t="str">
        <f>IF(Tableau44789101112[[#This Row],[Date]]="","",Tableau44789101112[[#This Row],[Versement]]*Variables!$F$12)</f>
        <v/>
      </c>
      <c r="G191" s="34" t="str">
        <f>IF(Tableau44789101112[[#This Row],[Date]]="","",(E191*(1+($C$189)/24)^V.Complémentaires!D191)-E191)</f>
        <v/>
      </c>
    </row>
    <row r="192" spans="2:7" ht="20.100000000000001" customHeight="1" x14ac:dyDescent="0.3">
      <c r="B192" s="15"/>
      <c r="C192" s="16" t="str">
        <f>IF(Tableau44789101112[[#This Row],[Date]]="","",INT(DAYS360(DATE(YEAR(B192),1,1),B192,TRUE)/15)+1)</f>
        <v/>
      </c>
      <c r="D192" s="13" t="str">
        <f>IF(Tableau44789101112[[#This Row],[Date]]="","",24-C192)</f>
        <v/>
      </c>
      <c r="E192" s="13"/>
      <c r="F192" s="34" t="str">
        <f>IF(Tableau44789101112[[#This Row],[Date]]="","",Tableau44789101112[[#This Row],[Versement]]*Variables!$F$12)</f>
        <v/>
      </c>
      <c r="G192" s="34" t="str">
        <f>IF(Tableau44789101112[[#This Row],[Date]]="","",(E192*(1+($C$189)/24)^V.Complémentaires!D192)-E192)</f>
        <v/>
      </c>
    </row>
    <row r="193" spans="2:7" ht="20.100000000000001" customHeight="1" x14ac:dyDescent="0.3">
      <c r="B193" s="15"/>
      <c r="C193" s="16" t="str">
        <f>IF(Tableau44789101112[[#This Row],[Date]]="","",INT(DAYS360(DATE(YEAR(B193),1,1),B193,TRUE)/15)+1)</f>
        <v/>
      </c>
      <c r="D193" s="13" t="str">
        <f>IF(Tableau44789101112[[#This Row],[Date]]="","",24-C193)</f>
        <v/>
      </c>
      <c r="E193" s="13"/>
      <c r="F193" s="34" t="str">
        <f>IF(Tableau44789101112[[#This Row],[Date]]="","",Tableau44789101112[[#This Row],[Versement]]*Variables!$F$12)</f>
        <v/>
      </c>
      <c r="G193" s="34" t="str">
        <f>IF(Tableau44789101112[[#This Row],[Date]]="","",(E193*(1+($C$189)/24)^V.Complémentaires!D193)-E193)</f>
        <v/>
      </c>
    </row>
    <row r="194" spans="2:7" ht="20.100000000000001" customHeight="1" x14ac:dyDescent="0.3">
      <c r="B194" s="13"/>
      <c r="C194" s="16" t="str">
        <f>IF(Tableau44789101112[[#This Row],[Date]]="","",INT(DAYS360(DATE(YEAR(B194),1,1),B194,TRUE)/15)+1)</f>
        <v/>
      </c>
      <c r="D194" s="13" t="str">
        <f>IF(Tableau44789101112[[#This Row],[Date]]="","",24-C194)</f>
        <v/>
      </c>
      <c r="E194" s="13"/>
      <c r="F194" s="34" t="str">
        <f>IF(Tableau44789101112[[#This Row],[Date]]="","",Tableau44789101112[[#This Row],[Versement]]*Variables!$F$12)</f>
        <v/>
      </c>
      <c r="G194" s="34" t="str">
        <f>IF(Tableau44789101112[[#This Row],[Date]]="","",(E194*(1+($C$189)/24)^V.Complémentaires!D194)-E194)</f>
        <v/>
      </c>
    </row>
    <row r="195" spans="2:7" ht="20.100000000000001" customHeight="1" x14ac:dyDescent="0.3">
      <c r="B195" s="13"/>
      <c r="C195" s="16" t="str">
        <f>IF(Tableau44789101112[[#This Row],[Date]]="","",INT(DAYS360(DATE(YEAR(B195),1,1),B195,TRUE)/15)+1)</f>
        <v/>
      </c>
      <c r="D195" s="13" t="str">
        <f>IF(Tableau44789101112[[#This Row],[Date]]="","",24-C195)</f>
        <v/>
      </c>
      <c r="E195" s="13"/>
      <c r="F195" s="34" t="str">
        <f>IF(Tableau44789101112[[#This Row],[Date]]="","",Tableau44789101112[[#This Row],[Versement]]*Variables!$F$12)</f>
        <v/>
      </c>
      <c r="G195" s="34" t="str">
        <f>IF(Tableau44789101112[[#This Row],[Date]]="","",(E195*(1+($C$189)/24)^V.Complémentaires!D195)-E195)</f>
        <v/>
      </c>
    </row>
    <row r="196" spans="2:7" ht="20.100000000000001" customHeight="1" x14ac:dyDescent="0.3">
      <c r="B196" s="13"/>
      <c r="C196" s="16" t="str">
        <f>IF(Tableau44789101112[[#This Row],[Date]]="","",INT(DAYS360(DATE(YEAR(B196),1,1),B196,TRUE)/15)+1)</f>
        <v/>
      </c>
      <c r="D196" s="13" t="str">
        <f>IF(Tableau44789101112[[#This Row],[Date]]="","",24-C196)</f>
        <v/>
      </c>
      <c r="E196" s="13"/>
      <c r="F196" s="34" t="str">
        <f>IF(Tableau44789101112[[#This Row],[Date]]="","",Tableau44789101112[[#This Row],[Versement]]*Variables!$F$12)</f>
        <v/>
      </c>
      <c r="G196" s="34" t="str">
        <f>IF(Tableau44789101112[[#This Row],[Date]]="","",(E196*(1+($C$189)/24)^V.Complémentaires!D196)-E196)</f>
        <v/>
      </c>
    </row>
    <row r="197" spans="2:7" ht="20.100000000000001" customHeight="1" x14ac:dyDescent="0.3">
      <c r="B197" s="13"/>
      <c r="C197" s="16" t="str">
        <f>IF(Tableau44789101112[[#This Row],[Date]]="","",INT(DAYS360(DATE(YEAR(B197),1,1),B197,TRUE)/15)+1)</f>
        <v/>
      </c>
      <c r="D197" s="13" t="str">
        <f>IF(Tableau44789101112[[#This Row],[Date]]="","",24-C197)</f>
        <v/>
      </c>
      <c r="E197" s="13"/>
      <c r="F197" s="34" t="str">
        <f>IF(Tableau44789101112[[#This Row],[Date]]="","",Tableau44789101112[[#This Row],[Versement]]*Variables!$F$12)</f>
        <v/>
      </c>
      <c r="G197" s="34" t="str">
        <f>IF(Tableau44789101112[[#This Row],[Date]]="","",(E197*(1+($C$189)/24)^V.Complémentaires!D197)-E197)</f>
        <v/>
      </c>
    </row>
    <row r="198" spans="2:7" ht="20.100000000000001" customHeight="1" x14ac:dyDescent="0.3">
      <c r="B198" s="13"/>
      <c r="C198" s="16" t="str">
        <f>IF(Tableau44789101112[[#This Row],[Date]]="","",INT(DAYS360(DATE(YEAR(B198),1,1),B198,TRUE)/15)+1)</f>
        <v/>
      </c>
      <c r="D198" s="13" t="str">
        <f>IF(Tableau44789101112[[#This Row],[Date]]="","",24-C198)</f>
        <v/>
      </c>
      <c r="E198" s="13"/>
      <c r="F198" s="34" t="str">
        <f>IF(Tableau44789101112[[#This Row],[Date]]="","",Tableau44789101112[[#This Row],[Versement]]*Variables!$F$12)</f>
        <v/>
      </c>
      <c r="G198" s="34" t="str">
        <f>IF(Tableau44789101112[[#This Row],[Date]]="","",(E198*(1+($C$189)/24)^V.Complémentaires!D198)-E198)</f>
        <v/>
      </c>
    </row>
    <row r="199" spans="2:7" ht="20.100000000000001" customHeight="1" x14ac:dyDescent="0.3">
      <c r="B199" s="15"/>
      <c r="C199" s="16" t="str">
        <f>IF(Tableau44789101112[[#This Row],[Date]]="","",INT(DAYS360(DATE(YEAR(B199),1,1),B199,TRUE)/15)+1)</f>
        <v/>
      </c>
      <c r="D199" s="13" t="str">
        <f>IF(Tableau44789101112[[#This Row],[Date]]="","",24-C199)</f>
        <v/>
      </c>
      <c r="E199" s="13"/>
      <c r="F199" s="34" t="str">
        <f>IF(Tableau44789101112[[#This Row],[Date]]="","",Tableau44789101112[[#This Row],[Versement]]*Variables!$F$12)</f>
        <v/>
      </c>
      <c r="G199" s="34" t="str">
        <f>IF(Tableau44789101112[[#This Row],[Date]]="","",(E199*(1+($C$189)/24)^V.Complémentaires!D199)-E199)</f>
        <v/>
      </c>
    </row>
    <row r="200" spans="2:7" ht="20.100000000000001" customHeight="1" x14ac:dyDescent="0.3">
      <c r="B200" s="13"/>
      <c r="C200" s="16" t="str">
        <f>IF(Tableau44789101112[[#This Row],[Date]]="","",INT(DAYS360(DATE(YEAR(B200),1,1),B200,TRUE)/15)+1)</f>
        <v/>
      </c>
      <c r="D200" s="13" t="str">
        <f>IF(Tableau44789101112[[#This Row],[Date]]="","",24-C200)</f>
        <v/>
      </c>
      <c r="E200" s="13"/>
      <c r="F200" s="34" t="str">
        <f>IF(Tableau44789101112[[#This Row],[Date]]="","",Tableau44789101112[[#This Row],[Versement]]*Variables!$F$12)</f>
        <v/>
      </c>
      <c r="G200" s="34" t="str">
        <f>IF(Tableau44789101112[[#This Row],[Date]]="","",(E200*(1+($C$189)/24)^V.Complémentaires!D200)-E200)</f>
        <v/>
      </c>
    </row>
    <row r="201" spans="2:7" ht="20.100000000000001" customHeight="1" x14ac:dyDescent="0.3">
      <c r="B201" s="13"/>
      <c r="C201" s="16" t="str">
        <f>IF(Tableau44789101112[[#This Row],[Date]]="","",INT(DAYS360(DATE(YEAR(B201),1,1),B201,TRUE)/15)+1)</f>
        <v/>
      </c>
      <c r="D201" s="13" t="str">
        <f>IF(Tableau44789101112[[#This Row],[Date]]="","",24-C201)</f>
        <v/>
      </c>
      <c r="E201" s="13"/>
      <c r="F201" s="34" t="str">
        <f>IF(Tableau44789101112[[#This Row],[Date]]="","",Tableau44789101112[[#This Row],[Versement]]*Variables!$F$12)</f>
        <v/>
      </c>
      <c r="G201" s="34" t="str">
        <f>IF(Tableau44789101112[[#This Row],[Date]]="","",(E201*(1+($C$189)/24)^V.Complémentaires!D201)-E201)</f>
        <v/>
      </c>
    </row>
    <row r="202" spans="2:7" ht="20.100000000000001" customHeight="1" x14ac:dyDescent="0.3">
      <c r="B202" s="13"/>
      <c r="C202" s="16" t="str">
        <f>IF(Tableau44789101112[[#This Row],[Date]]="","",INT(DAYS360(DATE(YEAR(B202),1,1),B202,TRUE)/15)+1)</f>
        <v/>
      </c>
      <c r="D202" s="13" t="str">
        <f>IF(Tableau44789101112[[#This Row],[Date]]="","",24-C202)</f>
        <v/>
      </c>
      <c r="E202" s="13"/>
      <c r="F202" s="34" t="str">
        <f>IF(Tableau44789101112[[#This Row],[Date]]="","",Tableau44789101112[[#This Row],[Versement]]*Variables!$F$12)</f>
        <v/>
      </c>
      <c r="G202" s="34" t="str">
        <f>IF(Tableau44789101112[[#This Row],[Date]]="","",(E202*(1+($C$189)/24)^V.Complémentaires!D202)-E202)</f>
        <v/>
      </c>
    </row>
    <row r="203" spans="2:7" ht="20.100000000000001" customHeight="1" x14ac:dyDescent="0.3">
      <c r="B203" s="13"/>
      <c r="C203" s="16" t="str">
        <f>IF(Tableau44789101112[[#This Row],[Date]]="","",INT(DAYS360(DATE(YEAR(B203),1,1),B203,TRUE)/15)+1)</f>
        <v/>
      </c>
      <c r="D203" s="13" t="str">
        <f>IF(Tableau44789101112[[#This Row],[Date]]="","",24-C203)</f>
        <v/>
      </c>
      <c r="E203" s="13"/>
      <c r="F203" s="34" t="str">
        <f>IF(Tableau44789101112[[#This Row],[Date]]="","",Tableau44789101112[[#This Row],[Versement]]*Variables!$F$12)</f>
        <v/>
      </c>
      <c r="G203" s="34" t="str">
        <f>IF(Tableau44789101112[[#This Row],[Date]]="","",(E203*(1+($C$189)/24)^V.Complémentaires!D203)-E203)</f>
        <v/>
      </c>
    </row>
    <row r="204" spans="2:7" ht="20.100000000000001" customHeight="1" x14ac:dyDescent="0.3">
      <c r="B204" s="13"/>
      <c r="C204" s="16" t="str">
        <f>IF(Tableau44789101112[[#This Row],[Date]]="","",INT(DAYS360(DATE(YEAR(B204),1,1),B204,TRUE)/15)+1)</f>
        <v/>
      </c>
      <c r="D204" s="13" t="str">
        <f>IF(Tableau44789101112[[#This Row],[Date]]="","",24-C204)</f>
        <v/>
      </c>
      <c r="E204" s="13"/>
      <c r="F204" s="34" t="str">
        <f>IF(Tableau44789101112[[#This Row],[Date]]="","",Tableau44789101112[[#This Row],[Versement]]*Variables!$F$12)</f>
        <v/>
      </c>
      <c r="G204" s="34" t="str">
        <f>IF(Tableau44789101112[[#This Row],[Date]]="","",(E204*(1+($C$189)/24)^V.Complémentaires!D204)-E204)</f>
        <v/>
      </c>
    </row>
    <row r="205" spans="2:7" ht="20.100000000000001" customHeight="1" x14ac:dyDescent="0.3">
      <c r="B205" s="13"/>
      <c r="C205" s="16" t="str">
        <f>IF(Tableau44789101112[[#This Row],[Date]]="","",INT(DAYS360(DATE(YEAR(B205),1,1),B205,TRUE)/15)+1)</f>
        <v/>
      </c>
      <c r="D205" s="13" t="str">
        <f>IF(Tableau44789101112[[#This Row],[Date]]="","",24-C205)</f>
        <v/>
      </c>
      <c r="E205" s="13"/>
      <c r="F205" s="34" t="str">
        <f>IF(Tableau44789101112[[#This Row],[Date]]="","",Tableau44789101112[[#This Row],[Versement]]*Variables!$F$12)</f>
        <v/>
      </c>
      <c r="G205" s="34" t="str">
        <f>IF(Tableau44789101112[[#This Row],[Date]]="","",(E205*(1+($C$189)/24)^V.Complémentaires!D205)-E205)</f>
        <v/>
      </c>
    </row>
    <row r="206" spans="2:7" ht="20.100000000000001" customHeight="1" x14ac:dyDescent="0.3">
      <c r="B206" s="13"/>
      <c r="C206" s="16" t="str">
        <f>IF(Tableau44789101112[[#This Row],[Date]]="","",INT(DAYS360(DATE(YEAR(B206),1,1),B206,TRUE)/15)+1)</f>
        <v/>
      </c>
      <c r="D206" s="13" t="str">
        <f>IF(Tableau44789101112[[#This Row],[Date]]="","",24-C206)</f>
        <v/>
      </c>
      <c r="E206" s="13"/>
      <c r="F206" s="34" t="str">
        <f>IF(Tableau44789101112[[#This Row],[Date]]="","",Tableau44789101112[[#This Row],[Versement]]*Variables!$F$12)</f>
        <v/>
      </c>
      <c r="G206" s="34" t="str">
        <f>IF(Tableau44789101112[[#This Row],[Date]]="","",(E206*(1+($C$189)/24)^V.Complémentaires!D206)-E206)</f>
        <v/>
      </c>
    </row>
    <row r="207" spans="2:7" ht="20.100000000000001" customHeight="1" x14ac:dyDescent="0.3">
      <c r="B207" s="13"/>
      <c r="C207" s="16" t="str">
        <f>IF(Tableau44789101112[[#This Row],[Date]]="","",INT(DAYS360(DATE(YEAR(B207),1,1),B207,TRUE)/15)+1)</f>
        <v/>
      </c>
      <c r="D207" s="13" t="str">
        <f>IF(Tableau44789101112[[#This Row],[Date]]="","",24-C207)</f>
        <v/>
      </c>
      <c r="E207" s="13"/>
      <c r="F207" s="34" t="str">
        <f>IF(Tableau44789101112[[#This Row],[Date]]="","",Tableau44789101112[[#This Row],[Versement]]*Variables!$F$12)</f>
        <v/>
      </c>
      <c r="G207" s="34" t="str">
        <f>IF(Tableau44789101112[[#This Row],[Date]]="","",(E207*(1+($C$189)/24)^V.Complémentaires!D207)-E207)</f>
        <v/>
      </c>
    </row>
    <row r="208" spans="2:7" ht="20.100000000000001" customHeight="1" x14ac:dyDescent="0.3">
      <c r="B208" s="13"/>
      <c r="C208" s="13"/>
      <c r="D208" s="13"/>
      <c r="E208" s="13">
        <f>SUM(Tableau44789101112[Versement])</f>
        <v>0</v>
      </c>
      <c r="F208" s="34">
        <f>SUBTOTAL(109,Tableau44789101112[Frais de versement])</f>
        <v>0</v>
      </c>
      <c r="G208" s="34">
        <f>SUM(Tableau44789101112[Interet])</f>
        <v>0</v>
      </c>
    </row>
    <row r="214" spans="2:7" ht="20.100000000000001" customHeight="1" thickBot="1" x14ac:dyDescent="0.35"/>
    <row r="215" spans="2:7" ht="20.100000000000001" customHeight="1" thickBot="1" x14ac:dyDescent="0.35">
      <c r="B215" s="10" t="s">
        <v>7</v>
      </c>
      <c r="C215" s="19">
        <f ca="1">C188+1</f>
        <v>2022</v>
      </c>
      <c r="D215" s="13"/>
      <c r="E215" s="13"/>
      <c r="F215" s="34"/>
      <c r="G215" s="34"/>
    </row>
    <row r="216" spans="2:7" ht="20.100000000000001" customHeight="1" thickBot="1" x14ac:dyDescent="0.35">
      <c r="B216" s="14" t="s">
        <v>23</v>
      </c>
      <c r="C216" s="20">
        <f ca="1">IF('Tableau Projection'!I15="","",VLOOKUP(C215,'Tableau Projection'!$C$6:$L$28,7,FALSE))</f>
        <v>1.0500000000000001E-2</v>
      </c>
      <c r="D216" s="13"/>
      <c r="E216" s="13"/>
      <c r="F216" s="34"/>
      <c r="G216" s="34"/>
    </row>
    <row r="217" spans="2:7" ht="35.1" customHeight="1" x14ac:dyDescent="0.3">
      <c r="B217" s="13" t="s">
        <v>18</v>
      </c>
      <c r="C217" s="18" t="s">
        <v>22</v>
      </c>
      <c r="D217" s="13" t="s">
        <v>19</v>
      </c>
      <c r="E217" s="13" t="s">
        <v>20</v>
      </c>
      <c r="F217" s="57" t="s">
        <v>3</v>
      </c>
      <c r="G217" s="34" t="s">
        <v>21</v>
      </c>
    </row>
    <row r="218" spans="2:7" ht="20.100000000000001" customHeight="1" x14ac:dyDescent="0.3">
      <c r="B218" s="15"/>
      <c r="C218" s="16" t="str">
        <f>IF(Tableau4478910111213[[#This Row],[Date]]="","",INT(DAYS360(DATE(YEAR(B218),1,1),B218,TRUE)/15)+1)</f>
        <v/>
      </c>
      <c r="D218" s="13" t="str">
        <f>IF(Tableau4478910111213[[#This Row],[Date]]="","",24-C218)</f>
        <v/>
      </c>
      <c r="E218" s="17"/>
      <c r="F218" s="34" t="str">
        <f>IF(Tableau4478910111213[[#This Row],[Date]]="","",Tableau4478910111213[[#This Row],[Versement]]*Variables!$F$12)</f>
        <v/>
      </c>
      <c r="G218" s="34" t="str">
        <f>IF(Tableau4478910111213[[#This Row],[Date]]="","",(E218*(1+($C$216)/24)^V.Complémentaires!D218)-E218)</f>
        <v/>
      </c>
    </row>
    <row r="219" spans="2:7" ht="20.100000000000001" customHeight="1" x14ac:dyDescent="0.3">
      <c r="B219" s="15"/>
      <c r="C219" s="16" t="str">
        <f>IF(Tableau4478910111213[[#This Row],[Date]]="","",INT(DAYS360(DATE(YEAR(B219),1,1),B219,TRUE)/15)+1)</f>
        <v/>
      </c>
      <c r="D219" s="13" t="str">
        <f>IF(Tableau4478910111213[[#This Row],[Date]]="","",24-C219)</f>
        <v/>
      </c>
      <c r="E219" s="13"/>
      <c r="F219" s="34" t="str">
        <f>IF(Tableau4478910111213[[#This Row],[Date]]="","",Tableau4478910111213[[#This Row],[Versement]]*Variables!$F$12)</f>
        <v/>
      </c>
      <c r="G219" s="34" t="str">
        <f>IF(Tableau4478910111213[[#This Row],[Date]]="","",(E219*(1+($C$216)/24)^V.Complémentaires!D219)-E219)</f>
        <v/>
      </c>
    </row>
    <row r="220" spans="2:7" ht="20.100000000000001" customHeight="1" x14ac:dyDescent="0.3">
      <c r="B220" s="15"/>
      <c r="C220" s="16" t="str">
        <f>IF(Tableau4478910111213[[#This Row],[Date]]="","",INT(DAYS360(DATE(YEAR(B220),1,1),B220,TRUE)/15)+1)</f>
        <v/>
      </c>
      <c r="D220" s="13" t="str">
        <f>IF(Tableau4478910111213[[#This Row],[Date]]="","",24-C220)</f>
        <v/>
      </c>
      <c r="E220" s="13"/>
      <c r="F220" s="34" t="str">
        <f>IF(Tableau4478910111213[[#This Row],[Date]]="","",Tableau4478910111213[[#This Row],[Versement]]*Variables!$F$12)</f>
        <v/>
      </c>
      <c r="G220" s="34" t="str">
        <f>IF(Tableau4478910111213[[#This Row],[Date]]="","",(E220*(1+($C$216)/24)^V.Complémentaires!D220)-E220)</f>
        <v/>
      </c>
    </row>
    <row r="221" spans="2:7" ht="20.100000000000001" customHeight="1" x14ac:dyDescent="0.3">
      <c r="B221" s="13"/>
      <c r="C221" s="16" t="str">
        <f>IF(Tableau4478910111213[[#This Row],[Date]]="","",INT(DAYS360(DATE(YEAR(B221),1,1),B221,TRUE)/15)+1)</f>
        <v/>
      </c>
      <c r="D221" s="13" t="str">
        <f>IF(Tableau4478910111213[[#This Row],[Date]]="","",24-C221)</f>
        <v/>
      </c>
      <c r="E221" s="13"/>
      <c r="F221" s="34" t="str">
        <f>IF(Tableau4478910111213[[#This Row],[Date]]="","",Tableau4478910111213[[#This Row],[Versement]]*Variables!$F$12)</f>
        <v/>
      </c>
      <c r="G221" s="34" t="str">
        <f>IF(Tableau4478910111213[[#This Row],[Date]]="","",(E221*(1+($C$216)/24)^V.Complémentaires!D221)-E221)</f>
        <v/>
      </c>
    </row>
    <row r="222" spans="2:7" ht="20.100000000000001" customHeight="1" x14ac:dyDescent="0.3">
      <c r="B222" s="13"/>
      <c r="C222" s="16" t="str">
        <f>IF(Tableau4478910111213[[#This Row],[Date]]="","",INT(DAYS360(DATE(YEAR(B222),1,1),B222,TRUE)/15)+1)</f>
        <v/>
      </c>
      <c r="D222" s="13" t="str">
        <f>IF(Tableau4478910111213[[#This Row],[Date]]="","",24-C222)</f>
        <v/>
      </c>
      <c r="E222" s="13"/>
      <c r="F222" s="34" t="str">
        <f>IF(Tableau4478910111213[[#This Row],[Date]]="","",Tableau4478910111213[[#This Row],[Versement]]*Variables!$F$12)</f>
        <v/>
      </c>
      <c r="G222" s="34" t="str">
        <f>IF(Tableau4478910111213[[#This Row],[Date]]="","",(E222*(1+($C$216)/24)^V.Complémentaires!D222)-E222)</f>
        <v/>
      </c>
    </row>
    <row r="223" spans="2:7" ht="20.100000000000001" customHeight="1" x14ac:dyDescent="0.3">
      <c r="B223" s="13"/>
      <c r="C223" s="16" t="str">
        <f>IF(Tableau4478910111213[[#This Row],[Date]]="","",INT(DAYS360(DATE(YEAR(B223),1,1),B223,TRUE)/15)+1)</f>
        <v/>
      </c>
      <c r="D223" s="13" t="str">
        <f>IF(Tableau4478910111213[[#This Row],[Date]]="","",24-C223)</f>
        <v/>
      </c>
      <c r="E223" s="13"/>
      <c r="F223" s="34" t="str">
        <f>IF(Tableau4478910111213[[#This Row],[Date]]="","",Tableau4478910111213[[#This Row],[Versement]]*Variables!$F$12)</f>
        <v/>
      </c>
      <c r="G223" s="34" t="str">
        <f>IF(Tableau4478910111213[[#This Row],[Date]]="","",(E223*(1+($C$216)/24)^V.Complémentaires!D223)-E223)</f>
        <v/>
      </c>
    </row>
    <row r="224" spans="2:7" ht="20.100000000000001" customHeight="1" x14ac:dyDescent="0.3">
      <c r="B224" s="13"/>
      <c r="C224" s="16" t="str">
        <f>IF(Tableau4478910111213[[#This Row],[Date]]="","",INT(DAYS360(DATE(YEAR(B224),1,1),B224,TRUE)/15)+1)</f>
        <v/>
      </c>
      <c r="D224" s="13" t="str">
        <f>IF(Tableau4478910111213[[#This Row],[Date]]="","",24-C224)</f>
        <v/>
      </c>
      <c r="E224" s="13"/>
      <c r="F224" s="34" t="str">
        <f>IF(Tableau4478910111213[[#This Row],[Date]]="","",Tableau4478910111213[[#This Row],[Versement]]*Variables!$F$12)</f>
        <v/>
      </c>
      <c r="G224" s="34" t="str">
        <f>IF(Tableau4478910111213[[#This Row],[Date]]="","",(E224*(1+($C$216)/24)^V.Complémentaires!D224)-E224)</f>
        <v/>
      </c>
    </row>
    <row r="225" spans="2:7" ht="20.100000000000001" customHeight="1" x14ac:dyDescent="0.3">
      <c r="B225" s="13"/>
      <c r="C225" s="16" t="str">
        <f>IF(Tableau4478910111213[[#This Row],[Date]]="","",INT(DAYS360(DATE(YEAR(B225),1,1),B225,TRUE)/15)+1)</f>
        <v/>
      </c>
      <c r="D225" s="13" t="str">
        <f>IF(Tableau4478910111213[[#This Row],[Date]]="","",24-C225)</f>
        <v/>
      </c>
      <c r="E225" s="13"/>
      <c r="F225" s="34" t="str">
        <f>IF(Tableau4478910111213[[#This Row],[Date]]="","",Tableau4478910111213[[#This Row],[Versement]]*Variables!$F$12)</f>
        <v/>
      </c>
      <c r="G225" s="34" t="str">
        <f>IF(Tableau4478910111213[[#This Row],[Date]]="","",(E225*(1+($C$216)/24)^V.Complémentaires!D225)-E225)</f>
        <v/>
      </c>
    </row>
    <row r="226" spans="2:7" ht="20.100000000000001" customHeight="1" x14ac:dyDescent="0.3">
      <c r="B226" s="15"/>
      <c r="C226" s="16" t="str">
        <f>IF(Tableau4478910111213[[#This Row],[Date]]="","",INT(DAYS360(DATE(YEAR(B226),1,1),B226,TRUE)/15)+1)</f>
        <v/>
      </c>
      <c r="D226" s="13" t="str">
        <f>IF(Tableau4478910111213[[#This Row],[Date]]="","",24-C226)</f>
        <v/>
      </c>
      <c r="E226" s="13"/>
      <c r="F226" s="34" t="str">
        <f>IF(Tableau4478910111213[[#This Row],[Date]]="","",Tableau4478910111213[[#This Row],[Versement]]*Variables!$F$12)</f>
        <v/>
      </c>
      <c r="G226" s="34" t="str">
        <f>IF(Tableau4478910111213[[#This Row],[Date]]="","",(E226*(1+($C$216)/24)^V.Complémentaires!D226)-E226)</f>
        <v/>
      </c>
    </row>
    <row r="227" spans="2:7" ht="20.100000000000001" customHeight="1" x14ac:dyDescent="0.3">
      <c r="B227" s="13"/>
      <c r="C227" s="16" t="str">
        <f>IF(Tableau4478910111213[[#This Row],[Date]]="","",INT(DAYS360(DATE(YEAR(B227),1,1),B227,TRUE)/15)+1)</f>
        <v/>
      </c>
      <c r="D227" s="13" t="str">
        <f>IF(Tableau4478910111213[[#This Row],[Date]]="","",24-C227)</f>
        <v/>
      </c>
      <c r="E227" s="13"/>
      <c r="F227" s="34" t="str">
        <f>IF(Tableau4478910111213[[#This Row],[Date]]="","",Tableau4478910111213[[#This Row],[Versement]]*Variables!$F$12)</f>
        <v/>
      </c>
      <c r="G227" s="34" t="str">
        <f>IF(Tableau4478910111213[[#This Row],[Date]]="","",(E227*(1+($C$216)/24)^V.Complémentaires!D227)-E227)</f>
        <v/>
      </c>
    </row>
    <row r="228" spans="2:7" ht="20.100000000000001" customHeight="1" x14ac:dyDescent="0.3">
      <c r="B228" s="13"/>
      <c r="C228" s="16" t="str">
        <f>IF(Tableau4478910111213[[#This Row],[Date]]="","",INT(DAYS360(DATE(YEAR(B228),1,1),B228,TRUE)/15)+1)</f>
        <v/>
      </c>
      <c r="D228" s="13" t="str">
        <f>IF(Tableau4478910111213[[#This Row],[Date]]="","",24-C228)</f>
        <v/>
      </c>
      <c r="E228" s="13"/>
      <c r="F228" s="34" t="str">
        <f>IF(Tableau4478910111213[[#This Row],[Date]]="","",Tableau4478910111213[[#This Row],[Versement]]*Variables!$F$12)</f>
        <v/>
      </c>
      <c r="G228" s="34" t="str">
        <f>IF(Tableau4478910111213[[#This Row],[Date]]="","",(E228*(1+($C$216)/24)^V.Complémentaires!D228)-E228)</f>
        <v/>
      </c>
    </row>
    <row r="229" spans="2:7" ht="20.100000000000001" customHeight="1" x14ac:dyDescent="0.3">
      <c r="B229" s="13"/>
      <c r="C229" s="16" t="str">
        <f>IF(Tableau4478910111213[[#This Row],[Date]]="","",INT(DAYS360(DATE(YEAR(B229),1,1),B229,TRUE)/15)+1)</f>
        <v/>
      </c>
      <c r="D229" s="13" t="str">
        <f>IF(Tableau4478910111213[[#This Row],[Date]]="","",24-C229)</f>
        <v/>
      </c>
      <c r="E229" s="13"/>
      <c r="F229" s="34" t="str">
        <f>IF(Tableau4478910111213[[#This Row],[Date]]="","",Tableau4478910111213[[#This Row],[Versement]]*Variables!$F$12)</f>
        <v/>
      </c>
      <c r="G229" s="34" t="str">
        <f>IF(Tableau4478910111213[[#This Row],[Date]]="","",(E229*(1+($C$216)/24)^V.Complémentaires!D229)-E229)</f>
        <v/>
      </c>
    </row>
    <row r="230" spans="2:7" ht="20.100000000000001" customHeight="1" x14ac:dyDescent="0.3">
      <c r="B230" s="13"/>
      <c r="C230" s="16" t="str">
        <f>IF(Tableau4478910111213[[#This Row],[Date]]="","",INT(DAYS360(DATE(YEAR(B230),1,1),B230,TRUE)/15)+1)</f>
        <v/>
      </c>
      <c r="D230" s="13" t="str">
        <f>IF(Tableau4478910111213[[#This Row],[Date]]="","",24-C230)</f>
        <v/>
      </c>
      <c r="E230" s="13"/>
      <c r="F230" s="34" t="str">
        <f>IF(Tableau4478910111213[[#This Row],[Date]]="","",Tableau4478910111213[[#This Row],[Versement]]*Variables!$F$12)</f>
        <v/>
      </c>
      <c r="G230" s="34" t="str">
        <f>IF(Tableau4478910111213[[#This Row],[Date]]="","",(E230*(1+($C$216)/24)^V.Complémentaires!D230)-E230)</f>
        <v/>
      </c>
    </row>
    <row r="231" spans="2:7" ht="20.100000000000001" customHeight="1" x14ac:dyDescent="0.3">
      <c r="B231" s="13"/>
      <c r="C231" s="16" t="str">
        <f>IF(Tableau4478910111213[[#This Row],[Date]]="","",INT(DAYS360(DATE(YEAR(B231),1,1),B231,TRUE)/15)+1)</f>
        <v/>
      </c>
      <c r="D231" s="13" t="str">
        <f>IF(Tableau4478910111213[[#This Row],[Date]]="","",24-C231)</f>
        <v/>
      </c>
      <c r="E231" s="13"/>
      <c r="F231" s="34" t="str">
        <f>IF(Tableau4478910111213[[#This Row],[Date]]="","",Tableau4478910111213[[#This Row],[Versement]]*Variables!$F$12)</f>
        <v/>
      </c>
      <c r="G231" s="34" t="str">
        <f>IF(Tableau4478910111213[[#This Row],[Date]]="","",(E231*(1+($C$216)/24)^V.Complémentaires!D231)-E231)</f>
        <v/>
      </c>
    </row>
    <row r="232" spans="2:7" ht="20.100000000000001" customHeight="1" x14ac:dyDescent="0.3">
      <c r="B232" s="13"/>
      <c r="C232" s="16" t="str">
        <f>IF(Tableau4478910111213[[#This Row],[Date]]="","",INT(DAYS360(DATE(YEAR(B232),1,1),B232,TRUE)/15)+1)</f>
        <v/>
      </c>
      <c r="D232" s="13" t="str">
        <f>IF(Tableau4478910111213[[#This Row],[Date]]="","",24-C232)</f>
        <v/>
      </c>
      <c r="E232" s="13"/>
      <c r="F232" s="34" t="str">
        <f>IF(Tableau4478910111213[[#This Row],[Date]]="","",Tableau4478910111213[[#This Row],[Versement]]*Variables!$F$12)</f>
        <v/>
      </c>
      <c r="G232" s="34" t="str">
        <f>IF(Tableau4478910111213[[#This Row],[Date]]="","",(E232*(1+($C$216)/24)^V.Complémentaires!D232)-E232)</f>
        <v/>
      </c>
    </row>
    <row r="233" spans="2:7" ht="20.100000000000001" customHeight="1" x14ac:dyDescent="0.3">
      <c r="B233" s="13"/>
      <c r="C233" s="16" t="str">
        <f>IF(Tableau4478910111213[[#This Row],[Date]]="","",INT(DAYS360(DATE(YEAR(B233),1,1),B233,TRUE)/15)+1)</f>
        <v/>
      </c>
      <c r="D233" s="13" t="str">
        <f>IF(Tableau4478910111213[[#This Row],[Date]]="","",24-C233)</f>
        <v/>
      </c>
      <c r="E233" s="13"/>
      <c r="F233" s="34" t="str">
        <f>IF(Tableau4478910111213[[#This Row],[Date]]="","",Tableau4478910111213[[#This Row],[Versement]]*Variables!$F$12)</f>
        <v/>
      </c>
      <c r="G233" s="34" t="str">
        <f>IF(Tableau4478910111213[[#This Row],[Date]]="","",(E233*(1+($C$216)/24)^V.Complémentaires!D233)-E233)</f>
        <v/>
      </c>
    </row>
    <row r="234" spans="2:7" ht="20.100000000000001" customHeight="1" x14ac:dyDescent="0.3">
      <c r="B234" s="13"/>
      <c r="C234" s="16" t="str">
        <f>IF(Tableau4478910111213[[#This Row],[Date]]="","",INT(DAYS360(DATE(YEAR(B234),1,1),B234,TRUE)/15)+1)</f>
        <v/>
      </c>
      <c r="D234" s="13" t="str">
        <f>IF(Tableau4478910111213[[#This Row],[Date]]="","",24-C234)</f>
        <v/>
      </c>
      <c r="E234" s="13"/>
      <c r="F234" s="34" t="str">
        <f>IF(Tableau4478910111213[[#This Row],[Date]]="","",Tableau4478910111213[[#This Row],[Versement]]*Variables!$F$12)</f>
        <v/>
      </c>
      <c r="G234" s="34" t="str">
        <f>IF(Tableau4478910111213[[#This Row],[Date]]="","",(E234*(1+($C$216)/24)^V.Complémentaires!D234)-E234)</f>
        <v/>
      </c>
    </row>
    <row r="235" spans="2:7" ht="20.100000000000001" customHeight="1" x14ac:dyDescent="0.3">
      <c r="B235" s="13"/>
      <c r="C235" s="13"/>
      <c r="D235" s="13"/>
      <c r="E235" s="13">
        <f>SUM(Tableau4478910111213[Versement])</f>
        <v>0</v>
      </c>
      <c r="F235" s="34">
        <f>SUBTOTAL(109,Tableau4478910111213[Frais de versement])</f>
        <v>0</v>
      </c>
      <c r="G235" s="34">
        <f>SUM(Tableau4478910111213[Interet])</f>
        <v>0</v>
      </c>
    </row>
    <row r="240" spans="2:7" ht="20.100000000000001" customHeight="1" thickBot="1" x14ac:dyDescent="0.35"/>
    <row r="241" spans="2:7" ht="20.100000000000001" customHeight="1" thickBot="1" x14ac:dyDescent="0.35">
      <c r="B241" s="10" t="s">
        <v>7</v>
      </c>
      <c r="C241" s="19">
        <f ca="1">C215+1</f>
        <v>2023</v>
      </c>
      <c r="D241" s="13"/>
      <c r="E241" s="13"/>
      <c r="F241" s="34"/>
      <c r="G241" s="34"/>
    </row>
    <row r="242" spans="2:7" ht="20.100000000000001" customHeight="1" thickBot="1" x14ac:dyDescent="0.35">
      <c r="B242" s="14" t="s">
        <v>23</v>
      </c>
      <c r="C242" s="20">
        <f ca="1">IF('Tableau Projection'!I16="","",VLOOKUP(C241,'Tableau Projection'!$C$6:$L$28,7,FALSE))</f>
        <v>1.0500000000000001E-2</v>
      </c>
      <c r="D242" s="13"/>
      <c r="E242" s="13"/>
      <c r="F242" s="34"/>
      <c r="G242" s="34"/>
    </row>
    <row r="243" spans="2:7" ht="35.1" customHeight="1" x14ac:dyDescent="0.3">
      <c r="B243" s="13" t="s">
        <v>18</v>
      </c>
      <c r="C243" s="18" t="s">
        <v>22</v>
      </c>
      <c r="D243" s="13" t="s">
        <v>19</v>
      </c>
      <c r="E243" s="13" t="s">
        <v>20</v>
      </c>
      <c r="F243" s="57" t="s">
        <v>3</v>
      </c>
      <c r="G243" s="34" t="s">
        <v>21</v>
      </c>
    </row>
    <row r="244" spans="2:7" ht="20.100000000000001" customHeight="1" x14ac:dyDescent="0.3">
      <c r="B244" s="15"/>
      <c r="C244" s="16" t="str">
        <f>IF(Tableau447891011121314[[#This Row],[Date]]="","",INT(DAYS360(DATE(YEAR(B244),1,1),B244,TRUE)/15)+1)</f>
        <v/>
      </c>
      <c r="D244" s="13" t="str">
        <f>IF(Tableau447891011121314[[#This Row],[Date]]="","",24-C244)</f>
        <v/>
      </c>
      <c r="E244" s="17"/>
      <c r="F244" s="34" t="str">
        <f>IF(Tableau447891011121314[[#This Row],[Date]]="","",Tableau447891011121314[[#This Row],[Versement]]*Variables!$F$12)</f>
        <v/>
      </c>
      <c r="G244" s="34" t="str">
        <f>IF(Tableau447891011121314[[#This Row],[Date]]="","",(E244*(1+($C$242)/24)^V.Complémentaires!D244)-E244)</f>
        <v/>
      </c>
    </row>
    <row r="245" spans="2:7" ht="20.100000000000001" customHeight="1" x14ac:dyDescent="0.3">
      <c r="B245" s="15"/>
      <c r="C245" s="16" t="str">
        <f>IF(Tableau447891011121314[[#This Row],[Date]]="","",INT(DAYS360(DATE(YEAR(B245),1,1),B245,TRUE)/15)+1)</f>
        <v/>
      </c>
      <c r="D245" s="13" t="str">
        <f>IF(Tableau447891011121314[[#This Row],[Date]]="","",24-C245)</f>
        <v/>
      </c>
      <c r="E245" s="13"/>
      <c r="F245" s="34" t="str">
        <f>IF(Tableau447891011121314[[#This Row],[Date]]="","",Tableau447891011121314[[#This Row],[Versement]]*Variables!$F$12)</f>
        <v/>
      </c>
      <c r="G245" s="34" t="str">
        <f>IF(Tableau447891011121314[[#This Row],[Date]]="","",(E245*(1+($C$242)/24)^V.Complémentaires!D245)-E245)</f>
        <v/>
      </c>
    </row>
    <row r="246" spans="2:7" ht="20.100000000000001" customHeight="1" x14ac:dyDescent="0.3">
      <c r="B246" s="15"/>
      <c r="C246" s="16" t="str">
        <f>IF(Tableau447891011121314[[#This Row],[Date]]="","",INT(DAYS360(DATE(YEAR(B246),1,1),B246,TRUE)/15)+1)</f>
        <v/>
      </c>
      <c r="D246" s="13" t="str">
        <f>IF(Tableau447891011121314[[#This Row],[Date]]="","",24-C246)</f>
        <v/>
      </c>
      <c r="E246" s="13"/>
      <c r="F246" s="34" t="str">
        <f>IF(Tableau447891011121314[[#This Row],[Date]]="","",Tableau447891011121314[[#This Row],[Versement]]*Variables!$F$12)</f>
        <v/>
      </c>
      <c r="G246" s="34" t="str">
        <f>IF(Tableau447891011121314[[#This Row],[Date]]="","",(E246*(1+($C$242)/24)^V.Complémentaires!D246)-E246)</f>
        <v/>
      </c>
    </row>
    <row r="247" spans="2:7" ht="20.100000000000001" customHeight="1" x14ac:dyDescent="0.3">
      <c r="B247" s="13"/>
      <c r="C247" s="16" t="str">
        <f>IF(Tableau447891011121314[[#This Row],[Date]]="","",INT(DAYS360(DATE(YEAR(B247),1,1),B247,TRUE)/15)+1)</f>
        <v/>
      </c>
      <c r="D247" s="13" t="str">
        <f>IF(Tableau447891011121314[[#This Row],[Date]]="","",24-C247)</f>
        <v/>
      </c>
      <c r="E247" s="13"/>
      <c r="F247" s="34" t="str">
        <f>IF(Tableau447891011121314[[#This Row],[Date]]="","",Tableau447891011121314[[#This Row],[Versement]]*Variables!$F$12)</f>
        <v/>
      </c>
      <c r="G247" s="34" t="str">
        <f>IF(Tableau447891011121314[[#This Row],[Date]]="","",(E247*(1+($C$242)/24)^V.Complémentaires!D247)-E247)</f>
        <v/>
      </c>
    </row>
    <row r="248" spans="2:7" ht="20.100000000000001" customHeight="1" x14ac:dyDescent="0.3">
      <c r="B248" s="13"/>
      <c r="C248" s="16" t="str">
        <f>IF(Tableau447891011121314[[#This Row],[Date]]="","",INT(DAYS360(DATE(YEAR(B248),1,1),B248,TRUE)/15)+1)</f>
        <v/>
      </c>
      <c r="D248" s="13" t="str">
        <f>IF(Tableau447891011121314[[#This Row],[Date]]="","",24-C248)</f>
        <v/>
      </c>
      <c r="E248" s="13"/>
      <c r="F248" s="34" t="str">
        <f>IF(Tableau447891011121314[[#This Row],[Date]]="","",Tableau447891011121314[[#This Row],[Versement]]*Variables!$F$12)</f>
        <v/>
      </c>
      <c r="G248" s="34" t="str">
        <f>IF(Tableau447891011121314[[#This Row],[Date]]="","",(E248*(1+($C$242)/24)^V.Complémentaires!D248)-E248)</f>
        <v/>
      </c>
    </row>
    <row r="249" spans="2:7" ht="20.100000000000001" customHeight="1" x14ac:dyDescent="0.3">
      <c r="B249" s="13"/>
      <c r="C249" s="16" t="str">
        <f>IF(Tableau447891011121314[[#This Row],[Date]]="","",INT(DAYS360(DATE(YEAR(B249),1,1),B249,TRUE)/15)+1)</f>
        <v/>
      </c>
      <c r="D249" s="13" t="str">
        <f>IF(Tableau447891011121314[[#This Row],[Date]]="","",24-C249)</f>
        <v/>
      </c>
      <c r="E249" s="13"/>
      <c r="F249" s="34" t="str">
        <f>IF(Tableau447891011121314[[#This Row],[Date]]="","",Tableau447891011121314[[#This Row],[Versement]]*Variables!$F$12)</f>
        <v/>
      </c>
      <c r="G249" s="34" t="str">
        <f>IF(Tableau447891011121314[[#This Row],[Date]]="","",(E249*(1+($C$242)/24)^V.Complémentaires!D249)-E249)</f>
        <v/>
      </c>
    </row>
    <row r="250" spans="2:7" ht="20.100000000000001" customHeight="1" x14ac:dyDescent="0.3">
      <c r="B250" s="13"/>
      <c r="C250" s="16" t="str">
        <f>IF(Tableau447891011121314[[#This Row],[Date]]="","",INT(DAYS360(DATE(YEAR(B250),1,1),B250,TRUE)/15)+1)</f>
        <v/>
      </c>
      <c r="D250" s="13" t="str">
        <f>IF(Tableau447891011121314[[#This Row],[Date]]="","",24-C250)</f>
        <v/>
      </c>
      <c r="E250" s="13"/>
      <c r="F250" s="34" t="str">
        <f>IF(Tableau447891011121314[[#This Row],[Date]]="","",Tableau447891011121314[[#This Row],[Versement]]*Variables!$F$12)</f>
        <v/>
      </c>
      <c r="G250" s="34" t="str">
        <f>IF(Tableau447891011121314[[#This Row],[Date]]="","",(E250*(1+($C$242)/24)^V.Complémentaires!D250)-E250)</f>
        <v/>
      </c>
    </row>
    <row r="251" spans="2:7" ht="20.100000000000001" customHeight="1" x14ac:dyDescent="0.3">
      <c r="B251" s="13"/>
      <c r="C251" s="16" t="str">
        <f>IF(Tableau447891011121314[[#This Row],[Date]]="","",INT(DAYS360(DATE(YEAR(B251),1,1),B251,TRUE)/15)+1)</f>
        <v/>
      </c>
      <c r="D251" s="13" t="str">
        <f>IF(Tableau447891011121314[[#This Row],[Date]]="","",24-C251)</f>
        <v/>
      </c>
      <c r="E251" s="13"/>
      <c r="F251" s="34" t="str">
        <f>IF(Tableau447891011121314[[#This Row],[Date]]="","",Tableau447891011121314[[#This Row],[Versement]]*Variables!$F$12)</f>
        <v/>
      </c>
      <c r="G251" s="34" t="str">
        <f>IF(Tableau447891011121314[[#This Row],[Date]]="","",(E251*(1+($C$242)/24)^V.Complémentaires!D251)-E251)</f>
        <v/>
      </c>
    </row>
    <row r="252" spans="2:7" ht="20.100000000000001" customHeight="1" x14ac:dyDescent="0.3">
      <c r="B252" s="15"/>
      <c r="C252" s="16" t="str">
        <f>IF(Tableau447891011121314[[#This Row],[Date]]="","",INT(DAYS360(DATE(YEAR(B252),1,1),B252,TRUE)/15)+1)</f>
        <v/>
      </c>
      <c r="D252" s="13" t="str">
        <f>IF(Tableau447891011121314[[#This Row],[Date]]="","",24-C252)</f>
        <v/>
      </c>
      <c r="E252" s="13"/>
      <c r="F252" s="34" t="str">
        <f>IF(Tableau447891011121314[[#This Row],[Date]]="","",Tableau447891011121314[[#This Row],[Versement]]*Variables!$F$12)</f>
        <v/>
      </c>
      <c r="G252" s="34" t="str">
        <f>IF(Tableau447891011121314[[#This Row],[Date]]="","",(E252*(1+($C$242)/24)^V.Complémentaires!D252)-E252)</f>
        <v/>
      </c>
    </row>
    <row r="253" spans="2:7" ht="20.100000000000001" customHeight="1" x14ac:dyDescent="0.3">
      <c r="B253" s="13"/>
      <c r="C253" s="16" t="str">
        <f>IF(Tableau447891011121314[[#This Row],[Date]]="","",INT(DAYS360(DATE(YEAR(B253),1,1),B253,TRUE)/15)+1)</f>
        <v/>
      </c>
      <c r="D253" s="13" t="str">
        <f>IF(Tableau447891011121314[[#This Row],[Date]]="","",24-C253)</f>
        <v/>
      </c>
      <c r="E253" s="13"/>
      <c r="F253" s="34" t="str">
        <f>IF(Tableau447891011121314[[#This Row],[Date]]="","",Tableau447891011121314[[#This Row],[Versement]]*Variables!$F$12)</f>
        <v/>
      </c>
      <c r="G253" s="34" t="str">
        <f>IF(Tableau447891011121314[[#This Row],[Date]]="","",(E253*(1+($C$242)/24)^V.Complémentaires!D253)-E253)</f>
        <v/>
      </c>
    </row>
    <row r="254" spans="2:7" ht="20.100000000000001" customHeight="1" x14ac:dyDescent="0.3">
      <c r="B254" s="13"/>
      <c r="C254" s="16" t="str">
        <f>IF(Tableau447891011121314[[#This Row],[Date]]="","",INT(DAYS360(DATE(YEAR(B254),1,1),B254,TRUE)/15)+1)</f>
        <v/>
      </c>
      <c r="D254" s="13" t="str">
        <f>IF(Tableau447891011121314[[#This Row],[Date]]="","",24-C254)</f>
        <v/>
      </c>
      <c r="E254" s="13"/>
      <c r="F254" s="34" t="str">
        <f>IF(Tableau447891011121314[[#This Row],[Date]]="","",Tableau447891011121314[[#This Row],[Versement]]*Variables!$F$12)</f>
        <v/>
      </c>
      <c r="G254" s="34" t="str">
        <f>IF(Tableau447891011121314[[#This Row],[Date]]="","",(E254*(1+($C$242)/24)^V.Complémentaires!D254)-E254)</f>
        <v/>
      </c>
    </row>
    <row r="255" spans="2:7" ht="20.100000000000001" customHeight="1" x14ac:dyDescent="0.3">
      <c r="B255" s="13"/>
      <c r="C255" s="16" t="str">
        <f>IF(Tableau447891011121314[[#This Row],[Date]]="","",INT(DAYS360(DATE(YEAR(B255),1,1),B255,TRUE)/15)+1)</f>
        <v/>
      </c>
      <c r="D255" s="13" t="str">
        <f>IF(Tableau447891011121314[[#This Row],[Date]]="","",24-C255)</f>
        <v/>
      </c>
      <c r="E255" s="13"/>
      <c r="F255" s="34" t="str">
        <f>IF(Tableau447891011121314[[#This Row],[Date]]="","",Tableau447891011121314[[#This Row],[Versement]]*Variables!$F$12)</f>
        <v/>
      </c>
      <c r="G255" s="34" t="str">
        <f>IF(Tableau447891011121314[[#This Row],[Date]]="","",(E255*(1+($C$242)/24)^V.Complémentaires!D255)-E255)</f>
        <v/>
      </c>
    </row>
    <row r="256" spans="2:7" ht="20.100000000000001" customHeight="1" x14ac:dyDescent="0.3">
      <c r="B256" s="13"/>
      <c r="C256" s="16" t="str">
        <f>IF(Tableau447891011121314[[#This Row],[Date]]="","",INT(DAYS360(DATE(YEAR(B256),1,1),B256,TRUE)/15)+1)</f>
        <v/>
      </c>
      <c r="D256" s="13" t="str">
        <f>IF(Tableau447891011121314[[#This Row],[Date]]="","",24-C256)</f>
        <v/>
      </c>
      <c r="E256" s="13"/>
      <c r="F256" s="34" t="str">
        <f>IF(Tableau447891011121314[[#This Row],[Date]]="","",Tableau447891011121314[[#This Row],[Versement]]*Variables!$F$12)</f>
        <v/>
      </c>
      <c r="G256" s="34" t="str">
        <f>IF(Tableau447891011121314[[#This Row],[Date]]="","",(E256*(1+($C$242)/24)^V.Complémentaires!D256)-E256)</f>
        <v/>
      </c>
    </row>
    <row r="257" spans="2:7" ht="20.100000000000001" customHeight="1" x14ac:dyDescent="0.3">
      <c r="B257" s="13"/>
      <c r="C257" s="16" t="str">
        <f>IF(Tableau447891011121314[[#This Row],[Date]]="","",INT(DAYS360(DATE(YEAR(B257),1,1),B257,TRUE)/15)+1)</f>
        <v/>
      </c>
      <c r="D257" s="13" t="str">
        <f>IF(Tableau447891011121314[[#This Row],[Date]]="","",24-C257)</f>
        <v/>
      </c>
      <c r="E257" s="13"/>
      <c r="F257" s="34" t="str">
        <f>IF(Tableau447891011121314[[#This Row],[Date]]="","",Tableau447891011121314[[#This Row],[Versement]]*Variables!$F$12)</f>
        <v/>
      </c>
      <c r="G257" s="34" t="str">
        <f>IF(Tableau447891011121314[[#This Row],[Date]]="","",(E257*(1+($C$242)/24)^V.Complémentaires!D257)-E257)</f>
        <v/>
      </c>
    </row>
    <row r="258" spans="2:7" ht="20.100000000000001" customHeight="1" x14ac:dyDescent="0.3">
      <c r="B258" s="13"/>
      <c r="C258" s="16" t="str">
        <f>IF(Tableau447891011121314[[#This Row],[Date]]="","",INT(DAYS360(DATE(YEAR(B258),1,1),B258,TRUE)/15)+1)</f>
        <v/>
      </c>
      <c r="D258" s="13" t="str">
        <f>IF(Tableau447891011121314[[#This Row],[Date]]="","",24-C258)</f>
        <v/>
      </c>
      <c r="E258" s="13"/>
      <c r="F258" s="34" t="str">
        <f>IF(Tableau447891011121314[[#This Row],[Date]]="","",Tableau447891011121314[[#This Row],[Versement]]*Variables!$F$12)</f>
        <v/>
      </c>
      <c r="G258" s="34" t="str">
        <f>IF(Tableau447891011121314[[#This Row],[Date]]="","",(E258*(1+($C$242)/24)^V.Complémentaires!D258)-E258)</f>
        <v/>
      </c>
    </row>
    <row r="259" spans="2:7" ht="20.100000000000001" customHeight="1" x14ac:dyDescent="0.3">
      <c r="B259" s="13"/>
      <c r="C259" s="16" t="str">
        <f>IF(Tableau447891011121314[[#This Row],[Date]]="","",INT(DAYS360(DATE(YEAR(B259),1,1),B259,TRUE)/15)+1)</f>
        <v/>
      </c>
      <c r="D259" s="13" t="str">
        <f>IF(Tableau447891011121314[[#This Row],[Date]]="","",24-C259)</f>
        <v/>
      </c>
      <c r="E259" s="13"/>
      <c r="F259" s="34" t="str">
        <f>IF(Tableau447891011121314[[#This Row],[Date]]="","",Tableau447891011121314[[#This Row],[Versement]]*Variables!$F$12)</f>
        <v/>
      </c>
      <c r="G259" s="34" t="str">
        <f>IF(Tableau447891011121314[[#This Row],[Date]]="","",(E259*(1+($C$242)/24)^V.Complémentaires!D259)-E259)</f>
        <v/>
      </c>
    </row>
    <row r="260" spans="2:7" ht="20.100000000000001" customHeight="1" x14ac:dyDescent="0.3">
      <c r="B260" s="13"/>
      <c r="C260" s="16" t="str">
        <f>IF(Tableau447891011121314[[#This Row],[Date]]="","",INT(DAYS360(DATE(YEAR(B260),1,1),B260,TRUE)/15)+1)</f>
        <v/>
      </c>
      <c r="D260" s="13" t="str">
        <f>IF(Tableau447891011121314[[#This Row],[Date]]="","",24-C260)</f>
        <v/>
      </c>
      <c r="E260" s="13"/>
      <c r="F260" s="34" t="str">
        <f>IF(Tableau447891011121314[[#This Row],[Date]]="","",Tableau447891011121314[[#This Row],[Versement]]*Variables!$F$12)</f>
        <v/>
      </c>
      <c r="G260" s="34" t="str">
        <f>IF(Tableau447891011121314[[#This Row],[Date]]="","",(E260*(1+($C$242)/24)^V.Complémentaires!D260)-E260)</f>
        <v/>
      </c>
    </row>
    <row r="261" spans="2:7" ht="20.100000000000001" customHeight="1" x14ac:dyDescent="0.3">
      <c r="B261" s="13"/>
      <c r="C261" s="13"/>
      <c r="D261" s="13"/>
      <c r="E261" s="13">
        <f>SUM(Tableau447891011121314[Versement])</f>
        <v>0</v>
      </c>
      <c r="F261" s="34">
        <f>SUBTOTAL(109,Tableau447891011121314[Frais de versement])</f>
        <v>0</v>
      </c>
      <c r="G261" s="34">
        <f>SUM(Tableau447891011121314[Interet])</f>
        <v>0</v>
      </c>
    </row>
    <row r="266" spans="2:7" ht="20.100000000000001" customHeight="1" thickBot="1" x14ac:dyDescent="0.35"/>
    <row r="267" spans="2:7" ht="20.100000000000001" customHeight="1" thickBot="1" x14ac:dyDescent="0.35">
      <c r="B267" s="10" t="s">
        <v>7</v>
      </c>
      <c r="C267" s="19">
        <f ca="1">C241+1</f>
        <v>2024</v>
      </c>
      <c r="D267" s="13"/>
      <c r="E267" s="13"/>
      <c r="F267" s="34"/>
      <c r="G267" s="34"/>
    </row>
    <row r="268" spans="2:7" ht="20.100000000000001" customHeight="1" thickBot="1" x14ac:dyDescent="0.35">
      <c r="B268" s="14" t="s">
        <v>23</v>
      </c>
      <c r="C268" s="20">
        <f ca="1">IF('Tableau Projection'!I17="","",VLOOKUP(C267,'Tableau Projection'!$C$6:$L$28,7,FALSE))</f>
        <v>1.0500000000000001E-2</v>
      </c>
      <c r="D268" s="13"/>
      <c r="E268" s="13"/>
      <c r="F268" s="34"/>
      <c r="G268" s="34"/>
    </row>
    <row r="269" spans="2:7" ht="35.1" customHeight="1" x14ac:dyDescent="0.3">
      <c r="B269" s="13" t="s">
        <v>18</v>
      </c>
      <c r="C269" s="18" t="s">
        <v>22</v>
      </c>
      <c r="D269" s="13" t="s">
        <v>19</v>
      </c>
      <c r="E269" s="13" t="s">
        <v>20</v>
      </c>
      <c r="F269" s="57" t="s">
        <v>3</v>
      </c>
      <c r="G269" s="34" t="s">
        <v>21</v>
      </c>
    </row>
    <row r="270" spans="2:7" ht="20.100000000000001" customHeight="1" x14ac:dyDescent="0.3">
      <c r="B270" s="15"/>
      <c r="C270" s="16" t="str">
        <f>IF(Tableau44789101112131415[[#This Row],[Date]]="","",INT(DAYS360(DATE(YEAR(B270),1,1),B270,TRUE)/15)+1)</f>
        <v/>
      </c>
      <c r="D270" s="13" t="str">
        <f>IF(Tableau44789101112131415[[#This Row],[Date]]="","",24-C270)</f>
        <v/>
      </c>
      <c r="E270" s="17"/>
      <c r="F270" s="34" t="str">
        <f>IF(Tableau44789101112131415[[#This Row],[Date]]="","",Tableau44789101112131415[[#This Row],[Versement]]*Variables!$F$12)</f>
        <v/>
      </c>
      <c r="G270" s="34" t="str">
        <f>IF(Tableau44789101112131415[[#This Row],[Date]]="","",(E270*(1+($C$268)/24)^V.Complémentaires!D270)-E270)</f>
        <v/>
      </c>
    </row>
    <row r="271" spans="2:7" ht="20.100000000000001" customHeight="1" x14ac:dyDescent="0.3">
      <c r="B271" s="15"/>
      <c r="C271" s="16" t="str">
        <f>IF(Tableau44789101112131415[[#This Row],[Date]]="","",INT(DAYS360(DATE(YEAR(B271),1,1),B271,TRUE)/15)+1)</f>
        <v/>
      </c>
      <c r="D271" s="13" t="str">
        <f>IF(Tableau44789101112131415[[#This Row],[Date]]="","",24-C271)</f>
        <v/>
      </c>
      <c r="E271" s="13"/>
      <c r="F271" s="34" t="str">
        <f>IF(Tableau44789101112131415[[#This Row],[Date]]="","",Tableau44789101112131415[[#This Row],[Versement]]*Variables!$F$12)</f>
        <v/>
      </c>
      <c r="G271" s="34" t="str">
        <f>IF(Tableau44789101112131415[[#This Row],[Date]]="","",(E271*(1+($C$268)/24)^V.Complémentaires!D271)-E271)</f>
        <v/>
      </c>
    </row>
    <row r="272" spans="2:7" ht="20.100000000000001" customHeight="1" x14ac:dyDescent="0.3">
      <c r="B272" s="15"/>
      <c r="C272" s="16" t="str">
        <f>IF(Tableau44789101112131415[[#This Row],[Date]]="","",INT(DAYS360(DATE(YEAR(B272),1,1),B272,TRUE)/15)+1)</f>
        <v/>
      </c>
      <c r="D272" s="13" t="str">
        <f>IF(Tableau44789101112131415[[#This Row],[Date]]="","",24-C272)</f>
        <v/>
      </c>
      <c r="E272" s="13"/>
      <c r="F272" s="34" t="str">
        <f>IF(Tableau44789101112131415[[#This Row],[Date]]="","",Tableau44789101112131415[[#This Row],[Versement]]*Variables!$F$12)</f>
        <v/>
      </c>
      <c r="G272" s="34" t="str">
        <f>IF(Tableau44789101112131415[[#This Row],[Date]]="","",(E272*(1+($C$268)/24)^V.Complémentaires!D272)-E272)</f>
        <v/>
      </c>
    </row>
    <row r="273" spans="2:7" ht="20.100000000000001" customHeight="1" x14ac:dyDescent="0.3">
      <c r="B273" s="13"/>
      <c r="C273" s="16" t="str">
        <f>IF(Tableau44789101112131415[[#This Row],[Date]]="","",INT(DAYS360(DATE(YEAR(B273),1,1),B273,TRUE)/15)+1)</f>
        <v/>
      </c>
      <c r="D273" s="13" t="str">
        <f>IF(Tableau44789101112131415[[#This Row],[Date]]="","",24-C273)</f>
        <v/>
      </c>
      <c r="E273" s="13"/>
      <c r="F273" s="34" t="str">
        <f>IF(Tableau44789101112131415[[#This Row],[Date]]="","",Tableau44789101112131415[[#This Row],[Versement]]*Variables!$F$12)</f>
        <v/>
      </c>
      <c r="G273" s="34" t="str">
        <f>IF(Tableau44789101112131415[[#This Row],[Date]]="","",(E273*(1+($C$268)/24)^V.Complémentaires!D273)-E273)</f>
        <v/>
      </c>
    </row>
    <row r="274" spans="2:7" ht="20.100000000000001" customHeight="1" x14ac:dyDescent="0.3">
      <c r="B274" s="13"/>
      <c r="C274" s="16" t="str">
        <f>IF(Tableau44789101112131415[[#This Row],[Date]]="","",INT(DAYS360(DATE(YEAR(B274),1,1),B274,TRUE)/15)+1)</f>
        <v/>
      </c>
      <c r="D274" s="13" t="str">
        <f>IF(Tableau44789101112131415[[#This Row],[Date]]="","",24-C274)</f>
        <v/>
      </c>
      <c r="E274" s="13"/>
      <c r="F274" s="34" t="str">
        <f>IF(Tableau44789101112131415[[#This Row],[Date]]="","",Tableau44789101112131415[[#This Row],[Versement]]*Variables!$F$12)</f>
        <v/>
      </c>
      <c r="G274" s="34" t="str">
        <f>IF(Tableau44789101112131415[[#This Row],[Date]]="","",(E274*(1+($C$268)/24)^V.Complémentaires!D274)-E274)</f>
        <v/>
      </c>
    </row>
    <row r="275" spans="2:7" ht="20.100000000000001" customHeight="1" x14ac:dyDescent="0.3">
      <c r="B275" s="13"/>
      <c r="C275" s="16" t="str">
        <f>IF(Tableau44789101112131415[[#This Row],[Date]]="","",INT(DAYS360(DATE(YEAR(B275),1,1),B275,TRUE)/15)+1)</f>
        <v/>
      </c>
      <c r="D275" s="13" t="str">
        <f>IF(Tableau44789101112131415[[#This Row],[Date]]="","",24-C275)</f>
        <v/>
      </c>
      <c r="E275" s="13"/>
      <c r="F275" s="34" t="str">
        <f>IF(Tableau44789101112131415[[#This Row],[Date]]="","",Tableau44789101112131415[[#This Row],[Versement]]*Variables!$F$12)</f>
        <v/>
      </c>
      <c r="G275" s="34" t="str">
        <f>IF(Tableau44789101112131415[[#This Row],[Date]]="","",(E275*(1+($C$268)/24)^V.Complémentaires!D275)-E275)</f>
        <v/>
      </c>
    </row>
    <row r="276" spans="2:7" ht="20.100000000000001" customHeight="1" x14ac:dyDescent="0.3">
      <c r="B276" s="13"/>
      <c r="C276" s="16" t="str">
        <f>IF(Tableau44789101112131415[[#This Row],[Date]]="","",INT(DAYS360(DATE(YEAR(B276),1,1),B276,TRUE)/15)+1)</f>
        <v/>
      </c>
      <c r="D276" s="13" t="str">
        <f>IF(Tableau44789101112131415[[#This Row],[Date]]="","",24-C276)</f>
        <v/>
      </c>
      <c r="E276" s="13"/>
      <c r="F276" s="34" t="str">
        <f>IF(Tableau44789101112131415[[#This Row],[Date]]="","",Tableau44789101112131415[[#This Row],[Versement]]*Variables!$F$12)</f>
        <v/>
      </c>
      <c r="G276" s="34" t="str">
        <f>IF(Tableau44789101112131415[[#This Row],[Date]]="","",(E276*(1+($C$268)/24)^V.Complémentaires!D276)-E276)</f>
        <v/>
      </c>
    </row>
    <row r="277" spans="2:7" ht="20.100000000000001" customHeight="1" x14ac:dyDescent="0.3">
      <c r="B277" s="13"/>
      <c r="C277" s="16" t="str">
        <f>IF(Tableau44789101112131415[[#This Row],[Date]]="","",INT(DAYS360(DATE(YEAR(B277),1,1),B277,TRUE)/15)+1)</f>
        <v/>
      </c>
      <c r="D277" s="13" t="str">
        <f>IF(Tableau44789101112131415[[#This Row],[Date]]="","",24-C277)</f>
        <v/>
      </c>
      <c r="E277" s="13"/>
      <c r="F277" s="34" t="str">
        <f>IF(Tableau44789101112131415[[#This Row],[Date]]="","",Tableau44789101112131415[[#This Row],[Versement]]*Variables!$F$12)</f>
        <v/>
      </c>
      <c r="G277" s="34" t="str">
        <f>IF(Tableau44789101112131415[[#This Row],[Date]]="","",(E277*(1+($C$268)/24)^V.Complémentaires!D277)-E277)</f>
        <v/>
      </c>
    </row>
    <row r="278" spans="2:7" ht="20.100000000000001" customHeight="1" x14ac:dyDescent="0.3">
      <c r="B278" s="15"/>
      <c r="C278" s="16" t="str">
        <f>IF(Tableau44789101112131415[[#This Row],[Date]]="","",INT(DAYS360(DATE(YEAR(B278),1,1),B278,TRUE)/15)+1)</f>
        <v/>
      </c>
      <c r="D278" s="13" t="str">
        <f>IF(Tableau44789101112131415[[#This Row],[Date]]="","",24-C278)</f>
        <v/>
      </c>
      <c r="E278" s="13"/>
      <c r="F278" s="34" t="str">
        <f>IF(Tableau44789101112131415[[#This Row],[Date]]="","",Tableau44789101112131415[[#This Row],[Versement]]*Variables!$F$12)</f>
        <v/>
      </c>
      <c r="G278" s="34" t="str">
        <f>IF(Tableau44789101112131415[[#This Row],[Date]]="","",(E278*(1+($C$268)/24)^V.Complémentaires!D278)-E278)</f>
        <v/>
      </c>
    </row>
    <row r="279" spans="2:7" ht="20.100000000000001" customHeight="1" x14ac:dyDescent="0.3">
      <c r="B279" s="13"/>
      <c r="C279" s="16" t="str">
        <f>IF(Tableau44789101112131415[[#This Row],[Date]]="","",INT(DAYS360(DATE(YEAR(B279),1,1),B279,TRUE)/15)+1)</f>
        <v/>
      </c>
      <c r="D279" s="13" t="str">
        <f>IF(Tableau44789101112131415[[#This Row],[Date]]="","",24-C279)</f>
        <v/>
      </c>
      <c r="E279" s="13"/>
      <c r="F279" s="34" t="str">
        <f>IF(Tableau44789101112131415[[#This Row],[Date]]="","",Tableau44789101112131415[[#This Row],[Versement]]*Variables!$F$12)</f>
        <v/>
      </c>
      <c r="G279" s="34" t="str">
        <f>IF(Tableau44789101112131415[[#This Row],[Date]]="","",(E279*(1+($C$268)/24)^V.Complémentaires!D279)-E279)</f>
        <v/>
      </c>
    </row>
    <row r="280" spans="2:7" ht="20.100000000000001" customHeight="1" x14ac:dyDescent="0.3">
      <c r="B280" s="13"/>
      <c r="C280" s="16" t="str">
        <f>IF(Tableau44789101112131415[[#This Row],[Date]]="","",INT(DAYS360(DATE(YEAR(B280),1,1),B280,TRUE)/15)+1)</f>
        <v/>
      </c>
      <c r="D280" s="13" t="str">
        <f>IF(Tableau44789101112131415[[#This Row],[Date]]="","",24-C280)</f>
        <v/>
      </c>
      <c r="E280" s="13"/>
      <c r="F280" s="34" t="str">
        <f>IF(Tableau44789101112131415[[#This Row],[Date]]="","",Tableau44789101112131415[[#This Row],[Versement]]*Variables!$F$12)</f>
        <v/>
      </c>
      <c r="G280" s="34" t="str">
        <f>IF(Tableau44789101112131415[[#This Row],[Date]]="","",(E280*(1+($C$268)/24)^V.Complémentaires!D280)-E280)</f>
        <v/>
      </c>
    </row>
    <row r="281" spans="2:7" ht="20.100000000000001" customHeight="1" x14ac:dyDescent="0.3">
      <c r="B281" s="13"/>
      <c r="C281" s="16" t="str">
        <f>IF(Tableau44789101112131415[[#This Row],[Date]]="","",INT(DAYS360(DATE(YEAR(B281),1,1),B281,TRUE)/15)+1)</f>
        <v/>
      </c>
      <c r="D281" s="13" t="str">
        <f>IF(Tableau44789101112131415[[#This Row],[Date]]="","",24-C281)</f>
        <v/>
      </c>
      <c r="E281" s="13"/>
      <c r="F281" s="34" t="str">
        <f>IF(Tableau44789101112131415[[#This Row],[Date]]="","",Tableau44789101112131415[[#This Row],[Versement]]*Variables!$F$12)</f>
        <v/>
      </c>
      <c r="G281" s="34" t="str">
        <f>IF(Tableau44789101112131415[[#This Row],[Date]]="","",(E281*(1+($C$268)/24)^V.Complémentaires!D281)-E281)</f>
        <v/>
      </c>
    </row>
    <row r="282" spans="2:7" ht="20.100000000000001" customHeight="1" x14ac:dyDescent="0.3">
      <c r="B282" s="13"/>
      <c r="C282" s="16" t="str">
        <f>IF(Tableau44789101112131415[[#This Row],[Date]]="","",INT(DAYS360(DATE(YEAR(B282),1,1),B282,TRUE)/15)+1)</f>
        <v/>
      </c>
      <c r="D282" s="13" t="str">
        <f>IF(Tableau44789101112131415[[#This Row],[Date]]="","",24-C282)</f>
        <v/>
      </c>
      <c r="E282" s="13"/>
      <c r="F282" s="34" t="str">
        <f>IF(Tableau44789101112131415[[#This Row],[Date]]="","",Tableau44789101112131415[[#This Row],[Versement]]*Variables!$F$12)</f>
        <v/>
      </c>
      <c r="G282" s="34" t="str">
        <f>IF(Tableau44789101112131415[[#This Row],[Date]]="","",(E282*(1+($C$268)/24)^V.Complémentaires!D282)-E282)</f>
        <v/>
      </c>
    </row>
    <row r="283" spans="2:7" ht="20.100000000000001" customHeight="1" x14ac:dyDescent="0.3">
      <c r="B283" s="13"/>
      <c r="C283" s="16" t="str">
        <f>IF(Tableau44789101112131415[[#This Row],[Date]]="","",INT(DAYS360(DATE(YEAR(B283),1,1),B283,TRUE)/15)+1)</f>
        <v/>
      </c>
      <c r="D283" s="13" t="str">
        <f>IF(Tableau44789101112131415[[#This Row],[Date]]="","",24-C283)</f>
        <v/>
      </c>
      <c r="E283" s="13"/>
      <c r="F283" s="34" t="str">
        <f>IF(Tableau44789101112131415[[#This Row],[Date]]="","",Tableau44789101112131415[[#This Row],[Versement]]*Variables!$F$12)</f>
        <v/>
      </c>
      <c r="G283" s="34" t="str">
        <f>IF(Tableau44789101112131415[[#This Row],[Date]]="","",(E283*(1+($C$268)/24)^V.Complémentaires!D283)-E283)</f>
        <v/>
      </c>
    </row>
    <row r="284" spans="2:7" ht="20.100000000000001" customHeight="1" x14ac:dyDescent="0.3">
      <c r="B284" s="13"/>
      <c r="C284" s="16" t="str">
        <f>IF(Tableau44789101112131415[[#This Row],[Date]]="","",INT(DAYS360(DATE(YEAR(B284),1,1),B284,TRUE)/15)+1)</f>
        <v/>
      </c>
      <c r="D284" s="13" t="str">
        <f>IF(Tableau44789101112131415[[#This Row],[Date]]="","",24-C284)</f>
        <v/>
      </c>
      <c r="E284" s="13"/>
      <c r="F284" s="34" t="str">
        <f>IF(Tableau44789101112131415[[#This Row],[Date]]="","",Tableau44789101112131415[[#This Row],[Versement]]*Variables!$F$12)</f>
        <v/>
      </c>
      <c r="G284" s="34" t="str">
        <f>IF(Tableau44789101112131415[[#This Row],[Date]]="","",(E284*(1+($C$268)/24)^V.Complémentaires!D284)-E284)</f>
        <v/>
      </c>
    </row>
    <row r="285" spans="2:7" ht="20.100000000000001" customHeight="1" x14ac:dyDescent="0.3">
      <c r="B285" s="13"/>
      <c r="C285" s="16" t="str">
        <f>IF(Tableau44789101112131415[[#This Row],[Date]]="","",INT(DAYS360(DATE(YEAR(B285),1,1),B285,TRUE)/15)+1)</f>
        <v/>
      </c>
      <c r="D285" s="13" t="str">
        <f>IF(Tableau44789101112131415[[#This Row],[Date]]="","",24-C285)</f>
        <v/>
      </c>
      <c r="E285" s="13"/>
      <c r="F285" s="34" t="str">
        <f>IF(Tableau44789101112131415[[#This Row],[Date]]="","",Tableau44789101112131415[[#This Row],[Versement]]*Variables!$F$12)</f>
        <v/>
      </c>
      <c r="G285" s="34" t="str">
        <f>IF(Tableau44789101112131415[[#This Row],[Date]]="","",(E285*(1+($C$268)/24)^V.Complémentaires!D285)-E285)</f>
        <v/>
      </c>
    </row>
    <row r="286" spans="2:7" ht="20.100000000000001" customHeight="1" x14ac:dyDescent="0.3">
      <c r="B286" s="13"/>
      <c r="C286" s="16" t="str">
        <f>IF(Tableau44789101112131415[[#This Row],[Date]]="","",INT(DAYS360(DATE(YEAR(B286),1,1),B286,TRUE)/15)+1)</f>
        <v/>
      </c>
      <c r="D286" s="13" t="str">
        <f>IF(Tableau44789101112131415[[#This Row],[Date]]="","",24-C286)</f>
        <v/>
      </c>
      <c r="E286" s="13"/>
      <c r="F286" s="34" t="str">
        <f>IF(Tableau44789101112131415[[#This Row],[Date]]="","",Tableau44789101112131415[[#This Row],[Versement]]*Variables!$F$12)</f>
        <v/>
      </c>
      <c r="G286" s="34" t="str">
        <f>IF(Tableau44789101112131415[[#This Row],[Date]]="","",(E286*(1+($C$268)/24)^V.Complémentaires!D286)-E286)</f>
        <v/>
      </c>
    </row>
    <row r="287" spans="2:7" ht="20.100000000000001" customHeight="1" x14ac:dyDescent="0.3">
      <c r="B287" s="13"/>
      <c r="C287" s="13"/>
      <c r="D287" s="13"/>
      <c r="E287" s="13">
        <f>SUM(Tableau44789101112131415[Versement])</f>
        <v>0</v>
      </c>
      <c r="F287" s="34">
        <f>SUBTOTAL(109,Tableau44789101112131415[Frais de versement])</f>
        <v>0</v>
      </c>
      <c r="G287" s="34">
        <f>SUM(Tableau44789101112131415[Interet])</f>
        <v>0</v>
      </c>
    </row>
    <row r="292" spans="2:7" ht="20.100000000000001" customHeight="1" thickBot="1" x14ac:dyDescent="0.35"/>
    <row r="293" spans="2:7" ht="20.100000000000001" customHeight="1" thickBot="1" x14ac:dyDescent="0.35">
      <c r="B293" s="10" t="s">
        <v>7</v>
      </c>
      <c r="C293" s="19">
        <f ca="1">C267+1</f>
        <v>2025</v>
      </c>
      <c r="D293" s="13"/>
      <c r="E293" s="13"/>
      <c r="F293" s="34"/>
      <c r="G293" s="34"/>
    </row>
    <row r="294" spans="2:7" ht="20.100000000000001" customHeight="1" thickBot="1" x14ac:dyDescent="0.35">
      <c r="B294" s="14" t="s">
        <v>23</v>
      </c>
      <c r="C294" s="20">
        <f ca="1">IF('Tableau Projection'!I18="","",VLOOKUP(C293,'Tableau Projection'!$C$6:$L$28,7,FALSE))</f>
        <v>1.0500000000000001E-2</v>
      </c>
      <c r="D294" s="13"/>
      <c r="E294" s="13"/>
      <c r="F294" s="34"/>
      <c r="G294" s="34"/>
    </row>
    <row r="295" spans="2:7" ht="35.1" customHeight="1" x14ac:dyDescent="0.3">
      <c r="B295" s="13" t="s">
        <v>18</v>
      </c>
      <c r="C295" s="18" t="s">
        <v>22</v>
      </c>
      <c r="D295" s="13" t="s">
        <v>19</v>
      </c>
      <c r="E295" s="13" t="s">
        <v>20</v>
      </c>
      <c r="F295" s="57" t="s">
        <v>3</v>
      </c>
      <c r="G295" s="34" t="s">
        <v>21</v>
      </c>
    </row>
    <row r="296" spans="2:7" ht="20.100000000000001" customHeight="1" x14ac:dyDescent="0.3">
      <c r="B296" s="15"/>
      <c r="C296" s="16" t="str">
        <f>IF(Tableau4478910111213141516[[#This Row],[Date]]="","",INT(DAYS360(DATE(YEAR(B296),1,1),B296,TRUE)/15)+1)</f>
        <v/>
      </c>
      <c r="D296" s="13" t="str">
        <f>IF(Tableau4478910111213141516[[#This Row],[Date]]="","",24-C296)</f>
        <v/>
      </c>
      <c r="E296" s="17"/>
      <c r="F296" s="34" t="str">
        <f>IF(Tableau4478910111213141516[[#This Row],[Date]]="","",Tableau4478910111213141516[[#This Row],[Versement]]*Variables!$F$12)</f>
        <v/>
      </c>
      <c r="G296" s="34" t="str">
        <f>IF(Tableau4478910111213141516[[#This Row],[Date]]="","",(E296*(1+($C$294)/24)^V.Complémentaires!D296)-E296)</f>
        <v/>
      </c>
    </row>
    <row r="297" spans="2:7" ht="20.100000000000001" customHeight="1" x14ac:dyDescent="0.3">
      <c r="B297" s="15"/>
      <c r="C297" s="16" t="str">
        <f>IF(Tableau4478910111213141516[[#This Row],[Date]]="","",INT(DAYS360(DATE(YEAR(B297),1,1),B297,TRUE)/15)+1)</f>
        <v/>
      </c>
      <c r="D297" s="13" t="str">
        <f>IF(Tableau4478910111213141516[[#This Row],[Date]]="","",24-C297)</f>
        <v/>
      </c>
      <c r="E297" s="13"/>
      <c r="F297" s="34" t="str">
        <f>IF(Tableau4478910111213141516[[#This Row],[Date]]="","",Tableau4478910111213141516[[#This Row],[Versement]]*Variables!$F$12)</f>
        <v/>
      </c>
      <c r="G297" s="34" t="str">
        <f>IF(Tableau4478910111213141516[[#This Row],[Date]]="","",(E297*(1+($C$294)/24)^V.Complémentaires!D297)-E297)</f>
        <v/>
      </c>
    </row>
    <row r="298" spans="2:7" ht="20.100000000000001" customHeight="1" x14ac:dyDescent="0.3">
      <c r="B298" s="15"/>
      <c r="C298" s="16" t="str">
        <f>IF(Tableau4478910111213141516[[#This Row],[Date]]="","",INT(DAYS360(DATE(YEAR(B298),1,1),B298,TRUE)/15)+1)</f>
        <v/>
      </c>
      <c r="D298" s="13" t="str">
        <f>IF(Tableau4478910111213141516[[#This Row],[Date]]="","",24-C298)</f>
        <v/>
      </c>
      <c r="E298" s="13"/>
      <c r="F298" s="34" t="str">
        <f>IF(Tableau4478910111213141516[[#This Row],[Date]]="","",Tableau4478910111213141516[[#This Row],[Versement]]*Variables!$F$12)</f>
        <v/>
      </c>
      <c r="G298" s="34" t="str">
        <f>IF(Tableau4478910111213141516[[#This Row],[Date]]="","",(E298*(1+($C$294)/24)^V.Complémentaires!D298)-E298)</f>
        <v/>
      </c>
    </row>
    <row r="299" spans="2:7" ht="20.100000000000001" customHeight="1" x14ac:dyDescent="0.3">
      <c r="B299" s="13"/>
      <c r="C299" s="16" t="str">
        <f>IF(Tableau4478910111213141516[[#This Row],[Date]]="","",INT(DAYS360(DATE(YEAR(B299),1,1),B299,TRUE)/15)+1)</f>
        <v/>
      </c>
      <c r="D299" s="13" t="str">
        <f>IF(Tableau4478910111213141516[[#This Row],[Date]]="","",24-C299)</f>
        <v/>
      </c>
      <c r="E299" s="13"/>
      <c r="F299" s="34" t="str">
        <f>IF(Tableau4478910111213141516[[#This Row],[Date]]="","",Tableau4478910111213141516[[#This Row],[Versement]]*Variables!$F$12)</f>
        <v/>
      </c>
      <c r="G299" s="34" t="str">
        <f>IF(Tableau4478910111213141516[[#This Row],[Date]]="","",(E299*(1+($C$294)/24)^V.Complémentaires!D299)-E299)</f>
        <v/>
      </c>
    </row>
    <row r="300" spans="2:7" ht="20.100000000000001" customHeight="1" x14ac:dyDescent="0.3">
      <c r="B300" s="13"/>
      <c r="C300" s="16" t="str">
        <f>IF(Tableau4478910111213141516[[#This Row],[Date]]="","",INT(DAYS360(DATE(YEAR(B300),1,1),B300,TRUE)/15)+1)</f>
        <v/>
      </c>
      <c r="D300" s="13" t="str">
        <f>IF(Tableau4478910111213141516[[#This Row],[Date]]="","",24-C300)</f>
        <v/>
      </c>
      <c r="E300" s="13"/>
      <c r="F300" s="34" t="str">
        <f>IF(Tableau4478910111213141516[[#This Row],[Date]]="","",Tableau4478910111213141516[[#This Row],[Versement]]*Variables!$F$12)</f>
        <v/>
      </c>
      <c r="G300" s="34" t="str">
        <f>IF(Tableau4478910111213141516[[#This Row],[Date]]="","",(E300*(1+($C$294)/24)^V.Complémentaires!D300)-E300)</f>
        <v/>
      </c>
    </row>
    <row r="301" spans="2:7" ht="20.100000000000001" customHeight="1" x14ac:dyDescent="0.3">
      <c r="B301" s="13"/>
      <c r="C301" s="16" t="str">
        <f>IF(Tableau4478910111213141516[[#This Row],[Date]]="","",INT(DAYS360(DATE(YEAR(B301),1,1),B301,TRUE)/15)+1)</f>
        <v/>
      </c>
      <c r="D301" s="13" t="str">
        <f>IF(Tableau4478910111213141516[[#This Row],[Date]]="","",24-C301)</f>
        <v/>
      </c>
      <c r="E301" s="13"/>
      <c r="F301" s="34" t="str">
        <f>IF(Tableau4478910111213141516[[#This Row],[Date]]="","",Tableau4478910111213141516[[#This Row],[Versement]]*Variables!$F$12)</f>
        <v/>
      </c>
      <c r="G301" s="34" t="str">
        <f>IF(Tableau4478910111213141516[[#This Row],[Date]]="","",(E301*(1+($C$294)/24)^V.Complémentaires!D301)-E301)</f>
        <v/>
      </c>
    </row>
    <row r="302" spans="2:7" ht="20.100000000000001" customHeight="1" x14ac:dyDescent="0.3">
      <c r="B302" s="13"/>
      <c r="C302" s="16" t="str">
        <f>IF(Tableau4478910111213141516[[#This Row],[Date]]="","",INT(DAYS360(DATE(YEAR(B302),1,1),B302,TRUE)/15)+1)</f>
        <v/>
      </c>
      <c r="D302" s="13" t="str">
        <f>IF(Tableau4478910111213141516[[#This Row],[Date]]="","",24-C302)</f>
        <v/>
      </c>
      <c r="E302" s="13"/>
      <c r="F302" s="34" t="str">
        <f>IF(Tableau4478910111213141516[[#This Row],[Date]]="","",Tableau4478910111213141516[[#This Row],[Versement]]*Variables!$F$12)</f>
        <v/>
      </c>
      <c r="G302" s="34" t="str">
        <f>IF(Tableau4478910111213141516[[#This Row],[Date]]="","",(E302*(1+($C$294)/24)^V.Complémentaires!D302)-E302)</f>
        <v/>
      </c>
    </row>
    <row r="303" spans="2:7" ht="20.100000000000001" customHeight="1" x14ac:dyDescent="0.3">
      <c r="B303" s="13"/>
      <c r="C303" s="16" t="str">
        <f>IF(Tableau4478910111213141516[[#This Row],[Date]]="","",INT(DAYS360(DATE(YEAR(B303),1,1),B303,TRUE)/15)+1)</f>
        <v/>
      </c>
      <c r="D303" s="13" t="str">
        <f>IF(Tableau4478910111213141516[[#This Row],[Date]]="","",24-C303)</f>
        <v/>
      </c>
      <c r="E303" s="13"/>
      <c r="F303" s="34" t="str">
        <f>IF(Tableau4478910111213141516[[#This Row],[Date]]="","",Tableau4478910111213141516[[#This Row],[Versement]]*Variables!$F$12)</f>
        <v/>
      </c>
      <c r="G303" s="34" t="str">
        <f>IF(Tableau4478910111213141516[[#This Row],[Date]]="","",(E303*(1+($C$294)/24)^V.Complémentaires!D303)-E303)</f>
        <v/>
      </c>
    </row>
    <row r="304" spans="2:7" ht="20.100000000000001" customHeight="1" x14ac:dyDescent="0.3">
      <c r="B304" s="15"/>
      <c r="C304" s="16" t="str">
        <f>IF(Tableau4478910111213141516[[#This Row],[Date]]="","",INT(DAYS360(DATE(YEAR(B304),1,1),B304,TRUE)/15)+1)</f>
        <v/>
      </c>
      <c r="D304" s="13" t="str">
        <f>IF(Tableau4478910111213141516[[#This Row],[Date]]="","",24-C304)</f>
        <v/>
      </c>
      <c r="E304" s="13"/>
      <c r="F304" s="34" t="str">
        <f>IF(Tableau4478910111213141516[[#This Row],[Date]]="","",Tableau4478910111213141516[[#This Row],[Versement]]*Variables!$F$12)</f>
        <v/>
      </c>
      <c r="G304" s="34" t="str">
        <f>IF(Tableau4478910111213141516[[#This Row],[Date]]="","",(E304*(1+($C$294)/24)^V.Complémentaires!D304)-E304)</f>
        <v/>
      </c>
    </row>
    <row r="305" spans="2:7" ht="20.100000000000001" customHeight="1" x14ac:dyDescent="0.3">
      <c r="B305" s="13"/>
      <c r="C305" s="16" t="str">
        <f>IF(Tableau4478910111213141516[[#This Row],[Date]]="","",INT(DAYS360(DATE(YEAR(B305),1,1),B305,TRUE)/15)+1)</f>
        <v/>
      </c>
      <c r="D305" s="13" t="str">
        <f>IF(Tableau4478910111213141516[[#This Row],[Date]]="","",24-C305)</f>
        <v/>
      </c>
      <c r="E305" s="13"/>
      <c r="F305" s="34" t="str">
        <f>IF(Tableau4478910111213141516[[#This Row],[Date]]="","",Tableau4478910111213141516[[#This Row],[Versement]]*Variables!$F$12)</f>
        <v/>
      </c>
      <c r="G305" s="34" t="str">
        <f>IF(Tableau4478910111213141516[[#This Row],[Date]]="","",(E305*(1+($C$294)/24)^V.Complémentaires!D305)-E305)</f>
        <v/>
      </c>
    </row>
    <row r="306" spans="2:7" ht="20.100000000000001" customHeight="1" x14ac:dyDescent="0.3">
      <c r="B306" s="13"/>
      <c r="C306" s="16" t="str">
        <f>IF(Tableau4478910111213141516[[#This Row],[Date]]="","",INT(DAYS360(DATE(YEAR(B306),1,1),B306,TRUE)/15)+1)</f>
        <v/>
      </c>
      <c r="D306" s="13" t="str">
        <f>IF(Tableau4478910111213141516[[#This Row],[Date]]="","",24-C306)</f>
        <v/>
      </c>
      <c r="E306" s="13"/>
      <c r="F306" s="34" t="str">
        <f>IF(Tableau4478910111213141516[[#This Row],[Date]]="","",Tableau4478910111213141516[[#This Row],[Versement]]*Variables!$F$12)</f>
        <v/>
      </c>
      <c r="G306" s="34" t="str">
        <f>IF(Tableau4478910111213141516[[#This Row],[Date]]="","",(E306*(1+($C$294)/24)^V.Complémentaires!D306)-E306)</f>
        <v/>
      </c>
    </row>
    <row r="307" spans="2:7" ht="20.100000000000001" customHeight="1" x14ac:dyDescent="0.3">
      <c r="B307" s="13"/>
      <c r="C307" s="16" t="str">
        <f>IF(Tableau4478910111213141516[[#This Row],[Date]]="","",INT(DAYS360(DATE(YEAR(B307),1,1),B307,TRUE)/15)+1)</f>
        <v/>
      </c>
      <c r="D307" s="13" t="str">
        <f>IF(Tableau4478910111213141516[[#This Row],[Date]]="","",24-C307)</f>
        <v/>
      </c>
      <c r="E307" s="13"/>
      <c r="F307" s="34" t="str">
        <f>IF(Tableau4478910111213141516[[#This Row],[Date]]="","",Tableau4478910111213141516[[#This Row],[Versement]]*Variables!$F$12)</f>
        <v/>
      </c>
      <c r="G307" s="34" t="str">
        <f>IF(Tableau4478910111213141516[[#This Row],[Date]]="","",(E307*(1+($C$294)/24)^V.Complémentaires!D307)-E307)</f>
        <v/>
      </c>
    </row>
    <row r="308" spans="2:7" ht="20.100000000000001" customHeight="1" x14ac:dyDescent="0.3">
      <c r="B308" s="13"/>
      <c r="C308" s="16" t="str">
        <f>IF(Tableau4478910111213141516[[#This Row],[Date]]="","",INT(DAYS360(DATE(YEAR(B308),1,1),B308,TRUE)/15)+1)</f>
        <v/>
      </c>
      <c r="D308" s="13" t="str">
        <f>IF(Tableau4478910111213141516[[#This Row],[Date]]="","",24-C308)</f>
        <v/>
      </c>
      <c r="E308" s="13"/>
      <c r="F308" s="34" t="str">
        <f>IF(Tableau4478910111213141516[[#This Row],[Date]]="","",Tableau4478910111213141516[[#This Row],[Versement]]*Variables!$F$12)</f>
        <v/>
      </c>
      <c r="G308" s="34" t="str">
        <f>IF(Tableau4478910111213141516[[#This Row],[Date]]="","",(E308*(1+($C$294)/24)^V.Complémentaires!D308)-E308)</f>
        <v/>
      </c>
    </row>
    <row r="309" spans="2:7" ht="20.100000000000001" customHeight="1" x14ac:dyDescent="0.3">
      <c r="B309" s="13"/>
      <c r="C309" s="16" t="str">
        <f>IF(Tableau4478910111213141516[[#This Row],[Date]]="","",INT(DAYS360(DATE(YEAR(B309),1,1),B309,TRUE)/15)+1)</f>
        <v/>
      </c>
      <c r="D309" s="13" t="str">
        <f>IF(Tableau4478910111213141516[[#This Row],[Date]]="","",24-C309)</f>
        <v/>
      </c>
      <c r="E309" s="13"/>
      <c r="F309" s="34" t="str">
        <f>IF(Tableau4478910111213141516[[#This Row],[Date]]="","",Tableau4478910111213141516[[#This Row],[Versement]]*Variables!$F$12)</f>
        <v/>
      </c>
      <c r="G309" s="34" t="str">
        <f>IF(Tableau4478910111213141516[[#This Row],[Date]]="","",(E309*(1+($C$294)/24)^V.Complémentaires!D309)-E309)</f>
        <v/>
      </c>
    </row>
    <row r="310" spans="2:7" ht="20.100000000000001" customHeight="1" x14ac:dyDescent="0.3">
      <c r="B310" s="13"/>
      <c r="C310" s="16" t="str">
        <f>IF(Tableau4478910111213141516[[#This Row],[Date]]="","",INT(DAYS360(DATE(YEAR(B310),1,1),B310,TRUE)/15)+1)</f>
        <v/>
      </c>
      <c r="D310" s="13" t="str">
        <f>IF(Tableau4478910111213141516[[#This Row],[Date]]="","",24-C310)</f>
        <v/>
      </c>
      <c r="E310" s="13"/>
      <c r="F310" s="34" t="str">
        <f>IF(Tableau4478910111213141516[[#This Row],[Date]]="","",Tableau4478910111213141516[[#This Row],[Versement]]*Variables!$F$12)</f>
        <v/>
      </c>
      <c r="G310" s="34" t="str">
        <f>IF(Tableau4478910111213141516[[#This Row],[Date]]="","",(E310*(1+($C$294)/24)^V.Complémentaires!D310)-E310)</f>
        <v/>
      </c>
    </row>
    <row r="311" spans="2:7" ht="20.100000000000001" customHeight="1" x14ac:dyDescent="0.3">
      <c r="B311" s="13"/>
      <c r="C311" s="16" t="str">
        <f>IF(Tableau4478910111213141516[[#This Row],[Date]]="","",INT(DAYS360(DATE(YEAR(B311),1,1),B311,TRUE)/15)+1)</f>
        <v/>
      </c>
      <c r="D311" s="13" t="str">
        <f>IF(Tableau4478910111213141516[[#This Row],[Date]]="","",24-C311)</f>
        <v/>
      </c>
      <c r="E311" s="13"/>
      <c r="F311" s="34" t="str">
        <f>IF(Tableau4478910111213141516[[#This Row],[Date]]="","",Tableau4478910111213141516[[#This Row],[Versement]]*Variables!$F$12)</f>
        <v/>
      </c>
      <c r="G311" s="34" t="str">
        <f>IF(Tableau4478910111213141516[[#This Row],[Date]]="","",(E311*(1+($C$294)/24)^V.Complémentaires!D311)-E311)</f>
        <v/>
      </c>
    </row>
    <row r="312" spans="2:7" ht="20.100000000000001" customHeight="1" x14ac:dyDescent="0.3">
      <c r="B312" s="13"/>
      <c r="C312" s="16" t="str">
        <f>IF(Tableau4478910111213141516[[#This Row],[Date]]="","",INT(DAYS360(DATE(YEAR(B312),1,1),B312,TRUE)/15)+1)</f>
        <v/>
      </c>
      <c r="D312" s="13" t="str">
        <f>IF(Tableau4478910111213141516[[#This Row],[Date]]="","",24-C312)</f>
        <v/>
      </c>
      <c r="E312" s="13"/>
      <c r="F312" s="34" t="str">
        <f>IF(Tableau4478910111213141516[[#This Row],[Date]]="","",Tableau4478910111213141516[[#This Row],[Versement]]*Variables!$F$12)</f>
        <v/>
      </c>
      <c r="G312" s="34" t="str">
        <f>IF(Tableau4478910111213141516[[#This Row],[Date]]="","",(E312*(1+($C$294)/24)^V.Complémentaires!D312)-E312)</f>
        <v/>
      </c>
    </row>
    <row r="313" spans="2:7" ht="20.100000000000001" customHeight="1" x14ac:dyDescent="0.3">
      <c r="B313" s="13"/>
      <c r="C313" s="13"/>
      <c r="D313" s="13"/>
      <c r="E313" s="13">
        <f>SUM(Tableau4478910111213141516[Versement])</f>
        <v>0</v>
      </c>
      <c r="F313" s="34">
        <f>SUBTOTAL(109,Tableau4478910111213141516[Frais de versement])</f>
        <v>0</v>
      </c>
      <c r="G313" s="34">
        <f>SUM(Tableau4478910111213141516[Interet])</f>
        <v>0</v>
      </c>
    </row>
    <row r="318" spans="2:7" ht="20.100000000000001" customHeight="1" thickBot="1" x14ac:dyDescent="0.35"/>
    <row r="319" spans="2:7" ht="20.100000000000001" customHeight="1" thickBot="1" x14ac:dyDescent="0.35">
      <c r="B319" s="10" t="s">
        <v>7</v>
      </c>
      <c r="C319" s="19">
        <f ca="1">C293+1</f>
        <v>2026</v>
      </c>
      <c r="D319" s="13"/>
      <c r="E319" s="13"/>
      <c r="F319" s="34"/>
      <c r="G319" s="34"/>
    </row>
    <row r="320" spans="2:7" ht="20.100000000000001" customHeight="1" thickBot="1" x14ac:dyDescent="0.35">
      <c r="B320" s="14" t="s">
        <v>23</v>
      </c>
      <c r="C320" s="20">
        <f ca="1">IF('Tableau Projection'!I19="","",VLOOKUP(C319,'Tableau Projection'!$C$6:$L$28,7,FALSE))</f>
        <v>1.0500000000000001E-2</v>
      </c>
      <c r="D320" s="13"/>
      <c r="E320" s="13"/>
      <c r="F320" s="34"/>
      <c r="G320" s="34"/>
    </row>
    <row r="321" spans="2:7" ht="35.1" customHeight="1" x14ac:dyDescent="0.3">
      <c r="B321" s="13" t="s">
        <v>18</v>
      </c>
      <c r="C321" s="18" t="s">
        <v>22</v>
      </c>
      <c r="D321" s="13" t="s">
        <v>19</v>
      </c>
      <c r="E321" s="13" t="s">
        <v>20</v>
      </c>
      <c r="F321" s="57" t="s">
        <v>3</v>
      </c>
      <c r="G321" s="34" t="s">
        <v>21</v>
      </c>
    </row>
    <row r="322" spans="2:7" ht="20.100000000000001" customHeight="1" x14ac:dyDescent="0.3">
      <c r="B322" s="15"/>
      <c r="C322" s="16" t="str">
        <f>IF(Tableau447891011121314151617[[#This Row],[Date]]="","",INT(DAYS360(DATE(YEAR(B322),1,1),B322,TRUE)/15)+1)</f>
        <v/>
      </c>
      <c r="D322" s="13" t="str">
        <f>IF(Tableau447891011121314151617[[#This Row],[Date]]="","",24-C322)</f>
        <v/>
      </c>
      <c r="E322" s="17"/>
      <c r="F322" s="34" t="str">
        <f>IF(Tableau447891011121314151617[[#This Row],[Date]]="","",Tableau447891011121314151617[[#This Row],[Versement]]*Variables!$F$12)</f>
        <v/>
      </c>
      <c r="G322" s="34" t="str">
        <f>IF(Tableau447891011121314151617[[#This Row],[Date]]="","",(E322*(1+($C$320)/24)^V.Complémentaires!D322)-E322)</f>
        <v/>
      </c>
    </row>
    <row r="323" spans="2:7" ht="20.100000000000001" customHeight="1" x14ac:dyDescent="0.3">
      <c r="B323" s="15"/>
      <c r="C323" s="16" t="str">
        <f>IF(Tableau447891011121314151617[[#This Row],[Date]]="","",INT(DAYS360(DATE(YEAR(B323),1,1),B323,TRUE)/15)+1)</f>
        <v/>
      </c>
      <c r="D323" s="13" t="str">
        <f>IF(Tableau447891011121314151617[[#This Row],[Date]]="","",24-C323)</f>
        <v/>
      </c>
      <c r="E323" s="13"/>
      <c r="F323" s="34" t="str">
        <f>IF(Tableau447891011121314151617[[#This Row],[Date]]="","",Tableau447891011121314151617[[#This Row],[Versement]]*Variables!$F$12)</f>
        <v/>
      </c>
      <c r="G323" s="34" t="str">
        <f>IF(Tableau447891011121314151617[[#This Row],[Date]]="","",(E323*(1+($C$320)/24)^V.Complémentaires!D323)-E323)</f>
        <v/>
      </c>
    </row>
    <row r="324" spans="2:7" ht="20.100000000000001" customHeight="1" x14ac:dyDescent="0.3">
      <c r="B324" s="15"/>
      <c r="C324" s="16" t="str">
        <f>IF(Tableau447891011121314151617[[#This Row],[Date]]="","",INT(DAYS360(DATE(YEAR(B324),1,1),B324,TRUE)/15)+1)</f>
        <v/>
      </c>
      <c r="D324" s="13" t="str">
        <f>IF(Tableau447891011121314151617[[#This Row],[Date]]="","",24-C324)</f>
        <v/>
      </c>
      <c r="E324" s="13"/>
      <c r="F324" s="34" t="str">
        <f>IF(Tableau447891011121314151617[[#This Row],[Date]]="","",Tableau447891011121314151617[[#This Row],[Versement]]*Variables!$F$12)</f>
        <v/>
      </c>
      <c r="G324" s="34" t="str">
        <f>IF(Tableau447891011121314151617[[#This Row],[Date]]="","",(E324*(1+($C$320)/24)^V.Complémentaires!D324)-E324)</f>
        <v/>
      </c>
    </row>
    <row r="325" spans="2:7" ht="20.100000000000001" customHeight="1" x14ac:dyDescent="0.3">
      <c r="B325" s="13"/>
      <c r="C325" s="16" t="str">
        <f>IF(Tableau447891011121314151617[[#This Row],[Date]]="","",INT(DAYS360(DATE(YEAR(B325),1,1),B325,TRUE)/15)+1)</f>
        <v/>
      </c>
      <c r="D325" s="13" t="str">
        <f>IF(Tableau447891011121314151617[[#This Row],[Date]]="","",24-C325)</f>
        <v/>
      </c>
      <c r="E325" s="13"/>
      <c r="F325" s="34" t="str">
        <f>IF(Tableau447891011121314151617[[#This Row],[Date]]="","",Tableau447891011121314151617[[#This Row],[Versement]]*Variables!$F$12)</f>
        <v/>
      </c>
      <c r="G325" s="34" t="str">
        <f>IF(Tableau447891011121314151617[[#This Row],[Date]]="","",(E325*(1+($C$320)/24)^V.Complémentaires!D325)-E325)</f>
        <v/>
      </c>
    </row>
    <row r="326" spans="2:7" ht="20.100000000000001" customHeight="1" x14ac:dyDescent="0.3">
      <c r="B326" s="13"/>
      <c r="C326" s="16" t="str">
        <f>IF(Tableau447891011121314151617[[#This Row],[Date]]="","",INT(DAYS360(DATE(YEAR(B326),1,1),B326,TRUE)/15)+1)</f>
        <v/>
      </c>
      <c r="D326" s="13" t="str">
        <f>IF(Tableau447891011121314151617[[#This Row],[Date]]="","",24-C326)</f>
        <v/>
      </c>
      <c r="E326" s="13"/>
      <c r="F326" s="34" t="str">
        <f>IF(Tableau447891011121314151617[[#This Row],[Date]]="","",Tableau447891011121314151617[[#This Row],[Versement]]*Variables!$F$12)</f>
        <v/>
      </c>
      <c r="G326" s="34" t="str">
        <f>IF(Tableau447891011121314151617[[#This Row],[Date]]="","",(E326*(1+($C$320)/24)^V.Complémentaires!D326)-E326)</f>
        <v/>
      </c>
    </row>
    <row r="327" spans="2:7" ht="20.100000000000001" customHeight="1" x14ac:dyDescent="0.3">
      <c r="B327" s="13"/>
      <c r="C327" s="16" t="str">
        <f>IF(Tableau447891011121314151617[[#This Row],[Date]]="","",INT(DAYS360(DATE(YEAR(B327),1,1),B327,TRUE)/15)+1)</f>
        <v/>
      </c>
      <c r="D327" s="13" t="str">
        <f>IF(Tableau447891011121314151617[[#This Row],[Date]]="","",24-C327)</f>
        <v/>
      </c>
      <c r="E327" s="13"/>
      <c r="F327" s="34" t="str">
        <f>IF(Tableau447891011121314151617[[#This Row],[Date]]="","",Tableau447891011121314151617[[#This Row],[Versement]]*Variables!$F$12)</f>
        <v/>
      </c>
      <c r="G327" s="34" t="str">
        <f>IF(Tableau447891011121314151617[[#This Row],[Date]]="","",(E327*(1+($C$320)/24)^V.Complémentaires!D327)-E327)</f>
        <v/>
      </c>
    </row>
    <row r="328" spans="2:7" ht="20.100000000000001" customHeight="1" x14ac:dyDescent="0.3">
      <c r="B328" s="13"/>
      <c r="C328" s="16" t="str">
        <f>IF(Tableau447891011121314151617[[#This Row],[Date]]="","",INT(DAYS360(DATE(YEAR(B328),1,1),B328,TRUE)/15)+1)</f>
        <v/>
      </c>
      <c r="D328" s="13" t="str">
        <f>IF(Tableau447891011121314151617[[#This Row],[Date]]="","",24-C328)</f>
        <v/>
      </c>
      <c r="E328" s="13"/>
      <c r="F328" s="34" t="str">
        <f>IF(Tableau447891011121314151617[[#This Row],[Date]]="","",Tableau447891011121314151617[[#This Row],[Versement]]*Variables!$F$12)</f>
        <v/>
      </c>
      <c r="G328" s="34" t="str">
        <f>IF(Tableau447891011121314151617[[#This Row],[Date]]="","",(E328*(1+($C$320)/24)^V.Complémentaires!D328)-E328)</f>
        <v/>
      </c>
    </row>
    <row r="329" spans="2:7" ht="20.100000000000001" customHeight="1" x14ac:dyDescent="0.3">
      <c r="B329" s="13"/>
      <c r="C329" s="16" t="str">
        <f>IF(Tableau447891011121314151617[[#This Row],[Date]]="","",INT(DAYS360(DATE(YEAR(B329),1,1),B329,TRUE)/15)+1)</f>
        <v/>
      </c>
      <c r="D329" s="13" t="str">
        <f>IF(Tableau447891011121314151617[[#This Row],[Date]]="","",24-C329)</f>
        <v/>
      </c>
      <c r="E329" s="13"/>
      <c r="F329" s="34" t="str">
        <f>IF(Tableau447891011121314151617[[#This Row],[Date]]="","",Tableau447891011121314151617[[#This Row],[Versement]]*Variables!$F$12)</f>
        <v/>
      </c>
      <c r="G329" s="34" t="str">
        <f>IF(Tableau447891011121314151617[[#This Row],[Date]]="","",(E329*(1+($C$320)/24)^V.Complémentaires!D329)-E329)</f>
        <v/>
      </c>
    </row>
    <row r="330" spans="2:7" ht="20.100000000000001" customHeight="1" x14ac:dyDescent="0.3">
      <c r="B330" s="15"/>
      <c r="C330" s="16" t="str">
        <f>IF(Tableau447891011121314151617[[#This Row],[Date]]="","",INT(DAYS360(DATE(YEAR(B330),1,1),B330,TRUE)/15)+1)</f>
        <v/>
      </c>
      <c r="D330" s="13" t="str">
        <f>IF(Tableau447891011121314151617[[#This Row],[Date]]="","",24-C330)</f>
        <v/>
      </c>
      <c r="E330" s="13"/>
      <c r="F330" s="34" t="str">
        <f>IF(Tableau447891011121314151617[[#This Row],[Date]]="","",Tableau447891011121314151617[[#This Row],[Versement]]*Variables!$F$12)</f>
        <v/>
      </c>
      <c r="G330" s="34" t="str">
        <f>IF(Tableau447891011121314151617[[#This Row],[Date]]="","",(E330*(1+($C$320)/24)^V.Complémentaires!D330)-E330)</f>
        <v/>
      </c>
    </row>
    <row r="331" spans="2:7" ht="20.100000000000001" customHeight="1" x14ac:dyDescent="0.3">
      <c r="B331" s="13"/>
      <c r="C331" s="16" t="str">
        <f>IF(Tableau447891011121314151617[[#This Row],[Date]]="","",INT(DAYS360(DATE(YEAR(B331),1,1),B331,TRUE)/15)+1)</f>
        <v/>
      </c>
      <c r="D331" s="13" t="str">
        <f>IF(Tableau447891011121314151617[[#This Row],[Date]]="","",24-C331)</f>
        <v/>
      </c>
      <c r="E331" s="13"/>
      <c r="F331" s="34" t="str">
        <f>IF(Tableau447891011121314151617[[#This Row],[Date]]="","",Tableau447891011121314151617[[#This Row],[Versement]]*Variables!$F$12)</f>
        <v/>
      </c>
      <c r="G331" s="34" t="str">
        <f>IF(Tableau447891011121314151617[[#This Row],[Date]]="","",(E331*(1+($C$320)/24)^V.Complémentaires!D331)-E331)</f>
        <v/>
      </c>
    </row>
    <row r="332" spans="2:7" ht="20.100000000000001" customHeight="1" x14ac:dyDescent="0.3">
      <c r="B332" s="13"/>
      <c r="C332" s="16" t="str">
        <f>IF(Tableau447891011121314151617[[#This Row],[Date]]="","",INT(DAYS360(DATE(YEAR(B332),1,1),B332,TRUE)/15)+1)</f>
        <v/>
      </c>
      <c r="D332" s="13" t="str">
        <f>IF(Tableau447891011121314151617[[#This Row],[Date]]="","",24-C332)</f>
        <v/>
      </c>
      <c r="E332" s="13"/>
      <c r="F332" s="34" t="str">
        <f>IF(Tableau447891011121314151617[[#This Row],[Date]]="","",Tableau447891011121314151617[[#This Row],[Versement]]*Variables!$F$12)</f>
        <v/>
      </c>
      <c r="G332" s="34" t="str">
        <f>IF(Tableau447891011121314151617[[#This Row],[Date]]="","",(E332*(1+($C$320)/24)^V.Complémentaires!D332)-E332)</f>
        <v/>
      </c>
    </row>
    <row r="333" spans="2:7" ht="20.100000000000001" customHeight="1" x14ac:dyDescent="0.3">
      <c r="B333" s="13"/>
      <c r="C333" s="16" t="str">
        <f>IF(Tableau447891011121314151617[[#This Row],[Date]]="","",INT(DAYS360(DATE(YEAR(B333),1,1),B333,TRUE)/15)+1)</f>
        <v/>
      </c>
      <c r="D333" s="13" t="str">
        <f>IF(Tableau447891011121314151617[[#This Row],[Date]]="","",24-C333)</f>
        <v/>
      </c>
      <c r="E333" s="13"/>
      <c r="F333" s="34" t="str">
        <f>IF(Tableau447891011121314151617[[#This Row],[Date]]="","",Tableau447891011121314151617[[#This Row],[Versement]]*Variables!$F$12)</f>
        <v/>
      </c>
      <c r="G333" s="34" t="str">
        <f>IF(Tableau447891011121314151617[[#This Row],[Date]]="","",(E333*(1+($C$320)/24)^V.Complémentaires!D333)-E333)</f>
        <v/>
      </c>
    </row>
    <row r="334" spans="2:7" ht="20.100000000000001" customHeight="1" x14ac:dyDescent="0.3">
      <c r="B334" s="13"/>
      <c r="C334" s="16" t="str">
        <f>IF(Tableau447891011121314151617[[#This Row],[Date]]="","",INT(DAYS360(DATE(YEAR(B334),1,1),B334,TRUE)/15)+1)</f>
        <v/>
      </c>
      <c r="D334" s="13" t="str">
        <f>IF(Tableau447891011121314151617[[#This Row],[Date]]="","",24-C334)</f>
        <v/>
      </c>
      <c r="E334" s="13"/>
      <c r="F334" s="34" t="str">
        <f>IF(Tableau447891011121314151617[[#This Row],[Date]]="","",Tableau447891011121314151617[[#This Row],[Versement]]*Variables!$F$12)</f>
        <v/>
      </c>
      <c r="G334" s="34" t="str">
        <f>IF(Tableau447891011121314151617[[#This Row],[Date]]="","",(E334*(1+($C$320)/24)^V.Complémentaires!D334)-E334)</f>
        <v/>
      </c>
    </row>
    <row r="335" spans="2:7" ht="20.100000000000001" customHeight="1" x14ac:dyDescent="0.3">
      <c r="B335" s="13"/>
      <c r="C335" s="16" t="str">
        <f>IF(Tableau447891011121314151617[[#This Row],[Date]]="","",INT(DAYS360(DATE(YEAR(B335),1,1),B335,TRUE)/15)+1)</f>
        <v/>
      </c>
      <c r="D335" s="13" t="str">
        <f>IF(Tableau447891011121314151617[[#This Row],[Date]]="","",24-C335)</f>
        <v/>
      </c>
      <c r="E335" s="13"/>
      <c r="F335" s="34" t="str">
        <f>IF(Tableau447891011121314151617[[#This Row],[Date]]="","",Tableau447891011121314151617[[#This Row],[Versement]]*Variables!$F$12)</f>
        <v/>
      </c>
      <c r="G335" s="34" t="str">
        <f>IF(Tableau447891011121314151617[[#This Row],[Date]]="","",(E335*(1+($C$320)/24)^V.Complémentaires!D335)-E335)</f>
        <v/>
      </c>
    </row>
    <row r="336" spans="2:7" ht="20.100000000000001" customHeight="1" x14ac:dyDescent="0.3">
      <c r="B336" s="13"/>
      <c r="C336" s="16" t="str">
        <f>IF(Tableau447891011121314151617[[#This Row],[Date]]="","",INT(DAYS360(DATE(YEAR(B336),1,1),B336,TRUE)/15)+1)</f>
        <v/>
      </c>
      <c r="D336" s="13" t="str">
        <f>IF(Tableau447891011121314151617[[#This Row],[Date]]="","",24-C336)</f>
        <v/>
      </c>
      <c r="E336" s="13"/>
      <c r="F336" s="34" t="str">
        <f>IF(Tableau447891011121314151617[[#This Row],[Date]]="","",Tableau447891011121314151617[[#This Row],[Versement]]*Variables!$F$12)</f>
        <v/>
      </c>
      <c r="G336" s="34" t="str">
        <f>IF(Tableau447891011121314151617[[#This Row],[Date]]="","",(E336*(1+($C$320)/24)^V.Complémentaires!D336)-E336)</f>
        <v/>
      </c>
    </row>
    <row r="337" spans="2:7" ht="20.100000000000001" customHeight="1" x14ac:dyDescent="0.3">
      <c r="B337" s="13"/>
      <c r="C337" s="16" t="str">
        <f>IF(Tableau447891011121314151617[[#This Row],[Date]]="","",INT(DAYS360(DATE(YEAR(B337),1,1),B337,TRUE)/15)+1)</f>
        <v/>
      </c>
      <c r="D337" s="13" t="str">
        <f>IF(Tableau447891011121314151617[[#This Row],[Date]]="","",24-C337)</f>
        <v/>
      </c>
      <c r="E337" s="13"/>
      <c r="F337" s="34" t="str">
        <f>IF(Tableau447891011121314151617[[#This Row],[Date]]="","",Tableau447891011121314151617[[#This Row],[Versement]]*Variables!$F$12)</f>
        <v/>
      </c>
      <c r="G337" s="34" t="str">
        <f>IF(Tableau447891011121314151617[[#This Row],[Date]]="","",(E337*(1+($C$320)/24)^V.Complémentaires!D337)-E337)</f>
        <v/>
      </c>
    </row>
    <row r="338" spans="2:7" ht="20.100000000000001" customHeight="1" x14ac:dyDescent="0.3">
      <c r="B338" s="13"/>
      <c r="C338" s="16" t="str">
        <f>IF(Tableau447891011121314151617[[#This Row],[Date]]="","",INT(DAYS360(DATE(YEAR(B338),1,1),B338,TRUE)/15)+1)</f>
        <v/>
      </c>
      <c r="D338" s="13" t="str">
        <f>IF(Tableau447891011121314151617[[#This Row],[Date]]="","",24-C338)</f>
        <v/>
      </c>
      <c r="E338" s="13"/>
      <c r="F338" s="34" t="str">
        <f>IF(Tableau447891011121314151617[[#This Row],[Date]]="","",Tableau447891011121314151617[[#This Row],[Versement]]*Variables!$F$12)</f>
        <v/>
      </c>
      <c r="G338" s="34" t="str">
        <f>IF(Tableau447891011121314151617[[#This Row],[Date]]="","",(E338*(1+($C$320)/24)^V.Complémentaires!D338)-E338)</f>
        <v/>
      </c>
    </row>
    <row r="339" spans="2:7" ht="20.100000000000001" customHeight="1" x14ac:dyDescent="0.3">
      <c r="B339" s="13"/>
      <c r="C339" s="13"/>
      <c r="D339" s="13"/>
      <c r="E339" s="13">
        <f>SUM(Tableau447891011121314151617[Versement])</f>
        <v>0</v>
      </c>
      <c r="F339" s="34">
        <f>SUBTOTAL(109,Tableau447891011121314151617[Frais de versement])</f>
        <v>0</v>
      </c>
      <c r="G339" s="34">
        <f>SUM(Tableau447891011121314151617[Interet])</f>
        <v>0</v>
      </c>
    </row>
    <row r="344" spans="2:7" ht="20.100000000000001" customHeight="1" thickBot="1" x14ac:dyDescent="0.35"/>
    <row r="345" spans="2:7" ht="20.100000000000001" customHeight="1" thickBot="1" x14ac:dyDescent="0.35">
      <c r="B345" s="10" t="s">
        <v>7</v>
      </c>
      <c r="C345" s="19">
        <f ca="1">C319+1</f>
        <v>2027</v>
      </c>
      <c r="D345" s="13"/>
      <c r="E345" s="13"/>
      <c r="F345" s="34"/>
      <c r="G345" s="34"/>
    </row>
    <row r="346" spans="2:7" ht="20.100000000000001" customHeight="1" thickBot="1" x14ac:dyDescent="0.35">
      <c r="B346" s="14" t="s">
        <v>23</v>
      </c>
      <c r="C346" s="20">
        <f ca="1">IF('Tableau Projection'!I20="","",VLOOKUP(C345,'Tableau Projection'!$C$6:$L$28,7,FALSE))</f>
        <v>1.0500000000000001E-2</v>
      </c>
      <c r="D346" s="13"/>
      <c r="E346" s="13"/>
      <c r="F346" s="34"/>
      <c r="G346" s="34"/>
    </row>
    <row r="347" spans="2:7" ht="35.1" customHeight="1" x14ac:dyDescent="0.3">
      <c r="B347" s="13" t="s">
        <v>18</v>
      </c>
      <c r="C347" s="18" t="s">
        <v>22</v>
      </c>
      <c r="D347" s="13" t="s">
        <v>19</v>
      </c>
      <c r="E347" s="13" t="s">
        <v>20</v>
      </c>
      <c r="F347" s="57" t="s">
        <v>3</v>
      </c>
      <c r="G347" s="34" t="s">
        <v>21</v>
      </c>
    </row>
    <row r="348" spans="2:7" ht="20.100000000000001" customHeight="1" x14ac:dyDescent="0.3">
      <c r="B348" s="15"/>
      <c r="C348" s="16" t="str">
        <f>IF(Tableau44789101112131415161718[[#This Row],[Date]]="","",INT(DAYS360(DATE(YEAR(B348),1,1),B348,TRUE)/15)+1)</f>
        <v/>
      </c>
      <c r="D348" s="13" t="str">
        <f>IF(Tableau44789101112131415161718[[#This Row],[Date]]="","",24-C348)</f>
        <v/>
      </c>
      <c r="E348" s="17"/>
      <c r="F348" s="34" t="str">
        <f>IF(Tableau44789101112131415161718[[#This Row],[Date]]="","",Tableau44789101112131415161718[[#This Row],[Versement]]*Variables!$F$12)</f>
        <v/>
      </c>
      <c r="G348" s="34" t="str">
        <f>IF(Tableau44789101112131415161718[[#This Row],[Date]]="","",(E348*(1+($C$346)/24)^V.Complémentaires!D348)-E348)</f>
        <v/>
      </c>
    </row>
    <row r="349" spans="2:7" ht="20.100000000000001" customHeight="1" x14ac:dyDescent="0.3">
      <c r="B349" s="15"/>
      <c r="C349" s="16" t="str">
        <f>IF(Tableau44789101112131415161718[[#This Row],[Date]]="","",INT(DAYS360(DATE(YEAR(B349),1,1),B349,TRUE)/15)+1)</f>
        <v/>
      </c>
      <c r="D349" s="13" t="str">
        <f>IF(Tableau44789101112131415161718[[#This Row],[Date]]="","",24-C349)</f>
        <v/>
      </c>
      <c r="E349" s="13"/>
      <c r="F349" s="34" t="str">
        <f>IF(Tableau44789101112131415161718[[#This Row],[Date]]="","",Tableau44789101112131415161718[[#This Row],[Versement]]*Variables!$F$12)</f>
        <v/>
      </c>
      <c r="G349" s="34" t="str">
        <f>IF(Tableau44789101112131415161718[[#This Row],[Date]]="","",(E349*(1+($C$346)/24)^V.Complémentaires!D349)-E349)</f>
        <v/>
      </c>
    </row>
    <row r="350" spans="2:7" ht="20.100000000000001" customHeight="1" x14ac:dyDescent="0.3">
      <c r="B350" s="15"/>
      <c r="C350" s="16" t="str">
        <f>IF(Tableau44789101112131415161718[[#This Row],[Date]]="","",INT(DAYS360(DATE(YEAR(B350),1,1),B350,TRUE)/15)+1)</f>
        <v/>
      </c>
      <c r="D350" s="13" t="str">
        <f>IF(Tableau44789101112131415161718[[#This Row],[Date]]="","",24-C350)</f>
        <v/>
      </c>
      <c r="E350" s="13"/>
      <c r="F350" s="34" t="str">
        <f>IF(Tableau44789101112131415161718[[#This Row],[Date]]="","",Tableau44789101112131415161718[[#This Row],[Versement]]*Variables!$F$12)</f>
        <v/>
      </c>
      <c r="G350" s="34" t="str">
        <f>IF(Tableau44789101112131415161718[[#This Row],[Date]]="","",(E350*(1+($C$346)/24)^V.Complémentaires!D350)-E350)</f>
        <v/>
      </c>
    </row>
    <row r="351" spans="2:7" ht="20.100000000000001" customHeight="1" x14ac:dyDescent="0.3">
      <c r="B351" s="13"/>
      <c r="C351" s="16" t="str">
        <f>IF(Tableau44789101112131415161718[[#This Row],[Date]]="","",INT(DAYS360(DATE(YEAR(B351),1,1),B351,TRUE)/15)+1)</f>
        <v/>
      </c>
      <c r="D351" s="13" t="str">
        <f>IF(Tableau44789101112131415161718[[#This Row],[Date]]="","",24-C351)</f>
        <v/>
      </c>
      <c r="E351" s="13"/>
      <c r="F351" s="34" t="str">
        <f>IF(Tableau44789101112131415161718[[#This Row],[Date]]="","",Tableau44789101112131415161718[[#This Row],[Versement]]*Variables!$F$12)</f>
        <v/>
      </c>
      <c r="G351" s="34" t="str">
        <f>IF(Tableau44789101112131415161718[[#This Row],[Date]]="","",(E351*(1+($C$346)/24)^V.Complémentaires!D351)-E351)</f>
        <v/>
      </c>
    </row>
    <row r="352" spans="2:7" ht="20.100000000000001" customHeight="1" x14ac:dyDescent="0.3">
      <c r="B352" s="13"/>
      <c r="C352" s="16" t="str">
        <f>IF(Tableau44789101112131415161718[[#This Row],[Date]]="","",INT(DAYS360(DATE(YEAR(B352),1,1),B352,TRUE)/15)+1)</f>
        <v/>
      </c>
      <c r="D352" s="13" t="str">
        <f>IF(Tableau44789101112131415161718[[#This Row],[Date]]="","",24-C352)</f>
        <v/>
      </c>
      <c r="E352" s="13"/>
      <c r="F352" s="34" t="str">
        <f>IF(Tableau44789101112131415161718[[#This Row],[Date]]="","",Tableau44789101112131415161718[[#This Row],[Versement]]*Variables!$F$12)</f>
        <v/>
      </c>
      <c r="G352" s="34" t="str">
        <f>IF(Tableau44789101112131415161718[[#This Row],[Date]]="","",(E352*(1+($C$346)/24)^V.Complémentaires!D352)-E352)</f>
        <v/>
      </c>
    </row>
    <row r="353" spans="2:7" ht="20.100000000000001" customHeight="1" x14ac:dyDescent="0.3">
      <c r="B353" s="13"/>
      <c r="C353" s="16" t="str">
        <f>IF(Tableau44789101112131415161718[[#This Row],[Date]]="","",INT(DAYS360(DATE(YEAR(B353),1,1),B353,TRUE)/15)+1)</f>
        <v/>
      </c>
      <c r="D353" s="13" t="str">
        <f>IF(Tableau44789101112131415161718[[#This Row],[Date]]="","",24-C353)</f>
        <v/>
      </c>
      <c r="E353" s="13"/>
      <c r="F353" s="34" t="str">
        <f>IF(Tableau44789101112131415161718[[#This Row],[Date]]="","",Tableau44789101112131415161718[[#This Row],[Versement]]*Variables!$F$12)</f>
        <v/>
      </c>
      <c r="G353" s="34" t="str">
        <f>IF(Tableau44789101112131415161718[[#This Row],[Date]]="","",(E353*(1+($C$346)/24)^V.Complémentaires!D353)-E353)</f>
        <v/>
      </c>
    </row>
    <row r="354" spans="2:7" ht="20.100000000000001" customHeight="1" x14ac:dyDescent="0.3">
      <c r="B354" s="13"/>
      <c r="C354" s="16" t="str">
        <f>IF(Tableau44789101112131415161718[[#This Row],[Date]]="","",INT(DAYS360(DATE(YEAR(B354),1,1),B354,TRUE)/15)+1)</f>
        <v/>
      </c>
      <c r="D354" s="13" t="str">
        <f>IF(Tableau44789101112131415161718[[#This Row],[Date]]="","",24-C354)</f>
        <v/>
      </c>
      <c r="E354" s="13"/>
      <c r="F354" s="34" t="str">
        <f>IF(Tableau44789101112131415161718[[#This Row],[Date]]="","",Tableau44789101112131415161718[[#This Row],[Versement]]*Variables!$F$12)</f>
        <v/>
      </c>
      <c r="G354" s="34" t="str">
        <f>IF(Tableau44789101112131415161718[[#This Row],[Date]]="","",(E354*(1+($C$346)/24)^V.Complémentaires!D354)-E354)</f>
        <v/>
      </c>
    </row>
    <row r="355" spans="2:7" ht="20.100000000000001" customHeight="1" x14ac:dyDescent="0.3">
      <c r="B355" s="13"/>
      <c r="C355" s="16" t="str">
        <f>IF(Tableau44789101112131415161718[[#This Row],[Date]]="","",INT(DAYS360(DATE(YEAR(B355),1,1),B355,TRUE)/15)+1)</f>
        <v/>
      </c>
      <c r="D355" s="13" t="str">
        <f>IF(Tableau44789101112131415161718[[#This Row],[Date]]="","",24-C355)</f>
        <v/>
      </c>
      <c r="E355" s="13"/>
      <c r="F355" s="34" t="str">
        <f>IF(Tableau44789101112131415161718[[#This Row],[Date]]="","",Tableau44789101112131415161718[[#This Row],[Versement]]*Variables!$F$12)</f>
        <v/>
      </c>
      <c r="G355" s="34" t="str">
        <f>IF(Tableau44789101112131415161718[[#This Row],[Date]]="","",(E355*(1+($C$346)/24)^V.Complémentaires!D355)-E355)</f>
        <v/>
      </c>
    </row>
    <row r="356" spans="2:7" ht="20.100000000000001" customHeight="1" x14ac:dyDescent="0.3">
      <c r="B356" s="15"/>
      <c r="C356" s="16" t="str">
        <f>IF(Tableau44789101112131415161718[[#This Row],[Date]]="","",INT(DAYS360(DATE(YEAR(B356),1,1),B356,TRUE)/15)+1)</f>
        <v/>
      </c>
      <c r="D356" s="13" t="str">
        <f>IF(Tableau44789101112131415161718[[#This Row],[Date]]="","",24-C356)</f>
        <v/>
      </c>
      <c r="E356" s="13"/>
      <c r="F356" s="34" t="str">
        <f>IF(Tableau44789101112131415161718[[#This Row],[Date]]="","",Tableau44789101112131415161718[[#This Row],[Versement]]*Variables!$F$12)</f>
        <v/>
      </c>
      <c r="G356" s="34" t="str">
        <f>IF(Tableau44789101112131415161718[[#This Row],[Date]]="","",(E356*(1+($C$346)/24)^V.Complémentaires!D356)-E356)</f>
        <v/>
      </c>
    </row>
    <row r="357" spans="2:7" ht="20.100000000000001" customHeight="1" x14ac:dyDescent="0.3">
      <c r="B357" s="13"/>
      <c r="C357" s="16" t="str">
        <f>IF(Tableau44789101112131415161718[[#This Row],[Date]]="","",INT(DAYS360(DATE(YEAR(B357),1,1),B357,TRUE)/15)+1)</f>
        <v/>
      </c>
      <c r="D357" s="13" t="str">
        <f>IF(Tableau44789101112131415161718[[#This Row],[Date]]="","",24-C357)</f>
        <v/>
      </c>
      <c r="E357" s="13"/>
      <c r="F357" s="34" t="str">
        <f>IF(Tableau44789101112131415161718[[#This Row],[Date]]="","",Tableau44789101112131415161718[[#This Row],[Versement]]*Variables!$F$12)</f>
        <v/>
      </c>
      <c r="G357" s="34" t="str">
        <f>IF(Tableau44789101112131415161718[[#This Row],[Date]]="","",(E357*(1+($C$346)/24)^V.Complémentaires!D357)-E357)</f>
        <v/>
      </c>
    </row>
    <row r="358" spans="2:7" ht="20.100000000000001" customHeight="1" x14ac:dyDescent="0.3">
      <c r="B358" s="13"/>
      <c r="C358" s="16" t="str">
        <f>IF(Tableau44789101112131415161718[[#This Row],[Date]]="","",INT(DAYS360(DATE(YEAR(B358),1,1),B358,TRUE)/15)+1)</f>
        <v/>
      </c>
      <c r="D358" s="13" t="str">
        <f>IF(Tableau44789101112131415161718[[#This Row],[Date]]="","",24-C358)</f>
        <v/>
      </c>
      <c r="E358" s="13"/>
      <c r="F358" s="34" t="str">
        <f>IF(Tableau44789101112131415161718[[#This Row],[Date]]="","",Tableau44789101112131415161718[[#This Row],[Versement]]*Variables!$F$12)</f>
        <v/>
      </c>
      <c r="G358" s="34" t="str">
        <f>IF(Tableau44789101112131415161718[[#This Row],[Date]]="","",(E358*(1+($C$346)/24)^V.Complémentaires!D358)-E358)</f>
        <v/>
      </c>
    </row>
    <row r="359" spans="2:7" ht="20.100000000000001" customHeight="1" x14ac:dyDescent="0.3">
      <c r="B359" s="13"/>
      <c r="C359" s="16" t="str">
        <f>IF(Tableau44789101112131415161718[[#This Row],[Date]]="","",INT(DAYS360(DATE(YEAR(B359),1,1),B359,TRUE)/15)+1)</f>
        <v/>
      </c>
      <c r="D359" s="13" t="str">
        <f>IF(Tableau44789101112131415161718[[#This Row],[Date]]="","",24-C359)</f>
        <v/>
      </c>
      <c r="E359" s="13"/>
      <c r="F359" s="34" t="str">
        <f>IF(Tableau44789101112131415161718[[#This Row],[Date]]="","",Tableau44789101112131415161718[[#This Row],[Versement]]*Variables!$F$12)</f>
        <v/>
      </c>
      <c r="G359" s="34" t="str">
        <f>IF(Tableau44789101112131415161718[[#This Row],[Date]]="","",(E359*(1+($C$346)/24)^V.Complémentaires!D359)-E359)</f>
        <v/>
      </c>
    </row>
    <row r="360" spans="2:7" ht="20.100000000000001" customHeight="1" x14ac:dyDescent="0.3">
      <c r="B360" s="13"/>
      <c r="C360" s="16" t="str">
        <f>IF(Tableau44789101112131415161718[[#This Row],[Date]]="","",INT(DAYS360(DATE(YEAR(B360),1,1),B360,TRUE)/15)+1)</f>
        <v/>
      </c>
      <c r="D360" s="13" t="str">
        <f>IF(Tableau44789101112131415161718[[#This Row],[Date]]="","",24-C360)</f>
        <v/>
      </c>
      <c r="E360" s="13"/>
      <c r="F360" s="34" t="str">
        <f>IF(Tableau44789101112131415161718[[#This Row],[Date]]="","",Tableau44789101112131415161718[[#This Row],[Versement]]*Variables!$F$12)</f>
        <v/>
      </c>
      <c r="G360" s="34" t="str">
        <f>IF(Tableau44789101112131415161718[[#This Row],[Date]]="","",(E360*(1+($C$346)/24)^V.Complémentaires!D360)-E360)</f>
        <v/>
      </c>
    </row>
    <row r="361" spans="2:7" ht="20.100000000000001" customHeight="1" x14ac:dyDescent="0.3">
      <c r="B361" s="13"/>
      <c r="C361" s="16" t="str">
        <f>IF(Tableau44789101112131415161718[[#This Row],[Date]]="","",INT(DAYS360(DATE(YEAR(B361),1,1),B361,TRUE)/15)+1)</f>
        <v/>
      </c>
      <c r="D361" s="13" t="str">
        <f>IF(Tableau44789101112131415161718[[#This Row],[Date]]="","",24-C361)</f>
        <v/>
      </c>
      <c r="E361" s="13"/>
      <c r="F361" s="34" t="str">
        <f>IF(Tableau44789101112131415161718[[#This Row],[Date]]="","",Tableau44789101112131415161718[[#This Row],[Versement]]*Variables!$F$12)</f>
        <v/>
      </c>
      <c r="G361" s="34" t="str">
        <f>IF(Tableau44789101112131415161718[[#This Row],[Date]]="","",(E361*(1+($C$346)/24)^V.Complémentaires!D361)-E361)</f>
        <v/>
      </c>
    </row>
    <row r="362" spans="2:7" ht="20.100000000000001" customHeight="1" x14ac:dyDescent="0.3">
      <c r="B362" s="13"/>
      <c r="C362" s="16" t="str">
        <f>IF(Tableau44789101112131415161718[[#This Row],[Date]]="","",INT(DAYS360(DATE(YEAR(B362),1,1),B362,TRUE)/15)+1)</f>
        <v/>
      </c>
      <c r="D362" s="13" t="str">
        <f>IF(Tableau44789101112131415161718[[#This Row],[Date]]="","",24-C362)</f>
        <v/>
      </c>
      <c r="E362" s="13"/>
      <c r="F362" s="34" t="str">
        <f>IF(Tableau44789101112131415161718[[#This Row],[Date]]="","",Tableau44789101112131415161718[[#This Row],[Versement]]*Variables!$F$12)</f>
        <v/>
      </c>
      <c r="G362" s="34" t="str">
        <f>IF(Tableau44789101112131415161718[[#This Row],[Date]]="","",(E362*(1+($C$346)/24)^V.Complémentaires!D362)-E362)</f>
        <v/>
      </c>
    </row>
    <row r="363" spans="2:7" ht="20.100000000000001" customHeight="1" x14ac:dyDescent="0.3">
      <c r="B363" s="13"/>
      <c r="C363" s="16" t="str">
        <f>IF(Tableau44789101112131415161718[[#This Row],[Date]]="","",INT(DAYS360(DATE(YEAR(B363),1,1),B363,TRUE)/15)+1)</f>
        <v/>
      </c>
      <c r="D363" s="13" t="str">
        <f>IF(Tableau44789101112131415161718[[#This Row],[Date]]="","",24-C363)</f>
        <v/>
      </c>
      <c r="E363" s="13"/>
      <c r="F363" s="34" t="str">
        <f>IF(Tableau44789101112131415161718[[#This Row],[Date]]="","",Tableau44789101112131415161718[[#This Row],[Versement]]*Variables!$F$12)</f>
        <v/>
      </c>
      <c r="G363" s="34" t="str">
        <f>IF(Tableau44789101112131415161718[[#This Row],[Date]]="","",(E363*(1+($C$346)/24)^V.Complémentaires!D363)-E363)</f>
        <v/>
      </c>
    </row>
    <row r="364" spans="2:7" ht="20.100000000000001" customHeight="1" x14ac:dyDescent="0.3">
      <c r="B364" s="13"/>
      <c r="C364" s="16" t="str">
        <f>IF(Tableau44789101112131415161718[[#This Row],[Date]]="","",INT(DAYS360(DATE(YEAR(B364),1,1),B364,TRUE)/15)+1)</f>
        <v/>
      </c>
      <c r="D364" s="13" t="str">
        <f>IF(Tableau44789101112131415161718[[#This Row],[Date]]="","",24-C364)</f>
        <v/>
      </c>
      <c r="E364" s="13"/>
      <c r="F364" s="34" t="str">
        <f>IF(Tableau44789101112131415161718[[#This Row],[Date]]="","",Tableau44789101112131415161718[[#This Row],[Versement]]*Variables!$F$12)</f>
        <v/>
      </c>
      <c r="G364" s="34" t="str">
        <f>IF(Tableau44789101112131415161718[[#This Row],[Date]]="","",(E364*(1+($C$346)/24)^V.Complémentaires!D364)-E364)</f>
        <v/>
      </c>
    </row>
    <row r="365" spans="2:7" ht="20.100000000000001" customHeight="1" x14ac:dyDescent="0.3">
      <c r="B365" s="13"/>
      <c r="C365" s="13"/>
      <c r="D365" s="13"/>
      <c r="E365" s="13">
        <f>SUM(Tableau44789101112131415161718[Versement])</f>
        <v>0</v>
      </c>
      <c r="F365" s="34">
        <f>SUBTOTAL(109,Tableau44789101112131415161718[Frais de versement])</f>
        <v>0</v>
      </c>
      <c r="G365" s="34">
        <f>SUM(Tableau44789101112131415161718[Interet])</f>
        <v>0</v>
      </c>
    </row>
    <row r="370" spans="2:7" ht="20.100000000000001" customHeight="1" thickBot="1" x14ac:dyDescent="0.35"/>
    <row r="371" spans="2:7" ht="20.100000000000001" customHeight="1" thickBot="1" x14ac:dyDescent="0.35">
      <c r="B371" s="10" t="s">
        <v>7</v>
      </c>
      <c r="C371" s="19">
        <f ca="1">C345+1</f>
        <v>2028</v>
      </c>
      <c r="D371" s="13"/>
      <c r="E371" s="13"/>
      <c r="F371" s="34"/>
      <c r="G371" s="34"/>
    </row>
    <row r="372" spans="2:7" ht="20.100000000000001" customHeight="1" thickBot="1" x14ac:dyDescent="0.35">
      <c r="B372" s="14" t="s">
        <v>23</v>
      </c>
      <c r="C372" s="20">
        <f ca="1">IF('Tableau Projection'!I21="","",VLOOKUP(C371,'Tableau Projection'!$C$6:$L$28,7,FALSE))</f>
        <v>1.0500000000000001E-2</v>
      </c>
      <c r="D372" s="13"/>
      <c r="E372" s="13"/>
      <c r="F372" s="34"/>
      <c r="G372" s="34"/>
    </row>
    <row r="373" spans="2:7" ht="35.1" customHeight="1" x14ac:dyDescent="0.3">
      <c r="B373" s="13" t="s">
        <v>18</v>
      </c>
      <c r="C373" s="18" t="s">
        <v>22</v>
      </c>
      <c r="D373" s="13" t="s">
        <v>19</v>
      </c>
      <c r="E373" s="13" t="s">
        <v>20</v>
      </c>
      <c r="F373" s="57" t="s">
        <v>3</v>
      </c>
      <c r="G373" s="34" t="s">
        <v>21</v>
      </c>
    </row>
    <row r="374" spans="2:7" ht="20.100000000000001" customHeight="1" x14ac:dyDescent="0.3">
      <c r="B374" s="15"/>
      <c r="C374" s="16" t="str">
        <f>IF(Tableau4478910111213141516171819[[#This Row],[Date]]="","",INT(DAYS360(DATE(YEAR(B374),1,1),B374,TRUE)/15)+1)</f>
        <v/>
      </c>
      <c r="D374" s="13" t="str">
        <f>IF(Tableau4478910111213141516171819[[#This Row],[Date]]="","",24-C374)</f>
        <v/>
      </c>
      <c r="E374" s="17"/>
      <c r="F374" s="34" t="str">
        <f>IF(Tableau4478910111213141516171819[[#This Row],[Date]]="","",Tableau4478910111213141516171819[[#This Row],[Versement]]*Variables!$F$12)</f>
        <v/>
      </c>
      <c r="G374" s="34" t="str">
        <f>IF(Tableau4478910111213141516171819[[#This Row],[Date]]="","",(E374*(1+($C$372)/24)^V.Complémentaires!D374)-E374)</f>
        <v/>
      </c>
    </row>
    <row r="375" spans="2:7" ht="20.100000000000001" customHeight="1" x14ac:dyDescent="0.3">
      <c r="B375" s="15"/>
      <c r="C375" s="16" t="str">
        <f>IF(Tableau4478910111213141516171819[[#This Row],[Date]]="","",INT(DAYS360(DATE(YEAR(B375),1,1),B375,TRUE)/15)+1)</f>
        <v/>
      </c>
      <c r="D375" s="13" t="str">
        <f>IF(Tableau4478910111213141516171819[[#This Row],[Date]]="","",24-C375)</f>
        <v/>
      </c>
      <c r="E375" s="13"/>
      <c r="F375" s="34" t="str">
        <f>IF(Tableau4478910111213141516171819[[#This Row],[Date]]="","",Tableau4478910111213141516171819[[#This Row],[Versement]]*Variables!$F$12)</f>
        <v/>
      </c>
      <c r="G375" s="34" t="str">
        <f>IF(Tableau4478910111213141516171819[[#This Row],[Date]]="","",(E375*(1+($C$372)/24)^V.Complémentaires!D375)-E375)</f>
        <v/>
      </c>
    </row>
    <row r="376" spans="2:7" ht="20.100000000000001" customHeight="1" x14ac:dyDescent="0.3">
      <c r="B376" s="15"/>
      <c r="C376" s="16" t="str">
        <f>IF(Tableau4478910111213141516171819[[#This Row],[Date]]="","",INT(DAYS360(DATE(YEAR(B376),1,1),B376,TRUE)/15)+1)</f>
        <v/>
      </c>
      <c r="D376" s="13" t="str">
        <f>IF(Tableau4478910111213141516171819[[#This Row],[Date]]="","",24-C376)</f>
        <v/>
      </c>
      <c r="E376" s="13"/>
      <c r="F376" s="34" t="str">
        <f>IF(Tableau4478910111213141516171819[[#This Row],[Date]]="","",Tableau4478910111213141516171819[[#This Row],[Versement]]*Variables!$F$12)</f>
        <v/>
      </c>
      <c r="G376" s="34" t="str">
        <f>IF(Tableau4478910111213141516171819[[#This Row],[Date]]="","",(E376*(1+($C$372)/24)^V.Complémentaires!D376)-E376)</f>
        <v/>
      </c>
    </row>
    <row r="377" spans="2:7" ht="20.100000000000001" customHeight="1" x14ac:dyDescent="0.3">
      <c r="B377" s="13"/>
      <c r="C377" s="16" t="str">
        <f>IF(Tableau4478910111213141516171819[[#This Row],[Date]]="","",INT(DAYS360(DATE(YEAR(B377),1,1),B377,TRUE)/15)+1)</f>
        <v/>
      </c>
      <c r="D377" s="13" t="str">
        <f>IF(Tableau4478910111213141516171819[[#This Row],[Date]]="","",24-C377)</f>
        <v/>
      </c>
      <c r="E377" s="13"/>
      <c r="F377" s="34" t="str">
        <f>IF(Tableau4478910111213141516171819[[#This Row],[Date]]="","",Tableau4478910111213141516171819[[#This Row],[Versement]]*Variables!$F$12)</f>
        <v/>
      </c>
      <c r="G377" s="34" t="str">
        <f>IF(Tableau4478910111213141516171819[[#This Row],[Date]]="","",(E377*(1+($C$372)/24)^V.Complémentaires!D377)-E377)</f>
        <v/>
      </c>
    </row>
    <row r="378" spans="2:7" ht="20.100000000000001" customHeight="1" x14ac:dyDescent="0.3">
      <c r="B378" s="13"/>
      <c r="C378" s="16" t="str">
        <f>IF(Tableau4478910111213141516171819[[#This Row],[Date]]="","",INT(DAYS360(DATE(YEAR(B378),1,1),B378,TRUE)/15)+1)</f>
        <v/>
      </c>
      <c r="D378" s="13" t="str">
        <f>IF(Tableau4478910111213141516171819[[#This Row],[Date]]="","",24-C378)</f>
        <v/>
      </c>
      <c r="E378" s="13"/>
      <c r="F378" s="34" t="str">
        <f>IF(Tableau4478910111213141516171819[[#This Row],[Date]]="","",Tableau4478910111213141516171819[[#This Row],[Versement]]*Variables!$F$12)</f>
        <v/>
      </c>
      <c r="G378" s="34" t="str">
        <f>IF(Tableau4478910111213141516171819[[#This Row],[Date]]="","",(E378*(1+($C$372)/24)^V.Complémentaires!D378)-E378)</f>
        <v/>
      </c>
    </row>
    <row r="379" spans="2:7" ht="20.100000000000001" customHeight="1" x14ac:dyDescent="0.3">
      <c r="B379" s="13"/>
      <c r="C379" s="16" t="str">
        <f>IF(Tableau4478910111213141516171819[[#This Row],[Date]]="","",INT(DAYS360(DATE(YEAR(B379),1,1),B379,TRUE)/15)+1)</f>
        <v/>
      </c>
      <c r="D379" s="13" t="str">
        <f>IF(Tableau4478910111213141516171819[[#This Row],[Date]]="","",24-C379)</f>
        <v/>
      </c>
      <c r="E379" s="13"/>
      <c r="F379" s="34" t="str">
        <f>IF(Tableau4478910111213141516171819[[#This Row],[Date]]="","",Tableau4478910111213141516171819[[#This Row],[Versement]]*Variables!$F$12)</f>
        <v/>
      </c>
      <c r="G379" s="34" t="str">
        <f>IF(Tableau4478910111213141516171819[[#This Row],[Date]]="","",(E379*(1+($C$372)/24)^V.Complémentaires!D379)-E379)</f>
        <v/>
      </c>
    </row>
    <row r="380" spans="2:7" ht="20.100000000000001" customHeight="1" x14ac:dyDescent="0.3">
      <c r="B380" s="13"/>
      <c r="C380" s="16" t="str">
        <f>IF(Tableau4478910111213141516171819[[#This Row],[Date]]="","",INT(DAYS360(DATE(YEAR(B380),1,1),B380,TRUE)/15)+1)</f>
        <v/>
      </c>
      <c r="D380" s="13" t="str">
        <f>IF(Tableau4478910111213141516171819[[#This Row],[Date]]="","",24-C380)</f>
        <v/>
      </c>
      <c r="E380" s="13"/>
      <c r="F380" s="34" t="str">
        <f>IF(Tableau4478910111213141516171819[[#This Row],[Date]]="","",Tableau4478910111213141516171819[[#This Row],[Versement]]*Variables!$F$12)</f>
        <v/>
      </c>
      <c r="G380" s="34" t="str">
        <f>IF(Tableau4478910111213141516171819[[#This Row],[Date]]="","",(E380*(1+($C$372)/24)^V.Complémentaires!D380)-E380)</f>
        <v/>
      </c>
    </row>
    <row r="381" spans="2:7" ht="20.100000000000001" customHeight="1" x14ac:dyDescent="0.3">
      <c r="B381" s="13"/>
      <c r="C381" s="16" t="str">
        <f>IF(Tableau4478910111213141516171819[[#This Row],[Date]]="","",INT(DAYS360(DATE(YEAR(B381),1,1),B381,TRUE)/15)+1)</f>
        <v/>
      </c>
      <c r="D381" s="13" t="str">
        <f>IF(Tableau4478910111213141516171819[[#This Row],[Date]]="","",24-C381)</f>
        <v/>
      </c>
      <c r="E381" s="13"/>
      <c r="F381" s="34" t="str">
        <f>IF(Tableau4478910111213141516171819[[#This Row],[Date]]="","",Tableau4478910111213141516171819[[#This Row],[Versement]]*Variables!$F$12)</f>
        <v/>
      </c>
      <c r="G381" s="34" t="str">
        <f>IF(Tableau4478910111213141516171819[[#This Row],[Date]]="","",(E381*(1+($C$372)/24)^V.Complémentaires!D381)-E381)</f>
        <v/>
      </c>
    </row>
    <row r="382" spans="2:7" ht="20.100000000000001" customHeight="1" x14ac:dyDescent="0.3">
      <c r="B382" s="15"/>
      <c r="C382" s="16" t="str">
        <f>IF(Tableau4478910111213141516171819[[#This Row],[Date]]="","",INT(DAYS360(DATE(YEAR(B382),1,1),B382,TRUE)/15)+1)</f>
        <v/>
      </c>
      <c r="D382" s="13" t="str">
        <f>IF(Tableau4478910111213141516171819[[#This Row],[Date]]="","",24-C382)</f>
        <v/>
      </c>
      <c r="E382" s="13"/>
      <c r="F382" s="34" t="str">
        <f>IF(Tableau4478910111213141516171819[[#This Row],[Date]]="","",Tableau4478910111213141516171819[[#This Row],[Versement]]*Variables!$F$12)</f>
        <v/>
      </c>
      <c r="G382" s="34" t="str">
        <f>IF(Tableau4478910111213141516171819[[#This Row],[Date]]="","",(E382*(1+($C$372)/24)^V.Complémentaires!D382)-E382)</f>
        <v/>
      </c>
    </row>
    <row r="383" spans="2:7" ht="20.100000000000001" customHeight="1" x14ac:dyDescent="0.3">
      <c r="B383" s="13"/>
      <c r="C383" s="16" t="str">
        <f>IF(Tableau4478910111213141516171819[[#This Row],[Date]]="","",INT(DAYS360(DATE(YEAR(B383),1,1),B383,TRUE)/15)+1)</f>
        <v/>
      </c>
      <c r="D383" s="13" t="str">
        <f>IF(Tableau4478910111213141516171819[[#This Row],[Date]]="","",24-C383)</f>
        <v/>
      </c>
      <c r="E383" s="13"/>
      <c r="F383" s="34" t="str">
        <f>IF(Tableau4478910111213141516171819[[#This Row],[Date]]="","",Tableau4478910111213141516171819[[#This Row],[Versement]]*Variables!$F$12)</f>
        <v/>
      </c>
      <c r="G383" s="34" t="str">
        <f>IF(Tableau4478910111213141516171819[[#This Row],[Date]]="","",(E383*(1+($C$372)/24)^V.Complémentaires!D383)-E383)</f>
        <v/>
      </c>
    </row>
    <row r="384" spans="2:7" ht="20.100000000000001" customHeight="1" x14ac:dyDescent="0.3">
      <c r="B384" s="13"/>
      <c r="C384" s="16" t="str">
        <f>IF(Tableau4478910111213141516171819[[#This Row],[Date]]="","",INT(DAYS360(DATE(YEAR(B384),1,1),B384,TRUE)/15)+1)</f>
        <v/>
      </c>
      <c r="D384" s="13" t="str">
        <f>IF(Tableau4478910111213141516171819[[#This Row],[Date]]="","",24-C384)</f>
        <v/>
      </c>
      <c r="E384" s="13"/>
      <c r="F384" s="34" t="str">
        <f>IF(Tableau4478910111213141516171819[[#This Row],[Date]]="","",Tableau4478910111213141516171819[[#This Row],[Versement]]*Variables!$F$12)</f>
        <v/>
      </c>
      <c r="G384" s="34" t="str">
        <f>IF(Tableau4478910111213141516171819[[#This Row],[Date]]="","",(E384*(1+($C$372)/24)^V.Complémentaires!D384)-E384)</f>
        <v/>
      </c>
    </row>
    <row r="385" spans="2:7" ht="20.100000000000001" customHeight="1" x14ac:dyDescent="0.3">
      <c r="B385" s="13"/>
      <c r="C385" s="16" t="str">
        <f>IF(Tableau4478910111213141516171819[[#This Row],[Date]]="","",INT(DAYS360(DATE(YEAR(B385),1,1),B385,TRUE)/15)+1)</f>
        <v/>
      </c>
      <c r="D385" s="13" t="str">
        <f>IF(Tableau4478910111213141516171819[[#This Row],[Date]]="","",24-C385)</f>
        <v/>
      </c>
      <c r="E385" s="13"/>
      <c r="F385" s="34" t="str">
        <f>IF(Tableau4478910111213141516171819[[#This Row],[Date]]="","",Tableau4478910111213141516171819[[#This Row],[Versement]]*Variables!$F$12)</f>
        <v/>
      </c>
      <c r="G385" s="34" t="str">
        <f>IF(Tableau4478910111213141516171819[[#This Row],[Date]]="","",(E385*(1+($C$372)/24)^V.Complémentaires!D385)-E385)</f>
        <v/>
      </c>
    </row>
    <row r="386" spans="2:7" ht="20.100000000000001" customHeight="1" x14ac:dyDescent="0.3">
      <c r="B386" s="13"/>
      <c r="C386" s="16" t="str">
        <f>IF(Tableau4478910111213141516171819[[#This Row],[Date]]="","",INT(DAYS360(DATE(YEAR(B386),1,1),B386,TRUE)/15)+1)</f>
        <v/>
      </c>
      <c r="D386" s="13" t="str">
        <f>IF(Tableau4478910111213141516171819[[#This Row],[Date]]="","",24-C386)</f>
        <v/>
      </c>
      <c r="E386" s="13"/>
      <c r="F386" s="34" t="str">
        <f>IF(Tableau4478910111213141516171819[[#This Row],[Date]]="","",Tableau4478910111213141516171819[[#This Row],[Versement]]*Variables!$F$12)</f>
        <v/>
      </c>
      <c r="G386" s="34" t="str">
        <f>IF(Tableau4478910111213141516171819[[#This Row],[Date]]="","",(E386*(1+($C$372)/24)^V.Complémentaires!D386)-E386)</f>
        <v/>
      </c>
    </row>
    <row r="387" spans="2:7" ht="20.100000000000001" customHeight="1" x14ac:dyDescent="0.3">
      <c r="B387" s="13"/>
      <c r="C387" s="16" t="str">
        <f>IF(Tableau4478910111213141516171819[[#This Row],[Date]]="","",INT(DAYS360(DATE(YEAR(B387),1,1),B387,TRUE)/15)+1)</f>
        <v/>
      </c>
      <c r="D387" s="13" t="str">
        <f>IF(Tableau4478910111213141516171819[[#This Row],[Date]]="","",24-C387)</f>
        <v/>
      </c>
      <c r="E387" s="13"/>
      <c r="F387" s="34" t="str">
        <f>IF(Tableau4478910111213141516171819[[#This Row],[Date]]="","",Tableau4478910111213141516171819[[#This Row],[Versement]]*Variables!$F$12)</f>
        <v/>
      </c>
      <c r="G387" s="34" t="str">
        <f>IF(Tableau4478910111213141516171819[[#This Row],[Date]]="","",(E387*(1+($C$372)/24)^V.Complémentaires!D387)-E387)</f>
        <v/>
      </c>
    </row>
    <row r="388" spans="2:7" ht="20.100000000000001" customHeight="1" x14ac:dyDescent="0.3">
      <c r="B388" s="13"/>
      <c r="C388" s="16" t="str">
        <f>IF(Tableau4478910111213141516171819[[#This Row],[Date]]="","",INT(DAYS360(DATE(YEAR(B388),1,1),B388,TRUE)/15)+1)</f>
        <v/>
      </c>
      <c r="D388" s="13" t="str">
        <f>IF(Tableau4478910111213141516171819[[#This Row],[Date]]="","",24-C388)</f>
        <v/>
      </c>
      <c r="E388" s="13"/>
      <c r="F388" s="34" t="str">
        <f>IF(Tableau4478910111213141516171819[[#This Row],[Date]]="","",Tableau4478910111213141516171819[[#This Row],[Versement]]*Variables!$F$12)</f>
        <v/>
      </c>
      <c r="G388" s="34" t="str">
        <f>IF(Tableau4478910111213141516171819[[#This Row],[Date]]="","",(E388*(1+($C$372)/24)^V.Complémentaires!D388)-E388)</f>
        <v/>
      </c>
    </row>
    <row r="389" spans="2:7" ht="20.100000000000001" customHeight="1" x14ac:dyDescent="0.3">
      <c r="B389" s="13"/>
      <c r="C389" s="16" t="str">
        <f>IF(Tableau4478910111213141516171819[[#This Row],[Date]]="","",INT(DAYS360(DATE(YEAR(B389),1,1),B389,TRUE)/15)+1)</f>
        <v/>
      </c>
      <c r="D389" s="13" t="str">
        <f>IF(Tableau4478910111213141516171819[[#This Row],[Date]]="","",24-C389)</f>
        <v/>
      </c>
      <c r="E389" s="13"/>
      <c r="F389" s="34" t="str">
        <f>IF(Tableau4478910111213141516171819[[#This Row],[Date]]="","",Tableau4478910111213141516171819[[#This Row],[Versement]]*Variables!$F$12)</f>
        <v/>
      </c>
      <c r="G389" s="34" t="str">
        <f>IF(Tableau4478910111213141516171819[[#This Row],[Date]]="","",(E389*(1+($C$372)/24)^V.Complémentaires!D389)-E389)</f>
        <v/>
      </c>
    </row>
    <row r="390" spans="2:7" ht="20.100000000000001" customHeight="1" x14ac:dyDescent="0.3">
      <c r="B390" s="13"/>
      <c r="C390" s="16" t="str">
        <f>IF(Tableau4478910111213141516171819[[#This Row],[Date]]="","",INT(DAYS360(DATE(YEAR(B390),1,1),B390,TRUE)/15)+1)</f>
        <v/>
      </c>
      <c r="D390" s="13" t="str">
        <f>IF(Tableau4478910111213141516171819[[#This Row],[Date]]="","",24-C390)</f>
        <v/>
      </c>
      <c r="E390" s="13"/>
      <c r="F390" s="34" t="str">
        <f>IF(Tableau4478910111213141516171819[[#This Row],[Date]]="","",Tableau4478910111213141516171819[[#This Row],[Versement]]*Variables!$F$12)</f>
        <v/>
      </c>
      <c r="G390" s="34" t="str">
        <f>IF(Tableau4478910111213141516171819[[#This Row],[Date]]="","",(E390*(1+($C$372)/24)^V.Complémentaires!D390)-E390)</f>
        <v/>
      </c>
    </row>
    <row r="391" spans="2:7" ht="20.100000000000001" customHeight="1" x14ac:dyDescent="0.3">
      <c r="B391" s="13"/>
      <c r="C391" s="13"/>
      <c r="D391" s="13"/>
      <c r="E391" s="13">
        <f>SUM(Tableau4478910111213141516171819[Versement])</f>
        <v>0</v>
      </c>
      <c r="F391" s="34">
        <f>SUBTOTAL(109,Tableau4478910111213141516171819[Frais de versement])</f>
        <v>0</v>
      </c>
      <c r="G391" s="34">
        <f>SUM(Tableau4478910111213141516171819[Interet])</f>
        <v>0</v>
      </c>
    </row>
    <row r="396" spans="2:7" ht="20.100000000000001" customHeight="1" thickBot="1" x14ac:dyDescent="0.35"/>
    <row r="397" spans="2:7" ht="20.100000000000001" customHeight="1" thickBot="1" x14ac:dyDescent="0.35">
      <c r="B397" s="10" t="s">
        <v>7</v>
      </c>
      <c r="C397" s="19">
        <f ca="1">C371+1</f>
        <v>2029</v>
      </c>
      <c r="D397" s="13"/>
      <c r="E397" s="13"/>
      <c r="F397" s="34"/>
      <c r="G397" s="34"/>
    </row>
    <row r="398" spans="2:7" ht="20.100000000000001" customHeight="1" thickBot="1" x14ac:dyDescent="0.35">
      <c r="B398" s="14" t="s">
        <v>23</v>
      </c>
      <c r="C398" s="20">
        <f ca="1">IF('Tableau Projection'!I22="","",VLOOKUP(C397,'Tableau Projection'!$C$6:$L$28,7,FALSE))</f>
        <v>1.0500000000000001E-2</v>
      </c>
      <c r="D398" s="13"/>
      <c r="E398" s="13"/>
      <c r="F398" s="34"/>
      <c r="G398" s="34"/>
    </row>
    <row r="399" spans="2:7" ht="35.1" customHeight="1" x14ac:dyDescent="0.3">
      <c r="B399" s="13" t="s">
        <v>18</v>
      </c>
      <c r="C399" s="18" t="s">
        <v>22</v>
      </c>
      <c r="D399" s="13" t="s">
        <v>19</v>
      </c>
      <c r="E399" s="13" t="s">
        <v>20</v>
      </c>
      <c r="F399" s="57" t="s">
        <v>3</v>
      </c>
      <c r="G399" s="34" t="s">
        <v>21</v>
      </c>
    </row>
    <row r="400" spans="2:7" ht="20.100000000000001" customHeight="1" x14ac:dyDescent="0.3">
      <c r="B400" s="15"/>
      <c r="C400" s="16" t="str">
        <f>IF(Tableau447891011121314151617181920[[#This Row],[Date]]="","",INT(DAYS360(DATE(YEAR(B400),1,1),B400,TRUE)/15)+1)</f>
        <v/>
      </c>
      <c r="D400" s="13" t="str">
        <f>IF(Tableau447891011121314151617181920[[#This Row],[Date]]="","",24-C400)</f>
        <v/>
      </c>
      <c r="E400" s="17"/>
      <c r="F400" s="34" t="str">
        <f>IF(Tableau447891011121314151617181920[[#This Row],[Date]]="","",Tableau447891011121314151617181920[[#This Row],[Versement]]*Variables!$F$12)</f>
        <v/>
      </c>
      <c r="G400" s="34" t="str">
        <f>IF(Tableau447891011121314151617181920[[#This Row],[Date]]="","",(E400*(1+($C$398)/24)^V.Complémentaires!D400)-E400)</f>
        <v/>
      </c>
    </row>
    <row r="401" spans="2:7" ht="20.100000000000001" customHeight="1" x14ac:dyDescent="0.3">
      <c r="B401" s="15"/>
      <c r="C401" s="16" t="str">
        <f>IF(Tableau447891011121314151617181920[[#This Row],[Date]]="","",INT(DAYS360(DATE(YEAR(B401),1,1),B401,TRUE)/15)+1)</f>
        <v/>
      </c>
      <c r="D401" s="13" t="str">
        <f>IF(Tableau447891011121314151617181920[[#This Row],[Date]]="","",24-C401)</f>
        <v/>
      </c>
      <c r="E401" s="13"/>
      <c r="F401" s="34" t="str">
        <f>IF(Tableau447891011121314151617181920[[#This Row],[Date]]="","",Tableau447891011121314151617181920[[#This Row],[Versement]]*Variables!$F$12)</f>
        <v/>
      </c>
      <c r="G401" s="34" t="str">
        <f>IF(Tableau447891011121314151617181920[[#This Row],[Date]]="","",(E401*(1+($C$398)/24)^V.Complémentaires!D401)-E401)</f>
        <v/>
      </c>
    </row>
    <row r="402" spans="2:7" ht="20.100000000000001" customHeight="1" x14ac:dyDescent="0.3">
      <c r="B402" s="15"/>
      <c r="C402" s="16" t="str">
        <f>IF(Tableau447891011121314151617181920[[#This Row],[Date]]="","",INT(DAYS360(DATE(YEAR(B402),1,1),B402,TRUE)/15)+1)</f>
        <v/>
      </c>
      <c r="D402" s="13" t="str">
        <f>IF(Tableau447891011121314151617181920[[#This Row],[Date]]="","",24-C402)</f>
        <v/>
      </c>
      <c r="E402" s="13"/>
      <c r="F402" s="34" t="str">
        <f>IF(Tableau447891011121314151617181920[[#This Row],[Date]]="","",Tableau447891011121314151617181920[[#This Row],[Versement]]*Variables!$F$12)</f>
        <v/>
      </c>
      <c r="G402" s="34" t="str">
        <f>IF(Tableau447891011121314151617181920[[#This Row],[Date]]="","",(E402*(1+($C$398)/24)^V.Complémentaires!D402)-E402)</f>
        <v/>
      </c>
    </row>
    <row r="403" spans="2:7" ht="20.100000000000001" customHeight="1" x14ac:dyDescent="0.3">
      <c r="B403" s="13"/>
      <c r="C403" s="16" t="str">
        <f>IF(Tableau447891011121314151617181920[[#This Row],[Date]]="","",INT(DAYS360(DATE(YEAR(B403),1,1),B403,TRUE)/15)+1)</f>
        <v/>
      </c>
      <c r="D403" s="13" t="str">
        <f>IF(Tableau447891011121314151617181920[[#This Row],[Date]]="","",24-C403)</f>
        <v/>
      </c>
      <c r="E403" s="13"/>
      <c r="F403" s="34" t="str">
        <f>IF(Tableau447891011121314151617181920[[#This Row],[Date]]="","",Tableau447891011121314151617181920[[#This Row],[Versement]]*Variables!$F$12)</f>
        <v/>
      </c>
      <c r="G403" s="34" t="str">
        <f>IF(Tableau447891011121314151617181920[[#This Row],[Date]]="","",(E403*(1+($C$398)/24)^V.Complémentaires!D403)-E403)</f>
        <v/>
      </c>
    </row>
    <row r="404" spans="2:7" ht="20.100000000000001" customHeight="1" x14ac:dyDescent="0.3">
      <c r="B404" s="13"/>
      <c r="C404" s="16" t="str">
        <f>IF(Tableau447891011121314151617181920[[#This Row],[Date]]="","",INT(DAYS360(DATE(YEAR(B404),1,1),B404,TRUE)/15)+1)</f>
        <v/>
      </c>
      <c r="D404" s="13" t="str">
        <f>IF(Tableau447891011121314151617181920[[#This Row],[Date]]="","",24-C404)</f>
        <v/>
      </c>
      <c r="E404" s="13"/>
      <c r="F404" s="34" t="str">
        <f>IF(Tableau447891011121314151617181920[[#This Row],[Date]]="","",Tableau447891011121314151617181920[[#This Row],[Versement]]*Variables!$F$12)</f>
        <v/>
      </c>
      <c r="G404" s="34" t="str">
        <f>IF(Tableau447891011121314151617181920[[#This Row],[Date]]="","",(E404*(1+($C$398)/24)^V.Complémentaires!D404)-E404)</f>
        <v/>
      </c>
    </row>
    <row r="405" spans="2:7" ht="20.100000000000001" customHeight="1" x14ac:dyDescent="0.3">
      <c r="B405" s="13"/>
      <c r="C405" s="16" t="str">
        <f>IF(Tableau447891011121314151617181920[[#This Row],[Date]]="","",INT(DAYS360(DATE(YEAR(B405),1,1),B405,TRUE)/15)+1)</f>
        <v/>
      </c>
      <c r="D405" s="13" t="str">
        <f>IF(Tableau447891011121314151617181920[[#This Row],[Date]]="","",24-C405)</f>
        <v/>
      </c>
      <c r="E405" s="13"/>
      <c r="F405" s="34" t="str">
        <f>IF(Tableau447891011121314151617181920[[#This Row],[Date]]="","",Tableau447891011121314151617181920[[#This Row],[Versement]]*Variables!$F$12)</f>
        <v/>
      </c>
      <c r="G405" s="34" t="str">
        <f>IF(Tableau447891011121314151617181920[[#This Row],[Date]]="","",(E405*(1+($C$398)/24)^V.Complémentaires!D405)-E405)</f>
        <v/>
      </c>
    </row>
    <row r="406" spans="2:7" ht="20.100000000000001" customHeight="1" x14ac:dyDescent="0.3">
      <c r="B406" s="13"/>
      <c r="C406" s="16" t="str">
        <f>IF(Tableau447891011121314151617181920[[#This Row],[Date]]="","",INT(DAYS360(DATE(YEAR(B406),1,1),B406,TRUE)/15)+1)</f>
        <v/>
      </c>
      <c r="D406" s="13" t="str">
        <f>IF(Tableau447891011121314151617181920[[#This Row],[Date]]="","",24-C406)</f>
        <v/>
      </c>
      <c r="E406" s="13"/>
      <c r="F406" s="34" t="str">
        <f>IF(Tableau447891011121314151617181920[[#This Row],[Date]]="","",Tableau447891011121314151617181920[[#This Row],[Versement]]*Variables!$F$12)</f>
        <v/>
      </c>
      <c r="G406" s="34" t="str">
        <f>IF(Tableau447891011121314151617181920[[#This Row],[Date]]="","",(E406*(1+($C$398)/24)^V.Complémentaires!D406)-E406)</f>
        <v/>
      </c>
    </row>
    <row r="407" spans="2:7" ht="20.100000000000001" customHeight="1" x14ac:dyDescent="0.3">
      <c r="B407" s="13"/>
      <c r="C407" s="16" t="str">
        <f>IF(Tableau447891011121314151617181920[[#This Row],[Date]]="","",INT(DAYS360(DATE(YEAR(B407),1,1),B407,TRUE)/15)+1)</f>
        <v/>
      </c>
      <c r="D407" s="13" t="str">
        <f>IF(Tableau447891011121314151617181920[[#This Row],[Date]]="","",24-C407)</f>
        <v/>
      </c>
      <c r="E407" s="13"/>
      <c r="F407" s="34" t="str">
        <f>IF(Tableau447891011121314151617181920[[#This Row],[Date]]="","",Tableau447891011121314151617181920[[#This Row],[Versement]]*Variables!$F$12)</f>
        <v/>
      </c>
      <c r="G407" s="34" t="str">
        <f>IF(Tableau447891011121314151617181920[[#This Row],[Date]]="","",(E407*(1+($C$398)/24)^V.Complémentaires!D407)-E407)</f>
        <v/>
      </c>
    </row>
    <row r="408" spans="2:7" ht="20.100000000000001" customHeight="1" x14ac:dyDescent="0.3">
      <c r="B408" s="15"/>
      <c r="C408" s="16" t="str">
        <f>IF(Tableau447891011121314151617181920[[#This Row],[Date]]="","",INT(DAYS360(DATE(YEAR(B408),1,1),B408,TRUE)/15)+1)</f>
        <v/>
      </c>
      <c r="D408" s="13" t="str">
        <f>IF(Tableau447891011121314151617181920[[#This Row],[Date]]="","",24-C408)</f>
        <v/>
      </c>
      <c r="E408" s="13"/>
      <c r="F408" s="34" t="str">
        <f>IF(Tableau447891011121314151617181920[[#This Row],[Date]]="","",Tableau447891011121314151617181920[[#This Row],[Versement]]*Variables!$F$12)</f>
        <v/>
      </c>
      <c r="G408" s="34" t="str">
        <f>IF(Tableau447891011121314151617181920[[#This Row],[Date]]="","",(E408*(1+($C$398)/24)^V.Complémentaires!D408)-E408)</f>
        <v/>
      </c>
    </row>
    <row r="409" spans="2:7" ht="20.100000000000001" customHeight="1" x14ac:dyDescent="0.3">
      <c r="B409" s="13"/>
      <c r="C409" s="16" t="str">
        <f>IF(Tableau447891011121314151617181920[[#This Row],[Date]]="","",INT(DAYS360(DATE(YEAR(B409),1,1),B409,TRUE)/15)+1)</f>
        <v/>
      </c>
      <c r="D409" s="13" t="str">
        <f>IF(Tableau447891011121314151617181920[[#This Row],[Date]]="","",24-C409)</f>
        <v/>
      </c>
      <c r="E409" s="13"/>
      <c r="F409" s="34" t="str">
        <f>IF(Tableau447891011121314151617181920[[#This Row],[Date]]="","",Tableau447891011121314151617181920[[#This Row],[Versement]]*Variables!$F$12)</f>
        <v/>
      </c>
      <c r="G409" s="34" t="str">
        <f>IF(Tableau447891011121314151617181920[[#This Row],[Date]]="","",(E409*(1+($C$398)/24)^V.Complémentaires!D409)-E409)</f>
        <v/>
      </c>
    </row>
    <row r="410" spans="2:7" ht="20.100000000000001" customHeight="1" x14ac:dyDescent="0.3">
      <c r="B410" s="13"/>
      <c r="C410" s="16" t="str">
        <f>IF(Tableau447891011121314151617181920[[#This Row],[Date]]="","",INT(DAYS360(DATE(YEAR(B410),1,1),B410,TRUE)/15)+1)</f>
        <v/>
      </c>
      <c r="D410" s="13" t="str">
        <f>IF(Tableau447891011121314151617181920[[#This Row],[Date]]="","",24-C410)</f>
        <v/>
      </c>
      <c r="E410" s="13"/>
      <c r="F410" s="34" t="str">
        <f>IF(Tableau447891011121314151617181920[[#This Row],[Date]]="","",Tableau447891011121314151617181920[[#This Row],[Versement]]*Variables!$F$12)</f>
        <v/>
      </c>
      <c r="G410" s="34" t="str">
        <f>IF(Tableau447891011121314151617181920[[#This Row],[Date]]="","",(E410*(1+($C$398)/24)^V.Complémentaires!D410)-E410)</f>
        <v/>
      </c>
    </row>
    <row r="411" spans="2:7" ht="20.100000000000001" customHeight="1" x14ac:dyDescent="0.3">
      <c r="B411" s="13"/>
      <c r="C411" s="16" t="str">
        <f>IF(Tableau447891011121314151617181920[[#This Row],[Date]]="","",INT(DAYS360(DATE(YEAR(B411),1,1),B411,TRUE)/15)+1)</f>
        <v/>
      </c>
      <c r="D411" s="13" t="str">
        <f>IF(Tableau447891011121314151617181920[[#This Row],[Date]]="","",24-C411)</f>
        <v/>
      </c>
      <c r="E411" s="13"/>
      <c r="F411" s="34" t="str">
        <f>IF(Tableau447891011121314151617181920[[#This Row],[Date]]="","",Tableau447891011121314151617181920[[#This Row],[Versement]]*Variables!$F$12)</f>
        <v/>
      </c>
      <c r="G411" s="34" t="str">
        <f>IF(Tableau447891011121314151617181920[[#This Row],[Date]]="","",(E411*(1+($C$398)/24)^V.Complémentaires!D411)-E411)</f>
        <v/>
      </c>
    </row>
    <row r="412" spans="2:7" ht="20.100000000000001" customHeight="1" x14ac:dyDescent="0.3">
      <c r="B412" s="13"/>
      <c r="C412" s="16" t="str">
        <f>IF(Tableau447891011121314151617181920[[#This Row],[Date]]="","",INT(DAYS360(DATE(YEAR(B412),1,1),B412,TRUE)/15)+1)</f>
        <v/>
      </c>
      <c r="D412" s="13" t="str">
        <f>IF(Tableau447891011121314151617181920[[#This Row],[Date]]="","",24-C412)</f>
        <v/>
      </c>
      <c r="E412" s="13"/>
      <c r="F412" s="34" t="str">
        <f>IF(Tableau447891011121314151617181920[[#This Row],[Date]]="","",Tableau447891011121314151617181920[[#This Row],[Versement]]*Variables!$F$12)</f>
        <v/>
      </c>
      <c r="G412" s="34" t="str">
        <f>IF(Tableau447891011121314151617181920[[#This Row],[Date]]="","",(E412*(1+($C$398)/24)^V.Complémentaires!D412)-E412)</f>
        <v/>
      </c>
    </row>
    <row r="413" spans="2:7" ht="20.100000000000001" customHeight="1" x14ac:dyDescent="0.3">
      <c r="B413" s="13"/>
      <c r="C413" s="16" t="str">
        <f>IF(Tableau447891011121314151617181920[[#This Row],[Date]]="","",INT(DAYS360(DATE(YEAR(B413),1,1),B413,TRUE)/15)+1)</f>
        <v/>
      </c>
      <c r="D413" s="13" t="str">
        <f>IF(Tableau447891011121314151617181920[[#This Row],[Date]]="","",24-C413)</f>
        <v/>
      </c>
      <c r="E413" s="13"/>
      <c r="F413" s="34" t="str">
        <f>IF(Tableau447891011121314151617181920[[#This Row],[Date]]="","",Tableau447891011121314151617181920[[#This Row],[Versement]]*Variables!$F$12)</f>
        <v/>
      </c>
      <c r="G413" s="34" t="str">
        <f>IF(Tableau447891011121314151617181920[[#This Row],[Date]]="","",(E413*(1+($C$398)/24)^V.Complémentaires!D413)-E413)</f>
        <v/>
      </c>
    </row>
    <row r="414" spans="2:7" ht="20.100000000000001" customHeight="1" x14ac:dyDescent="0.3">
      <c r="B414" s="13"/>
      <c r="C414" s="16" t="str">
        <f>IF(Tableau447891011121314151617181920[[#This Row],[Date]]="","",INT(DAYS360(DATE(YEAR(B414),1,1),B414,TRUE)/15)+1)</f>
        <v/>
      </c>
      <c r="D414" s="13" t="str">
        <f>IF(Tableau447891011121314151617181920[[#This Row],[Date]]="","",24-C414)</f>
        <v/>
      </c>
      <c r="E414" s="13"/>
      <c r="F414" s="34" t="str">
        <f>IF(Tableau447891011121314151617181920[[#This Row],[Date]]="","",Tableau447891011121314151617181920[[#This Row],[Versement]]*Variables!$F$12)</f>
        <v/>
      </c>
      <c r="G414" s="34" t="str">
        <f>IF(Tableau447891011121314151617181920[[#This Row],[Date]]="","",(E414*(1+($C$398)/24)^V.Complémentaires!D414)-E414)</f>
        <v/>
      </c>
    </row>
    <row r="415" spans="2:7" ht="20.100000000000001" customHeight="1" x14ac:dyDescent="0.3">
      <c r="B415" s="13"/>
      <c r="C415" s="16" t="str">
        <f>IF(Tableau447891011121314151617181920[[#This Row],[Date]]="","",INT(DAYS360(DATE(YEAR(B415),1,1),B415,TRUE)/15)+1)</f>
        <v/>
      </c>
      <c r="D415" s="13" t="str">
        <f>IF(Tableau447891011121314151617181920[[#This Row],[Date]]="","",24-C415)</f>
        <v/>
      </c>
      <c r="E415" s="13"/>
      <c r="F415" s="34" t="str">
        <f>IF(Tableau447891011121314151617181920[[#This Row],[Date]]="","",Tableau447891011121314151617181920[[#This Row],[Versement]]*Variables!$F$12)</f>
        <v/>
      </c>
      <c r="G415" s="34" t="str">
        <f>IF(Tableau447891011121314151617181920[[#This Row],[Date]]="","",(E415*(1+($C$398)/24)^V.Complémentaires!D415)-E415)</f>
        <v/>
      </c>
    </row>
    <row r="416" spans="2:7" ht="20.100000000000001" customHeight="1" x14ac:dyDescent="0.3">
      <c r="B416" s="13"/>
      <c r="C416" s="16" t="str">
        <f>IF(Tableau447891011121314151617181920[[#This Row],[Date]]="","",INT(DAYS360(DATE(YEAR(B416),1,1),B416,TRUE)/15)+1)</f>
        <v/>
      </c>
      <c r="D416" s="13" t="str">
        <f>IF(Tableau447891011121314151617181920[[#This Row],[Date]]="","",24-C416)</f>
        <v/>
      </c>
      <c r="E416" s="13"/>
      <c r="F416" s="34" t="str">
        <f>IF(Tableau447891011121314151617181920[[#This Row],[Date]]="","",Tableau447891011121314151617181920[[#This Row],[Versement]]*Variables!$F$12)</f>
        <v/>
      </c>
      <c r="G416" s="34" t="str">
        <f>IF(Tableau447891011121314151617181920[[#This Row],[Date]]="","",(E416*(1+($C$398)/24)^V.Complémentaires!D416)-E416)</f>
        <v/>
      </c>
    </row>
    <row r="417" spans="2:7" ht="20.100000000000001" customHeight="1" x14ac:dyDescent="0.3">
      <c r="B417" s="13"/>
      <c r="C417" s="13"/>
      <c r="D417" s="13"/>
      <c r="E417" s="13">
        <f>SUM(Tableau447891011121314151617181920[Versement])</f>
        <v>0</v>
      </c>
      <c r="F417" s="34">
        <f>SUBTOTAL(109,Tableau447891011121314151617181920[Frais de versement])</f>
        <v>0</v>
      </c>
      <c r="G417" s="34">
        <f>SUM(Tableau447891011121314151617181920[Interet])</f>
        <v>0</v>
      </c>
    </row>
    <row r="422" spans="2:7" ht="20.100000000000001" customHeight="1" thickBot="1" x14ac:dyDescent="0.35"/>
    <row r="423" spans="2:7" ht="20.100000000000001" customHeight="1" thickBot="1" x14ac:dyDescent="0.35">
      <c r="B423" s="10" t="s">
        <v>7</v>
      </c>
      <c r="C423" s="19">
        <f ca="1">C397+1</f>
        <v>2030</v>
      </c>
      <c r="D423" s="13"/>
      <c r="E423" s="13"/>
      <c r="F423" s="34"/>
      <c r="G423" s="34"/>
    </row>
    <row r="424" spans="2:7" ht="20.100000000000001" customHeight="1" thickBot="1" x14ac:dyDescent="0.35">
      <c r="B424" s="14" t="s">
        <v>23</v>
      </c>
      <c r="C424" s="20">
        <f ca="1">IF('Tableau Projection'!I23="","",VLOOKUP(C423,'Tableau Projection'!$C$6:$L$28,7,FALSE))</f>
        <v>1.0500000000000001E-2</v>
      </c>
      <c r="D424" s="13"/>
      <c r="E424" s="13"/>
      <c r="F424" s="34"/>
      <c r="G424" s="34"/>
    </row>
    <row r="425" spans="2:7" ht="35.1" customHeight="1" x14ac:dyDescent="0.3">
      <c r="B425" s="13" t="s">
        <v>18</v>
      </c>
      <c r="C425" s="18" t="s">
        <v>22</v>
      </c>
      <c r="D425" s="13" t="s">
        <v>19</v>
      </c>
      <c r="E425" s="13" t="s">
        <v>20</v>
      </c>
      <c r="F425" s="57" t="s">
        <v>3</v>
      </c>
      <c r="G425" s="34" t="s">
        <v>21</v>
      </c>
    </row>
    <row r="426" spans="2:7" ht="20.100000000000001" customHeight="1" x14ac:dyDescent="0.3">
      <c r="B426" s="15"/>
      <c r="C426" s="16" t="str">
        <f>IF(Tableau44789101112131415161718192021[[#This Row],[Date]]="","",INT(DAYS360(DATE(YEAR(B426),1,1),B426,TRUE)/15)+1)</f>
        <v/>
      </c>
      <c r="D426" s="13" t="str">
        <f>IF(Tableau44789101112131415161718192021[[#This Row],[Date]]="","",24-C426)</f>
        <v/>
      </c>
      <c r="E426" s="17"/>
      <c r="F426" s="34" t="str">
        <f>IF(Tableau44789101112131415161718192021[[#This Row],[Date]]="","",Tableau44789101112131415161718192021[[#This Row],[Versement]]*Variables!$F$12)</f>
        <v/>
      </c>
      <c r="G426" s="34" t="str">
        <f>IF(Tableau44789101112131415161718192021[[#This Row],[Date]]="","",(E426*(1+($C$424)/24)^V.Complémentaires!D426)-E426)</f>
        <v/>
      </c>
    </row>
    <row r="427" spans="2:7" ht="20.100000000000001" customHeight="1" x14ac:dyDescent="0.3">
      <c r="B427" s="15"/>
      <c r="C427" s="16" t="str">
        <f>IF(Tableau44789101112131415161718192021[[#This Row],[Date]]="","",INT(DAYS360(DATE(YEAR(B427),1,1),B427,TRUE)/15)+1)</f>
        <v/>
      </c>
      <c r="D427" s="13" t="str">
        <f>IF(Tableau44789101112131415161718192021[[#This Row],[Date]]="","",24-C427)</f>
        <v/>
      </c>
      <c r="E427" s="13"/>
      <c r="F427" s="34" t="str">
        <f>IF(Tableau44789101112131415161718192021[[#This Row],[Date]]="","",Tableau44789101112131415161718192021[[#This Row],[Versement]]*Variables!$F$12)</f>
        <v/>
      </c>
      <c r="G427" s="34" t="str">
        <f>IF(Tableau44789101112131415161718192021[[#This Row],[Date]]="","",(E427*(1+($C$424)/24)^V.Complémentaires!D427)-E427)</f>
        <v/>
      </c>
    </row>
    <row r="428" spans="2:7" ht="20.100000000000001" customHeight="1" x14ac:dyDescent="0.3">
      <c r="B428" s="15"/>
      <c r="C428" s="16" t="str">
        <f>IF(Tableau44789101112131415161718192021[[#This Row],[Date]]="","",INT(DAYS360(DATE(YEAR(B428),1,1),B428,TRUE)/15)+1)</f>
        <v/>
      </c>
      <c r="D428" s="13" t="str">
        <f>IF(Tableau44789101112131415161718192021[[#This Row],[Date]]="","",24-C428)</f>
        <v/>
      </c>
      <c r="E428" s="13"/>
      <c r="F428" s="34" t="str">
        <f>IF(Tableau44789101112131415161718192021[[#This Row],[Date]]="","",Tableau44789101112131415161718192021[[#This Row],[Versement]]*Variables!$F$12)</f>
        <v/>
      </c>
      <c r="G428" s="34" t="str">
        <f>IF(Tableau44789101112131415161718192021[[#This Row],[Date]]="","",(E428*(1+($C$424)/24)^V.Complémentaires!D428)-E428)</f>
        <v/>
      </c>
    </row>
    <row r="429" spans="2:7" ht="20.100000000000001" customHeight="1" x14ac:dyDescent="0.3">
      <c r="B429" s="13"/>
      <c r="C429" s="16" t="str">
        <f>IF(Tableau44789101112131415161718192021[[#This Row],[Date]]="","",INT(DAYS360(DATE(YEAR(B429),1,1),B429,TRUE)/15)+1)</f>
        <v/>
      </c>
      <c r="D429" s="13" t="str">
        <f>IF(Tableau44789101112131415161718192021[[#This Row],[Date]]="","",24-C429)</f>
        <v/>
      </c>
      <c r="E429" s="13"/>
      <c r="F429" s="34" t="str">
        <f>IF(Tableau44789101112131415161718192021[[#This Row],[Date]]="","",Tableau44789101112131415161718192021[[#This Row],[Versement]]*Variables!$F$12)</f>
        <v/>
      </c>
      <c r="G429" s="34" t="str">
        <f>IF(Tableau44789101112131415161718192021[[#This Row],[Date]]="","",(E429*(1+($C$424)/24)^V.Complémentaires!D429)-E429)</f>
        <v/>
      </c>
    </row>
    <row r="430" spans="2:7" ht="20.100000000000001" customHeight="1" x14ac:dyDescent="0.3">
      <c r="B430" s="13"/>
      <c r="C430" s="16" t="str">
        <f>IF(Tableau44789101112131415161718192021[[#This Row],[Date]]="","",INT(DAYS360(DATE(YEAR(B430),1,1),B430,TRUE)/15)+1)</f>
        <v/>
      </c>
      <c r="D430" s="13" t="str">
        <f>IF(Tableau44789101112131415161718192021[[#This Row],[Date]]="","",24-C430)</f>
        <v/>
      </c>
      <c r="E430" s="13"/>
      <c r="F430" s="34" t="str">
        <f>IF(Tableau44789101112131415161718192021[[#This Row],[Date]]="","",Tableau44789101112131415161718192021[[#This Row],[Versement]]*Variables!$F$12)</f>
        <v/>
      </c>
      <c r="G430" s="34" t="str">
        <f>IF(Tableau44789101112131415161718192021[[#This Row],[Date]]="","",(E430*(1+($C$424)/24)^V.Complémentaires!D430)-E430)</f>
        <v/>
      </c>
    </row>
    <row r="431" spans="2:7" ht="20.100000000000001" customHeight="1" x14ac:dyDescent="0.3">
      <c r="B431" s="13"/>
      <c r="C431" s="16" t="str">
        <f>IF(Tableau44789101112131415161718192021[[#This Row],[Date]]="","",INT(DAYS360(DATE(YEAR(B431),1,1),B431,TRUE)/15)+1)</f>
        <v/>
      </c>
      <c r="D431" s="13" t="str">
        <f>IF(Tableau44789101112131415161718192021[[#This Row],[Date]]="","",24-C431)</f>
        <v/>
      </c>
      <c r="E431" s="13"/>
      <c r="F431" s="34" t="str">
        <f>IF(Tableau44789101112131415161718192021[[#This Row],[Date]]="","",Tableau44789101112131415161718192021[[#This Row],[Versement]]*Variables!$F$12)</f>
        <v/>
      </c>
      <c r="G431" s="34" t="str">
        <f>IF(Tableau44789101112131415161718192021[[#This Row],[Date]]="","",(E431*(1+($C$424)/24)^V.Complémentaires!D431)-E431)</f>
        <v/>
      </c>
    </row>
    <row r="432" spans="2:7" ht="20.100000000000001" customHeight="1" x14ac:dyDescent="0.3">
      <c r="B432" s="13"/>
      <c r="C432" s="16" t="str">
        <f>IF(Tableau44789101112131415161718192021[[#This Row],[Date]]="","",INT(DAYS360(DATE(YEAR(B432),1,1),B432,TRUE)/15)+1)</f>
        <v/>
      </c>
      <c r="D432" s="13" t="str">
        <f>IF(Tableau44789101112131415161718192021[[#This Row],[Date]]="","",24-C432)</f>
        <v/>
      </c>
      <c r="E432" s="13"/>
      <c r="F432" s="34" t="str">
        <f>IF(Tableau44789101112131415161718192021[[#This Row],[Date]]="","",Tableau44789101112131415161718192021[[#This Row],[Versement]]*Variables!$F$12)</f>
        <v/>
      </c>
      <c r="G432" s="34" t="str">
        <f>IF(Tableau44789101112131415161718192021[[#This Row],[Date]]="","",(E432*(1+($C$424)/24)^V.Complémentaires!D432)-E432)</f>
        <v/>
      </c>
    </row>
    <row r="433" spans="2:7" ht="20.100000000000001" customHeight="1" x14ac:dyDescent="0.3">
      <c r="B433" s="13"/>
      <c r="C433" s="16" t="str">
        <f>IF(Tableau44789101112131415161718192021[[#This Row],[Date]]="","",INT(DAYS360(DATE(YEAR(B433),1,1),B433,TRUE)/15)+1)</f>
        <v/>
      </c>
      <c r="D433" s="13" t="str">
        <f>IF(Tableau44789101112131415161718192021[[#This Row],[Date]]="","",24-C433)</f>
        <v/>
      </c>
      <c r="E433" s="13"/>
      <c r="F433" s="34" t="str">
        <f>IF(Tableau44789101112131415161718192021[[#This Row],[Date]]="","",Tableau44789101112131415161718192021[[#This Row],[Versement]]*Variables!$F$12)</f>
        <v/>
      </c>
      <c r="G433" s="34" t="str">
        <f>IF(Tableau44789101112131415161718192021[[#This Row],[Date]]="","",(E433*(1+($C$424)/24)^V.Complémentaires!D433)-E433)</f>
        <v/>
      </c>
    </row>
    <row r="434" spans="2:7" ht="20.100000000000001" customHeight="1" x14ac:dyDescent="0.3">
      <c r="B434" s="15"/>
      <c r="C434" s="16" t="str">
        <f>IF(Tableau44789101112131415161718192021[[#This Row],[Date]]="","",INT(DAYS360(DATE(YEAR(B434),1,1),B434,TRUE)/15)+1)</f>
        <v/>
      </c>
      <c r="D434" s="13" t="str">
        <f>IF(Tableau44789101112131415161718192021[[#This Row],[Date]]="","",24-C434)</f>
        <v/>
      </c>
      <c r="E434" s="13"/>
      <c r="F434" s="34" t="str">
        <f>IF(Tableau44789101112131415161718192021[[#This Row],[Date]]="","",Tableau44789101112131415161718192021[[#This Row],[Versement]]*Variables!$F$12)</f>
        <v/>
      </c>
      <c r="G434" s="34" t="str">
        <f>IF(Tableau44789101112131415161718192021[[#This Row],[Date]]="","",(E434*(1+($C$424)/24)^V.Complémentaires!D434)-E434)</f>
        <v/>
      </c>
    </row>
    <row r="435" spans="2:7" ht="20.100000000000001" customHeight="1" x14ac:dyDescent="0.3">
      <c r="B435" s="13"/>
      <c r="C435" s="16" t="str">
        <f>IF(Tableau44789101112131415161718192021[[#This Row],[Date]]="","",INT(DAYS360(DATE(YEAR(B435),1,1),B435,TRUE)/15)+1)</f>
        <v/>
      </c>
      <c r="D435" s="13" t="str">
        <f>IF(Tableau44789101112131415161718192021[[#This Row],[Date]]="","",24-C435)</f>
        <v/>
      </c>
      <c r="E435" s="13"/>
      <c r="F435" s="34" t="str">
        <f>IF(Tableau44789101112131415161718192021[[#This Row],[Date]]="","",Tableau44789101112131415161718192021[[#This Row],[Versement]]*Variables!$F$12)</f>
        <v/>
      </c>
      <c r="G435" s="34" t="str">
        <f>IF(Tableau44789101112131415161718192021[[#This Row],[Date]]="","",(E435*(1+($C$424)/24)^V.Complémentaires!D435)-E435)</f>
        <v/>
      </c>
    </row>
    <row r="436" spans="2:7" ht="20.100000000000001" customHeight="1" x14ac:dyDescent="0.3">
      <c r="B436" s="13"/>
      <c r="C436" s="16" t="str">
        <f>IF(Tableau44789101112131415161718192021[[#This Row],[Date]]="","",INT(DAYS360(DATE(YEAR(B436),1,1),B436,TRUE)/15)+1)</f>
        <v/>
      </c>
      <c r="D436" s="13" t="str">
        <f>IF(Tableau44789101112131415161718192021[[#This Row],[Date]]="","",24-C436)</f>
        <v/>
      </c>
      <c r="E436" s="13"/>
      <c r="F436" s="34" t="str">
        <f>IF(Tableau44789101112131415161718192021[[#This Row],[Date]]="","",Tableau44789101112131415161718192021[[#This Row],[Versement]]*Variables!$F$12)</f>
        <v/>
      </c>
      <c r="G436" s="34" t="str">
        <f>IF(Tableau44789101112131415161718192021[[#This Row],[Date]]="","",(E436*(1+($C$424)/24)^V.Complémentaires!D436)-E436)</f>
        <v/>
      </c>
    </row>
    <row r="437" spans="2:7" ht="20.100000000000001" customHeight="1" x14ac:dyDescent="0.3">
      <c r="B437" s="13"/>
      <c r="C437" s="16" t="str">
        <f>IF(Tableau44789101112131415161718192021[[#This Row],[Date]]="","",INT(DAYS360(DATE(YEAR(B437),1,1),B437,TRUE)/15)+1)</f>
        <v/>
      </c>
      <c r="D437" s="13" t="str">
        <f>IF(Tableau44789101112131415161718192021[[#This Row],[Date]]="","",24-C437)</f>
        <v/>
      </c>
      <c r="E437" s="13"/>
      <c r="F437" s="34" t="str">
        <f>IF(Tableau44789101112131415161718192021[[#This Row],[Date]]="","",Tableau44789101112131415161718192021[[#This Row],[Versement]]*Variables!$F$12)</f>
        <v/>
      </c>
      <c r="G437" s="34" t="str">
        <f>IF(Tableau44789101112131415161718192021[[#This Row],[Date]]="","",(E437*(1+($C$424)/24)^V.Complémentaires!D437)-E437)</f>
        <v/>
      </c>
    </row>
    <row r="438" spans="2:7" ht="20.100000000000001" customHeight="1" x14ac:dyDescent="0.3">
      <c r="B438" s="13"/>
      <c r="C438" s="16" t="str">
        <f>IF(Tableau44789101112131415161718192021[[#This Row],[Date]]="","",INT(DAYS360(DATE(YEAR(B438),1,1),B438,TRUE)/15)+1)</f>
        <v/>
      </c>
      <c r="D438" s="13" t="str">
        <f>IF(Tableau44789101112131415161718192021[[#This Row],[Date]]="","",24-C438)</f>
        <v/>
      </c>
      <c r="E438" s="13"/>
      <c r="F438" s="34" t="str">
        <f>IF(Tableau44789101112131415161718192021[[#This Row],[Date]]="","",Tableau44789101112131415161718192021[[#This Row],[Versement]]*Variables!$F$12)</f>
        <v/>
      </c>
      <c r="G438" s="34" t="str">
        <f>IF(Tableau44789101112131415161718192021[[#This Row],[Date]]="","",(E438*(1+($C$424)/24)^V.Complémentaires!D438)-E438)</f>
        <v/>
      </c>
    </row>
    <row r="439" spans="2:7" ht="20.100000000000001" customHeight="1" x14ac:dyDescent="0.3">
      <c r="B439" s="13"/>
      <c r="C439" s="16" t="str">
        <f>IF(Tableau44789101112131415161718192021[[#This Row],[Date]]="","",INT(DAYS360(DATE(YEAR(B439),1,1),B439,TRUE)/15)+1)</f>
        <v/>
      </c>
      <c r="D439" s="13" t="str">
        <f>IF(Tableau44789101112131415161718192021[[#This Row],[Date]]="","",24-C439)</f>
        <v/>
      </c>
      <c r="E439" s="13"/>
      <c r="F439" s="34" t="str">
        <f>IF(Tableau44789101112131415161718192021[[#This Row],[Date]]="","",Tableau44789101112131415161718192021[[#This Row],[Versement]]*Variables!$F$12)</f>
        <v/>
      </c>
      <c r="G439" s="34" t="str">
        <f>IF(Tableau44789101112131415161718192021[[#This Row],[Date]]="","",(E439*(1+($C$424)/24)^V.Complémentaires!D439)-E439)</f>
        <v/>
      </c>
    </row>
    <row r="440" spans="2:7" ht="20.100000000000001" customHeight="1" x14ac:dyDescent="0.3">
      <c r="B440" s="13"/>
      <c r="C440" s="16" t="str">
        <f>IF(Tableau44789101112131415161718192021[[#This Row],[Date]]="","",INT(DAYS360(DATE(YEAR(B440),1,1),B440,TRUE)/15)+1)</f>
        <v/>
      </c>
      <c r="D440" s="13" t="str">
        <f>IF(Tableau44789101112131415161718192021[[#This Row],[Date]]="","",24-C440)</f>
        <v/>
      </c>
      <c r="E440" s="13"/>
      <c r="F440" s="34" t="str">
        <f>IF(Tableau44789101112131415161718192021[[#This Row],[Date]]="","",Tableau44789101112131415161718192021[[#This Row],[Versement]]*Variables!$F$12)</f>
        <v/>
      </c>
      <c r="G440" s="34" t="str">
        <f>IF(Tableau44789101112131415161718192021[[#This Row],[Date]]="","",(E440*(1+($C$424)/24)^V.Complémentaires!D440)-E440)</f>
        <v/>
      </c>
    </row>
    <row r="441" spans="2:7" ht="20.100000000000001" customHeight="1" x14ac:dyDescent="0.3">
      <c r="B441" s="13"/>
      <c r="C441" s="16" t="str">
        <f>IF(Tableau44789101112131415161718192021[[#This Row],[Date]]="","",INT(DAYS360(DATE(YEAR(B441),1,1),B441,TRUE)/15)+1)</f>
        <v/>
      </c>
      <c r="D441" s="13" t="str">
        <f>IF(Tableau44789101112131415161718192021[[#This Row],[Date]]="","",24-C441)</f>
        <v/>
      </c>
      <c r="E441" s="13"/>
      <c r="F441" s="34" t="str">
        <f>IF(Tableau44789101112131415161718192021[[#This Row],[Date]]="","",Tableau44789101112131415161718192021[[#This Row],[Versement]]*Variables!$F$12)</f>
        <v/>
      </c>
      <c r="G441" s="34" t="str">
        <f>IF(Tableau44789101112131415161718192021[[#This Row],[Date]]="","",(E441*(1+($C$424)/24)^V.Complémentaires!D441)-E441)</f>
        <v/>
      </c>
    </row>
    <row r="442" spans="2:7" ht="20.100000000000001" customHeight="1" x14ac:dyDescent="0.3">
      <c r="B442" s="13"/>
      <c r="C442" s="16" t="str">
        <f>IF(Tableau44789101112131415161718192021[[#This Row],[Date]]="","",INT(DAYS360(DATE(YEAR(B442),1,1),B442,TRUE)/15)+1)</f>
        <v/>
      </c>
      <c r="D442" s="13" t="str">
        <f>IF(Tableau44789101112131415161718192021[[#This Row],[Date]]="","",24-C442)</f>
        <v/>
      </c>
      <c r="E442" s="13"/>
      <c r="F442" s="34" t="str">
        <f>IF(Tableau44789101112131415161718192021[[#This Row],[Date]]="","",Tableau44789101112131415161718192021[[#This Row],[Versement]]*Variables!$F$12)</f>
        <v/>
      </c>
      <c r="G442" s="34" t="str">
        <f>IF(Tableau44789101112131415161718192021[[#This Row],[Date]]="","",(E442*(1+($C$424)/24)^V.Complémentaires!D442)-E442)</f>
        <v/>
      </c>
    </row>
    <row r="443" spans="2:7" ht="20.100000000000001" customHeight="1" x14ac:dyDescent="0.3">
      <c r="B443" s="13"/>
      <c r="C443" s="13"/>
      <c r="D443" s="13"/>
      <c r="E443" s="13">
        <f>SUM(Tableau44789101112131415161718192021[Versement])</f>
        <v>0</v>
      </c>
      <c r="F443" s="34">
        <f>SUBTOTAL(109,Tableau44789101112131415161718192021[Frais de versement])</f>
        <v>0</v>
      </c>
      <c r="G443" s="34">
        <f>SUM(Tableau44789101112131415161718192021[Interet])</f>
        <v>0</v>
      </c>
    </row>
    <row r="448" spans="2:7" ht="20.100000000000001" customHeight="1" thickBot="1" x14ac:dyDescent="0.35"/>
    <row r="449" spans="2:7" ht="20.100000000000001" customHeight="1" thickBot="1" x14ac:dyDescent="0.35">
      <c r="B449" s="10" t="s">
        <v>7</v>
      </c>
      <c r="C449" s="19">
        <f ca="1">C423+1</f>
        <v>2031</v>
      </c>
      <c r="D449" s="13"/>
      <c r="E449" s="13"/>
      <c r="F449" s="34"/>
      <c r="G449" s="34"/>
    </row>
    <row r="450" spans="2:7" ht="20.100000000000001" customHeight="1" thickBot="1" x14ac:dyDescent="0.35">
      <c r="B450" s="14" t="s">
        <v>23</v>
      </c>
      <c r="C450" s="20">
        <f ca="1">IF('Tableau Projection'!I24="","",VLOOKUP(C449,'Tableau Projection'!$C$6:$L$28,7,FALSE))</f>
        <v>1.0500000000000001E-2</v>
      </c>
      <c r="D450" s="13"/>
      <c r="E450" s="13"/>
      <c r="F450" s="34"/>
      <c r="G450" s="34"/>
    </row>
    <row r="451" spans="2:7" ht="35.1" customHeight="1" x14ac:dyDescent="0.3">
      <c r="B451" s="13" t="s">
        <v>18</v>
      </c>
      <c r="C451" s="18" t="s">
        <v>22</v>
      </c>
      <c r="D451" s="13" t="s">
        <v>19</v>
      </c>
      <c r="E451" s="13" t="s">
        <v>20</v>
      </c>
      <c r="F451" s="57" t="s">
        <v>3</v>
      </c>
      <c r="G451" s="34" t="s">
        <v>21</v>
      </c>
    </row>
    <row r="452" spans="2:7" ht="20.100000000000001" customHeight="1" x14ac:dyDescent="0.3">
      <c r="B452" s="15"/>
      <c r="C452" s="16" t="str">
        <f>IF(Tableau4478910111213141516171819202122[[#This Row],[Date]]="","",INT(DAYS360(DATE(YEAR(B452),1,1),B452,TRUE)/15)+1)</f>
        <v/>
      </c>
      <c r="D452" s="13" t="str">
        <f>IF(Tableau4478910111213141516171819202122[[#This Row],[Date]]="","",24-C452)</f>
        <v/>
      </c>
      <c r="E452" s="17"/>
      <c r="F452" s="34" t="str">
        <f>IF(Tableau4478910111213141516171819202122[[#This Row],[Date]]="","",Tableau4478910111213141516171819202122[[#This Row],[Versement]]*Variables!$F$12)</f>
        <v/>
      </c>
      <c r="G452" s="34" t="str">
        <f>IF(Tableau4478910111213141516171819202122[[#This Row],[Date]]="","",(E452*(1+($C$450)/24)^V.Complémentaires!D452)-E452)</f>
        <v/>
      </c>
    </row>
    <row r="453" spans="2:7" ht="20.100000000000001" customHeight="1" x14ac:dyDescent="0.3">
      <c r="B453" s="15"/>
      <c r="C453" s="16" t="str">
        <f>IF(Tableau4478910111213141516171819202122[[#This Row],[Date]]="","",INT(DAYS360(DATE(YEAR(B453),1,1),B453,TRUE)/15)+1)</f>
        <v/>
      </c>
      <c r="D453" s="13" t="str">
        <f>IF(Tableau4478910111213141516171819202122[[#This Row],[Date]]="","",24-C453)</f>
        <v/>
      </c>
      <c r="E453" s="13"/>
      <c r="F453" s="34" t="str">
        <f>IF(Tableau4478910111213141516171819202122[[#This Row],[Date]]="","",Tableau4478910111213141516171819202122[[#This Row],[Versement]]*Variables!$F$12)</f>
        <v/>
      </c>
      <c r="G453" s="34" t="str">
        <f>IF(Tableau4478910111213141516171819202122[[#This Row],[Date]]="","",(E453*(1+($C$450)/24)^V.Complémentaires!D453)-E453)</f>
        <v/>
      </c>
    </row>
    <row r="454" spans="2:7" ht="20.100000000000001" customHeight="1" x14ac:dyDescent="0.3">
      <c r="B454" s="15"/>
      <c r="C454" s="16" t="str">
        <f>IF(Tableau4478910111213141516171819202122[[#This Row],[Date]]="","",INT(DAYS360(DATE(YEAR(B454),1,1),B454,TRUE)/15)+1)</f>
        <v/>
      </c>
      <c r="D454" s="13" t="str">
        <f>IF(Tableau4478910111213141516171819202122[[#This Row],[Date]]="","",24-C454)</f>
        <v/>
      </c>
      <c r="E454" s="13"/>
      <c r="F454" s="34" t="str">
        <f>IF(Tableau4478910111213141516171819202122[[#This Row],[Date]]="","",Tableau4478910111213141516171819202122[[#This Row],[Versement]]*Variables!$F$12)</f>
        <v/>
      </c>
      <c r="G454" s="34" t="str">
        <f>IF(Tableau4478910111213141516171819202122[[#This Row],[Date]]="","",(E454*(1+($C$450)/24)^V.Complémentaires!D454)-E454)</f>
        <v/>
      </c>
    </row>
    <row r="455" spans="2:7" ht="20.100000000000001" customHeight="1" x14ac:dyDescent="0.3">
      <c r="B455" s="13"/>
      <c r="C455" s="16" t="str">
        <f>IF(Tableau4478910111213141516171819202122[[#This Row],[Date]]="","",INT(DAYS360(DATE(YEAR(B455),1,1),B455,TRUE)/15)+1)</f>
        <v/>
      </c>
      <c r="D455" s="13" t="str">
        <f>IF(Tableau4478910111213141516171819202122[[#This Row],[Date]]="","",24-C455)</f>
        <v/>
      </c>
      <c r="E455" s="13"/>
      <c r="F455" s="34" t="str">
        <f>IF(Tableau4478910111213141516171819202122[[#This Row],[Date]]="","",Tableau4478910111213141516171819202122[[#This Row],[Versement]]*Variables!$F$12)</f>
        <v/>
      </c>
      <c r="G455" s="34" t="str">
        <f>IF(Tableau4478910111213141516171819202122[[#This Row],[Date]]="","",(E455*(1+($C$450)/24)^V.Complémentaires!D455)-E455)</f>
        <v/>
      </c>
    </row>
    <row r="456" spans="2:7" ht="20.100000000000001" customHeight="1" x14ac:dyDescent="0.3">
      <c r="B456" s="13"/>
      <c r="C456" s="16" t="str">
        <f>IF(Tableau4478910111213141516171819202122[[#This Row],[Date]]="","",INT(DAYS360(DATE(YEAR(B456),1,1),B456,TRUE)/15)+1)</f>
        <v/>
      </c>
      <c r="D456" s="13" t="str">
        <f>IF(Tableau4478910111213141516171819202122[[#This Row],[Date]]="","",24-C456)</f>
        <v/>
      </c>
      <c r="E456" s="13"/>
      <c r="F456" s="34" t="str">
        <f>IF(Tableau4478910111213141516171819202122[[#This Row],[Date]]="","",Tableau4478910111213141516171819202122[[#This Row],[Versement]]*Variables!$F$12)</f>
        <v/>
      </c>
      <c r="G456" s="34" t="str">
        <f>IF(Tableau4478910111213141516171819202122[[#This Row],[Date]]="","",(E456*(1+($C$450)/24)^V.Complémentaires!D456)-E456)</f>
        <v/>
      </c>
    </row>
    <row r="457" spans="2:7" ht="20.100000000000001" customHeight="1" x14ac:dyDescent="0.3">
      <c r="B457" s="13"/>
      <c r="C457" s="16" t="str">
        <f>IF(Tableau4478910111213141516171819202122[[#This Row],[Date]]="","",INT(DAYS360(DATE(YEAR(B457),1,1),B457,TRUE)/15)+1)</f>
        <v/>
      </c>
      <c r="D457" s="13" t="str">
        <f>IF(Tableau4478910111213141516171819202122[[#This Row],[Date]]="","",24-C457)</f>
        <v/>
      </c>
      <c r="E457" s="13"/>
      <c r="F457" s="34" t="str">
        <f>IF(Tableau4478910111213141516171819202122[[#This Row],[Date]]="","",Tableau4478910111213141516171819202122[[#This Row],[Versement]]*Variables!$F$12)</f>
        <v/>
      </c>
      <c r="G457" s="34" t="str">
        <f>IF(Tableau4478910111213141516171819202122[[#This Row],[Date]]="","",(E457*(1+($C$450)/24)^V.Complémentaires!D457)-E457)</f>
        <v/>
      </c>
    </row>
    <row r="458" spans="2:7" ht="20.100000000000001" customHeight="1" x14ac:dyDescent="0.3">
      <c r="B458" s="13"/>
      <c r="C458" s="16" t="str">
        <f>IF(Tableau4478910111213141516171819202122[[#This Row],[Date]]="","",INT(DAYS360(DATE(YEAR(B458),1,1),B458,TRUE)/15)+1)</f>
        <v/>
      </c>
      <c r="D458" s="13" t="str">
        <f>IF(Tableau4478910111213141516171819202122[[#This Row],[Date]]="","",24-C458)</f>
        <v/>
      </c>
      <c r="E458" s="13"/>
      <c r="F458" s="34" t="str">
        <f>IF(Tableau4478910111213141516171819202122[[#This Row],[Date]]="","",Tableau4478910111213141516171819202122[[#This Row],[Versement]]*Variables!$F$12)</f>
        <v/>
      </c>
      <c r="G458" s="34" t="str">
        <f>IF(Tableau4478910111213141516171819202122[[#This Row],[Date]]="","",(E458*(1+($C$450)/24)^V.Complémentaires!D458)-E458)</f>
        <v/>
      </c>
    </row>
    <row r="459" spans="2:7" ht="20.100000000000001" customHeight="1" x14ac:dyDescent="0.3">
      <c r="B459" s="13"/>
      <c r="C459" s="16" t="str">
        <f>IF(Tableau4478910111213141516171819202122[[#This Row],[Date]]="","",INT(DAYS360(DATE(YEAR(B459),1,1),B459,TRUE)/15)+1)</f>
        <v/>
      </c>
      <c r="D459" s="13" t="str">
        <f>IF(Tableau4478910111213141516171819202122[[#This Row],[Date]]="","",24-C459)</f>
        <v/>
      </c>
      <c r="E459" s="13"/>
      <c r="F459" s="34" t="str">
        <f>IF(Tableau4478910111213141516171819202122[[#This Row],[Date]]="","",Tableau4478910111213141516171819202122[[#This Row],[Versement]]*Variables!$F$12)</f>
        <v/>
      </c>
      <c r="G459" s="34" t="str">
        <f>IF(Tableau4478910111213141516171819202122[[#This Row],[Date]]="","",(E459*(1+($C$450)/24)^V.Complémentaires!D459)-E459)</f>
        <v/>
      </c>
    </row>
    <row r="460" spans="2:7" ht="20.100000000000001" customHeight="1" x14ac:dyDescent="0.3">
      <c r="B460" s="15"/>
      <c r="C460" s="16" t="str">
        <f>IF(Tableau4478910111213141516171819202122[[#This Row],[Date]]="","",INT(DAYS360(DATE(YEAR(B460),1,1),B460,TRUE)/15)+1)</f>
        <v/>
      </c>
      <c r="D460" s="13" t="str">
        <f>IF(Tableau4478910111213141516171819202122[[#This Row],[Date]]="","",24-C460)</f>
        <v/>
      </c>
      <c r="E460" s="13"/>
      <c r="F460" s="34" t="str">
        <f>IF(Tableau4478910111213141516171819202122[[#This Row],[Date]]="","",Tableau4478910111213141516171819202122[[#This Row],[Versement]]*Variables!$F$12)</f>
        <v/>
      </c>
      <c r="G460" s="34" t="str">
        <f>IF(Tableau4478910111213141516171819202122[[#This Row],[Date]]="","",(E460*(1+($C$450)/24)^V.Complémentaires!D460)-E460)</f>
        <v/>
      </c>
    </row>
    <row r="461" spans="2:7" ht="20.100000000000001" customHeight="1" x14ac:dyDescent="0.3">
      <c r="B461" s="13"/>
      <c r="C461" s="16" t="str">
        <f>IF(Tableau4478910111213141516171819202122[[#This Row],[Date]]="","",INT(DAYS360(DATE(YEAR(B461),1,1),B461,TRUE)/15)+1)</f>
        <v/>
      </c>
      <c r="D461" s="13" t="str">
        <f>IF(Tableau4478910111213141516171819202122[[#This Row],[Date]]="","",24-C461)</f>
        <v/>
      </c>
      <c r="E461" s="13"/>
      <c r="F461" s="34" t="str">
        <f>IF(Tableau4478910111213141516171819202122[[#This Row],[Date]]="","",Tableau4478910111213141516171819202122[[#This Row],[Versement]]*Variables!$F$12)</f>
        <v/>
      </c>
      <c r="G461" s="34" t="str">
        <f>IF(Tableau4478910111213141516171819202122[[#This Row],[Date]]="","",(E461*(1+($C$450)/24)^V.Complémentaires!D461)-E461)</f>
        <v/>
      </c>
    </row>
    <row r="462" spans="2:7" ht="20.100000000000001" customHeight="1" x14ac:dyDescent="0.3">
      <c r="B462" s="13"/>
      <c r="C462" s="16" t="str">
        <f>IF(Tableau4478910111213141516171819202122[[#This Row],[Date]]="","",INT(DAYS360(DATE(YEAR(B462),1,1),B462,TRUE)/15)+1)</f>
        <v/>
      </c>
      <c r="D462" s="13" t="str">
        <f>IF(Tableau4478910111213141516171819202122[[#This Row],[Date]]="","",24-C462)</f>
        <v/>
      </c>
      <c r="E462" s="13"/>
      <c r="F462" s="34" t="str">
        <f>IF(Tableau4478910111213141516171819202122[[#This Row],[Date]]="","",Tableau4478910111213141516171819202122[[#This Row],[Versement]]*Variables!$F$12)</f>
        <v/>
      </c>
      <c r="G462" s="34" t="str">
        <f>IF(Tableau4478910111213141516171819202122[[#This Row],[Date]]="","",(E462*(1+($C$450)/24)^V.Complémentaires!D462)-E462)</f>
        <v/>
      </c>
    </row>
    <row r="463" spans="2:7" ht="20.100000000000001" customHeight="1" x14ac:dyDescent="0.3">
      <c r="B463" s="13"/>
      <c r="C463" s="16" t="str">
        <f>IF(Tableau4478910111213141516171819202122[[#This Row],[Date]]="","",INT(DAYS360(DATE(YEAR(B463),1,1),B463,TRUE)/15)+1)</f>
        <v/>
      </c>
      <c r="D463" s="13" t="str">
        <f>IF(Tableau4478910111213141516171819202122[[#This Row],[Date]]="","",24-C463)</f>
        <v/>
      </c>
      <c r="E463" s="13"/>
      <c r="F463" s="34" t="str">
        <f>IF(Tableau4478910111213141516171819202122[[#This Row],[Date]]="","",Tableau4478910111213141516171819202122[[#This Row],[Versement]]*Variables!$F$12)</f>
        <v/>
      </c>
      <c r="G463" s="34" t="str">
        <f>IF(Tableau4478910111213141516171819202122[[#This Row],[Date]]="","",(E463*(1+($C$450)/24)^V.Complémentaires!D463)-E463)</f>
        <v/>
      </c>
    </row>
    <row r="464" spans="2:7" ht="20.100000000000001" customHeight="1" x14ac:dyDescent="0.3">
      <c r="B464" s="13"/>
      <c r="C464" s="16" t="str">
        <f>IF(Tableau4478910111213141516171819202122[[#This Row],[Date]]="","",INT(DAYS360(DATE(YEAR(B464),1,1),B464,TRUE)/15)+1)</f>
        <v/>
      </c>
      <c r="D464" s="13" t="str">
        <f>IF(Tableau4478910111213141516171819202122[[#This Row],[Date]]="","",24-C464)</f>
        <v/>
      </c>
      <c r="E464" s="13"/>
      <c r="F464" s="34" t="str">
        <f>IF(Tableau4478910111213141516171819202122[[#This Row],[Date]]="","",Tableau4478910111213141516171819202122[[#This Row],[Versement]]*Variables!$F$12)</f>
        <v/>
      </c>
      <c r="G464" s="34" t="str">
        <f>IF(Tableau4478910111213141516171819202122[[#This Row],[Date]]="","",(E464*(1+($C$450)/24)^V.Complémentaires!D464)-E464)</f>
        <v/>
      </c>
    </row>
    <row r="465" spans="2:7" ht="20.100000000000001" customHeight="1" x14ac:dyDescent="0.3">
      <c r="B465" s="13"/>
      <c r="C465" s="16" t="str">
        <f>IF(Tableau4478910111213141516171819202122[[#This Row],[Date]]="","",INT(DAYS360(DATE(YEAR(B465),1,1),B465,TRUE)/15)+1)</f>
        <v/>
      </c>
      <c r="D465" s="13" t="str">
        <f>IF(Tableau4478910111213141516171819202122[[#This Row],[Date]]="","",24-C465)</f>
        <v/>
      </c>
      <c r="E465" s="13"/>
      <c r="F465" s="34" t="str">
        <f>IF(Tableau4478910111213141516171819202122[[#This Row],[Date]]="","",Tableau4478910111213141516171819202122[[#This Row],[Versement]]*Variables!$F$12)</f>
        <v/>
      </c>
      <c r="G465" s="34" t="str">
        <f>IF(Tableau4478910111213141516171819202122[[#This Row],[Date]]="","",(E465*(1+($C$450)/24)^V.Complémentaires!D465)-E465)</f>
        <v/>
      </c>
    </row>
    <row r="466" spans="2:7" ht="20.100000000000001" customHeight="1" x14ac:dyDescent="0.3">
      <c r="B466" s="13"/>
      <c r="C466" s="16" t="str">
        <f>IF(Tableau4478910111213141516171819202122[[#This Row],[Date]]="","",INT(DAYS360(DATE(YEAR(B466),1,1),B466,TRUE)/15)+1)</f>
        <v/>
      </c>
      <c r="D466" s="13" t="str">
        <f>IF(Tableau4478910111213141516171819202122[[#This Row],[Date]]="","",24-C466)</f>
        <v/>
      </c>
      <c r="E466" s="13"/>
      <c r="F466" s="34" t="str">
        <f>IF(Tableau4478910111213141516171819202122[[#This Row],[Date]]="","",Tableau4478910111213141516171819202122[[#This Row],[Versement]]*Variables!$F$12)</f>
        <v/>
      </c>
      <c r="G466" s="34" t="str">
        <f>IF(Tableau4478910111213141516171819202122[[#This Row],[Date]]="","",(E466*(1+($C$450)/24)^V.Complémentaires!D466)-E466)</f>
        <v/>
      </c>
    </row>
    <row r="467" spans="2:7" ht="20.100000000000001" customHeight="1" x14ac:dyDescent="0.3">
      <c r="B467" s="13"/>
      <c r="C467" s="16" t="str">
        <f>IF(Tableau4478910111213141516171819202122[[#This Row],[Date]]="","",INT(DAYS360(DATE(YEAR(B467),1,1),B467,TRUE)/15)+1)</f>
        <v/>
      </c>
      <c r="D467" s="13" t="str">
        <f>IF(Tableau4478910111213141516171819202122[[#This Row],[Date]]="","",24-C467)</f>
        <v/>
      </c>
      <c r="E467" s="13"/>
      <c r="F467" s="34" t="str">
        <f>IF(Tableau4478910111213141516171819202122[[#This Row],[Date]]="","",Tableau4478910111213141516171819202122[[#This Row],[Versement]]*Variables!$F$12)</f>
        <v/>
      </c>
      <c r="G467" s="34" t="str">
        <f>IF(Tableau4478910111213141516171819202122[[#This Row],[Date]]="","",(E467*(1+($C$450)/24)^V.Complémentaires!D467)-E467)</f>
        <v/>
      </c>
    </row>
    <row r="468" spans="2:7" ht="20.100000000000001" customHeight="1" x14ac:dyDescent="0.3">
      <c r="B468" s="13"/>
      <c r="C468" s="16" t="str">
        <f>IF(Tableau4478910111213141516171819202122[[#This Row],[Date]]="","",INT(DAYS360(DATE(YEAR(B468),1,1),B468,TRUE)/15)+1)</f>
        <v/>
      </c>
      <c r="D468" s="13" t="str">
        <f>IF(Tableau4478910111213141516171819202122[[#This Row],[Date]]="","",24-C468)</f>
        <v/>
      </c>
      <c r="E468" s="13"/>
      <c r="F468" s="34" t="str">
        <f>IF(Tableau4478910111213141516171819202122[[#This Row],[Date]]="","",Tableau4478910111213141516171819202122[[#This Row],[Versement]]*Variables!$F$12)</f>
        <v/>
      </c>
      <c r="G468" s="34" t="str">
        <f>IF(Tableau4478910111213141516171819202122[[#This Row],[Date]]="","",(E468*(1+($C$450)/24)^V.Complémentaires!D468)-E468)</f>
        <v/>
      </c>
    </row>
    <row r="469" spans="2:7" ht="20.100000000000001" customHeight="1" x14ac:dyDescent="0.3">
      <c r="B469" s="13"/>
      <c r="C469" s="13"/>
      <c r="D469" s="13"/>
      <c r="E469" s="13">
        <f>SUM(Tableau4478910111213141516171819202122[Versement])</f>
        <v>0</v>
      </c>
      <c r="F469" s="34">
        <f>SUBTOTAL(109,Tableau4478910111213141516171819202122[Frais de versement])</f>
        <v>0</v>
      </c>
      <c r="G469" s="34">
        <f>SUM(Tableau4478910111213141516171819202122[Interet])</f>
        <v>0</v>
      </c>
    </row>
    <row r="474" spans="2:7" ht="20.100000000000001" customHeight="1" thickBot="1" x14ac:dyDescent="0.35"/>
    <row r="475" spans="2:7" ht="20.100000000000001" customHeight="1" thickBot="1" x14ac:dyDescent="0.35">
      <c r="B475" s="10" t="s">
        <v>7</v>
      </c>
      <c r="C475" s="19">
        <f ca="1">C449+1</f>
        <v>2032</v>
      </c>
      <c r="D475" s="13"/>
      <c r="E475" s="13"/>
      <c r="F475" s="34"/>
      <c r="G475" s="34"/>
    </row>
    <row r="476" spans="2:7" ht="20.100000000000001" customHeight="1" thickBot="1" x14ac:dyDescent="0.35">
      <c r="B476" s="14" t="s">
        <v>23</v>
      </c>
      <c r="C476" s="20">
        <f ca="1">IF('Tableau Projection'!I25="","",VLOOKUP(C475,'Tableau Projection'!$C$6:$L$28,7,FALSE))</f>
        <v>1.0500000000000001E-2</v>
      </c>
      <c r="D476" s="13"/>
      <c r="E476" s="13"/>
      <c r="F476" s="34"/>
      <c r="G476" s="34"/>
    </row>
    <row r="477" spans="2:7" ht="35.1" customHeight="1" x14ac:dyDescent="0.3">
      <c r="B477" s="13" t="s">
        <v>18</v>
      </c>
      <c r="C477" s="18" t="s">
        <v>22</v>
      </c>
      <c r="D477" s="13" t="s">
        <v>19</v>
      </c>
      <c r="E477" s="13" t="s">
        <v>20</v>
      </c>
      <c r="F477" s="57" t="s">
        <v>3</v>
      </c>
      <c r="G477" s="34" t="s">
        <v>21</v>
      </c>
    </row>
    <row r="478" spans="2:7" ht="20.100000000000001" customHeight="1" x14ac:dyDescent="0.3">
      <c r="B478" s="15"/>
      <c r="C478" s="16" t="str">
        <f>IF(Tableau447891011121314151617181920212223[[#This Row],[Date]]="","",INT(DAYS360(DATE(YEAR(B478),1,1),B478,TRUE)/15)+1)</f>
        <v/>
      </c>
      <c r="D478" s="13" t="str">
        <f>IF(Tableau447891011121314151617181920212223[[#This Row],[Date]]="","",24-C478)</f>
        <v/>
      </c>
      <c r="E478" s="17"/>
      <c r="F478" s="34" t="str">
        <f>IF(Tableau447891011121314151617181920212223[[#This Row],[Date]]="","",Tableau447891011121314151617181920212223[[#This Row],[Versement]]*Variables!$F$12)</f>
        <v/>
      </c>
      <c r="G478" s="34" t="str">
        <f>IF(Tableau447891011121314151617181920212223[[#This Row],[Date]]="","",(E478*(1+($C$476)/24)^V.Complémentaires!D478)-E478)</f>
        <v/>
      </c>
    </row>
    <row r="479" spans="2:7" ht="20.100000000000001" customHeight="1" x14ac:dyDescent="0.3">
      <c r="B479" s="15"/>
      <c r="C479" s="16" t="str">
        <f>IF(Tableau447891011121314151617181920212223[[#This Row],[Date]]="","",INT(DAYS360(DATE(YEAR(B479),1,1),B479,TRUE)/15)+1)</f>
        <v/>
      </c>
      <c r="D479" s="13" t="str">
        <f>IF(Tableau447891011121314151617181920212223[[#This Row],[Date]]="","",24-C479)</f>
        <v/>
      </c>
      <c r="E479" s="13"/>
      <c r="F479" s="34" t="str">
        <f>IF(Tableau447891011121314151617181920212223[[#This Row],[Date]]="","",Tableau447891011121314151617181920212223[[#This Row],[Versement]]*Variables!$F$12)</f>
        <v/>
      </c>
      <c r="G479" s="34" t="str">
        <f>IF(Tableau447891011121314151617181920212223[[#This Row],[Date]]="","",(E479*(1+($C$476)/24)^V.Complémentaires!D479)-E479)</f>
        <v/>
      </c>
    </row>
    <row r="480" spans="2:7" ht="20.100000000000001" customHeight="1" x14ac:dyDescent="0.3">
      <c r="B480" s="15"/>
      <c r="C480" s="16" t="str">
        <f>IF(Tableau447891011121314151617181920212223[[#This Row],[Date]]="","",INT(DAYS360(DATE(YEAR(B480),1,1),B480,TRUE)/15)+1)</f>
        <v/>
      </c>
      <c r="D480" s="13" t="str">
        <f>IF(Tableau447891011121314151617181920212223[[#This Row],[Date]]="","",24-C480)</f>
        <v/>
      </c>
      <c r="E480" s="13"/>
      <c r="F480" s="34" t="str">
        <f>IF(Tableau447891011121314151617181920212223[[#This Row],[Date]]="","",Tableau447891011121314151617181920212223[[#This Row],[Versement]]*Variables!$F$12)</f>
        <v/>
      </c>
      <c r="G480" s="34" t="str">
        <f>IF(Tableau447891011121314151617181920212223[[#This Row],[Date]]="","",(E480*(1+($C$476)/24)^V.Complémentaires!D480)-E480)</f>
        <v/>
      </c>
    </row>
    <row r="481" spans="2:7" ht="20.100000000000001" customHeight="1" x14ac:dyDescent="0.3">
      <c r="B481" s="13"/>
      <c r="C481" s="16" t="str">
        <f>IF(Tableau447891011121314151617181920212223[[#This Row],[Date]]="","",INT(DAYS360(DATE(YEAR(B481),1,1),B481,TRUE)/15)+1)</f>
        <v/>
      </c>
      <c r="D481" s="13" t="str">
        <f>IF(Tableau447891011121314151617181920212223[[#This Row],[Date]]="","",24-C481)</f>
        <v/>
      </c>
      <c r="E481" s="13"/>
      <c r="F481" s="34" t="str">
        <f>IF(Tableau447891011121314151617181920212223[[#This Row],[Date]]="","",Tableau447891011121314151617181920212223[[#This Row],[Versement]]*Variables!$F$12)</f>
        <v/>
      </c>
      <c r="G481" s="34" t="str">
        <f>IF(Tableau447891011121314151617181920212223[[#This Row],[Date]]="","",(E481*(1+($C$476)/24)^V.Complémentaires!D481)-E481)</f>
        <v/>
      </c>
    </row>
    <row r="482" spans="2:7" ht="20.100000000000001" customHeight="1" x14ac:dyDescent="0.3">
      <c r="B482" s="13"/>
      <c r="C482" s="16" t="str">
        <f>IF(Tableau447891011121314151617181920212223[[#This Row],[Date]]="","",INT(DAYS360(DATE(YEAR(B482),1,1),B482,TRUE)/15)+1)</f>
        <v/>
      </c>
      <c r="D482" s="13" t="str">
        <f>IF(Tableau447891011121314151617181920212223[[#This Row],[Date]]="","",24-C482)</f>
        <v/>
      </c>
      <c r="E482" s="13"/>
      <c r="F482" s="34" t="str">
        <f>IF(Tableau447891011121314151617181920212223[[#This Row],[Date]]="","",Tableau447891011121314151617181920212223[[#This Row],[Versement]]*Variables!$F$12)</f>
        <v/>
      </c>
      <c r="G482" s="34" t="str">
        <f>IF(Tableau447891011121314151617181920212223[[#This Row],[Date]]="","",(E482*(1+($C$476)/24)^V.Complémentaires!D482)-E482)</f>
        <v/>
      </c>
    </row>
    <row r="483" spans="2:7" ht="20.100000000000001" customHeight="1" x14ac:dyDescent="0.3">
      <c r="B483" s="13"/>
      <c r="C483" s="16" t="str">
        <f>IF(Tableau447891011121314151617181920212223[[#This Row],[Date]]="","",INT(DAYS360(DATE(YEAR(B483),1,1),B483,TRUE)/15)+1)</f>
        <v/>
      </c>
      <c r="D483" s="13" t="str">
        <f>IF(Tableau447891011121314151617181920212223[[#This Row],[Date]]="","",24-C483)</f>
        <v/>
      </c>
      <c r="E483" s="13"/>
      <c r="F483" s="34" t="str">
        <f>IF(Tableau447891011121314151617181920212223[[#This Row],[Date]]="","",Tableau447891011121314151617181920212223[[#This Row],[Versement]]*Variables!$F$12)</f>
        <v/>
      </c>
      <c r="G483" s="34" t="str">
        <f>IF(Tableau447891011121314151617181920212223[[#This Row],[Date]]="","",(E483*(1+($C$476)/24)^V.Complémentaires!D483)-E483)</f>
        <v/>
      </c>
    </row>
    <row r="484" spans="2:7" ht="20.100000000000001" customHeight="1" x14ac:dyDescent="0.3">
      <c r="B484" s="13"/>
      <c r="C484" s="16" t="str">
        <f>IF(Tableau447891011121314151617181920212223[[#This Row],[Date]]="","",INT(DAYS360(DATE(YEAR(B484),1,1),B484,TRUE)/15)+1)</f>
        <v/>
      </c>
      <c r="D484" s="13" t="str">
        <f>IF(Tableau447891011121314151617181920212223[[#This Row],[Date]]="","",24-C484)</f>
        <v/>
      </c>
      <c r="E484" s="13"/>
      <c r="F484" s="34" t="str">
        <f>IF(Tableau447891011121314151617181920212223[[#This Row],[Date]]="","",Tableau447891011121314151617181920212223[[#This Row],[Versement]]*Variables!$F$12)</f>
        <v/>
      </c>
      <c r="G484" s="34" t="str">
        <f>IF(Tableau447891011121314151617181920212223[[#This Row],[Date]]="","",(E484*(1+($C$476)/24)^V.Complémentaires!D484)-E484)</f>
        <v/>
      </c>
    </row>
    <row r="485" spans="2:7" ht="20.100000000000001" customHeight="1" x14ac:dyDescent="0.3">
      <c r="B485" s="13"/>
      <c r="C485" s="16" t="str">
        <f>IF(Tableau447891011121314151617181920212223[[#This Row],[Date]]="","",INT(DAYS360(DATE(YEAR(B485),1,1),B485,TRUE)/15)+1)</f>
        <v/>
      </c>
      <c r="D485" s="13" t="str">
        <f>IF(Tableau447891011121314151617181920212223[[#This Row],[Date]]="","",24-C485)</f>
        <v/>
      </c>
      <c r="E485" s="13"/>
      <c r="F485" s="34" t="str">
        <f>IF(Tableau447891011121314151617181920212223[[#This Row],[Date]]="","",Tableau447891011121314151617181920212223[[#This Row],[Versement]]*Variables!$F$12)</f>
        <v/>
      </c>
      <c r="G485" s="34" t="str">
        <f>IF(Tableau447891011121314151617181920212223[[#This Row],[Date]]="","",(E485*(1+($C$476)/24)^V.Complémentaires!D485)-E485)</f>
        <v/>
      </c>
    </row>
    <row r="486" spans="2:7" ht="20.100000000000001" customHeight="1" x14ac:dyDescent="0.3">
      <c r="B486" s="15"/>
      <c r="C486" s="16" t="str">
        <f>IF(Tableau447891011121314151617181920212223[[#This Row],[Date]]="","",INT(DAYS360(DATE(YEAR(B486),1,1),B486,TRUE)/15)+1)</f>
        <v/>
      </c>
      <c r="D486" s="13" t="str">
        <f>IF(Tableau447891011121314151617181920212223[[#This Row],[Date]]="","",24-C486)</f>
        <v/>
      </c>
      <c r="E486" s="13"/>
      <c r="F486" s="34" t="str">
        <f>IF(Tableau447891011121314151617181920212223[[#This Row],[Date]]="","",Tableau447891011121314151617181920212223[[#This Row],[Versement]]*Variables!$F$12)</f>
        <v/>
      </c>
      <c r="G486" s="34" t="str">
        <f>IF(Tableau447891011121314151617181920212223[[#This Row],[Date]]="","",(E486*(1+($C$476)/24)^V.Complémentaires!D486)-E486)</f>
        <v/>
      </c>
    </row>
    <row r="487" spans="2:7" ht="20.100000000000001" customHeight="1" x14ac:dyDescent="0.3">
      <c r="B487" s="13"/>
      <c r="C487" s="16" t="str">
        <f>IF(Tableau447891011121314151617181920212223[[#This Row],[Date]]="","",INT(DAYS360(DATE(YEAR(B487),1,1),B487,TRUE)/15)+1)</f>
        <v/>
      </c>
      <c r="D487" s="13" t="str">
        <f>IF(Tableau447891011121314151617181920212223[[#This Row],[Date]]="","",24-C487)</f>
        <v/>
      </c>
      <c r="E487" s="13"/>
      <c r="F487" s="34" t="str">
        <f>IF(Tableau447891011121314151617181920212223[[#This Row],[Date]]="","",Tableau447891011121314151617181920212223[[#This Row],[Versement]]*Variables!$F$12)</f>
        <v/>
      </c>
      <c r="G487" s="34" t="str">
        <f>IF(Tableau447891011121314151617181920212223[[#This Row],[Date]]="","",(E487*(1+($C$476)/24)^V.Complémentaires!D487)-E487)</f>
        <v/>
      </c>
    </row>
    <row r="488" spans="2:7" ht="20.100000000000001" customHeight="1" x14ac:dyDescent="0.3">
      <c r="B488" s="13"/>
      <c r="C488" s="16" t="str">
        <f>IF(Tableau447891011121314151617181920212223[[#This Row],[Date]]="","",INT(DAYS360(DATE(YEAR(B488),1,1),B488,TRUE)/15)+1)</f>
        <v/>
      </c>
      <c r="D488" s="13" t="str">
        <f>IF(Tableau447891011121314151617181920212223[[#This Row],[Date]]="","",24-C488)</f>
        <v/>
      </c>
      <c r="E488" s="13"/>
      <c r="F488" s="34" t="str">
        <f>IF(Tableau447891011121314151617181920212223[[#This Row],[Date]]="","",Tableau447891011121314151617181920212223[[#This Row],[Versement]]*Variables!$F$12)</f>
        <v/>
      </c>
      <c r="G488" s="34" t="str">
        <f>IF(Tableau447891011121314151617181920212223[[#This Row],[Date]]="","",(E488*(1+($C$476)/24)^V.Complémentaires!D488)-E488)</f>
        <v/>
      </c>
    </row>
    <row r="489" spans="2:7" ht="20.100000000000001" customHeight="1" x14ac:dyDescent="0.3">
      <c r="B489" s="13"/>
      <c r="C489" s="16" t="str">
        <f>IF(Tableau447891011121314151617181920212223[[#This Row],[Date]]="","",INT(DAYS360(DATE(YEAR(B489),1,1),B489,TRUE)/15)+1)</f>
        <v/>
      </c>
      <c r="D489" s="13" t="str">
        <f>IF(Tableau447891011121314151617181920212223[[#This Row],[Date]]="","",24-C489)</f>
        <v/>
      </c>
      <c r="E489" s="13"/>
      <c r="F489" s="34" t="str">
        <f>IF(Tableau447891011121314151617181920212223[[#This Row],[Date]]="","",Tableau447891011121314151617181920212223[[#This Row],[Versement]]*Variables!$F$12)</f>
        <v/>
      </c>
      <c r="G489" s="34" t="str">
        <f>IF(Tableau447891011121314151617181920212223[[#This Row],[Date]]="","",(E489*(1+($C$476)/24)^V.Complémentaires!D489)-E489)</f>
        <v/>
      </c>
    </row>
    <row r="490" spans="2:7" ht="20.100000000000001" customHeight="1" x14ac:dyDescent="0.3">
      <c r="B490" s="13"/>
      <c r="C490" s="16" t="str">
        <f>IF(Tableau447891011121314151617181920212223[[#This Row],[Date]]="","",INT(DAYS360(DATE(YEAR(B490),1,1),B490,TRUE)/15)+1)</f>
        <v/>
      </c>
      <c r="D490" s="13" t="str">
        <f>IF(Tableau447891011121314151617181920212223[[#This Row],[Date]]="","",24-C490)</f>
        <v/>
      </c>
      <c r="E490" s="13"/>
      <c r="F490" s="34" t="str">
        <f>IF(Tableau447891011121314151617181920212223[[#This Row],[Date]]="","",Tableau447891011121314151617181920212223[[#This Row],[Versement]]*Variables!$F$12)</f>
        <v/>
      </c>
      <c r="G490" s="34" t="str">
        <f>IF(Tableau447891011121314151617181920212223[[#This Row],[Date]]="","",(E490*(1+($C$476)/24)^V.Complémentaires!D490)-E490)</f>
        <v/>
      </c>
    </row>
    <row r="491" spans="2:7" ht="20.100000000000001" customHeight="1" x14ac:dyDescent="0.3">
      <c r="B491" s="13"/>
      <c r="C491" s="16" t="str">
        <f>IF(Tableau447891011121314151617181920212223[[#This Row],[Date]]="","",INT(DAYS360(DATE(YEAR(B491),1,1),B491,TRUE)/15)+1)</f>
        <v/>
      </c>
      <c r="D491" s="13" t="str">
        <f>IF(Tableau447891011121314151617181920212223[[#This Row],[Date]]="","",24-C491)</f>
        <v/>
      </c>
      <c r="E491" s="13"/>
      <c r="F491" s="34" t="str">
        <f>IF(Tableau447891011121314151617181920212223[[#This Row],[Date]]="","",Tableau447891011121314151617181920212223[[#This Row],[Versement]]*Variables!$F$12)</f>
        <v/>
      </c>
      <c r="G491" s="34" t="str">
        <f>IF(Tableau447891011121314151617181920212223[[#This Row],[Date]]="","",(E491*(1+($C$476)/24)^V.Complémentaires!D491)-E491)</f>
        <v/>
      </c>
    </row>
    <row r="492" spans="2:7" ht="20.100000000000001" customHeight="1" x14ac:dyDescent="0.3">
      <c r="B492" s="13"/>
      <c r="C492" s="16" t="str">
        <f>IF(Tableau447891011121314151617181920212223[[#This Row],[Date]]="","",INT(DAYS360(DATE(YEAR(B492),1,1),B492,TRUE)/15)+1)</f>
        <v/>
      </c>
      <c r="D492" s="13" t="str">
        <f>IF(Tableau447891011121314151617181920212223[[#This Row],[Date]]="","",24-C492)</f>
        <v/>
      </c>
      <c r="E492" s="13"/>
      <c r="F492" s="34" t="str">
        <f>IF(Tableau447891011121314151617181920212223[[#This Row],[Date]]="","",Tableau447891011121314151617181920212223[[#This Row],[Versement]]*Variables!$F$12)</f>
        <v/>
      </c>
      <c r="G492" s="34" t="str">
        <f>IF(Tableau447891011121314151617181920212223[[#This Row],[Date]]="","",(E492*(1+($C$476)/24)^V.Complémentaires!D492)-E492)</f>
        <v/>
      </c>
    </row>
    <row r="493" spans="2:7" ht="20.100000000000001" customHeight="1" x14ac:dyDescent="0.3">
      <c r="B493" s="13"/>
      <c r="C493" s="16" t="str">
        <f>IF(Tableau447891011121314151617181920212223[[#This Row],[Date]]="","",INT(DAYS360(DATE(YEAR(B493),1,1),B493,TRUE)/15)+1)</f>
        <v/>
      </c>
      <c r="D493" s="13" t="str">
        <f>IF(Tableau447891011121314151617181920212223[[#This Row],[Date]]="","",24-C493)</f>
        <v/>
      </c>
      <c r="E493" s="13"/>
      <c r="F493" s="34" t="str">
        <f>IF(Tableau447891011121314151617181920212223[[#This Row],[Date]]="","",Tableau447891011121314151617181920212223[[#This Row],[Versement]]*Variables!$F$12)</f>
        <v/>
      </c>
      <c r="G493" s="34" t="str">
        <f>IF(Tableau447891011121314151617181920212223[[#This Row],[Date]]="","",(E493*(1+($C$476)/24)^V.Complémentaires!D493)-E493)</f>
        <v/>
      </c>
    </row>
    <row r="494" spans="2:7" ht="20.100000000000001" customHeight="1" x14ac:dyDescent="0.3">
      <c r="B494" s="13"/>
      <c r="C494" s="16" t="str">
        <f>IF(Tableau447891011121314151617181920212223[[#This Row],[Date]]="","",INT(DAYS360(DATE(YEAR(B494),1,1),B494,TRUE)/15)+1)</f>
        <v/>
      </c>
      <c r="D494" s="13" t="str">
        <f>IF(Tableau447891011121314151617181920212223[[#This Row],[Date]]="","",24-C494)</f>
        <v/>
      </c>
      <c r="E494" s="13"/>
      <c r="F494" s="34" t="str">
        <f>IF(Tableau447891011121314151617181920212223[[#This Row],[Date]]="","",Tableau447891011121314151617181920212223[[#This Row],[Versement]]*Variables!$F$12)</f>
        <v/>
      </c>
      <c r="G494" s="34" t="str">
        <f>IF(Tableau447891011121314151617181920212223[[#This Row],[Date]]="","",(E494*(1+($C$476)/24)^V.Complémentaires!D494)-E494)</f>
        <v/>
      </c>
    </row>
    <row r="495" spans="2:7" ht="20.100000000000001" customHeight="1" x14ac:dyDescent="0.3">
      <c r="B495" s="13"/>
      <c r="C495" s="13"/>
      <c r="D495" s="13"/>
      <c r="E495" s="13">
        <f>SUM(Tableau447891011121314151617181920212223[Versement])</f>
        <v>0</v>
      </c>
      <c r="F495" s="34">
        <f>SUBTOTAL(109,Tableau447891011121314151617181920212223[Frais de versement])</f>
        <v>0</v>
      </c>
      <c r="G495" s="34">
        <f>SUM(Tableau447891011121314151617181920212223[Interet])</f>
        <v>0</v>
      </c>
    </row>
    <row r="500" spans="2:7" ht="20.100000000000001" customHeight="1" thickBot="1" x14ac:dyDescent="0.35"/>
    <row r="501" spans="2:7" ht="20.100000000000001" customHeight="1" thickBot="1" x14ac:dyDescent="0.35">
      <c r="B501" s="10" t="s">
        <v>7</v>
      </c>
      <c r="C501" s="19">
        <f ca="1">C475+1</f>
        <v>2033</v>
      </c>
      <c r="D501" s="13"/>
      <c r="E501" s="13"/>
      <c r="F501" s="34"/>
      <c r="G501" s="34"/>
    </row>
    <row r="502" spans="2:7" ht="20.100000000000001" customHeight="1" thickBot="1" x14ac:dyDescent="0.35">
      <c r="B502" s="14" t="s">
        <v>23</v>
      </c>
      <c r="C502" s="20">
        <f ca="1">IF('Tableau Projection'!I26="","",VLOOKUP(C501,'Tableau Projection'!$C$6:$L$28,7,FALSE))</f>
        <v>1.0500000000000001E-2</v>
      </c>
      <c r="D502" s="13"/>
      <c r="E502" s="13"/>
      <c r="F502" s="34"/>
      <c r="G502" s="34"/>
    </row>
    <row r="503" spans="2:7" ht="35.1" customHeight="1" x14ac:dyDescent="0.3">
      <c r="B503" s="13" t="s">
        <v>18</v>
      </c>
      <c r="C503" s="18" t="s">
        <v>22</v>
      </c>
      <c r="D503" s="13" t="s">
        <v>19</v>
      </c>
      <c r="E503" s="13" t="s">
        <v>20</v>
      </c>
      <c r="F503" s="57" t="s">
        <v>3</v>
      </c>
      <c r="G503" s="34" t="s">
        <v>21</v>
      </c>
    </row>
    <row r="504" spans="2:7" ht="20.100000000000001" customHeight="1" x14ac:dyDescent="0.3">
      <c r="B504" s="15"/>
      <c r="C504" s="16" t="str">
        <f>IF(Tableau44789101112131415161718192021222324[[#This Row],[Date]]="","",INT(DAYS360(DATE(YEAR(B504),1,1),B504,TRUE)/15)+1)</f>
        <v/>
      </c>
      <c r="D504" s="13" t="str">
        <f>IF(Tableau44789101112131415161718192021222324[[#This Row],[Date]]="","",24-C504)</f>
        <v/>
      </c>
      <c r="E504" s="17"/>
      <c r="F504" s="34" t="str">
        <f>IF(Tableau44789101112131415161718192021222324[[#This Row],[Date]]="","",Tableau44789101112131415161718192021222324[[#This Row],[Versement]]*Variables!$F$12)</f>
        <v/>
      </c>
      <c r="G504" s="34" t="str">
        <f>IF(Tableau44789101112131415161718192021222324[[#This Row],[Date]]="","",(E504*(1+($C$502)/24)^V.Complémentaires!D504)-E504)</f>
        <v/>
      </c>
    </row>
    <row r="505" spans="2:7" ht="20.100000000000001" customHeight="1" x14ac:dyDescent="0.3">
      <c r="B505" s="15"/>
      <c r="C505" s="16" t="str">
        <f>IF(Tableau44789101112131415161718192021222324[[#This Row],[Date]]="","",INT(DAYS360(DATE(YEAR(B505),1,1),B505,TRUE)/15)+1)</f>
        <v/>
      </c>
      <c r="D505" s="13" t="str">
        <f>IF(Tableau44789101112131415161718192021222324[[#This Row],[Date]]="","",24-C505)</f>
        <v/>
      </c>
      <c r="E505" s="13"/>
      <c r="F505" s="34" t="str">
        <f>IF(Tableau44789101112131415161718192021222324[[#This Row],[Date]]="","",Tableau44789101112131415161718192021222324[[#This Row],[Versement]]*Variables!$F$12)</f>
        <v/>
      </c>
      <c r="G505" s="34" t="str">
        <f>IF(Tableau44789101112131415161718192021222324[[#This Row],[Date]]="","",(E505*(1+($C$502)/24)^V.Complémentaires!D505)-E505)</f>
        <v/>
      </c>
    </row>
    <row r="506" spans="2:7" ht="20.100000000000001" customHeight="1" x14ac:dyDescent="0.3">
      <c r="B506" s="15"/>
      <c r="C506" s="16" t="str">
        <f>IF(Tableau44789101112131415161718192021222324[[#This Row],[Date]]="","",INT(DAYS360(DATE(YEAR(B506),1,1),B506,TRUE)/15)+1)</f>
        <v/>
      </c>
      <c r="D506" s="13" t="str">
        <f>IF(Tableau44789101112131415161718192021222324[[#This Row],[Date]]="","",24-C506)</f>
        <v/>
      </c>
      <c r="E506" s="13"/>
      <c r="F506" s="34" t="str">
        <f>IF(Tableau44789101112131415161718192021222324[[#This Row],[Date]]="","",Tableau44789101112131415161718192021222324[[#This Row],[Versement]]*Variables!$F$12)</f>
        <v/>
      </c>
      <c r="G506" s="34" t="str">
        <f>IF(Tableau44789101112131415161718192021222324[[#This Row],[Date]]="","",(E506*(1+($C$502)/24)^V.Complémentaires!D506)-E506)</f>
        <v/>
      </c>
    </row>
    <row r="507" spans="2:7" ht="20.100000000000001" customHeight="1" x14ac:dyDescent="0.3">
      <c r="B507" s="13"/>
      <c r="C507" s="16" t="str">
        <f>IF(Tableau44789101112131415161718192021222324[[#This Row],[Date]]="","",INT(DAYS360(DATE(YEAR(B507),1,1),B507,TRUE)/15)+1)</f>
        <v/>
      </c>
      <c r="D507" s="13" t="str">
        <f>IF(Tableau44789101112131415161718192021222324[[#This Row],[Date]]="","",24-C507)</f>
        <v/>
      </c>
      <c r="E507" s="13"/>
      <c r="F507" s="34" t="str">
        <f>IF(Tableau44789101112131415161718192021222324[[#This Row],[Date]]="","",Tableau44789101112131415161718192021222324[[#This Row],[Versement]]*Variables!$F$12)</f>
        <v/>
      </c>
      <c r="G507" s="34" t="str">
        <f>IF(Tableau44789101112131415161718192021222324[[#This Row],[Date]]="","",(E507*(1+($C$502)/24)^V.Complémentaires!D507)-E507)</f>
        <v/>
      </c>
    </row>
    <row r="508" spans="2:7" ht="20.100000000000001" customHeight="1" x14ac:dyDescent="0.3">
      <c r="B508" s="13"/>
      <c r="C508" s="16" t="str">
        <f>IF(Tableau44789101112131415161718192021222324[[#This Row],[Date]]="","",INT(DAYS360(DATE(YEAR(B508),1,1),B508,TRUE)/15)+1)</f>
        <v/>
      </c>
      <c r="D508" s="13" t="str">
        <f>IF(Tableau44789101112131415161718192021222324[[#This Row],[Date]]="","",24-C508)</f>
        <v/>
      </c>
      <c r="E508" s="13"/>
      <c r="F508" s="34" t="str">
        <f>IF(Tableau44789101112131415161718192021222324[[#This Row],[Date]]="","",Tableau44789101112131415161718192021222324[[#This Row],[Versement]]*Variables!$F$12)</f>
        <v/>
      </c>
      <c r="G508" s="34" t="str">
        <f>IF(Tableau44789101112131415161718192021222324[[#This Row],[Date]]="","",(E508*(1+($C$502)/24)^V.Complémentaires!D508)-E508)</f>
        <v/>
      </c>
    </row>
    <row r="509" spans="2:7" ht="20.100000000000001" customHeight="1" x14ac:dyDescent="0.3">
      <c r="B509" s="13"/>
      <c r="C509" s="16" t="str">
        <f>IF(Tableau44789101112131415161718192021222324[[#This Row],[Date]]="","",INT(DAYS360(DATE(YEAR(B509),1,1),B509,TRUE)/15)+1)</f>
        <v/>
      </c>
      <c r="D509" s="13" t="str">
        <f>IF(Tableau44789101112131415161718192021222324[[#This Row],[Date]]="","",24-C509)</f>
        <v/>
      </c>
      <c r="E509" s="13"/>
      <c r="F509" s="34" t="str">
        <f>IF(Tableau44789101112131415161718192021222324[[#This Row],[Date]]="","",Tableau44789101112131415161718192021222324[[#This Row],[Versement]]*Variables!$F$12)</f>
        <v/>
      </c>
      <c r="G509" s="34" t="str">
        <f>IF(Tableau44789101112131415161718192021222324[[#This Row],[Date]]="","",(E509*(1+($C$502)/24)^V.Complémentaires!D509)-E509)</f>
        <v/>
      </c>
    </row>
    <row r="510" spans="2:7" ht="20.100000000000001" customHeight="1" x14ac:dyDescent="0.3">
      <c r="B510" s="13"/>
      <c r="C510" s="16" t="str">
        <f>IF(Tableau44789101112131415161718192021222324[[#This Row],[Date]]="","",INT(DAYS360(DATE(YEAR(B510),1,1),B510,TRUE)/15)+1)</f>
        <v/>
      </c>
      <c r="D510" s="13" t="str">
        <f>IF(Tableau44789101112131415161718192021222324[[#This Row],[Date]]="","",24-C510)</f>
        <v/>
      </c>
      <c r="E510" s="13"/>
      <c r="F510" s="34" t="str">
        <f>IF(Tableau44789101112131415161718192021222324[[#This Row],[Date]]="","",Tableau44789101112131415161718192021222324[[#This Row],[Versement]]*Variables!$F$12)</f>
        <v/>
      </c>
      <c r="G510" s="34" t="str">
        <f>IF(Tableau44789101112131415161718192021222324[[#This Row],[Date]]="","",(E510*(1+($C$502)/24)^V.Complémentaires!D510)-E510)</f>
        <v/>
      </c>
    </row>
    <row r="511" spans="2:7" ht="20.100000000000001" customHeight="1" x14ac:dyDescent="0.3">
      <c r="B511" s="13"/>
      <c r="C511" s="16" t="str">
        <f>IF(Tableau44789101112131415161718192021222324[[#This Row],[Date]]="","",INT(DAYS360(DATE(YEAR(B511),1,1),B511,TRUE)/15)+1)</f>
        <v/>
      </c>
      <c r="D511" s="13" t="str">
        <f>IF(Tableau44789101112131415161718192021222324[[#This Row],[Date]]="","",24-C511)</f>
        <v/>
      </c>
      <c r="E511" s="13"/>
      <c r="F511" s="34" t="str">
        <f>IF(Tableau44789101112131415161718192021222324[[#This Row],[Date]]="","",Tableau44789101112131415161718192021222324[[#This Row],[Versement]]*Variables!$F$12)</f>
        <v/>
      </c>
      <c r="G511" s="34" t="str">
        <f>IF(Tableau44789101112131415161718192021222324[[#This Row],[Date]]="","",(E511*(1+($C$502)/24)^V.Complémentaires!D511)-E511)</f>
        <v/>
      </c>
    </row>
    <row r="512" spans="2:7" ht="20.100000000000001" customHeight="1" x14ac:dyDescent="0.3">
      <c r="B512" s="15"/>
      <c r="C512" s="16" t="str">
        <f>IF(Tableau44789101112131415161718192021222324[[#This Row],[Date]]="","",INT(DAYS360(DATE(YEAR(B512),1,1),B512,TRUE)/15)+1)</f>
        <v/>
      </c>
      <c r="D512" s="13" t="str">
        <f>IF(Tableau44789101112131415161718192021222324[[#This Row],[Date]]="","",24-C512)</f>
        <v/>
      </c>
      <c r="E512" s="13"/>
      <c r="F512" s="34" t="str">
        <f>IF(Tableau44789101112131415161718192021222324[[#This Row],[Date]]="","",Tableau44789101112131415161718192021222324[[#This Row],[Versement]]*Variables!$F$12)</f>
        <v/>
      </c>
      <c r="G512" s="34" t="str">
        <f>IF(Tableau44789101112131415161718192021222324[[#This Row],[Date]]="","",(E512*(1+($C$502)/24)^V.Complémentaires!D512)-E512)</f>
        <v/>
      </c>
    </row>
    <row r="513" spans="2:7" ht="20.100000000000001" customHeight="1" x14ac:dyDescent="0.3">
      <c r="B513" s="13"/>
      <c r="C513" s="16" t="str">
        <f>IF(Tableau44789101112131415161718192021222324[[#This Row],[Date]]="","",INT(DAYS360(DATE(YEAR(B513),1,1),B513,TRUE)/15)+1)</f>
        <v/>
      </c>
      <c r="D513" s="13" t="str">
        <f>IF(Tableau44789101112131415161718192021222324[[#This Row],[Date]]="","",24-C513)</f>
        <v/>
      </c>
      <c r="E513" s="13"/>
      <c r="F513" s="34" t="str">
        <f>IF(Tableau44789101112131415161718192021222324[[#This Row],[Date]]="","",Tableau44789101112131415161718192021222324[[#This Row],[Versement]]*Variables!$F$12)</f>
        <v/>
      </c>
      <c r="G513" s="34" t="str">
        <f>IF(Tableau44789101112131415161718192021222324[[#This Row],[Date]]="","",(E513*(1+($C$502)/24)^V.Complémentaires!D513)-E513)</f>
        <v/>
      </c>
    </row>
    <row r="514" spans="2:7" ht="20.100000000000001" customHeight="1" x14ac:dyDescent="0.3">
      <c r="B514" s="13"/>
      <c r="C514" s="16" t="str">
        <f>IF(Tableau44789101112131415161718192021222324[[#This Row],[Date]]="","",INT(DAYS360(DATE(YEAR(B514),1,1),B514,TRUE)/15)+1)</f>
        <v/>
      </c>
      <c r="D514" s="13" t="str">
        <f>IF(Tableau44789101112131415161718192021222324[[#This Row],[Date]]="","",24-C514)</f>
        <v/>
      </c>
      <c r="E514" s="13"/>
      <c r="F514" s="34" t="str">
        <f>IF(Tableau44789101112131415161718192021222324[[#This Row],[Date]]="","",Tableau44789101112131415161718192021222324[[#This Row],[Versement]]*Variables!$F$12)</f>
        <v/>
      </c>
      <c r="G514" s="34" t="str">
        <f>IF(Tableau44789101112131415161718192021222324[[#This Row],[Date]]="","",(E514*(1+($C$502)/24)^V.Complémentaires!D514)-E514)</f>
        <v/>
      </c>
    </row>
    <row r="515" spans="2:7" ht="20.100000000000001" customHeight="1" x14ac:dyDescent="0.3">
      <c r="B515" s="13"/>
      <c r="C515" s="16" t="str">
        <f>IF(Tableau44789101112131415161718192021222324[[#This Row],[Date]]="","",INT(DAYS360(DATE(YEAR(B515),1,1),B515,TRUE)/15)+1)</f>
        <v/>
      </c>
      <c r="D515" s="13" t="str">
        <f>IF(Tableau44789101112131415161718192021222324[[#This Row],[Date]]="","",24-C515)</f>
        <v/>
      </c>
      <c r="E515" s="13"/>
      <c r="F515" s="34" t="str">
        <f>IF(Tableau44789101112131415161718192021222324[[#This Row],[Date]]="","",Tableau44789101112131415161718192021222324[[#This Row],[Versement]]*Variables!$F$12)</f>
        <v/>
      </c>
      <c r="G515" s="34" t="str">
        <f>IF(Tableau44789101112131415161718192021222324[[#This Row],[Date]]="","",(E515*(1+($C$502)/24)^V.Complémentaires!D515)-E515)</f>
        <v/>
      </c>
    </row>
    <row r="516" spans="2:7" ht="20.100000000000001" customHeight="1" x14ac:dyDescent="0.3">
      <c r="B516" s="13"/>
      <c r="C516" s="16" t="str">
        <f>IF(Tableau44789101112131415161718192021222324[[#This Row],[Date]]="","",INT(DAYS360(DATE(YEAR(B516),1,1),B516,TRUE)/15)+1)</f>
        <v/>
      </c>
      <c r="D516" s="13" t="str">
        <f>IF(Tableau44789101112131415161718192021222324[[#This Row],[Date]]="","",24-C516)</f>
        <v/>
      </c>
      <c r="E516" s="13"/>
      <c r="F516" s="34" t="str">
        <f>IF(Tableau44789101112131415161718192021222324[[#This Row],[Date]]="","",Tableau44789101112131415161718192021222324[[#This Row],[Versement]]*Variables!$F$12)</f>
        <v/>
      </c>
      <c r="G516" s="34" t="str">
        <f>IF(Tableau44789101112131415161718192021222324[[#This Row],[Date]]="","",(E516*(1+($C$502)/24)^V.Complémentaires!D516)-E516)</f>
        <v/>
      </c>
    </row>
    <row r="517" spans="2:7" ht="20.100000000000001" customHeight="1" x14ac:dyDescent="0.3">
      <c r="B517" s="13"/>
      <c r="C517" s="16" t="str">
        <f>IF(Tableau44789101112131415161718192021222324[[#This Row],[Date]]="","",INT(DAYS360(DATE(YEAR(B517),1,1),B517,TRUE)/15)+1)</f>
        <v/>
      </c>
      <c r="D517" s="13" t="str">
        <f>IF(Tableau44789101112131415161718192021222324[[#This Row],[Date]]="","",24-C517)</f>
        <v/>
      </c>
      <c r="E517" s="13"/>
      <c r="F517" s="34" t="str">
        <f>IF(Tableau44789101112131415161718192021222324[[#This Row],[Date]]="","",Tableau44789101112131415161718192021222324[[#This Row],[Versement]]*Variables!$F$12)</f>
        <v/>
      </c>
      <c r="G517" s="34" t="str">
        <f>IF(Tableau44789101112131415161718192021222324[[#This Row],[Date]]="","",(E517*(1+($C$502)/24)^V.Complémentaires!D517)-E517)</f>
        <v/>
      </c>
    </row>
    <row r="518" spans="2:7" ht="20.100000000000001" customHeight="1" x14ac:dyDescent="0.3">
      <c r="B518" s="13"/>
      <c r="C518" s="16" t="str">
        <f>IF(Tableau44789101112131415161718192021222324[[#This Row],[Date]]="","",INT(DAYS360(DATE(YEAR(B518),1,1),B518,TRUE)/15)+1)</f>
        <v/>
      </c>
      <c r="D518" s="13" t="str">
        <f>IF(Tableau44789101112131415161718192021222324[[#This Row],[Date]]="","",24-C518)</f>
        <v/>
      </c>
      <c r="E518" s="13"/>
      <c r="F518" s="34" t="str">
        <f>IF(Tableau44789101112131415161718192021222324[[#This Row],[Date]]="","",Tableau44789101112131415161718192021222324[[#This Row],[Versement]]*Variables!$F$12)</f>
        <v/>
      </c>
      <c r="G518" s="34" t="str">
        <f>IF(Tableau44789101112131415161718192021222324[[#This Row],[Date]]="","",(E518*(1+($C$502)/24)^V.Complémentaires!D518)-E518)</f>
        <v/>
      </c>
    </row>
    <row r="519" spans="2:7" ht="20.100000000000001" customHeight="1" x14ac:dyDescent="0.3">
      <c r="B519" s="13"/>
      <c r="C519" s="16" t="str">
        <f>IF(Tableau44789101112131415161718192021222324[[#This Row],[Date]]="","",INT(DAYS360(DATE(YEAR(B519),1,1),B519,TRUE)/15)+1)</f>
        <v/>
      </c>
      <c r="D519" s="13" t="str">
        <f>IF(Tableau44789101112131415161718192021222324[[#This Row],[Date]]="","",24-C519)</f>
        <v/>
      </c>
      <c r="E519" s="13"/>
      <c r="F519" s="34" t="str">
        <f>IF(Tableau44789101112131415161718192021222324[[#This Row],[Date]]="","",Tableau44789101112131415161718192021222324[[#This Row],[Versement]]*Variables!$F$12)</f>
        <v/>
      </c>
      <c r="G519" s="34" t="str">
        <f>IF(Tableau44789101112131415161718192021222324[[#This Row],[Date]]="","",(E519*(1+($C$502)/24)^V.Complémentaires!D519)-E519)</f>
        <v/>
      </c>
    </row>
    <row r="520" spans="2:7" ht="20.100000000000001" customHeight="1" x14ac:dyDescent="0.3">
      <c r="B520" s="13"/>
      <c r="C520" s="16" t="str">
        <f>IF(Tableau44789101112131415161718192021222324[[#This Row],[Date]]="","",INT(DAYS360(DATE(YEAR(B520),1,1),B520,TRUE)/15)+1)</f>
        <v/>
      </c>
      <c r="D520" s="13" t="str">
        <f>IF(Tableau44789101112131415161718192021222324[[#This Row],[Date]]="","",24-C520)</f>
        <v/>
      </c>
      <c r="E520" s="13"/>
      <c r="F520" s="34" t="str">
        <f>IF(Tableau44789101112131415161718192021222324[[#This Row],[Date]]="","",Tableau44789101112131415161718192021222324[[#This Row],[Versement]]*Variables!$F$12)</f>
        <v/>
      </c>
      <c r="G520" s="34" t="str">
        <f>IF(Tableau44789101112131415161718192021222324[[#This Row],[Date]]="","",(E520*(1+($C$502)/24)^V.Complémentaires!D520)-E520)</f>
        <v/>
      </c>
    </row>
    <row r="521" spans="2:7" ht="20.100000000000001" customHeight="1" x14ac:dyDescent="0.3">
      <c r="B521" s="13"/>
      <c r="C521" s="13"/>
      <c r="D521" s="13"/>
      <c r="E521" s="13">
        <f>SUM(Tableau44789101112131415161718192021222324[Versement])</f>
        <v>0</v>
      </c>
      <c r="F521" s="34">
        <f>SUBTOTAL(109,Tableau44789101112131415161718192021222324[Frais de versement])</f>
        <v>0</v>
      </c>
      <c r="G521" s="34">
        <f>SUM(Tableau44789101112131415161718192021222324[Interet])</f>
        <v>0</v>
      </c>
    </row>
  </sheetData>
  <dataConsolidate/>
  <pageMargins left="0.7" right="0.7" top="0.75" bottom="0.75" header="0.3" footer="0.3"/>
  <pageSetup paperSize="9" orientation="portrait" r:id="rId1"/>
  <ignoredErrors>
    <ignoredError sqref="C10:D10 C12:E25 C11:D11 F10 F12:F25 F11 C9:D9 F9:G9 C7 C37:F51 C33 C59:G60 C85:G86 C35:D35 F35 C111:G112 C137:G138 C163:G164 C189:G190 C192:F207 C36:F36 C62:F77 C61:D61 C88:F103 C87:F87 C114:F129 C113:F113 C140:F155 C139:F139 C166:F181 C165:F165 C191:F191 C216 C219:F234 C218:D218 F218 C1 C242:G243 C245:F260 C268:G269 C294:G295 C320:G321 C346:G347 C372:G373 C398:G399 C424:G425 C450:G451 C476:G477 C502:G503 C244:D244 F244 F61 G10:G25 G35:G51 G61:G77 G87:G103 G113:G129 G139:G155 G165:G181 G191:G207 G218:G234 G244:G260 C271:F286 C270:F270 G270:G286 C297:F312 C296:F296 G296:G312 C323:F338 C322:F322 G322:G338 C349:F364 C348:F348 G348:G364 C375:F390 C374:F374 G374:G390 C401:F416 C400:F400 G400:G416 C427:F442 C426:F426 G426:G442 C453:F468 C452:F452 G452:G468 C479:F494 C478:F478 G478:G494 C505:F520 C504:F504 G504:G520" emptyCellReference="1"/>
  </ignoredErrors>
  <drawing r:id="rId2"/>
  <legacyDrawing r:id="rId3"/>
  <mc:AlternateContent xmlns:mc="http://schemas.openxmlformats.org/markup-compatibility/2006">
    <mc:Choice Requires="x14">
      <controls>
        <mc:AlternateContent xmlns:mc="http://schemas.openxmlformats.org/markup-compatibility/2006">
          <mc:Choice Requires="x14">
            <control shapeId="2051" r:id="rId4" name="Button 3">
              <controlPr defaultSize="0" print="0" autoFill="0" autoPict="0" macro="[0]!mamacro">
                <anchor moveWithCells="1" sizeWithCells="1">
                  <from>
                    <xdr:col>2</xdr:col>
                    <xdr:colOff>257175</xdr:colOff>
                    <xdr:row>0</xdr:row>
                    <xdr:rowOff>152400</xdr:rowOff>
                  </from>
                  <to>
                    <xdr:col>3</xdr:col>
                    <xdr:colOff>371475</xdr:colOff>
                    <xdr:row>2</xdr:row>
                    <xdr:rowOff>123825</xdr:rowOff>
                  </to>
                </anchor>
              </controlPr>
            </control>
          </mc:Choice>
        </mc:AlternateContent>
      </controls>
    </mc:Choice>
  </mc:AlternateContent>
  <tableParts count="20">
    <tablePart r:id="rId5"/>
    <tablePart r:id="rId6"/>
    <tablePart r:id="rId7"/>
    <tablePart r:id="rId8"/>
    <tablePart r:id="rId9"/>
    <tablePart r:id="rId10"/>
    <tablePart r:id="rId11"/>
    <tablePart r:id="rId12"/>
    <tablePart r:id="rId13"/>
    <tablePart r:id="rId14"/>
    <tablePart r:id="rId15"/>
    <tablePart r:id="rId16"/>
    <tablePart r:id="rId17"/>
    <tablePart r:id="rId18"/>
    <tablePart r:id="rId19"/>
    <tablePart r:id="rId20"/>
    <tablePart r:id="rId21"/>
    <tablePart r:id="rId22"/>
    <tablePart r:id="rId23"/>
    <tablePart r:id="rId24"/>
  </tableParts>
  <extLst>
    <ext xmlns:x14="http://schemas.microsoft.com/office/spreadsheetml/2009/9/main" uri="{CCE6A557-97BC-4b89-ADB6-D9C93CAAB3DF}">
      <x14:dataValidations xmlns:xm="http://schemas.microsoft.com/office/excel/2006/main" count="1">
        <x14:dataValidation type="list" allowBlank="1" showInputMessage="1" showErrorMessage="1">
          <x14:formula1>
            <xm:f>Liste!$B$2:$B$21</xm:f>
          </x14:formula1>
          <xm:sqref>B2</xm:sqref>
        </x14:dataValidation>
      </x14:dataValidations>
    </ex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enableFormatConditionsCalculation="0"/>
  <dimension ref="A1:B21"/>
  <sheetViews>
    <sheetView workbookViewId="0">
      <selection activeCell="D6" sqref="D6"/>
    </sheetView>
  </sheetViews>
  <sheetFormatPr baseColWidth="10" defaultRowHeight="15" x14ac:dyDescent="0.25"/>
  <sheetData>
    <row r="1" spans="1:2" x14ac:dyDescent="0.25">
      <c r="A1" t="s">
        <v>6</v>
      </c>
    </row>
    <row r="2" spans="1:2" x14ac:dyDescent="0.25">
      <c r="A2">
        <v>1</v>
      </c>
      <c r="B2">
        <f ca="1">YEAR('Tableau Projection'!A1)</f>
        <v>2014</v>
      </c>
    </row>
    <row r="3" spans="1:2" x14ac:dyDescent="0.25">
      <c r="A3">
        <v>2</v>
      </c>
      <c r="B3">
        <f ca="1">B2+1</f>
        <v>2015</v>
      </c>
    </row>
    <row r="4" spans="1:2" x14ac:dyDescent="0.25">
      <c r="A4">
        <v>3</v>
      </c>
      <c r="B4">
        <f t="shared" ref="B4:B21" ca="1" si="0">B3+1</f>
        <v>2016</v>
      </c>
    </row>
    <row r="5" spans="1:2" x14ac:dyDescent="0.25">
      <c r="A5">
        <v>4</v>
      </c>
      <c r="B5">
        <f t="shared" ca="1" si="0"/>
        <v>2017</v>
      </c>
    </row>
    <row r="6" spans="1:2" x14ac:dyDescent="0.25">
      <c r="A6">
        <v>5</v>
      </c>
      <c r="B6">
        <f t="shared" ca="1" si="0"/>
        <v>2018</v>
      </c>
    </row>
    <row r="7" spans="1:2" x14ac:dyDescent="0.25">
      <c r="A7">
        <v>6</v>
      </c>
      <c r="B7">
        <f t="shared" ca="1" si="0"/>
        <v>2019</v>
      </c>
    </row>
    <row r="8" spans="1:2" x14ac:dyDescent="0.25">
      <c r="A8">
        <v>7</v>
      </c>
      <c r="B8">
        <f t="shared" ca="1" si="0"/>
        <v>2020</v>
      </c>
    </row>
    <row r="9" spans="1:2" x14ac:dyDescent="0.25">
      <c r="A9">
        <v>8</v>
      </c>
      <c r="B9">
        <f t="shared" ca="1" si="0"/>
        <v>2021</v>
      </c>
    </row>
    <row r="10" spans="1:2" x14ac:dyDescent="0.25">
      <c r="A10">
        <v>9</v>
      </c>
      <c r="B10">
        <f t="shared" ca="1" si="0"/>
        <v>2022</v>
      </c>
    </row>
    <row r="11" spans="1:2" x14ac:dyDescent="0.25">
      <c r="A11">
        <v>10</v>
      </c>
      <c r="B11">
        <f t="shared" ca="1" si="0"/>
        <v>2023</v>
      </c>
    </row>
    <row r="12" spans="1:2" x14ac:dyDescent="0.25">
      <c r="A12">
        <v>11</v>
      </c>
      <c r="B12">
        <f t="shared" ca="1" si="0"/>
        <v>2024</v>
      </c>
    </row>
    <row r="13" spans="1:2" x14ac:dyDescent="0.25">
      <c r="A13">
        <v>12</v>
      </c>
      <c r="B13">
        <f t="shared" ca="1" si="0"/>
        <v>2025</v>
      </c>
    </row>
    <row r="14" spans="1:2" x14ac:dyDescent="0.25">
      <c r="A14">
        <v>13</v>
      </c>
      <c r="B14">
        <f t="shared" ca="1" si="0"/>
        <v>2026</v>
      </c>
    </row>
    <row r="15" spans="1:2" x14ac:dyDescent="0.25">
      <c r="A15">
        <v>14</v>
      </c>
      <c r="B15">
        <f t="shared" ca="1" si="0"/>
        <v>2027</v>
      </c>
    </row>
    <row r="16" spans="1:2" x14ac:dyDescent="0.25">
      <c r="A16">
        <v>15</v>
      </c>
      <c r="B16">
        <f t="shared" ca="1" si="0"/>
        <v>2028</v>
      </c>
    </row>
    <row r="17" spans="1:2" x14ac:dyDescent="0.25">
      <c r="A17">
        <v>16</v>
      </c>
      <c r="B17">
        <f t="shared" ca="1" si="0"/>
        <v>2029</v>
      </c>
    </row>
    <row r="18" spans="1:2" x14ac:dyDescent="0.25">
      <c r="A18">
        <v>17</v>
      </c>
      <c r="B18">
        <f t="shared" ca="1" si="0"/>
        <v>2030</v>
      </c>
    </row>
    <row r="19" spans="1:2" x14ac:dyDescent="0.25">
      <c r="A19">
        <v>18</v>
      </c>
      <c r="B19">
        <f t="shared" ca="1" si="0"/>
        <v>2031</v>
      </c>
    </row>
    <row r="20" spans="1:2" x14ac:dyDescent="0.25">
      <c r="A20">
        <v>19</v>
      </c>
      <c r="B20">
        <f t="shared" ca="1" si="0"/>
        <v>2032</v>
      </c>
    </row>
    <row r="21" spans="1:2" x14ac:dyDescent="0.25">
      <c r="A21">
        <v>20</v>
      </c>
      <c r="B21">
        <f t="shared" ca="1" si="0"/>
        <v>2033</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6</vt:i4>
      </vt:variant>
    </vt:vector>
  </HeadingPairs>
  <TitlesOfParts>
    <vt:vector size="6" baseType="lpstr">
      <vt:lpstr>Démarrer</vt:lpstr>
      <vt:lpstr>Macro_V.Compl</vt:lpstr>
      <vt:lpstr>Variables</vt:lpstr>
      <vt:lpstr>Tableau Projection</vt:lpstr>
      <vt:lpstr>V.Complémentaires</vt:lpstr>
      <vt:lpstr>Liste</vt:lpstr>
    </vt:vector>
  </TitlesOfParts>
  <Company>Microsoft</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pedago</dc:creator>
  <cp:lastModifiedBy>Michel</cp:lastModifiedBy>
  <dcterms:created xsi:type="dcterms:W3CDTF">2014-11-07T09:31:21Z</dcterms:created>
  <dcterms:modified xsi:type="dcterms:W3CDTF">2014-12-05T22:32:12Z</dcterms:modified>
</cp:coreProperties>
</file>