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4400" yWindow="-15" windowWidth="14445" windowHeight="12795" activeTab="3"/>
  </bookViews>
  <sheets>
    <sheet name="Projection" sheetId="25" r:id="rId1"/>
    <sheet name="Méthode Olten" sheetId="28" r:id="rId2"/>
    <sheet name="Méthode simple" sheetId="30" r:id="rId3"/>
    <sheet name="Tests" sheetId="31" r:id="rId4"/>
  </sheets>
  <definedNames>
    <definedName name="_xlnm.Print_Area" localSheetId="1">'Méthode Olten'!$A$1:$M$44</definedName>
    <definedName name="_xlnm.Print_Area" localSheetId="2">'Méthode simple'!$A$1:$M$43</definedName>
    <definedName name="_xlnm.Print_Area" localSheetId="0">Projection!$A$1:$K$75</definedName>
  </definedNames>
  <calcPr calcId="114210"/>
</workbook>
</file>

<file path=xl/calcChain.xml><?xml version="1.0" encoding="utf-8"?>
<calcChain xmlns="http://schemas.openxmlformats.org/spreadsheetml/2006/main">
  <c r="E9" i="30"/>
  <c r="E7"/>
  <c r="E6"/>
  <c r="E4"/>
  <c r="E3"/>
  <c r="P1"/>
  <c r="E5"/>
  <c r="E9" i="28"/>
  <c r="E7"/>
  <c r="E6"/>
  <c r="E4"/>
  <c r="E3"/>
  <c r="P1"/>
  <c r="E5"/>
  <c r="I21" i="30"/>
  <c r="B33"/>
  <c r="A13"/>
  <c r="E8"/>
  <c r="P6"/>
  <c r="A6"/>
  <c r="P5"/>
  <c r="G4"/>
  <c r="A14" i="25"/>
  <c r="A25" i="28"/>
  <c r="E8"/>
  <c r="P3" i="30"/>
  <c r="F3"/>
  <c r="D13"/>
  <c r="A19"/>
  <c r="A18"/>
  <c r="A20"/>
  <c r="B18"/>
  <c r="B19"/>
  <c r="B20"/>
  <c r="B39" i="28"/>
  <c r="A13"/>
  <c r="A6"/>
  <c r="P6"/>
  <c r="P5"/>
  <c r="G4"/>
  <c r="G28" i="25"/>
  <c r="A21"/>
  <c r="O6"/>
  <c r="O5"/>
  <c r="C18" i="30"/>
  <c r="D13" i="28"/>
  <c r="P3"/>
  <c r="F3"/>
  <c r="O3" i="25"/>
  <c r="C19" i="30"/>
  <c r="A18" i="28"/>
  <c r="B18"/>
  <c r="C30" i="25"/>
  <c r="C31"/>
  <c r="C32"/>
  <c r="C33"/>
  <c r="C34"/>
  <c r="C35"/>
  <c r="C36"/>
  <c r="E36"/>
  <c r="C37"/>
  <c r="E37"/>
  <c r="C38"/>
  <c r="E38"/>
  <c r="C39"/>
  <c r="E39"/>
  <c r="C40"/>
  <c r="E40"/>
  <c r="C41"/>
  <c r="E41"/>
  <c r="C42"/>
  <c r="E42"/>
  <c r="C43"/>
  <c r="E43"/>
  <c r="C44"/>
  <c r="E44"/>
  <c r="C45"/>
  <c r="E45"/>
  <c r="C46"/>
  <c r="E46"/>
  <c r="C47"/>
  <c r="E47"/>
  <c r="C48"/>
  <c r="E48"/>
  <c r="C49"/>
  <c r="E49"/>
  <c r="C50"/>
  <c r="E50"/>
  <c r="C51"/>
  <c r="E51"/>
  <c r="C52"/>
  <c r="E52"/>
  <c r="C53"/>
  <c r="E53"/>
  <c r="C54"/>
  <c r="E54"/>
  <c r="C55"/>
  <c r="E55"/>
  <c r="C56"/>
  <c r="E56"/>
  <c r="C57"/>
  <c r="E57"/>
  <c r="C58"/>
  <c r="E58"/>
  <c r="C59"/>
  <c r="E59"/>
  <c r="C60"/>
  <c r="E60"/>
  <c r="C61"/>
  <c r="E61"/>
  <c r="C62"/>
  <c r="E62"/>
  <c r="C63"/>
  <c r="E63"/>
  <c r="C64"/>
  <c r="E64"/>
  <c r="C65"/>
  <c r="E65"/>
  <c r="C66"/>
  <c r="E66"/>
  <c r="C67"/>
  <c r="E67"/>
  <c r="C68"/>
  <c r="E68"/>
  <c r="C69"/>
  <c r="E69"/>
  <c r="C70"/>
  <c r="E70"/>
  <c r="C71"/>
  <c r="E71"/>
  <c r="C72"/>
  <c r="E72"/>
  <c r="C73"/>
  <c r="E73"/>
  <c r="C74"/>
  <c r="E74"/>
  <c r="C75"/>
  <c r="E75"/>
  <c r="C29"/>
  <c r="A7"/>
  <c r="G4"/>
  <c r="F3"/>
  <c r="C20" i="30"/>
  <c r="A19" i="28"/>
  <c r="B19"/>
  <c r="D18"/>
  <c r="C18"/>
  <c r="O2" i="25"/>
  <c r="D14"/>
  <c r="D10"/>
  <c r="P2" i="30"/>
  <c r="P2" i="28"/>
  <c r="E18"/>
  <c r="F18"/>
  <c r="C19"/>
  <c r="E19"/>
  <c r="A20"/>
  <c r="B20"/>
  <c r="D19"/>
  <c r="A15" i="25"/>
  <c r="A10"/>
  <c r="Q2" i="30"/>
  <c r="B21"/>
  <c r="E12"/>
  <c r="E13"/>
  <c r="E14"/>
  <c r="F17"/>
  <c r="F18"/>
  <c r="F19"/>
  <c r="F20"/>
  <c r="E24"/>
  <c r="E12" i="28"/>
  <c r="E31"/>
  <c r="E13" i="25"/>
  <c r="E11"/>
  <c r="E14"/>
  <c r="A21" i="28"/>
  <c r="D21"/>
  <c r="C20"/>
  <c r="E20"/>
  <c r="F19"/>
  <c r="D20"/>
  <c r="E15" i="25"/>
  <c r="A14" i="30"/>
  <c r="A21"/>
  <c r="B21" i="28"/>
  <c r="C21"/>
  <c r="E21"/>
  <c r="F21"/>
  <c r="D22"/>
  <c r="A14"/>
  <c r="E13"/>
  <c r="E14"/>
  <c r="E24"/>
  <c r="F20"/>
  <c r="B29" i="25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C21" i="30"/>
  <c r="F21"/>
  <c r="F22" i="28"/>
  <c r="E23"/>
  <c r="E25"/>
  <c r="E32"/>
  <c r="G62" i="25"/>
  <c r="G55"/>
  <c r="G51"/>
  <c r="G47"/>
  <c r="G39"/>
  <c r="G35"/>
  <c r="G68"/>
  <c r="G60"/>
  <c r="G52"/>
  <c r="G48"/>
  <c r="G44"/>
  <c r="G40"/>
  <c r="G36"/>
  <c r="G32"/>
  <c r="G73"/>
  <c r="G61"/>
  <c r="G57"/>
  <c r="G53"/>
  <c r="G37"/>
  <c r="G33"/>
  <c r="G29"/>
  <c r="H29"/>
  <c r="G50"/>
  <c r="G46"/>
  <c r="G42"/>
  <c r="G38"/>
  <c r="G34"/>
  <c r="G30"/>
  <c r="G45"/>
  <c r="G69"/>
  <c r="E25" i="30"/>
  <c r="E26"/>
  <c r="C33"/>
  <c r="E33"/>
  <c r="F33"/>
  <c r="E33" i="28"/>
  <c r="C39"/>
  <c r="F30" i="25"/>
  <c r="H30"/>
  <c r="F31"/>
  <c r="G31"/>
  <c r="G59"/>
  <c r="G54"/>
  <c r="G49"/>
  <c r="H31"/>
  <c r="F32"/>
  <c r="H32"/>
  <c r="G41"/>
  <c r="G70"/>
  <c r="G43"/>
  <c r="G63"/>
  <c r="G65"/>
  <c r="G72"/>
  <c r="G64"/>
  <c r="G58"/>
  <c r="G56"/>
  <c r="G71"/>
  <c r="G75"/>
  <c r="G74"/>
  <c r="G66"/>
  <c r="G67"/>
  <c r="F33"/>
  <c r="H33"/>
  <c r="F34"/>
  <c r="H34"/>
  <c r="F35"/>
  <c r="H35"/>
  <c r="F36"/>
  <c r="H36"/>
  <c r="F37"/>
  <c r="H37"/>
  <c r="F38"/>
  <c r="H38"/>
  <c r="F39"/>
  <c r="H39"/>
  <c r="F40"/>
  <c r="H40"/>
  <c r="F41"/>
  <c r="H41"/>
  <c r="F42"/>
  <c r="H42"/>
  <c r="F43"/>
  <c r="H43"/>
  <c r="F44"/>
  <c r="H44"/>
  <c r="F45"/>
  <c r="H45"/>
  <c r="F46"/>
  <c r="H46"/>
  <c r="F47"/>
  <c r="H47"/>
  <c r="F48"/>
  <c r="H48"/>
  <c r="F49"/>
  <c r="H49"/>
  <c r="F50"/>
  <c r="H50"/>
  <c r="F51"/>
  <c r="H51"/>
  <c r="F52"/>
  <c r="H52"/>
  <c r="F53"/>
  <c r="H53"/>
  <c r="F54"/>
  <c r="H54"/>
  <c r="F55"/>
  <c r="H55"/>
  <c r="F56"/>
  <c r="H56"/>
  <c r="F57"/>
  <c r="H57"/>
  <c r="F58"/>
  <c r="H58"/>
  <c r="F59"/>
  <c r="H59"/>
  <c r="F60"/>
  <c r="H60"/>
  <c r="F61"/>
  <c r="H61"/>
  <c r="F62"/>
  <c r="H62"/>
  <c r="F63"/>
  <c r="H63"/>
  <c r="F64"/>
  <c r="H64"/>
  <c r="F65"/>
  <c r="H65"/>
  <c r="F66"/>
  <c r="H66"/>
  <c r="F67"/>
  <c r="H67"/>
  <c r="F68"/>
  <c r="H68"/>
  <c r="F69"/>
  <c r="H69"/>
  <c r="F70"/>
  <c r="H70"/>
  <c r="E39" i="28"/>
  <c r="F39"/>
  <c r="F71" i="25"/>
  <c r="H71"/>
  <c r="F72"/>
  <c r="H72"/>
  <c r="F73"/>
  <c r="H73"/>
  <c r="F74"/>
  <c r="H74"/>
  <c r="I74"/>
  <c r="J74"/>
  <c r="F75"/>
  <c r="H75"/>
  <c r="K74"/>
  <c r="I75"/>
  <c r="J75"/>
  <c r="K75"/>
  <c r="B21"/>
  <c r="B25"/>
  <c r="B26"/>
  <c r="F21"/>
  <c r="F22"/>
</calcChain>
</file>

<file path=xl/sharedStrings.xml><?xml version="1.0" encoding="utf-8"?>
<sst xmlns="http://schemas.openxmlformats.org/spreadsheetml/2006/main" count="120" uniqueCount="67">
  <si>
    <t>Total</t>
  </si>
  <si>
    <t>Rente</t>
  </si>
  <si>
    <t>Projection et rachat</t>
  </si>
  <si>
    <t>Sexe</t>
  </si>
  <si>
    <t>Date du calcul (entrée ou début d'année)</t>
  </si>
  <si>
    <t>Date de naissance</t>
  </si>
  <si>
    <t>Intérêt</t>
  </si>
  <si>
    <t>Apport au</t>
  </si>
  <si>
    <t>Capital</t>
  </si>
  <si>
    <t>Calcul l'année de la retraite ?</t>
  </si>
  <si>
    <t>Date de retraite d'une femme</t>
  </si>
  <si>
    <t>Date de retraite d'un homme</t>
  </si>
  <si>
    <t>Calcul après la retraite ?</t>
  </si>
  <si>
    <t>Sexe ? Femme = 1</t>
  </si>
  <si>
    <t>Avoir à la date du calcul</t>
  </si>
  <si>
    <t>Age LPP</t>
  </si>
  <si>
    <t>Année</t>
  </si>
  <si>
    <t>Prise en compte</t>
  </si>
  <si>
    <t>Taux de cotisation</t>
  </si>
  <si>
    <t>Cotisations non arrondies</t>
  </si>
  <si>
    <t>Intérêt sur le capital de l'année précédente, non arrondi</t>
  </si>
  <si>
    <t>Total en fin d'année</t>
  </si>
  <si>
    <t>Cotisations jusqu'au prochain anniversaire</t>
  </si>
  <si>
    <t>Intérêts jusqu'au prochain anniversaire</t>
  </si>
  <si>
    <t xml:space="preserve">Age LPP : </t>
  </si>
  <si>
    <t>Taux</t>
  </si>
  <si>
    <t>Base</t>
  </si>
  <si>
    <t>Possibilité d'inclure un apport complémentaire la première année</t>
  </si>
  <si>
    <t>Nombre d'années</t>
  </si>
  <si>
    <t>Age</t>
  </si>
  <si>
    <t>r (il y a un texte ci-devant)</t>
  </si>
  <si>
    <t>Intérêts sur l'avoir de base</t>
  </si>
  <si>
    <t>Projection et rachat selon la méthode "Olten"</t>
  </si>
  <si>
    <t>De</t>
  </si>
  <si>
    <t>A</t>
  </si>
  <si>
    <t>Sn = Valeur finale d'une rente payable annuellement postnumerendo</t>
  </si>
  <si>
    <t>Valeur finale des rentes prenumerendo ***</t>
  </si>
  <si>
    <t>Capital et intérêt pour la période</t>
  </si>
  <si>
    <t>Eventuellement dernière année incomplète</t>
  </si>
  <si>
    <t>Cotisations</t>
  </si>
  <si>
    <t>Intérêts sur le capital</t>
  </si>
  <si>
    <t>PLP avant 25 ans ou avant la date d'entrée possible (mais durant l'année de l'entrée)</t>
  </si>
  <si>
    <r>
      <t xml:space="preserve">Sn
</t>
    </r>
    <r>
      <rPr>
        <sz val="10"/>
        <rFont val="Arial"/>
        <family val="2"/>
      </rPr>
      <t>non arrondi</t>
    </r>
  </si>
  <si>
    <t>arrondi à 5 ct.</t>
  </si>
  <si>
    <t>Arrondie au mois</t>
  </si>
  <si>
    <t>arrondie au mois</t>
  </si>
  <si>
    <t>Arrondi à 5 ct.</t>
  </si>
  <si>
    <t>Total
ARRONDI à 5 ct.</t>
  </si>
  <si>
    <t>Eventuellement première année incomplète</t>
  </si>
  <si>
    <t>Projection et rachat selon la méthode simple</t>
  </si>
  <si>
    <t>Solde</t>
  </si>
  <si>
    <t>Taux de rente</t>
  </si>
  <si>
    <t xml:space="preserve">*** Ŝn valeur finale prenumerendo = 1/r*Sn / Donc diviser ici (E23) le salaire par r </t>
  </si>
  <si>
    <t>Contrôle 1</t>
  </si>
  <si>
    <t>Contrôle 2</t>
  </si>
  <si>
    <t>Cellule O2 utilisée pour macro impression</t>
  </si>
  <si>
    <t>Taux de conversion</t>
  </si>
  <si>
    <t>Arrondie à 5 ct.</t>
  </si>
  <si>
    <t>à une autre date que la date d'entrée</t>
  </si>
  <si>
    <t>Salaire assuré</t>
  </si>
  <si>
    <t>Avoir</t>
  </si>
  <si>
    <t>Intérêt sur avoir à la date du calcul</t>
  </si>
  <si>
    <t>Intérêt sur l'apport ci-dessus</t>
  </si>
  <si>
    <t>Calculs possibles :</t>
  </si>
  <si>
    <t>Sexe
1 = femme</t>
  </si>
  <si>
    <t>Date de calcul</t>
  </si>
  <si>
    <t>http://forum.excel-pratique.com/posting.php?mode=reply&amp;f=2&amp;t=21770</t>
  </si>
</sst>
</file>

<file path=xl/styles.xml><?xml version="1.0" encoding="utf-8"?>
<styleSheet xmlns="http://schemas.openxmlformats.org/spreadsheetml/2006/main">
  <numFmts count="9">
    <numFmt numFmtId="164" formatCode="_ * #,##0.00_ ;_ * \-#,##0.00_ ;_ * &quot;-&quot;??_ ;_ @_ "/>
    <numFmt numFmtId="165" formatCode="0.##%"/>
    <numFmt numFmtId="166" formatCode="0\ &quot;ans&quot;"/>
    <numFmt numFmtId="167" formatCode="0.0000"/>
    <numFmt numFmtId="168" formatCode="_ * #,##0.000_ ;_ * \-#,##0.000_ ;_ * &quot;-&quot;??_ ;_ @_ "/>
    <numFmt numFmtId="169" formatCode="#,##0.000"/>
    <numFmt numFmtId="170" formatCode="0.00000"/>
    <numFmt numFmtId="171" formatCode="dd/mm/yyyy;@"/>
    <numFmt numFmtId="172" formatCode="_ * #,##0_ ;_ * \-#,##0_ ;_ * &quot;-&quot;??_ ;_ @_ "/>
  </numFmts>
  <fonts count="23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sz val="10"/>
      <color indexed="47"/>
      <name val="Arial"/>
      <family val="2"/>
    </font>
    <font>
      <sz val="7"/>
      <name val="Arial"/>
      <family val="2"/>
    </font>
    <font>
      <b/>
      <sz val="10"/>
      <color indexed="22"/>
      <name val="Arial"/>
      <family val="2"/>
    </font>
    <font>
      <b/>
      <sz val="10"/>
      <color indexed="53"/>
      <name val="Arial"/>
      <family val="2"/>
    </font>
    <font>
      <b/>
      <sz val="8"/>
      <color indexed="53"/>
      <name val="Arial"/>
      <family val="2"/>
    </font>
    <font>
      <b/>
      <sz val="10"/>
      <color indexed="14"/>
      <name val="Arial"/>
      <family val="2"/>
    </font>
    <font>
      <b/>
      <sz val="14"/>
      <color indexed="14"/>
      <name val="Arial"/>
      <family val="2"/>
    </font>
    <font>
      <sz val="8"/>
      <name val="Tahoma"/>
      <family val="2"/>
    </font>
    <font>
      <b/>
      <sz val="10"/>
      <color indexed="10"/>
      <name val="Arial"/>
      <family val="2"/>
    </font>
    <font>
      <b/>
      <sz val="8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10"/>
      <color indexed="8"/>
      <name val="Arial"/>
      <family val="2"/>
    </font>
    <font>
      <b/>
      <sz val="8"/>
      <color indexed="10"/>
      <name val="Arial"/>
      <family val="2"/>
    </font>
    <font>
      <sz val="10"/>
      <color indexed="10"/>
      <name val="Arial"/>
      <family val="2"/>
    </font>
    <font>
      <sz val="8"/>
      <color indexed="10"/>
      <name val="Arial"/>
      <family val="2"/>
    </font>
    <font>
      <sz val="8"/>
      <name val="Arial"/>
    </font>
    <font>
      <u/>
      <sz val="10"/>
      <color indexed="12"/>
      <name val="Arial"/>
    </font>
  </fonts>
  <fills count="8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2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hair">
        <color indexed="64"/>
      </bottom>
      <diagonal/>
    </border>
  </borders>
  <cellStyleXfs count="6">
    <xf numFmtId="0" fontId="0" fillId="0" borderId="0"/>
    <xf numFmtId="0" fontId="22" fillId="0" borderId="0" applyNumberFormat="0" applyFill="0" applyBorder="0" applyAlignment="0" applyProtection="0">
      <alignment vertical="top"/>
      <protection locked="0"/>
    </xf>
    <xf numFmtId="164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2" fillId="0" borderId="0">
      <alignment horizontal="center" vertical="center" wrapText="1"/>
    </xf>
  </cellStyleXfs>
  <cellXfs count="215">
    <xf numFmtId="0" fontId="0" fillId="0" borderId="0" xfId="0"/>
    <xf numFmtId="0" fontId="4" fillId="0" borderId="0" xfId="0" applyFont="1" applyAlignment="1" applyProtection="1">
      <alignment vertical="top"/>
    </xf>
    <xf numFmtId="0" fontId="0" fillId="0" borderId="0" xfId="0" applyProtection="1"/>
    <xf numFmtId="22" fontId="0" fillId="0" borderId="0" xfId="0" applyNumberFormat="1" applyProtection="1"/>
    <xf numFmtId="0" fontId="4" fillId="0" borderId="0" xfId="0" applyFont="1" applyProtection="1"/>
    <xf numFmtId="0" fontId="4" fillId="0" borderId="0" xfId="0" applyFont="1" applyAlignment="1" applyProtection="1">
      <alignment horizontal="right"/>
    </xf>
    <xf numFmtId="1" fontId="4" fillId="0" borderId="0" xfId="0" applyNumberFormat="1" applyFont="1" applyAlignment="1" applyProtection="1">
      <alignment horizontal="left"/>
    </xf>
    <xf numFmtId="0" fontId="3" fillId="0" borderId="0" xfId="0" applyFont="1" applyAlignment="1" applyProtection="1">
      <alignment horizontal="center" vertical="center" wrapText="1"/>
    </xf>
    <xf numFmtId="0" fontId="3" fillId="0" borderId="0" xfId="0" applyFont="1" applyFill="1" applyAlignment="1" applyProtection="1">
      <alignment horizontal="center" vertical="center" wrapText="1"/>
    </xf>
    <xf numFmtId="0" fontId="4" fillId="0" borderId="0" xfId="0" applyFont="1" applyFill="1" applyProtection="1"/>
    <xf numFmtId="0" fontId="5" fillId="0" borderId="0" xfId="0" applyFont="1" applyFill="1" applyProtection="1"/>
    <xf numFmtId="0" fontId="2" fillId="0" borderId="1" xfId="0" applyFont="1" applyBorder="1" applyProtection="1"/>
    <xf numFmtId="0" fontId="4" fillId="0" borderId="2" xfId="0" applyFont="1" applyBorder="1" applyProtection="1"/>
    <xf numFmtId="0" fontId="3" fillId="0" borderId="3" xfId="0" applyFont="1" applyFill="1" applyBorder="1" applyAlignment="1" applyProtection="1">
      <alignment horizontal="center" vertical="center" wrapText="1"/>
    </xf>
    <xf numFmtId="0" fontId="4" fillId="0" borderId="4" xfId="0" applyFont="1" applyBorder="1" applyProtection="1"/>
    <xf numFmtId="0" fontId="4" fillId="0" borderId="0" xfId="0" applyFont="1" applyBorder="1" applyProtection="1"/>
    <xf numFmtId="0" fontId="3" fillId="0" borderId="0" xfId="0" applyFont="1" applyFill="1" applyBorder="1" applyAlignment="1" applyProtection="1">
      <alignment horizontal="center" vertical="center" wrapText="1"/>
    </xf>
    <xf numFmtId="0" fontId="3" fillId="0" borderId="5" xfId="0" applyFont="1" applyFill="1" applyBorder="1" applyAlignment="1" applyProtection="1">
      <alignment horizontal="center" vertical="center" wrapText="1"/>
    </xf>
    <xf numFmtId="4" fontId="4" fillId="0" borderId="5" xfId="0" applyNumberFormat="1" applyFont="1" applyBorder="1" applyProtection="1"/>
    <xf numFmtId="4" fontId="4" fillId="0" borderId="0" xfId="0" applyNumberFormat="1" applyFont="1" applyBorder="1" applyProtection="1"/>
    <xf numFmtId="0" fontId="4" fillId="0" borderId="6" xfId="0" applyFont="1" applyBorder="1" applyProtection="1"/>
    <xf numFmtId="0" fontId="4" fillId="0" borderId="7" xfId="0" applyFont="1" applyBorder="1" applyProtection="1"/>
    <xf numFmtId="0" fontId="3" fillId="0" borderId="8" xfId="0" applyFont="1" applyFill="1" applyBorder="1" applyAlignment="1" applyProtection="1">
      <alignment horizontal="center" vertical="center" wrapText="1"/>
    </xf>
    <xf numFmtId="0" fontId="2" fillId="0" borderId="0" xfId="0" applyFont="1" applyProtection="1"/>
    <xf numFmtId="10" fontId="3" fillId="0" borderId="0" xfId="0" applyNumberFormat="1" applyFont="1" applyProtection="1"/>
    <xf numFmtId="3" fontId="2" fillId="0" borderId="0" xfId="0" applyNumberFormat="1" applyFont="1" applyProtection="1"/>
    <xf numFmtId="0" fontId="3" fillId="0" borderId="0" xfId="0" applyFont="1" applyProtection="1"/>
    <xf numFmtId="4" fontId="6" fillId="0" borderId="0" xfId="0" applyNumberFormat="1" applyFont="1" applyProtection="1"/>
    <xf numFmtId="0" fontId="1" fillId="0" borderId="4" xfId="0" applyFont="1" applyBorder="1" applyProtection="1"/>
    <xf numFmtId="0" fontId="1" fillId="0" borderId="4" xfId="0" applyFont="1" applyFill="1" applyBorder="1" applyProtection="1"/>
    <xf numFmtId="14" fontId="1" fillId="2" borderId="0" xfId="0" applyNumberFormat="1" applyFont="1" applyFill="1" applyProtection="1">
      <protection locked="0"/>
    </xf>
    <xf numFmtId="4" fontId="1" fillId="2" borderId="0" xfId="0" applyNumberFormat="1" applyFont="1" applyFill="1" applyBorder="1" applyProtection="1">
      <protection locked="0"/>
    </xf>
    <xf numFmtId="14" fontId="1" fillId="2" borderId="0" xfId="0" applyNumberFormat="1" applyFont="1" applyFill="1" applyBorder="1" applyProtection="1">
      <protection locked="0"/>
    </xf>
    <xf numFmtId="4" fontId="4" fillId="0" borderId="0" xfId="0" applyNumberFormat="1" applyFont="1" applyFill="1" applyBorder="1" applyProtection="1"/>
    <xf numFmtId="0" fontId="1" fillId="0" borderId="0" xfId="0" applyFont="1" applyFill="1" applyProtection="1"/>
    <xf numFmtId="0" fontId="1" fillId="0" borderId="0" xfId="0" applyFont="1" applyFill="1" applyBorder="1" applyProtection="1"/>
    <xf numFmtId="0" fontId="8" fillId="0" borderId="0" xfId="0" applyFont="1" applyBorder="1" applyProtection="1"/>
    <xf numFmtId="0" fontId="9" fillId="0" borderId="0" xfId="0" applyFont="1" applyFill="1" applyBorder="1" applyAlignment="1" applyProtection="1">
      <alignment horizontal="center" vertical="center" wrapText="1"/>
    </xf>
    <xf numFmtId="0" fontId="3" fillId="0" borderId="0" xfId="0" applyFont="1" applyAlignment="1" applyProtection="1">
      <alignment horizontal="center" vertical="top" wrapText="1"/>
    </xf>
    <xf numFmtId="0" fontId="2" fillId="0" borderId="0" xfId="0" applyFont="1" applyAlignment="1" applyProtection="1">
      <alignment vertical="top"/>
    </xf>
    <xf numFmtId="3" fontId="10" fillId="0" borderId="0" xfId="0" applyNumberFormat="1" applyFont="1" applyProtection="1"/>
    <xf numFmtId="3" fontId="11" fillId="0" borderId="0" xfId="0" applyNumberFormat="1" applyFont="1" applyProtection="1"/>
    <xf numFmtId="0" fontId="7" fillId="0" borderId="0" xfId="0" applyFont="1" applyFill="1" applyAlignment="1" applyProtection="1"/>
    <xf numFmtId="0" fontId="1" fillId="0" borderId="0" xfId="0" applyFont="1" applyProtection="1"/>
    <xf numFmtId="14" fontId="1" fillId="3" borderId="0" xfId="0" applyNumberFormat="1" applyFont="1" applyFill="1" applyProtection="1">
      <protection locked="0"/>
    </xf>
    <xf numFmtId="0" fontId="13" fillId="0" borderId="0" xfId="0" applyFont="1" applyProtection="1"/>
    <xf numFmtId="0" fontId="1" fillId="0" borderId="0" xfId="0" applyFont="1" applyAlignment="1" applyProtection="1">
      <alignment vertical="top"/>
    </xf>
    <xf numFmtId="0" fontId="0" fillId="0" borderId="0" xfId="0" applyAlignment="1" applyProtection="1">
      <alignment horizontal="right"/>
    </xf>
    <xf numFmtId="0" fontId="4" fillId="0" borderId="0" xfId="0" applyFont="1" applyAlignment="1" applyProtection="1">
      <alignment horizontal="right" vertical="top"/>
    </xf>
    <xf numFmtId="14" fontId="4" fillId="0" borderId="0" xfId="0" applyNumberFormat="1" applyFont="1" applyAlignment="1" applyProtection="1">
      <alignment horizontal="right"/>
    </xf>
    <xf numFmtId="164" fontId="3" fillId="0" borderId="0" xfId="2" applyNumberFormat="1" applyFont="1" applyFill="1" applyAlignment="1" applyProtection="1">
      <alignment horizontal="center" vertical="center" wrapText="1"/>
    </xf>
    <xf numFmtId="0" fontId="1" fillId="0" borderId="0" xfId="0" applyFont="1" applyAlignment="1" applyProtection="1">
      <alignment horizontal="right"/>
    </xf>
    <xf numFmtId="0" fontId="4" fillId="0" borderId="9" xfId="0" applyFont="1" applyFill="1" applyBorder="1" applyProtection="1"/>
    <xf numFmtId="0" fontId="4" fillId="0" borderId="10" xfId="0" applyFont="1" applyFill="1" applyBorder="1" applyProtection="1"/>
    <xf numFmtId="0" fontId="5" fillId="0" borderId="10" xfId="0" applyFont="1" applyFill="1" applyBorder="1" applyProtection="1"/>
    <xf numFmtId="0" fontId="3" fillId="0" borderId="11" xfId="0" applyFont="1" applyFill="1" applyBorder="1" applyAlignment="1" applyProtection="1">
      <alignment horizontal="center" vertical="center" wrapText="1"/>
    </xf>
    <xf numFmtId="0" fontId="2" fillId="0" borderId="0" xfId="0" applyFont="1" applyBorder="1" applyAlignment="1" applyProtection="1">
      <alignment horizontal="right" vertical="top"/>
    </xf>
    <xf numFmtId="0" fontId="3" fillId="0" borderId="0" xfId="0" applyFont="1" applyBorder="1" applyAlignment="1" applyProtection="1">
      <alignment horizontal="right" vertical="top"/>
    </xf>
    <xf numFmtId="164" fontId="2" fillId="0" borderId="0" xfId="2" applyFont="1" applyBorder="1" applyProtection="1"/>
    <xf numFmtId="10" fontId="3" fillId="0" borderId="0" xfId="4" applyNumberFormat="1" applyFont="1" applyFill="1" applyBorder="1" applyProtection="1"/>
    <xf numFmtId="3" fontId="2" fillId="0" borderId="12" xfId="0" applyNumberFormat="1" applyFont="1" applyBorder="1" applyProtection="1"/>
    <xf numFmtId="10" fontId="3" fillId="0" borderId="12" xfId="0" applyNumberFormat="1" applyFont="1" applyBorder="1" applyProtection="1"/>
    <xf numFmtId="0" fontId="5" fillId="0" borderId="12" xfId="0" applyFont="1" applyFill="1" applyBorder="1" applyProtection="1"/>
    <xf numFmtId="0" fontId="3" fillId="0" borderId="13" xfId="0" applyFont="1" applyFill="1" applyBorder="1" applyAlignment="1" applyProtection="1">
      <alignment horizontal="center" vertical="center" wrapText="1"/>
    </xf>
    <xf numFmtId="0" fontId="4" fillId="0" borderId="14" xfId="0" applyFont="1" applyBorder="1" applyAlignment="1" applyProtection="1">
      <alignment vertical="top"/>
    </xf>
    <xf numFmtId="166" fontId="2" fillId="0" borderId="14" xfId="0" applyNumberFormat="1" applyFont="1" applyBorder="1" applyProtection="1"/>
    <xf numFmtId="3" fontId="2" fillId="0" borderId="15" xfId="0" applyNumberFormat="1" applyFont="1" applyBorder="1" applyProtection="1"/>
    <xf numFmtId="0" fontId="14" fillId="0" borderId="0" xfId="0" applyFont="1" applyAlignment="1" applyProtection="1">
      <alignment horizontal="center" vertical="center" wrapText="1"/>
    </xf>
    <xf numFmtId="164" fontId="14" fillId="0" borderId="0" xfId="2" applyNumberFormat="1" applyFont="1" applyFill="1" applyAlignment="1" applyProtection="1">
      <alignment horizontal="center" vertical="center" wrapText="1"/>
    </xf>
    <xf numFmtId="0" fontId="3" fillId="0" borderId="0" xfId="0" applyFont="1" applyAlignment="1" applyProtection="1">
      <alignment horizontal="center" wrapText="1"/>
    </xf>
    <xf numFmtId="164" fontId="3" fillId="0" borderId="0" xfId="2" applyNumberFormat="1" applyFont="1" applyFill="1" applyAlignment="1" applyProtection="1">
      <alignment horizontal="center" wrapText="1"/>
    </xf>
    <xf numFmtId="3" fontId="4" fillId="0" borderId="0" xfId="0" applyNumberFormat="1" applyFont="1" applyFill="1" applyBorder="1" applyProtection="1"/>
    <xf numFmtId="9" fontId="4" fillId="0" borderId="0" xfId="4" applyFont="1" applyBorder="1" applyAlignment="1" applyProtection="1">
      <alignment horizontal="center"/>
    </xf>
    <xf numFmtId="0" fontId="3" fillId="0" borderId="16" xfId="0" applyFont="1" applyFill="1" applyBorder="1" applyAlignment="1" applyProtection="1">
      <alignment horizontal="right" vertical="center" wrapText="1"/>
    </xf>
    <xf numFmtId="164" fontId="1" fillId="0" borderId="16" xfId="2" applyFont="1" applyBorder="1" applyProtection="1"/>
    <xf numFmtId="0" fontId="4" fillId="0" borderId="0" xfId="0" applyFont="1" applyFill="1" applyBorder="1" applyProtection="1"/>
    <xf numFmtId="0" fontId="5" fillId="0" borderId="0" xfId="0" applyFont="1" applyFill="1" applyBorder="1" applyProtection="1"/>
    <xf numFmtId="14" fontId="4" fillId="0" borderId="2" xfId="0" applyNumberFormat="1" applyFont="1" applyBorder="1" applyAlignment="1" applyProtection="1">
      <alignment horizontal="right"/>
    </xf>
    <xf numFmtId="0" fontId="3" fillId="0" borderId="2" xfId="0" applyFont="1" applyFill="1" applyBorder="1" applyAlignment="1" applyProtection="1">
      <alignment horizontal="center" vertical="center" wrapText="1"/>
    </xf>
    <xf numFmtId="14" fontId="4" fillId="3" borderId="0" xfId="0" applyNumberFormat="1" applyFont="1" applyFill="1" applyProtection="1">
      <protection locked="0"/>
    </xf>
    <xf numFmtId="10" fontId="1" fillId="3" borderId="0" xfId="0" applyNumberFormat="1" applyFont="1" applyFill="1" applyBorder="1" applyProtection="1">
      <protection locked="0"/>
    </xf>
    <xf numFmtId="0" fontId="15" fillId="0" borderId="0" xfId="0" applyFont="1" applyAlignment="1" applyProtection="1">
      <alignment horizontal="center" vertical="center" wrapText="1"/>
    </xf>
    <xf numFmtId="0" fontId="16" fillId="0" borderId="0" xfId="0" applyFont="1" applyAlignment="1" applyProtection="1">
      <alignment horizontal="center" wrapText="1"/>
    </xf>
    <xf numFmtId="0" fontId="16" fillId="0" borderId="0" xfId="0" applyFont="1" applyProtection="1"/>
    <xf numFmtId="4" fontId="16" fillId="0" borderId="0" xfId="0" applyNumberFormat="1" applyFont="1" applyProtection="1"/>
    <xf numFmtId="0" fontId="16" fillId="0" borderId="0" xfId="0" applyFont="1" applyAlignment="1" applyProtection="1">
      <alignment horizontal="center" vertical="center" wrapText="1"/>
    </xf>
    <xf numFmtId="0" fontId="16" fillId="0" borderId="0" xfId="0" applyFont="1" applyAlignment="1" applyProtection="1">
      <alignment horizontal="center" vertical="top" wrapText="1"/>
    </xf>
    <xf numFmtId="0" fontId="3" fillId="0" borderId="0" xfId="0" applyFont="1" applyFill="1" applyProtection="1"/>
    <xf numFmtId="1" fontId="3" fillId="0" borderId="0" xfId="0" applyNumberFormat="1" applyFont="1" applyFill="1" applyProtection="1"/>
    <xf numFmtId="0" fontId="3" fillId="0" borderId="0" xfId="0" applyFont="1" applyFill="1" applyAlignment="1" applyProtection="1">
      <alignment horizontal="right"/>
    </xf>
    <xf numFmtId="165" fontId="3" fillId="0" borderId="0" xfId="0" applyNumberFormat="1" applyFont="1" applyFill="1" applyProtection="1"/>
    <xf numFmtId="4" fontId="3" fillId="0" borderId="0" xfId="0" applyNumberFormat="1" applyFont="1" applyFill="1" applyProtection="1"/>
    <xf numFmtId="4" fontId="3" fillId="0" borderId="0" xfId="0" applyNumberFormat="1" applyFont="1" applyFill="1" applyAlignment="1" applyProtection="1">
      <alignment horizontal="right" vertical="center" wrapText="1"/>
    </xf>
    <xf numFmtId="0" fontId="14" fillId="0" borderId="0" xfId="0" applyFont="1" applyFill="1" applyAlignment="1" applyProtection="1">
      <alignment horizontal="center" vertical="center" wrapText="1"/>
    </xf>
    <xf numFmtId="0" fontId="1" fillId="0" borderId="0" xfId="0" applyFont="1" applyAlignment="1" applyProtection="1">
      <alignment wrapText="1"/>
    </xf>
    <xf numFmtId="0" fontId="3" fillId="0" borderId="1" xfId="0" applyFont="1" applyFill="1" applyBorder="1" applyAlignment="1" applyProtection="1">
      <alignment horizontal="center" vertical="center" wrapText="1"/>
    </xf>
    <xf numFmtId="0" fontId="3" fillId="0" borderId="4" xfId="0" applyFont="1" applyFill="1" applyBorder="1" applyAlignment="1" applyProtection="1">
      <alignment horizontal="center" vertical="center" wrapText="1"/>
    </xf>
    <xf numFmtId="9" fontId="3" fillId="0" borderId="0" xfId="0" applyNumberFormat="1" applyFont="1" applyFill="1" applyBorder="1" applyAlignment="1" applyProtection="1">
      <alignment horizontal="center" vertical="center" wrapText="1"/>
    </xf>
    <xf numFmtId="9" fontId="3" fillId="0" borderId="8" xfId="0" applyNumberFormat="1" applyFont="1" applyFill="1" applyBorder="1" applyAlignment="1" applyProtection="1">
      <alignment horizontal="center" vertical="center" wrapText="1"/>
    </xf>
    <xf numFmtId="0" fontId="2" fillId="0" borderId="0" xfId="0" applyFont="1" applyBorder="1" applyProtection="1"/>
    <xf numFmtId="14" fontId="4" fillId="0" borderId="0" xfId="0" applyNumberFormat="1" applyFont="1" applyBorder="1" applyAlignment="1" applyProtection="1">
      <alignment horizontal="right"/>
    </xf>
    <xf numFmtId="0" fontId="1" fillId="0" borderId="0" xfId="0" applyFont="1" applyBorder="1" applyProtection="1"/>
    <xf numFmtId="0" fontId="1" fillId="0" borderId="0" xfId="0" applyFont="1" applyBorder="1" applyAlignment="1" applyProtection="1">
      <alignment horizontal="right"/>
    </xf>
    <xf numFmtId="167" fontId="17" fillId="0" borderId="0" xfId="0" applyNumberFormat="1" applyFont="1" applyFill="1" applyAlignment="1" applyProtection="1">
      <alignment horizontal="right"/>
    </xf>
    <xf numFmtId="0" fontId="18" fillId="0" borderId="0" xfId="0" applyFont="1" applyFill="1" applyBorder="1" applyAlignment="1" applyProtection="1">
      <alignment horizontal="left" vertical="center"/>
    </xf>
    <xf numFmtId="9" fontId="3" fillId="0" borderId="5" xfId="0" applyNumberFormat="1" applyFont="1" applyFill="1" applyBorder="1" applyAlignment="1" applyProtection="1">
      <alignment horizontal="center" vertical="center" wrapText="1"/>
    </xf>
    <xf numFmtId="0" fontId="3" fillId="0" borderId="6" xfId="0" applyFont="1" applyFill="1" applyBorder="1" applyAlignment="1" applyProtection="1">
      <alignment horizontal="center" vertical="center" wrapText="1"/>
    </xf>
    <xf numFmtId="9" fontId="4" fillId="4" borderId="7" xfId="4" applyFont="1" applyFill="1" applyBorder="1" applyAlignment="1" applyProtection="1">
      <alignment horizontal="right"/>
    </xf>
    <xf numFmtId="0" fontId="4" fillId="0" borderId="7" xfId="0" applyFont="1" applyFill="1" applyBorder="1" applyAlignment="1" applyProtection="1">
      <alignment horizontal="right"/>
    </xf>
    <xf numFmtId="169" fontId="4" fillId="0" borderId="0" xfId="0" applyNumberFormat="1" applyFont="1" applyBorder="1" applyProtection="1"/>
    <xf numFmtId="9" fontId="4" fillId="0" borderId="0" xfId="4" applyFont="1" applyFill="1" applyBorder="1" applyAlignment="1" applyProtection="1">
      <alignment horizontal="center"/>
    </xf>
    <xf numFmtId="4" fontId="2" fillId="0" borderId="0" xfId="0" applyNumberFormat="1" applyFont="1" applyBorder="1" applyProtection="1"/>
    <xf numFmtId="0" fontId="1" fillId="0" borderId="0" xfId="0" applyFont="1" applyFill="1" applyAlignment="1" applyProtection="1">
      <alignment vertical="top"/>
    </xf>
    <xf numFmtId="0" fontId="13" fillId="5" borderId="0" xfId="0" applyFont="1" applyFill="1" applyBorder="1" applyProtection="1"/>
    <xf numFmtId="0" fontId="9" fillId="0" borderId="3" xfId="0" applyFont="1" applyFill="1" applyBorder="1" applyAlignment="1" applyProtection="1">
      <alignment horizontal="center" vertical="center" wrapText="1"/>
    </xf>
    <xf numFmtId="0" fontId="9" fillId="0" borderId="5" xfId="0" applyFont="1" applyFill="1" applyBorder="1" applyAlignment="1" applyProtection="1">
      <alignment horizontal="center" vertical="center" wrapText="1"/>
    </xf>
    <xf numFmtId="0" fontId="2" fillId="0" borderId="4" xfId="0" applyFont="1" applyBorder="1" applyProtection="1"/>
    <xf numFmtId="0" fontId="4" fillId="0" borderId="6" xfId="0" applyFont="1" applyFill="1" applyBorder="1" applyProtection="1"/>
    <xf numFmtId="0" fontId="4" fillId="0" borderId="7" xfId="0" applyFont="1" applyFill="1" applyBorder="1" applyProtection="1"/>
    <xf numFmtId="0" fontId="19" fillId="0" borderId="0" xfId="0" applyFont="1" applyProtection="1"/>
    <xf numFmtId="168" fontId="4" fillId="0" borderId="7" xfId="2" applyNumberFormat="1" applyFont="1" applyFill="1" applyBorder="1" applyAlignment="1" applyProtection="1">
      <alignment horizontal="right"/>
    </xf>
    <xf numFmtId="0" fontId="4" fillId="0" borderId="4" xfId="0" applyFont="1" applyFill="1" applyBorder="1" applyProtection="1"/>
    <xf numFmtId="0" fontId="5" fillId="0" borderId="5" xfId="0" applyFont="1" applyFill="1" applyBorder="1" applyProtection="1"/>
    <xf numFmtId="0" fontId="1" fillId="0" borderId="2" xfId="0" applyFont="1" applyFill="1" applyBorder="1" applyProtection="1"/>
    <xf numFmtId="0" fontId="4" fillId="0" borderId="2" xfId="0" applyFont="1" applyFill="1" applyBorder="1" applyProtection="1"/>
    <xf numFmtId="0" fontId="5" fillId="0" borderId="2" xfId="0" applyFont="1" applyFill="1" applyBorder="1" applyProtection="1"/>
    <xf numFmtId="0" fontId="2" fillId="0" borderId="4" xfId="0" applyFont="1" applyFill="1" applyBorder="1" applyAlignment="1" applyProtection="1">
      <alignment horizontal="right" wrapText="1"/>
    </xf>
    <xf numFmtId="0" fontId="2" fillId="0" borderId="0" xfId="0" applyFont="1" applyFill="1" applyBorder="1" applyAlignment="1" applyProtection="1">
      <alignment horizontal="right" wrapText="1"/>
    </xf>
    <xf numFmtId="0" fontId="4" fillId="0" borderId="0" xfId="0" applyFont="1" applyFill="1" applyBorder="1" applyAlignment="1" applyProtection="1">
      <alignment horizontal="center" wrapText="1"/>
    </xf>
    <xf numFmtId="0" fontId="2" fillId="0" borderId="0" xfId="0" applyFont="1" applyFill="1" applyBorder="1" applyAlignment="1" applyProtection="1">
      <alignment horizontal="center" wrapText="1"/>
    </xf>
    <xf numFmtId="0" fontId="17" fillId="0" borderId="4" xfId="0" applyFont="1" applyFill="1" applyBorder="1" applyAlignment="1" applyProtection="1">
      <alignment horizontal="right"/>
    </xf>
    <xf numFmtId="0" fontId="4" fillId="0" borderId="0" xfId="0" applyFont="1" applyFill="1" applyBorder="1" applyAlignment="1" applyProtection="1">
      <alignment horizontal="right"/>
    </xf>
    <xf numFmtId="9" fontId="4" fillId="6" borderId="0" xfId="4" applyFont="1" applyFill="1" applyBorder="1" applyAlignment="1" applyProtection="1">
      <alignment horizontal="right"/>
    </xf>
    <xf numFmtId="9" fontId="4" fillId="4" borderId="0" xfId="4" applyFont="1" applyFill="1" applyBorder="1" applyAlignment="1" applyProtection="1">
      <alignment horizontal="right"/>
    </xf>
    <xf numFmtId="9" fontId="4" fillId="0" borderId="0" xfId="0" applyNumberFormat="1" applyFont="1" applyFill="1" applyBorder="1" applyAlignment="1" applyProtection="1">
      <alignment horizontal="right"/>
    </xf>
    <xf numFmtId="0" fontId="1" fillId="0" borderId="4" xfId="0" applyFont="1" applyFill="1" applyBorder="1" applyAlignment="1" applyProtection="1">
      <alignment horizontal="left"/>
    </xf>
    <xf numFmtId="168" fontId="4" fillId="0" borderId="0" xfId="2" applyNumberFormat="1" applyFont="1" applyFill="1" applyBorder="1" applyAlignment="1" applyProtection="1">
      <alignment horizontal="right"/>
    </xf>
    <xf numFmtId="0" fontId="2" fillId="0" borderId="4" xfId="0" applyFont="1" applyFill="1" applyBorder="1" applyAlignment="1" applyProtection="1">
      <alignment horizontal="left"/>
    </xf>
    <xf numFmtId="0" fontId="2" fillId="0" borderId="0" xfId="0" applyFont="1" applyFill="1" applyBorder="1" applyProtection="1"/>
    <xf numFmtId="0" fontId="1" fillId="0" borderId="4" xfId="0" applyFont="1" applyFill="1" applyBorder="1" applyAlignment="1" applyProtection="1">
      <alignment horizontal="left" wrapText="1"/>
    </xf>
    <xf numFmtId="0" fontId="5" fillId="0" borderId="7" xfId="0" applyFont="1" applyFill="1" applyBorder="1" applyProtection="1"/>
    <xf numFmtId="0" fontId="3" fillId="0" borderId="7" xfId="0" applyFont="1" applyFill="1" applyBorder="1" applyAlignment="1" applyProtection="1">
      <alignment horizontal="center" vertical="center" wrapText="1"/>
    </xf>
    <xf numFmtId="168" fontId="2" fillId="0" borderId="0" xfId="0" applyNumberFormat="1" applyFont="1" applyFill="1" applyBorder="1" applyAlignment="1" applyProtection="1">
      <alignment horizontal="right"/>
    </xf>
    <xf numFmtId="170" fontId="4" fillId="0" borderId="0" xfId="0" applyNumberFormat="1" applyFont="1" applyFill="1" applyBorder="1" applyAlignment="1" applyProtection="1">
      <alignment horizontal="right"/>
    </xf>
    <xf numFmtId="0" fontId="5" fillId="0" borderId="3" xfId="0" applyFont="1" applyFill="1" applyBorder="1" applyProtection="1"/>
    <xf numFmtId="9" fontId="4" fillId="0" borderId="0" xfId="0" applyNumberFormat="1" applyFont="1" applyFill="1" applyBorder="1" applyProtection="1"/>
    <xf numFmtId="0" fontId="2" fillId="0" borderId="4" xfId="0" applyFont="1" applyFill="1" applyBorder="1" applyProtection="1"/>
    <xf numFmtId="0" fontId="5" fillId="0" borderId="8" xfId="0" applyFont="1" applyFill="1" applyBorder="1" applyProtection="1"/>
    <xf numFmtId="0" fontId="2" fillId="0" borderId="1" xfId="0" applyFont="1" applyFill="1" applyBorder="1" applyProtection="1"/>
    <xf numFmtId="9" fontId="4" fillId="0" borderId="0" xfId="4" applyFont="1" applyFill="1" applyBorder="1" applyAlignment="1" applyProtection="1">
      <alignment horizontal="right"/>
    </xf>
    <xf numFmtId="0" fontId="4" fillId="4" borderId="0" xfId="0" applyFont="1" applyFill="1" applyBorder="1" applyAlignment="1" applyProtection="1">
      <alignment horizontal="right"/>
    </xf>
    <xf numFmtId="0" fontId="3" fillId="4" borderId="7" xfId="0" applyFont="1" applyFill="1" applyBorder="1" applyAlignment="1" applyProtection="1">
      <alignment horizontal="center" vertical="center" wrapText="1"/>
    </xf>
    <xf numFmtId="0" fontId="0" fillId="7" borderId="0" xfId="0" applyFill="1" applyAlignment="1" applyProtection="1">
      <alignment horizontal="right"/>
    </xf>
    <xf numFmtId="164" fontId="1" fillId="4" borderId="0" xfId="2" applyFont="1" applyFill="1" applyBorder="1" applyAlignment="1" applyProtection="1">
      <alignment horizontal="center" vertical="center" wrapText="1"/>
    </xf>
    <xf numFmtId="164" fontId="1" fillId="0" borderId="0" xfId="2" applyFont="1" applyFill="1" applyBorder="1" applyAlignment="1" applyProtection="1">
      <alignment horizontal="center" vertical="center" wrapText="1"/>
    </xf>
    <xf numFmtId="0" fontId="17" fillId="4" borderId="4" xfId="0" applyFont="1" applyFill="1" applyBorder="1" applyAlignment="1" applyProtection="1">
      <alignment horizontal="right"/>
    </xf>
    <xf numFmtId="164" fontId="2" fillId="0" borderId="0" xfId="2" applyFont="1" applyFill="1" applyBorder="1" applyAlignment="1" applyProtection="1">
      <alignment horizontal="center" vertical="center" wrapText="1"/>
    </xf>
    <xf numFmtId="9" fontId="4" fillId="0" borderId="7" xfId="0" applyNumberFormat="1" applyFont="1" applyFill="1" applyBorder="1" applyAlignment="1" applyProtection="1">
      <alignment horizontal="right"/>
    </xf>
    <xf numFmtId="0" fontId="1" fillId="0" borderId="7" xfId="0" applyFont="1" applyFill="1" applyBorder="1" applyProtection="1"/>
    <xf numFmtId="9" fontId="3" fillId="0" borderId="7" xfId="0" applyNumberFormat="1" applyFont="1" applyFill="1" applyBorder="1" applyAlignment="1" applyProtection="1">
      <alignment horizontal="center" vertical="center" wrapText="1"/>
    </xf>
    <xf numFmtId="0" fontId="4" fillId="0" borderId="17" xfId="0" applyFont="1" applyBorder="1" applyAlignment="1" applyProtection="1">
      <alignment horizontal="right" vertical="top"/>
    </xf>
    <xf numFmtId="0" fontId="3" fillId="0" borderId="18" xfId="0" applyFont="1" applyBorder="1" applyAlignment="1" applyProtection="1">
      <alignment horizontal="left" vertical="top" indent="1"/>
    </xf>
    <xf numFmtId="0" fontId="4" fillId="0" borderId="0" xfId="0" applyFont="1" applyBorder="1" applyAlignment="1" applyProtection="1">
      <alignment horizontal="center" vertical="center"/>
    </xf>
    <xf numFmtId="0" fontId="2" fillId="0" borderId="0" xfId="0" applyFont="1" applyBorder="1" applyAlignment="1" applyProtection="1">
      <alignment horizontal="center" vertical="center"/>
    </xf>
    <xf numFmtId="0" fontId="3" fillId="0" borderId="0" xfId="0" applyFont="1" applyBorder="1" applyAlignment="1" applyProtection="1">
      <alignment horizontal="center" vertical="center"/>
    </xf>
    <xf numFmtId="164" fontId="2" fillId="0" borderId="0" xfId="2" applyFont="1" applyBorder="1" applyAlignment="1" applyProtection="1">
      <alignment horizontal="center" vertical="center"/>
    </xf>
    <xf numFmtId="10" fontId="3" fillId="0" borderId="0" xfId="4" applyNumberFormat="1" applyFont="1" applyFill="1" applyBorder="1" applyAlignment="1" applyProtection="1">
      <alignment horizontal="center" vertical="center"/>
    </xf>
    <xf numFmtId="3" fontId="2" fillId="0" borderId="0" xfId="0" applyNumberFormat="1" applyFont="1" applyBorder="1" applyAlignment="1" applyProtection="1">
      <alignment horizontal="center" vertical="center"/>
    </xf>
    <xf numFmtId="10" fontId="3" fillId="0" borderId="0" xfId="0" applyNumberFormat="1" applyFont="1" applyBorder="1" applyAlignment="1" applyProtection="1">
      <alignment horizontal="center" vertical="center"/>
    </xf>
    <xf numFmtId="164" fontId="1" fillId="0" borderId="0" xfId="2" applyFont="1" applyBorder="1" applyAlignment="1" applyProtection="1">
      <alignment horizontal="center" vertical="center"/>
    </xf>
    <xf numFmtId="0" fontId="3" fillId="0" borderId="10" xfId="0" applyFont="1" applyFill="1" applyBorder="1" applyAlignment="1" applyProtection="1">
      <alignment horizontal="center" vertical="center" wrapText="1"/>
    </xf>
    <xf numFmtId="0" fontId="4" fillId="0" borderId="14" xfId="0" applyFont="1" applyBorder="1" applyAlignment="1" applyProtection="1">
      <alignment horizontal="center" vertical="center"/>
    </xf>
    <xf numFmtId="0" fontId="3" fillId="0" borderId="16" xfId="0" applyFont="1" applyFill="1" applyBorder="1" applyAlignment="1" applyProtection="1">
      <alignment horizontal="center" vertical="center" wrapText="1"/>
    </xf>
    <xf numFmtId="166" fontId="2" fillId="0" borderId="14" xfId="0" applyNumberFormat="1" applyFont="1" applyBorder="1" applyAlignment="1" applyProtection="1">
      <alignment horizontal="center" vertical="center"/>
    </xf>
    <xf numFmtId="3" fontId="2" fillId="0" borderId="14" xfId="0" applyNumberFormat="1" applyFont="1" applyBorder="1" applyAlignment="1" applyProtection="1">
      <alignment horizontal="center" vertical="center"/>
    </xf>
    <xf numFmtId="0" fontId="2" fillId="0" borderId="15" xfId="0" applyFont="1" applyBorder="1" applyProtection="1"/>
    <xf numFmtId="0" fontId="3" fillId="0" borderId="12" xfId="0" applyFont="1" applyFill="1" applyBorder="1" applyAlignment="1" applyProtection="1">
      <alignment horizontal="center" vertical="center" wrapText="1"/>
    </xf>
    <xf numFmtId="0" fontId="2" fillId="0" borderId="13" xfId="0" applyFont="1" applyBorder="1" applyProtection="1"/>
    <xf numFmtId="14" fontId="4" fillId="7" borderId="0" xfId="0" applyNumberFormat="1" applyFont="1" applyFill="1" applyProtection="1"/>
    <xf numFmtId="14" fontId="1" fillId="7" borderId="0" xfId="0" applyNumberFormat="1" applyFont="1" applyFill="1" applyProtection="1"/>
    <xf numFmtId="4" fontId="1" fillId="7" borderId="0" xfId="0" applyNumberFormat="1" applyFont="1" applyFill="1" applyBorder="1" applyProtection="1"/>
    <xf numFmtId="10" fontId="1" fillId="7" borderId="0" xfId="0" applyNumberFormat="1" applyFont="1" applyFill="1" applyBorder="1" applyProtection="1"/>
    <xf numFmtId="0" fontId="1" fillId="0" borderId="0" xfId="0" applyFont="1" applyAlignment="1" applyProtection="1">
      <alignment horizontal="left" vertical="center" indent="1"/>
    </xf>
    <xf numFmtId="0" fontId="4" fillId="7" borderId="0" xfId="0" applyFont="1" applyFill="1" applyAlignment="1" applyProtection="1">
      <alignment horizontal="right" vertical="top"/>
    </xf>
    <xf numFmtId="0" fontId="20" fillId="0" borderId="0" xfId="0" applyFont="1" applyFill="1" applyBorder="1" applyAlignment="1" applyProtection="1">
      <alignment horizontal="center" vertical="center" wrapText="1"/>
    </xf>
    <xf numFmtId="0" fontId="0" fillId="0" borderId="0" xfId="0" applyAlignment="1" applyProtection="1">
      <alignment horizontal="left" indent="1"/>
    </xf>
    <xf numFmtId="0" fontId="1" fillId="0" borderId="0" xfId="0" applyFont="1" applyAlignment="1" applyProtection="1">
      <alignment horizontal="left" vertical="top" indent="1"/>
    </xf>
    <xf numFmtId="0" fontId="3" fillId="0" borderId="0" xfId="0" applyFont="1" applyFill="1" applyAlignment="1" applyProtection="1"/>
    <xf numFmtId="1" fontId="3" fillId="0" borderId="0" xfId="0" applyNumberFormat="1" applyFont="1" applyFill="1" applyAlignment="1" applyProtection="1"/>
    <xf numFmtId="165" fontId="3" fillId="0" borderId="0" xfId="0" applyNumberFormat="1" applyFont="1" applyFill="1" applyAlignment="1" applyProtection="1"/>
    <xf numFmtId="4" fontId="3" fillId="0" borderId="0" xfId="0" applyNumberFormat="1" applyFont="1" applyFill="1" applyAlignment="1" applyProtection="1"/>
    <xf numFmtId="4" fontId="3" fillId="0" borderId="0" xfId="0" applyNumberFormat="1" applyFont="1" applyFill="1" applyAlignment="1" applyProtection="1">
      <alignment horizontal="right" wrapText="1"/>
    </xf>
    <xf numFmtId="0" fontId="3" fillId="0" borderId="0" xfId="0" applyFont="1" applyFill="1" applyAlignment="1" applyProtection="1">
      <alignment horizontal="center" wrapText="1"/>
    </xf>
    <xf numFmtId="0" fontId="3" fillId="0" borderId="0" xfId="0" applyFont="1" applyFill="1" applyAlignment="1" applyProtection="1">
      <alignment horizontal="center" vertical="top" wrapText="1"/>
    </xf>
    <xf numFmtId="0" fontId="3" fillId="0" borderId="19" xfId="0" applyFont="1" applyFill="1" applyBorder="1" applyProtection="1"/>
    <xf numFmtId="1" fontId="3" fillId="0" borderId="19" xfId="0" applyNumberFormat="1" applyFont="1" applyFill="1" applyBorder="1" applyProtection="1"/>
    <xf numFmtId="0" fontId="3" fillId="0" borderId="19" xfId="0" applyFont="1" applyFill="1" applyBorder="1" applyAlignment="1" applyProtection="1">
      <alignment horizontal="right"/>
    </xf>
    <xf numFmtId="165" fontId="3" fillId="0" borderId="19" xfId="0" applyNumberFormat="1" applyFont="1" applyFill="1" applyBorder="1" applyProtection="1"/>
    <xf numFmtId="4" fontId="3" fillId="0" borderId="19" xfId="0" applyNumberFormat="1" applyFont="1" applyFill="1" applyBorder="1" applyProtection="1"/>
    <xf numFmtId="4" fontId="3" fillId="0" borderId="19" xfId="0" applyNumberFormat="1" applyFont="1" applyFill="1" applyBorder="1" applyAlignment="1" applyProtection="1">
      <alignment horizontal="right" vertical="center" wrapText="1"/>
    </xf>
    <xf numFmtId="0" fontId="2" fillId="0" borderId="0" xfId="0" applyFont="1" applyAlignment="1">
      <alignment horizontal="center" vertical="center" wrapText="1"/>
    </xf>
    <xf numFmtId="14" fontId="0" fillId="0" borderId="0" xfId="0" applyNumberFormat="1"/>
    <xf numFmtId="4" fontId="1" fillId="2" borderId="5" xfId="0" applyNumberFormat="1" applyFont="1" applyFill="1" applyBorder="1" applyProtection="1">
      <protection locked="0"/>
    </xf>
    <xf numFmtId="4" fontId="4" fillId="0" borderId="5" xfId="0" applyNumberFormat="1" applyFont="1" applyFill="1" applyBorder="1" applyProtection="1"/>
    <xf numFmtId="4" fontId="4" fillId="0" borderId="8" xfId="0" applyNumberFormat="1" applyFont="1" applyBorder="1" applyProtection="1"/>
    <xf numFmtId="164" fontId="0" fillId="0" borderId="0" xfId="2" applyFont="1"/>
    <xf numFmtId="10" fontId="2" fillId="0" borderId="0" xfId="4" applyNumberFormat="1" applyFont="1" applyAlignment="1">
      <alignment horizontal="center" vertical="center" wrapText="1"/>
    </xf>
    <xf numFmtId="10" fontId="0" fillId="0" borderId="0" xfId="4" applyNumberFormat="1" applyFont="1"/>
    <xf numFmtId="171" fontId="2" fillId="0" borderId="0" xfId="0" applyNumberFormat="1" applyFont="1" applyAlignment="1">
      <alignment horizontal="center" vertical="center" wrapText="1"/>
    </xf>
    <xf numFmtId="171" fontId="0" fillId="0" borderId="0" xfId="0" applyNumberFormat="1"/>
    <xf numFmtId="164" fontId="2" fillId="0" borderId="0" xfId="2" applyFont="1" applyAlignment="1">
      <alignment horizontal="center" vertical="center" wrapText="1"/>
    </xf>
    <xf numFmtId="172" fontId="2" fillId="0" borderId="0" xfId="2" applyNumberFormat="1" applyFont="1" applyAlignment="1">
      <alignment horizontal="center" vertical="center" wrapText="1"/>
    </xf>
    <xf numFmtId="172" fontId="0" fillId="0" borderId="0" xfId="2" applyNumberFormat="1" applyFont="1"/>
    <xf numFmtId="0" fontId="22" fillId="0" borderId="0" xfId="1" applyAlignment="1" applyProtection="1"/>
    <xf numFmtId="0" fontId="3" fillId="0" borderId="0" xfId="0" applyFont="1" applyFill="1" applyAlignment="1" applyProtection="1">
      <alignment horizontal="center" vertical="top" wrapText="1"/>
    </xf>
  </cellXfs>
  <cellStyles count="6">
    <cellStyle name="Lien hypertexte" xfId="1" builtinId="8"/>
    <cellStyle name="Milliers" xfId="2" builtinId="3"/>
    <cellStyle name="Normal" xfId="0" builtinId="0"/>
    <cellStyle name="Normal 2" xfId="3"/>
    <cellStyle name="Pourcentage" xfId="4" builtinId="5"/>
    <cellStyle name="Titres_centrés_gras" xfId="5"/>
  </cellStyles>
  <dxfs count="1">
    <dxf>
      <font>
        <b/>
        <i val="0"/>
        <color rgb="FFFF000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posting.php?mode=reply&amp;f=2&amp;t=21770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Tabelle1"/>
  <dimension ref="A1:W88"/>
  <sheetViews>
    <sheetView zoomScaleNormal="100" workbookViewId="0">
      <selection activeCell="E1" sqref="E1"/>
    </sheetView>
  </sheetViews>
  <sheetFormatPr baseColWidth="10" defaultRowHeight="12.75"/>
  <cols>
    <col min="1" max="1" width="13.140625" style="2" customWidth="1"/>
    <col min="2" max="4" width="11.28515625" style="2" customWidth="1"/>
    <col min="5" max="5" width="18" style="2" customWidth="1"/>
    <col min="6" max="8" width="13.140625" style="2" customWidth="1"/>
    <col min="9" max="9" width="13.28515625" style="2" customWidth="1"/>
    <col min="10" max="11" width="13.140625" style="2" customWidth="1"/>
    <col min="12" max="12" width="71.85546875" style="2" bestFit="1" customWidth="1"/>
    <col min="13" max="13" width="14.42578125" style="2" customWidth="1"/>
    <col min="14" max="14" width="25.140625" style="2" bestFit="1" customWidth="1"/>
    <col min="15" max="15" width="10.7109375" style="2" bestFit="1" customWidth="1"/>
    <col min="16" max="16" width="31.28515625" style="2" bestFit="1" customWidth="1"/>
    <col min="17" max="16384" width="11.42578125" style="2"/>
  </cols>
  <sheetData>
    <row r="1" spans="1:16" ht="24.75" customHeight="1">
      <c r="A1" s="39" t="s">
        <v>2</v>
      </c>
      <c r="E1" s="213" t="s">
        <v>66</v>
      </c>
      <c r="G1" s="3"/>
      <c r="K1" s="42"/>
      <c r="L1" s="43" t="s">
        <v>63</v>
      </c>
      <c r="N1" s="43" t="s">
        <v>13</v>
      </c>
      <c r="O1" s="47">
        <v>2</v>
      </c>
    </row>
    <row r="2" spans="1:16" s="1" customFormat="1" ht="13.5" customHeight="1">
      <c r="L2" s="46" t="s">
        <v>41</v>
      </c>
      <c r="N2" s="46" t="s">
        <v>9</v>
      </c>
      <c r="O2" s="160" t="str">
        <f>IF(OR(AND(O1=1,G4=64),AND(O1=2,G4=65)),"Oui","Non")</f>
        <v>Non</v>
      </c>
      <c r="P2" s="161" t="s">
        <v>55</v>
      </c>
    </row>
    <row r="3" spans="1:16" s="4" customFormat="1" ht="13.5" customHeight="1">
      <c r="A3" s="43" t="s">
        <v>4</v>
      </c>
      <c r="E3" s="79">
        <v>40909</v>
      </c>
      <c r="F3" s="45" t="str">
        <f>IF(G4&lt;18,"Moins de 18 ans",IF(DAY(E3)&lt;&gt;1,"AU PREMIER D'UN MOIS UNIQUEMENT !",IF(O3="Oui","Calcul à la date de retraite ou après !!","")))</f>
        <v>Calcul à la date de retraite ou après !!</v>
      </c>
      <c r="L3" s="43" t="s">
        <v>27</v>
      </c>
      <c r="N3" s="43" t="s">
        <v>12</v>
      </c>
      <c r="O3" s="48" t="str">
        <f>IF(OR(AND(O1=1,E3&gt;=O5),AND(O1=2,E3&gt;=O6)),"Oui","Non")</f>
        <v>Oui</v>
      </c>
    </row>
    <row r="4" spans="1:16" s="4" customFormat="1" ht="13.5" customHeight="1">
      <c r="A4" s="43" t="s">
        <v>5</v>
      </c>
      <c r="E4" s="30">
        <v>16786</v>
      </c>
      <c r="F4" s="51" t="s">
        <v>24</v>
      </c>
      <c r="G4" s="6">
        <f>YEAR(E3)-YEAR(E4)</f>
        <v>67</v>
      </c>
      <c r="L4" s="43" t="s">
        <v>58</v>
      </c>
      <c r="O4" s="5"/>
    </row>
    <row r="5" spans="1:16" s="4" customFormat="1" ht="19.5" customHeight="1">
      <c r="A5" s="43" t="s">
        <v>3</v>
      </c>
      <c r="D5" s="9"/>
      <c r="E5" s="44"/>
      <c r="F5" s="5"/>
      <c r="G5" s="6"/>
      <c r="N5" s="43" t="s">
        <v>10</v>
      </c>
      <c r="O5" s="49">
        <f>DATE(YEAR(E4)+64,MONTH(E4)+1,1)</f>
        <v>40179</v>
      </c>
    </row>
    <row r="6" spans="1:16" s="8" customFormat="1" ht="13.5" customHeight="1">
      <c r="A6" s="28" t="s">
        <v>6</v>
      </c>
      <c r="B6" s="15"/>
      <c r="C6" s="15"/>
      <c r="D6" s="15"/>
      <c r="E6" s="80">
        <v>8.5400000000000004E-2</v>
      </c>
      <c r="F6" s="15"/>
      <c r="G6" s="16"/>
      <c r="N6" s="43" t="s">
        <v>11</v>
      </c>
      <c r="O6" s="49">
        <f>DATE(YEAR(E4)+65,MONTH(E4)+1,1)</f>
        <v>40544</v>
      </c>
    </row>
    <row r="7" spans="1:16" s="8" customFormat="1" ht="13.5" customHeight="1">
      <c r="A7" s="14" t="str">
        <f>"Salaire assuré en "&amp;YEAR(E3)</f>
        <v>Salaire assuré en 2012</v>
      </c>
      <c r="B7" s="15"/>
      <c r="C7" s="15"/>
      <c r="D7" s="15"/>
      <c r="E7" s="31">
        <v>154125.65</v>
      </c>
      <c r="F7" s="15"/>
      <c r="G7" s="16"/>
      <c r="N7" s="43"/>
      <c r="O7" s="49"/>
    </row>
    <row r="8" spans="1:16" s="8" customFormat="1" ht="13.5" customHeight="1">
      <c r="A8" s="29" t="s">
        <v>14</v>
      </c>
      <c r="B8" s="36"/>
      <c r="C8" s="36"/>
      <c r="D8" s="36"/>
      <c r="E8" s="31">
        <v>0</v>
      </c>
      <c r="F8" s="15"/>
      <c r="G8" s="16"/>
      <c r="N8" s="43"/>
      <c r="O8" s="49"/>
    </row>
    <row r="9" spans="1:16" s="8" customFormat="1" ht="13.5" customHeight="1">
      <c r="A9" s="29"/>
      <c r="B9" s="36"/>
      <c r="C9" s="36"/>
      <c r="D9" s="36"/>
      <c r="E9" s="36"/>
      <c r="F9" s="15"/>
      <c r="G9" s="16"/>
      <c r="N9" s="43"/>
      <c r="O9" s="49"/>
    </row>
    <row r="10" spans="1:16" s="8" customFormat="1" ht="20.25" customHeight="1">
      <c r="A10" s="11" t="str">
        <f>IF(O2="Oui","Calcul jusqu'à la date de retraite au","Calcul jusqu'à la fin de l'année "&amp;YEAR(E3))</f>
        <v>Calcul jusqu'à la fin de l'année 2012</v>
      </c>
      <c r="B10" s="12"/>
      <c r="C10" s="12"/>
      <c r="D10" s="77" t="str">
        <f>IF(O2="Non","",IF(O1=1,O5-1,O6-1))</f>
        <v/>
      </c>
      <c r="E10" s="13"/>
      <c r="F10" s="15"/>
      <c r="G10" s="16"/>
    </row>
    <row r="11" spans="1:16" s="4" customFormat="1" ht="23.25" customHeight="1">
      <c r="A11" s="28" t="s">
        <v>61</v>
      </c>
      <c r="B11" s="15"/>
      <c r="C11" s="15"/>
      <c r="D11" s="15"/>
      <c r="E11" s="18">
        <f>IF($O$2="Oui",E8*$E$6/360*DAYS360(E3,$D$10+1),E8*$E$6/360*DAYS360(E3,DATE(YEAR($E$3),12,31)+1))</f>
        <v>0</v>
      </c>
      <c r="F11" s="16"/>
      <c r="G11" s="102"/>
    </row>
    <row r="12" spans="1:16" s="4" customFormat="1" ht="13.5" customHeight="1">
      <c r="A12" s="28" t="s">
        <v>7</v>
      </c>
      <c r="B12" s="32"/>
      <c r="C12" s="16"/>
      <c r="D12" s="15"/>
      <c r="E12" s="202"/>
      <c r="F12" s="15"/>
      <c r="G12" s="102"/>
      <c r="O12" s="43"/>
      <c r="P12" s="43"/>
    </row>
    <row r="13" spans="1:16" s="8" customFormat="1" ht="13.5" customHeight="1">
      <c r="A13" s="28" t="s">
        <v>62</v>
      </c>
      <c r="B13" s="16"/>
      <c r="C13" s="16"/>
      <c r="D13" s="16"/>
      <c r="E13" s="18">
        <f>IF($O$2="Oui",E12*$E$6/360*DAYS360(B12,$D$10+1),E12*$E$6/360*DAYS360(B12,DATE(YEAR($B$12),12,31)+1))</f>
        <v>0</v>
      </c>
      <c r="F13" s="37"/>
      <c r="G13" s="16"/>
      <c r="O13" s="43"/>
      <c r="P13" s="43"/>
    </row>
    <row r="14" spans="1:16" s="8" customFormat="1" ht="13.5" customHeight="1">
      <c r="A14" s="14" t="str">
        <f>"Cotisations "&amp;YEAR(E3)&amp;" non arrondies"</f>
        <v>Cotisations 2012 non arrondies</v>
      </c>
      <c r="B14" s="15"/>
      <c r="C14" s="15"/>
      <c r="D14" s="72" t="e">
        <f>IF(G4&lt;25,0,IF(O2="Non",VLOOKUP(G4,A29:D75,4,FALSE),0.18))</f>
        <v>#N/A</v>
      </c>
      <c r="E14" s="203" t="e">
        <f>IF(D14=0,0,IF(O2="Non",E7*D14/12*(13-MONTH(E3)),E7*D14/12*(MONTH(D10)-MONTH(E3)+1)))</f>
        <v>#N/A</v>
      </c>
      <c r="F14" s="19"/>
      <c r="G14" s="16"/>
      <c r="I14" s="33"/>
      <c r="J14" s="33"/>
      <c r="P14" s="43"/>
    </row>
    <row r="15" spans="1:16" s="8" customFormat="1" ht="13.5" customHeight="1">
      <c r="A15" s="20" t="str">
        <f>IF(O2="Non","Total jusqu'à fin "&amp;YEAR(E3),"Total jusqu'à la retraite")</f>
        <v>Total jusqu'à fin 2012</v>
      </c>
      <c r="B15" s="21"/>
      <c r="C15" s="21"/>
      <c r="D15" s="21"/>
      <c r="E15" s="204" t="e">
        <f>SUM(E11:E14)+E8</f>
        <v>#N/A</v>
      </c>
      <c r="F15" s="19"/>
      <c r="G15" s="16"/>
      <c r="I15" s="71"/>
      <c r="J15" s="71"/>
      <c r="O15" s="43"/>
      <c r="P15" s="43"/>
    </row>
    <row r="16" spans="1:16" s="8" customFormat="1" ht="29.25" customHeight="1">
      <c r="A16" s="9"/>
      <c r="B16" s="9"/>
      <c r="C16" s="9"/>
      <c r="D16" s="9"/>
      <c r="E16" s="9"/>
      <c r="F16" s="10"/>
      <c r="P16" s="43"/>
    </row>
    <row r="17" spans="1:23" s="8" customFormat="1" ht="29.25" customHeight="1">
      <c r="A17" s="35"/>
      <c r="B17" s="75"/>
      <c r="C17" s="75"/>
      <c r="D17" s="75"/>
      <c r="E17" s="76"/>
      <c r="F17" s="184"/>
      <c r="G17" s="184"/>
      <c r="H17" s="16"/>
      <c r="I17" s="16"/>
      <c r="O17" s="43"/>
      <c r="P17" s="43"/>
    </row>
    <row r="18" spans="1:23" s="4" customFormat="1" ht="29.25" customHeight="1" thickBot="1">
      <c r="A18" s="34"/>
      <c r="B18" s="9"/>
      <c r="C18" s="9"/>
      <c r="D18" s="9"/>
      <c r="E18" s="10"/>
      <c r="F18" s="8"/>
      <c r="G18" s="8"/>
      <c r="H18" s="8"/>
      <c r="I18" s="8"/>
      <c r="J18" s="8"/>
      <c r="K18" s="8"/>
      <c r="N18" s="8"/>
      <c r="O18" s="43"/>
      <c r="P18" s="43"/>
      <c r="Q18" s="8"/>
      <c r="R18" s="8"/>
      <c r="S18" s="8"/>
      <c r="T18" s="8"/>
      <c r="U18" s="8"/>
      <c r="V18" s="8"/>
      <c r="W18" s="8"/>
    </row>
    <row r="19" spans="1:23" s="4" customFormat="1" ht="29.25" customHeight="1">
      <c r="A19" s="52"/>
      <c r="B19" s="53"/>
      <c r="C19" s="53"/>
      <c r="D19" s="54"/>
      <c r="E19" s="170"/>
      <c r="F19" s="170"/>
      <c r="G19" s="170"/>
      <c r="H19" s="55"/>
      <c r="I19" s="8"/>
      <c r="J19" s="8"/>
      <c r="K19" s="8"/>
      <c r="N19" s="8"/>
      <c r="O19" s="43"/>
      <c r="P19" s="43"/>
      <c r="Q19" s="8"/>
      <c r="R19" s="8"/>
      <c r="S19" s="8"/>
      <c r="T19" s="8"/>
      <c r="U19" s="8"/>
      <c r="V19" s="8"/>
      <c r="W19" s="8"/>
    </row>
    <row r="20" spans="1:23" s="4" customFormat="1" ht="29.25" customHeight="1">
      <c r="A20" s="171"/>
      <c r="B20" s="163" t="s">
        <v>8</v>
      </c>
      <c r="C20" s="162"/>
      <c r="D20" s="164" t="s">
        <v>56</v>
      </c>
      <c r="E20" s="162"/>
      <c r="F20" s="163" t="s">
        <v>1</v>
      </c>
      <c r="G20" s="16"/>
      <c r="H20" s="172"/>
      <c r="I20" s="8"/>
      <c r="J20" s="8"/>
      <c r="K20" s="8"/>
      <c r="L20" s="8"/>
      <c r="M20" s="8"/>
      <c r="N20" s="8"/>
      <c r="O20" s="43"/>
      <c r="P20" s="43"/>
      <c r="Q20" s="8"/>
      <c r="R20" s="8"/>
      <c r="S20" s="8"/>
      <c r="T20" s="8"/>
      <c r="U20" s="8"/>
      <c r="V20" s="8"/>
      <c r="W20" s="8"/>
    </row>
    <row r="21" spans="1:23" s="8" customFormat="1" ht="29.25" customHeight="1">
      <c r="A21" s="173">
        <f>IF(O1=1,64,65)</f>
        <v>65</v>
      </c>
      <c r="B21" s="165" t="str">
        <f>IF(F3&lt;&gt;"","---",ROUND(IF($G$4=A21,E15,IF(O1=1,K74,K75))*2,1)/2)</f>
        <v>---</v>
      </c>
      <c r="C21" s="16"/>
      <c r="D21" s="166">
        <v>6.8000000000000005E-2</v>
      </c>
      <c r="E21" s="16"/>
      <c r="F21" s="165" t="e">
        <f>ROUND(B21*D21*2,1)/2</f>
        <v>#VALUE!</v>
      </c>
      <c r="G21" s="16" t="s">
        <v>57</v>
      </c>
      <c r="H21" s="172"/>
      <c r="O21" s="43"/>
      <c r="P21" s="43"/>
    </row>
    <row r="22" spans="1:23" s="8" customFormat="1" ht="29.25" customHeight="1">
      <c r="A22" s="174"/>
      <c r="B22" s="168" t="s">
        <v>46</v>
      </c>
      <c r="C22" s="16"/>
      <c r="D22" s="167"/>
      <c r="E22" s="16"/>
      <c r="F22" s="169" t="e">
        <f>(ROUND(F21/12,0)*12)</f>
        <v>#VALUE!</v>
      </c>
      <c r="G22" s="16" t="s">
        <v>45</v>
      </c>
      <c r="H22" s="172"/>
      <c r="N22" s="50"/>
      <c r="O22" s="43"/>
      <c r="P22" s="43"/>
    </row>
    <row r="23" spans="1:23" s="8" customFormat="1" ht="29.25" customHeight="1" thickBot="1">
      <c r="A23" s="175"/>
      <c r="B23" s="176"/>
      <c r="C23" s="176"/>
      <c r="D23" s="176"/>
      <c r="E23" s="176"/>
      <c r="F23" s="176"/>
      <c r="G23" s="176"/>
      <c r="H23" s="177"/>
      <c r="I23" s="25"/>
      <c r="J23" s="25"/>
      <c r="K23" s="24"/>
      <c r="L23" s="25"/>
      <c r="N23" s="50"/>
      <c r="O23" s="43"/>
      <c r="P23" s="43"/>
    </row>
    <row r="24" spans="1:23" s="8" customFormat="1" ht="29.25" customHeight="1">
      <c r="A24" s="23"/>
      <c r="B24" s="41"/>
      <c r="C24" s="24"/>
      <c r="D24" s="25"/>
      <c r="E24" s="10"/>
      <c r="H24" s="23"/>
      <c r="I24" s="25"/>
      <c r="J24" s="25"/>
      <c r="K24" s="24"/>
      <c r="L24" s="25"/>
      <c r="N24" s="50"/>
      <c r="O24" s="43"/>
      <c r="P24" s="43"/>
    </row>
    <row r="25" spans="1:23" s="8" customFormat="1" ht="29.25" customHeight="1">
      <c r="A25" s="8" t="s">
        <v>53</v>
      </c>
      <c r="B25" s="182" t="e">
        <f ca="1">IF(OR(AND(E8&gt;0,G4&lt;25),E12&gt;0),"Avec un avoir avant 25 ans ou un apport en cours d'année, pas de contrôle possible (mais sans avoir, oui)",IF(B21&lt;&gt;'Méthode Olten'!C39,"AIE !","Ok"))</f>
        <v>#VALUE!</v>
      </c>
      <c r="C25" s="24"/>
      <c r="E25" s="10"/>
      <c r="H25" s="23"/>
      <c r="I25" s="25"/>
      <c r="J25" s="25"/>
      <c r="K25" s="24"/>
      <c r="L25" s="25"/>
      <c r="N25" s="50"/>
      <c r="O25" s="43"/>
      <c r="P25" s="43"/>
    </row>
    <row r="26" spans="1:23" s="8" customFormat="1" ht="29.25" customHeight="1">
      <c r="A26" s="8" t="s">
        <v>54</v>
      </c>
      <c r="B26" s="182" t="str">
        <f ca="1">IF(OR(AND(E8&gt;0,G4&lt;25),E12&gt;0),"Avec un avoir avant 25 ans ou un apport en cours d'année, pas de contrôle possible (mais sans avoir, oui)",IF(B21&lt;&gt;'Méthode simple'!C33,"AIE !","Ok"))</f>
        <v>AIE !</v>
      </c>
      <c r="C26" s="24"/>
      <c r="D26" s="25"/>
      <c r="E26" s="10"/>
      <c r="H26" s="23"/>
      <c r="I26" s="25"/>
      <c r="J26" s="25"/>
      <c r="K26" s="24"/>
      <c r="L26" s="25"/>
      <c r="N26" s="50"/>
      <c r="O26" s="43"/>
      <c r="P26" s="43"/>
    </row>
    <row r="27" spans="1:23" s="8" customFormat="1" ht="29.25" customHeight="1">
      <c r="A27" s="23"/>
      <c r="B27" s="26"/>
      <c r="C27" s="26"/>
      <c r="D27" s="26"/>
      <c r="E27" s="26"/>
      <c r="F27" s="26"/>
      <c r="G27" s="26"/>
      <c r="H27" s="26"/>
      <c r="I27" s="26"/>
      <c r="J27" s="26"/>
      <c r="K27" s="26"/>
      <c r="L27" s="26"/>
      <c r="M27" s="26"/>
      <c r="N27" s="50"/>
      <c r="O27" s="43"/>
      <c r="P27" s="43"/>
      <c r="Q27" s="7"/>
      <c r="R27" s="7"/>
      <c r="S27" s="7"/>
      <c r="T27" s="7"/>
      <c r="U27" s="7"/>
      <c r="V27" s="7"/>
      <c r="W27" s="7"/>
    </row>
    <row r="28" spans="1:23" s="8" customFormat="1" ht="56.25">
      <c r="A28" s="93" t="s">
        <v>15</v>
      </c>
      <c r="B28" s="93" t="s">
        <v>16</v>
      </c>
      <c r="C28" s="93" t="s">
        <v>17</v>
      </c>
      <c r="D28" s="93" t="s">
        <v>18</v>
      </c>
      <c r="E28" s="93" t="s">
        <v>19</v>
      </c>
      <c r="F28" s="93" t="s">
        <v>20</v>
      </c>
      <c r="G28" s="93" t="str">
        <f>"Capital à la fin de l'année "&amp;YEAR(E3)</f>
        <v>Capital à la fin de l'année 2012</v>
      </c>
      <c r="H28" s="93" t="s">
        <v>21</v>
      </c>
      <c r="I28" s="93"/>
      <c r="J28" s="93"/>
      <c r="K28" s="93"/>
      <c r="L28" s="81"/>
      <c r="M28" s="67"/>
      <c r="N28" s="68"/>
      <c r="O28" s="67"/>
      <c r="P28" s="67"/>
      <c r="Q28" s="67"/>
      <c r="R28" s="67"/>
      <c r="S28" s="67"/>
      <c r="T28" s="67"/>
      <c r="U28" s="67"/>
      <c r="V28" s="67"/>
      <c r="W28" s="67"/>
    </row>
    <row r="29" spans="1:23" s="8" customFormat="1" ht="10.5" customHeight="1">
      <c r="A29" s="187">
        <v>18</v>
      </c>
      <c r="B29" s="188">
        <f t="shared" ref="B29:B75" si="0">YEAR($E$4)+A29</f>
        <v>1963</v>
      </c>
      <c r="C29" s="89" t="str">
        <f>IF(YEAR($E$3)-YEAR($E$4)&gt;A29-1,"Non","Oui")</f>
        <v>Non</v>
      </c>
      <c r="D29" s="189">
        <v>0</v>
      </c>
      <c r="E29" s="190"/>
      <c r="F29" s="191"/>
      <c r="G29" s="191">
        <f t="shared" ref="G29:G75" si="1">IF(B29=YEAR($E$3),$E$15,0)</f>
        <v>0</v>
      </c>
      <c r="H29" s="190">
        <f>E29+F29+G29</f>
        <v>0</v>
      </c>
      <c r="I29" s="192"/>
      <c r="J29" s="192"/>
      <c r="K29" s="192"/>
      <c r="L29" s="82"/>
      <c r="M29" s="69"/>
      <c r="N29" s="70"/>
      <c r="O29" s="69"/>
      <c r="P29" s="69"/>
      <c r="Q29" s="69"/>
      <c r="R29" s="69"/>
      <c r="S29" s="69"/>
      <c r="T29" s="69"/>
      <c r="U29" s="69"/>
      <c r="V29" s="69"/>
      <c r="W29" s="69"/>
    </row>
    <row r="30" spans="1:23" s="8" customFormat="1" ht="10.5" customHeight="1">
      <c r="A30" s="87">
        <v>19</v>
      </c>
      <c r="B30" s="88">
        <f t="shared" si="0"/>
        <v>1964</v>
      </c>
      <c r="C30" s="89" t="str">
        <f t="shared" ref="C30:C75" si="2">IF(YEAR($E$3)-YEAR($E$4)&gt;A30-1,"Non","Oui")</f>
        <v>Non</v>
      </c>
      <c r="D30" s="90">
        <v>0</v>
      </c>
      <c r="E30" s="91"/>
      <c r="F30" s="92">
        <f t="shared" ref="F30:F75" si="3">H29*$E$6</f>
        <v>0</v>
      </c>
      <c r="G30" s="92">
        <f t="shared" si="1"/>
        <v>0</v>
      </c>
      <c r="H30" s="91">
        <f t="shared" ref="H30:H75" si="4">H29+E30+F30+G30</f>
        <v>0</v>
      </c>
      <c r="L30" s="85"/>
      <c r="M30" s="7"/>
      <c r="N30" s="50"/>
      <c r="O30" s="7"/>
      <c r="P30" s="7"/>
      <c r="Q30" s="7"/>
      <c r="R30" s="7"/>
      <c r="S30" s="7"/>
      <c r="T30" s="7"/>
      <c r="U30" s="7"/>
      <c r="V30" s="7"/>
      <c r="W30" s="7"/>
    </row>
    <row r="31" spans="1:23" s="7" customFormat="1" ht="10.5" customHeight="1">
      <c r="A31" s="87">
        <v>20</v>
      </c>
      <c r="B31" s="88">
        <f t="shared" si="0"/>
        <v>1965</v>
      </c>
      <c r="C31" s="89" t="str">
        <f t="shared" si="2"/>
        <v>Non</v>
      </c>
      <c r="D31" s="90">
        <v>0</v>
      </c>
      <c r="E31" s="91"/>
      <c r="F31" s="92">
        <f t="shared" si="3"/>
        <v>0</v>
      </c>
      <c r="G31" s="92">
        <f t="shared" si="1"/>
        <v>0</v>
      </c>
      <c r="H31" s="91">
        <f t="shared" si="4"/>
        <v>0</v>
      </c>
      <c r="I31" s="87"/>
      <c r="J31" s="87"/>
      <c r="K31" s="8"/>
      <c r="L31" s="83"/>
      <c r="M31" s="26"/>
      <c r="N31" s="50"/>
      <c r="O31" s="26"/>
      <c r="P31" s="26"/>
      <c r="Q31" s="26"/>
      <c r="R31" s="26"/>
      <c r="S31" s="26"/>
      <c r="T31" s="26"/>
      <c r="U31" s="26"/>
      <c r="V31" s="26"/>
      <c r="W31" s="26"/>
    </row>
    <row r="32" spans="1:23" s="7" customFormat="1" ht="10.5" customHeight="1">
      <c r="A32" s="87">
        <v>21</v>
      </c>
      <c r="B32" s="88">
        <f t="shared" si="0"/>
        <v>1966</v>
      </c>
      <c r="C32" s="89" t="str">
        <f t="shared" si="2"/>
        <v>Non</v>
      </c>
      <c r="D32" s="90">
        <v>0</v>
      </c>
      <c r="E32" s="91"/>
      <c r="F32" s="92">
        <f t="shared" si="3"/>
        <v>0</v>
      </c>
      <c r="G32" s="92">
        <f t="shared" si="1"/>
        <v>0</v>
      </c>
      <c r="H32" s="91">
        <f t="shared" si="4"/>
        <v>0</v>
      </c>
      <c r="I32" s="87"/>
      <c r="J32" s="87"/>
      <c r="K32" s="8"/>
      <c r="L32" s="83"/>
      <c r="M32" s="26"/>
      <c r="N32" s="50"/>
      <c r="O32" s="26"/>
      <c r="P32" s="26"/>
      <c r="Q32" s="26"/>
      <c r="R32" s="26"/>
      <c r="S32" s="26"/>
      <c r="T32" s="26"/>
      <c r="U32" s="26"/>
      <c r="V32" s="26"/>
      <c r="W32" s="26"/>
    </row>
    <row r="33" spans="1:23" s="7" customFormat="1" ht="10.5" customHeight="1">
      <c r="A33" s="87">
        <v>22</v>
      </c>
      <c r="B33" s="88">
        <f t="shared" si="0"/>
        <v>1967</v>
      </c>
      <c r="C33" s="89" t="str">
        <f t="shared" si="2"/>
        <v>Non</v>
      </c>
      <c r="D33" s="90">
        <v>0</v>
      </c>
      <c r="E33" s="91"/>
      <c r="F33" s="92">
        <f t="shared" si="3"/>
        <v>0</v>
      </c>
      <c r="G33" s="92">
        <f t="shared" si="1"/>
        <v>0</v>
      </c>
      <c r="H33" s="91">
        <f t="shared" si="4"/>
        <v>0</v>
      </c>
      <c r="I33" s="87"/>
      <c r="J33" s="87"/>
      <c r="K33" s="8"/>
      <c r="L33" s="83"/>
      <c r="M33" s="26"/>
      <c r="N33" s="50"/>
      <c r="O33" s="26"/>
      <c r="P33" s="26"/>
      <c r="Q33" s="26"/>
      <c r="R33" s="26"/>
      <c r="S33" s="26"/>
      <c r="T33" s="26"/>
      <c r="U33" s="26"/>
      <c r="V33" s="26"/>
      <c r="W33" s="26"/>
    </row>
    <row r="34" spans="1:23" s="7" customFormat="1" ht="10.5" customHeight="1">
      <c r="A34" s="87">
        <v>23</v>
      </c>
      <c r="B34" s="88">
        <f t="shared" si="0"/>
        <v>1968</v>
      </c>
      <c r="C34" s="89" t="str">
        <f t="shared" si="2"/>
        <v>Non</v>
      </c>
      <c r="D34" s="90">
        <v>0</v>
      </c>
      <c r="E34" s="91"/>
      <c r="F34" s="92">
        <f t="shared" si="3"/>
        <v>0</v>
      </c>
      <c r="G34" s="92">
        <f t="shared" si="1"/>
        <v>0</v>
      </c>
      <c r="H34" s="91">
        <f t="shared" si="4"/>
        <v>0</v>
      </c>
      <c r="I34" s="87"/>
      <c r="J34" s="87"/>
      <c r="K34" s="8"/>
      <c r="L34" s="83"/>
      <c r="M34" s="26"/>
      <c r="N34" s="50"/>
      <c r="O34" s="26"/>
      <c r="P34" s="26"/>
      <c r="Q34" s="26"/>
      <c r="R34" s="26"/>
      <c r="S34" s="26"/>
      <c r="T34" s="26"/>
      <c r="U34" s="26"/>
      <c r="V34" s="26"/>
      <c r="W34" s="26"/>
    </row>
    <row r="35" spans="1:23" s="7" customFormat="1" ht="10.5" customHeight="1">
      <c r="A35" s="194">
        <v>24</v>
      </c>
      <c r="B35" s="195">
        <f t="shared" si="0"/>
        <v>1969</v>
      </c>
      <c r="C35" s="196" t="str">
        <f t="shared" si="2"/>
        <v>Non</v>
      </c>
      <c r="D35" s="197">
        <v>0</v>
      </c>
      <c r="E35" s="198"/>
      <c r="F35" s="199">
        <f t="shared" si="3"/>
        <v>0</v>
      </c>
      <c r="G35" s="199">
        <f t="shared" si="1"/>
        <v>0</v>
      </c>
      <c r="H35" s="198">
        <f t="shared" si="4"/>
        <v>0</v>
      </c>
      <c r="I35" s="87"/>
      <c r="J35" s="87"/>
      <c r="K35" s="8"/>
      <c r="L35" s="83"/>
      <c r="M35" s="26"/>
      <c r="N35" s="50"/>
      <c r="O35" s="26"/>
      <c r="P35" s="26"/>
      <c r="Q35" s="26"/>
      <c r="R35" s="26"/>
      <c r="S35" s="26"/>
      <c r="T35" s="26"/>
      <c r="U35" s="26"/>
      <c r="V35" s="26"/>
      <c r="W35" s="26"/>
    </row>
    <row r="36" spans="1:23" s="7" customFormat="1" ht="10.5" customHeight="1">
      <c r="A36" s="87">
        <v>25</v>
      </c>
      <c r="B36" s="88">
        <f t="shared" si="0"/>
        <v>1970</v>
      </c>
      <c r="C36" s="89" t="str">
        <f t="shared" si="2"/>
        <v>Non</v>
      </c>
      <c r="D36" s="90">
        <v>7.0000000000000007E-2</v>
      </c>
      <c r="E36" s="91">
        <f t="shared" ref="E36:E75" si="5">IF(C36="Non",0,$E$7*D36)</f>
        <v>0</v>
      </c>
      <c r="F36" s="92">
        <f t="shared" si="3"/>
        <v>0</v>
      </c>
      <c r="G36" s="92">
        <f t="shared" si="1"/>
        <v>0</v>
      </c>
      <c r="H36" s="91">
        <f t="shared" si="4"/>
        <v>0</v>
      </c>
      <c r="I36" s="87"/>
      <c r="J36" s="87"/>
      <c r="K36" s="8"/>
      <c r="L36" s="83"/>
      <c r="M36" s="26"/>
      <c r="N36" s="50"/>
      <c r="O36" s="26"/>
      <c r="P36" s="26"/>
      <c r="Q36" s="26"/>
      <c r="R36" s="26"/>
      <c r="S36" s="26"/>
      <c r="T36" s="26"/>
      <c r="U36" s="26"/>
      <c r="V36" s="26"/>
      <c r="W36" s="26"/>
    </row>
    <row r="37" spans="1:23" s="7" customFormat="1" ht="10.5" customHeight="1">
      <c r="A37" s="87">
        <v>26</v>
      </c>
      <c r="B37" s="88">
        <f t="shared" si="0"/>
        <v>1971</v>
      </c>
      <c r="C37" s="89" t="str">
        <f t="shared" si="2"/>
        <v>Non</v>
      </c>
      <c r="D37" s="90">
        <v>7.0000000000000007E-2</v>
      </c>
      <c r="E37" s="91">
        <f t="shared" si="5"/>
        <v>0</v>
      </c>
      <c r="F37" s="92">
        <f t="shared" si="3"/>
        <v>0</v>
      </c>
      <c r="G37" s="92">
        <f t="shared" si="1"/>
        <v>0</v>
      </c>
      <c r="H37" s="91">
        <f t="shared" si="4"/>
        <v>0</v>
      </c>
      <c r="I37" s="87"/>
      <c r="J37" s="87"/>
      <c r="K37" s="8"/>
      <c r="L37" s="83"/>
      <c r="M37" s="26"/>
      <c r="N37" s="50"/>
      <c r="O37" s="26"/>
      <c r="P37" s="26"/>
      <c r="Q37" s="26"/>
      <c r="R37" s="26"/>
      <c r="S37" s="26"/>
      <c r="T37" s="26"/>
      <c r="U37" s="26"/>
      <c r="V37" s="26"/>
      <c r="W37" s="26"/>
    </row>
    <row r="38" spans="1:23" s="7" customFormat="1" ht="10.5" customHeight="1">
      <c r="A38" s="87">
        <v>27</v>
      </c>
      <c r="B38" s="88">
        <f t="shared" si="0"/>
        <v>1972</v>
      </c>
      <c r="C38" s="89" t="str">
        <f t="shared" si="2"/>
        <v>Non</v>
      </c>
      <c r="D38" s="90">
        <v>7.0000000000000007E-2</v>
      </c>
      <c r="E38" s="91">
        <f t="shared" si="5"/>
        <v>0</v>
      </c>
      <c r="F38" s="92">
        <f t="shared" si="3"/>
        <v>0</v>
      </c>
      <c r="G38" s="92">
        <f t="shared" si="1"/>
        <v>0</v>
      </c>
      <c r="H38" s="91">
        <f t="shared" si="4"/>
        <v>0</v>
      </c>
      <c r="I38" s="87"/>
      <c r="J38" s="87"/>
      <c r="K38" s="8"/>
      <c r="L38" s="83"/>
      <c r="M38" s="26"/>
      <c r="N38" s="50"/>
      <c r="O38" s="26"/>
      <c r="P38" s="26"/>
      <c r="Q38" s="26"/>
      <c r="R38" s="26"/>
      <c r="S38" s="26"/>
      <c r="T38" s="26"/>
      <c r="U38" s="26"/>
      <c r="V38" s="26"/>
      <c r="W38" s="26"/>
    </row>
    <row r="39" spans="1:23" s="7" customFormat="1" ht="10.5" customHeight="1">
      <c r="A39" s="87">
        <v>28</v>
      </c>
      <c r="B39" s="88">
        <f t="shared" si="0"/>
        <v>1973</v>
      </c>
      <c r="C39" s="89" t="str">
        <f t="shared" si="2"/>
        <v>Non</v>
      </c>
      <c r="D39" s="90">
        <v>7.0000000000000007E-2</v>
      </c>
      <c r="E39" s="91">
        <f t="shared" si="5"/>
        <v>0</v>
      </c>
      <c r="F39" s="92">
        <f t="shared" si="3"/>
        <v>0</v>
      </c>
      <c r="G39" s="92">
        <f t="shared" si="1"/>
        <v>0</v>
      </c>
      <c r="H39" s="91">
        <f t="shared" si="4"/>
        <v>0</v>
      </c>
      <c r="I39" s="87"/>
      <c r="J39" s="87"/>
      <c r="K39" s="8"/>
      <c r="L39" s="83"/>
      <c r="M39" s="26"/>
      <c r="N39" s="50"/>
      <c r="O39" s="26"/>
      <c r="P39" s="26"/>
      <c r="Q39" s="26"/>
      <c r="R39" s="26"/>
      <c r="S39" s="26"/>
      <c r="T39" s="26"/>
      <c r="U39" s="26"/>
      <c r="V39" s="26"/>
      <c r="W39" s="26"/>
    </row>
    <row r="40" spans="1:23" s="7" customFormat="1" ht="10.5" customHeight="1">
      <c r="A40" s="87">
        <v>29</v>
      </c>
      <c r="B40" s="88">
        <f t="shared" si="0"/>
        <v>1974</v>
      </c>
      <c r="C40" s="89" t="str">
        <f t="shared" si="2"/>
        <v>Non</v>
      </c>
      <c r="D40" s="90">
        <v>7.0000000000000007E-2</v>
      </c>
      <c r="E40" s="91">
        <f t="shared" si="5"/>
        <v>0</v>
      </c>
      <c r="F40" s="92">
        <f t="shared" si="3"/>
        <v>0</v>
      </c>
      <c r="G40" s="92">
        <f t="shared" si="1"/>
        <v>0</v>
      </c>
      <c r="H40" s="91">
        <f t="shared" si="4"/>
        <v>0</v>
      </c>
      <c r="I40" s="87"/>
      <c r="J40" s="87"/>
      <c r="K40" s="8"/>
      <c r="L40" s="83"/>
      <c r="M40" s="26"/>
      <c r="N40" s="50"/>
      <c r="O40" s="26"/>
      <c r="P40" s="26"/>
      <c r="Q40" s="26"/>
      <c r="R40" s="26"/>
      <c r="S40" s="26"/>
      <c r="T40" s="26"/>
      <c r="U40" s="26"/>
      <c r="V40" s="26"/>
      <c r="W40" s="26"/>
    </row>
    <row r="41" spans="1:23" s="7" customFormat="1" ht="10.5" customHeight="1">
      <c r="A41" s="87">
        <v>30</v>
      </c>
      <c r="B41" s="88">
        <f t="shared" si="0"/>
        <v>1975</v>
      </c>
      <c r="C41" s="89" t="str">
        <f t="shared" si="2"/>
        <v>Non</v>
      </c>
      <c r="D41" s="90">
        <v>7.0000000000000007E-2</v>
      </c>
      <c r="E41" s="91">
        <f t="shared" si="5"/>
        <v>0</v>
      </c>
      <c r="F41" s="92">
        <f t="shared" si="3"/>
        <v>0</v>
      </c>
      <c r="G41" s="92">
        <f t="shared" si="1"/>
        <v>0</v>
      </c>
      <c r="H41" s="91">
        <f t="shared" si="4"/>
        <v>0</v>
      </c>
      <c r="I41" s="87"/>
      <c r="J41" s="87"/>
      <c r="K41" s="8"/>
      <c r="L41" s="83"/>
      <c r="M41" s="26"/>
      <c r="N41" s="50"/>
      <c r="O41" s="26"/>
      <c r="P41" s="26"/>
      <c r="Q41" s="26"/>
      <c r="R41" s="26"/>
      <c r="S41" s="26"/>
      <c r="T41" s="26"/>
      <c r="U41" s="26"/>
      <c r="V41" s="26"/>
      <c r="W41" s="26"/>
    </row>
    <row r="42" spans="1:23" s="7" customFormat="1" ht="10.5" customHeight="1">
      <c r="A42" s="87">
        <v>31</v>
      </c>
      <c r="B42" s="88">
        <f t="shared" si="0"/>
        <v>1976</v>
      </c>
      <c r="C42" s="89" t="str">
        <f t="shared" si="2"/>
        <v>Non</v>
      </c>
      <c r="D42" s="90">
        <v>7.0000000000000007E-2</v>
      </c>
      <c r="E42" s="91">
        <f t="shared" si="5"/>
        <v>0</v>
      </c>
      <c r="F42" s="92">
        <f t="shared" si="3"/>
        <v>0</v>
      </c>
      <c r="G42" s="92">
        <f t="shared" si="1"/>
        <v>0</v>
      </c>
      <c r="H42" s="91">
        <f t="shared" si="4"/>
        <v>0</v>
      </c>
      <c r="I42" s="87"/>
      <c r="J42" s="87"/>
      <c r="K42" s="8"/>
      <c r="L42" s="83"/>
      <c r="M42" s="26"/>
      <c r="N42" s="50"/>
      <c r="O42" s="26"/>
      <c r="P42" s="26"/>
      <c r="Q42" s="26"/>
      <c r="R42" s="26"/>
      <c r="S42" s="26"/>
      <c r="T42" s="26"/>
      <c r="U42" s="26"/>
      <c r="V42" s="26"/>
      <c r="W42" s="26"/>
    </row>
    <row r="43" spans="1:23" s="26" customFormat="1" ht="10.5" customHeight="1">
      <c r="A43" s="87">
        <v>32</v>
      </c>
      <c r="B43" s="88">
        <f t="shared" si="0"/>
        <v>1977</v>
      </c>
      <c r="C43" s="89" t="str">
        <f t="shared" si="2"/>
        <v>Non</v>
      </c>
      <c r="D43" s="90">
        <v>7.0000000000000007E-2</v>
      </c>
      <c r="E43" s="91">
        <f t="shared" si="5"/>
        <v>0</v>
      </c>
      <c r="F43" s="92">
        <f t="shared" si="3"/>
        <v>0</v>
      </c>
      <c r="G43" s="92">
        <f t="shared" si="1"/>
        <v>0</v>
      </c>
      <c r="H43" s="91">
        <f t="shared" si="4"/>
        <v>0</v>
      </c>
      <c r="I43" s="87"/>
      <c r="J43" s="87"/>
      <c r="K43" s="8"/>
      <c r="L43" s="83"/>
      <c r="N43" s="50"/>
    </row>
    <row r="44" spans="1:23" s="26" customFormat="1" ht="10.5" customHeight="1">
      <c r="A44" s="87">
        <v>33</v>
      </c>
      <c r="B44" s="88">
        <f t="shared" si="0"/>
        <v>1978</v>
      </c>
      <c r="C44" s="89" t="str">
        <f t="shared" si="2"/>
        <v>Non</v>
      </c>
      <c r="D44" s="90">
        <v>7.0000000000000007E-2</v>
      </c>
      <c r="E44" s="91">
        <f t="shared" si="5"/>
        <v>0</v>
      </c>
      <c r="F44" s="92">
        <f t="shared" si="3"/>
        <v>0</v>
      </c>
      <c r="G44" s="92">
        <f t="shared" si="1"/>
        <v>0</v>
      </c>
      <c r="H44" s="91">
        <f t="shared" si="4"/>
        <v>0</v>
      </c>
      <c r="I44" s="87"/>
      <c r="J44" s="87"/>
      <c r="K44" s="8"/>
      <c r="L44" s="83"/>
      <c r="N44" s="50"/>
    </row>
    <row r="45" spans="1:23" s="26" customFormat="1" ht="10.5" customHeight="1">
      <c r="A45" s="194">
        <v>34</v>
      </c>
      <c r="B45" s="195">
        <f t="shared" si="0"/>
        <v>1979</v>
      </c>
      <c r="C45" s="196" t="str">
        <f t="shared" si="2"/>
        <v>Non</v>
      </c>
      <c r="D45" s="197">
        <v>7.0000000000000007E-2</v>
      </c>
      <c r="E45" s="198">
        <f t="shared" si="5"/>
        <v>0</v>
      </c>
      <c r="F45" s="199">
        <f t="shared" si="3"/>
        <v>0</v>
      </c>
      <c r="G45" s="199">
        <f t="shared" si="1"/>
        <v>0</v>
      </c>
      <c r="H45" s="198">
        <f t="shared" si="4"/>
        <v>0</v>
      </c>
      <c r="I45" s="87"/>
      <c r="J45" s="87"/>
      <c r="K45" s="8"/>
      <c r="L45" s="83"/>
      <c r="N45" s="50"/>
    </row>
    <row r="46" spans="1:23" s="26" customFormat="1" ht="10.5" customHeight="1">
      <c r="A46" s="87">
        <v>35</v>
      </c>
      <c r="B46" s="88">
        <f t="shared" si="0"/>
        <v>1980</v>
      </c>
      <c r="C46" s="89" t="str">
        <f t="shared" si="2"/>
        <v>Non</v>
      </c>
      <c r="D46" s="90">
        <v>0.1</v>
      </c>
      <c r="E46" s="91">
        <f t="shared" si="5"/>
        <v>0</v>
      </c>
      <c r="F46" s="92">
        <f t="shared" si="3"/>
        <v>0</v>
      </c>
      <c r="G46" s="92">
        <f t="shared" si="1"/>
        <v>0</v>
      </c>
      <c r="H46" s="91">
        <f t="shared" si="4"/>
        <v>0</v>
      </c>
      <c r="I46" s="87"/>
      <c r="J46" s="87"/>
      <c r="K46" s="8"/>
      <c r="L46" s="83"/>
    </row>
    <row r="47" spans="1:23" s="26" customFormat="1" ht="10.5" customHeight="1">
      <c r="A47" s="87">
        <v>36</v>
      </c>
      <c r="B47" s="88">
        <f t="shared" si="0"/>
        <v>1981</v>
      </c>
      <c r="C47" s="89" t="str">
        <f t="shared" si="2"/>
        <v>Non</v>
      </c>
      <c r="D47" s="90">
        <v>0.1</v>
      </c>
      <c r="E47" s="91">
        <f t="shared" si="5"/>
        <v>0</v>
      </c>
      <c r="F47" s="92">
        <f t="shared" si="3"/>
        <v>0</v>
      </c>
      <c r="G47" s="92">
        <f t="shared" si="1"/>
        <v>0</v>
      </c>
      <c r="H47" s="91">
        <f t="shared" si="4"/>
        <v>0</v>
      </c>
      <c r="I47" s="87"/>
      <c r="J47" s="87"/>
      <c r="K47" s="8"/>
      <c r="L47" s="83"/>
    </row>
    <row r="48" spans="1:23" s="26" customFormat="1" ht="10.5" customHeight="1">
      <c r="A48" s="87">
        <v>37</v>
      </c>
      <c r="B48" s="88">
        <f t="shared" si="0"/>
        <v>1982</v>
      </c>
      <c r="C48" s="89" t="str">
        <f t="shared" si="2"/>
        <v>Non</v>
      </c>
      <c r="D48" s="90">
        <v>0.1</v>
      </c>
      <c r="E48" s="91">
        <f t="shared" si="5"/>
        <v>0</v>
      </c>
      <c r="F48" s="92">
        <f t="shared" si="3"/>
        <v>0</v>
      </c>
      <c r="G48" s="92">
        <f t="shared" si="1"/>
        <v>0</v>
      </c>
      <c r="H48" s="91">
        <f t="shared" si="4"/>
        <v>0</v>
      </c>
      <c r="I48" s="87"/>
      <c r="J48" s="87"/>
      <c r="K48" s="8"/>
      <c r="L48" s="83"/>
    </row>
    <row r="49" spans="1:13" s="26" customFormat="1" ht="10.5" customHeight="1">
      <c r="A49" s="87">
        <v>38</v>
      </c>
      <c r="B49" s="88">
        <f t="shared" si="0"/>
        <v>1983</v>
      </c>
      <c r="C49" s="89" t="str">
        <f t="shared" si="2"/>
        <v>Non</v>
      </c>
      <c r="D49" s="90">
        <v>0.1</v>
      </c>
      <c r="E49" s="91">
        <f t="shared" si="5"/>
        <v>0</v>
      </c>
      <c r="F49" s="92">
        <f t="shared" si="3"/>
        <v>0</v>
      </c>
      <c r="G49" s="92">
        <f t="shared" si="1"/>
        <v>0</v>
      </c>
      <c r="H49" s="91">
        <f t="shared" si="4"/>
        <v>0</v>
      </c>
      <c r="I49" s="87"/>
      <c r="J49" s="87"/>
      <c r="K49" s="8"/>
      <c r="L49" s="83"/>
    </row>
    <row r="50" spans="1:13" s="26" customFormat="1" ht="10.5" customHeight="1">
      <c r="A50" s="87">
        <v>39</v>
      </c>
      <c r="B50" s="88">
        <f t="shared" si="0"/>
        <v>1984</v>
      </c>
      <c r="C50" s="89" t="str">
        <f t="shared" si="2"/>
        <v>Non</v>
      </c>
      <c r="D50" s="90">
        <v>0.1</v>
      </c>
      <c r="E50" s="91">
        <f t="shared" si="5"/>
        <v>0</v>
      </c>
      <c r="F50" s="92">
        <f t="shared" si="3"/>
        <v>0</v>
      </c>
      <c r="G50" s="92">
        <f t="shared" si="1"/>
        <v>0</v>
      </c>
      <c r="H50" s="91">
        <f t="shared" si="4"/>
        <v>0</v>
      </c>
      <c r="I50" s="87"/>
      <c r="J50" s="87"/>
      <c r="K50" s="8"/>
      <c r="L50" s="83"/>
    </row>
    <row r="51" spans="1:13" s="26" customFormat="1" ht="10.5" customHeight="1">
      <c r="A51" s="87">
        <v>40</v>
      </c>
      <c r="B51" s="88">
        <f t="shared" si="0"/>
        <v>1985</v>
      </c>
      <c r="C51" s="89" t="str">
        <f t="shared" si="2"/>
        <v>Non</v>
      </c>
      <c r="D51" s="90">
        <v>0.1</v>
      </c>
      <c r="E51" s="91">
        <f t="shared" si="5"/>
        <v>0</v>
      </c>
      <c r="F51" s="92">
        <f t="shared" si="3"/>
        <v>0</v>
      </c>
      <c r="G51" s="92">
        <f t="shared" si="1"/>
        <v>0</v>
      </c>
      <c r="H51" s="91">
        <f t="shared" si="4"/>
        <v>0</v>
      </c>
      <c r="I51" s="87"/>
      <c r="J51" s="87"/>
      <c r="K51" s="8"/>
      <c r="L51" s="83"/>
    </row>
    <row r="52" spans="1:13" s="26" customFormat="1" ht="10.5" customHeight="1">
      <c r="A52" s="87">
        <v>41</v>
      </c>
      <c r="B52" s="88">
        <f t="shared" si="0"/>
        <v>1986</v>
      </c>
      <c r="C52" s="89" t="str">
        <f t="shared" si="2"/>
        <v>Non</v>
      </c>
      <c r="D52" s="90">
        <v>0.1</v>
      </c>
      <c r="E52" s="91">
        <f t="shared" si="5"/>
        <v>0</v>
      </c>
      <c r="F52" s="92">
        <f t="shared" si="3"/>
        <v>0</v>
      </c>
      <c r="G52" s="92">
        <f t="shared" si="1"/>
        <v>0</v>
      </c>
      <c r="H52" s="91">
        <f t="shared" si="4"/>
        <v>0</v>
      </c>
      <c r="I52" s="87"/>
      <c r="J52" s="87"/>
      <c r="K52" s="8"/>
      <c r="L52" s="83"/>
    </row>
    <row r="53" spans="1:13" s="26" customFormat="1" ht="10.5" customHeight="1">
      <c r="A53" s="87">
        <v>42</v>
      </c>
      <c r="B53" s="88">
        <f t="shared" si="0"/>
        <v>1987</v>
      </c>
      <c r="C53" s="89" t="str">
        <f t="shared" si="2"/>
        <v>Non</v>
      </c>
      <c r="D53" s="90">
        <v>0.1</v>
      </c>
      <c r="E53" s="91">
        <f t="shared" si="5"/>
        <v>0</v>
      </c>
      <c r="F53" s="92">
        <f t="shared" si="3"/>
        <v>0</v>
      </c>
      <c r="G53" s="92">
        <f t="shared" si="1"/>
        <v>0</v>
      </c>
      <c r="H53" s="91">
        <f t="shared" si="4"/>
        <v>0</v>
      </c>
      <c r="I53" s="87"/>
      <c r="J53" s="87"/>
      <c r="K53" s="8"/>
      <c r="L53" s="83"/>
    </row>
    <row r="54" spans="1:13" s="26" customFormat="1" ht="10.5" customHeight="1">
      <c r="A54" s="87">
        <v>43</v>
      </c>
      <c r="B54" s="88">
        <f t="shared" si="0"/>
        <v>1988</v>
      </c>
      <c r="C54" s="89" t="str">
        <f t="shared" si="2"/>
        <v>Non</v>
      </c>
      <c r="D54" s="90">
        <v>0.1</v>
      </c>
      <c r="E54" s="91">
        <f t="shared" si="5"/>
        <v>0</v>
      </c>
      <c r="F54" s="92">
        <f t="shared" si="3"/>
        <v>0</v>
      </c>
      <c r="G54" s="92">
        <f t="shared" si="1"/>
        <v>0</v>
      </c>
      <c r="H54" s="91">
        <f t="shared" si="4"/>
        <v>0</v>
      </c>
      <c r="I54" s="87"/>
      <c r="J54" s="87"/>
      <c r="K54" s="8"/>
      <c r="L54" s="83"/>
    </row>
    <row r="55" spans="1:13" s="26" customFormat="1" ht="10.5" customHeight="1">
      <c r="A55" s="194">
        <v>44</v>
      </c>
      <c r="B55" s="195">
        <f t="shared" si="0"/>
        <v>1989</v>
      </c>
      <c r="C55" s="196" t="str">
        <f t="shared" si="2"/>
        <v>Non</v>
      </c>
      <c r="D55" s="197">
        <v>0.1</v>
      </c>
      <c r="E55" s="198">
        <f t="shared" si="5"/>
        <v>0</v>
      </c>
      <c r="F55" s="199">
        <f t="shared" si="3"/>
        <v>0</v>
      </c>
      <c r="G55" s="199">
        <f t="shared" si="1"/>
        <v>0</v>
      </c>
      <c r="H55" s="198">
        <f t="shared" si="4"/>
        <v>0</v>
      </c>
      <c r="I55" s="87"/>
      <c r="J55" s="87"/>
      <c r="K55" s="8"/>
      <c r="L55" s="83"/>
    </row>
    <row r="56" spans="1:13" s="26" customFormat="1" ht="10.5" customHeight="1">
      <c r="A56" s="87">
        <v>45</v>
      </c>
      <c r="B56" s="88">
        <f t="shared" si="0"/>
        <v>1990</v>
      </c>
      <c r="C56" s="89" t="str">
        <f t="shared" si="2"/>
        <v>Non</v>
      </c>
      <c r="D56" s="90">
        <v>0.15</v>
      </c>
      <c r="E56" s="91">
        <f t="shared" si="5"/>
        <v>0</v>
      </c>
      <c r="F56" s="92">
        <f t="shared" si="3"/>
        <v>0</v>
      </c>
      <c r="G56" s="92">
        <f t="shared" si="1"/>
        <v>0</v>
      </c>
      <c r="H56" s="91">
        <f t="shared" si="4"/>
        <v>0</v>
      </c>
      <c r="I56" s="87"/>
      <c r="J56" s="87"/>
      <c r="K56" s="8"/>
      <c r="L56" s="83"/>
    </row>
    <row r="57" spans="1:13" s="26" customFormat="1" ht="10.5" customHeight="1">
      <c r="A57" s="87">
        <v>46</v>
      </c>
      <c r="B57" s="88">
        <f t="shared" si="0"/>
        <v>1991</v>
      </c>
      <c r="C57" s="89" t="str">
        <f t="shared" si="2"/>
        <v>Non</v>
      </c>
      <c r="D57" s="90">
        <v>0.15</v>
      </c>
      <c r="E57" s="91">
        <f t="shared" si="5"/>
        <v>0</v>
      </c>
      <c r="F57" s="92">
        <f t="shared" si="3"/>
        <v>0</v>
      </c>
      <c r="G57" s="92">
        <f t="shared" si="1"/>
        <v>0</v>
      </c>
      <c r="H57" s="91">
        <f t="shared" si="4"/>
        <v>0</v>
      </c>
      <c r="I57" s="87"/>
      <c r="J57" s="87"/>
      <c r="K57" s="8"/>
      <c r="L57" s="83"/>
    </row>
    <row r="58" spans="1:13" s="26" customFormat="1" ht="10.5" customHeight="1">
      <c r="A58" s="87">
        <v>47</v>
      </c>
      <c r="B58" s="88">
        <f t="shared" si="0"/>
        <v>1992</v>
      </c>
      <c r="C58" s="89" t="str">
        <f t="shared" si="2"/>
        <v>Non</v>
      </c>
      <c r="D58" s="90">
        <v>0.15</v>
      </c>
      <c r="E58" s="91">
        <f t="shared" si="5"/>
        <v>0</v>
      </c>
      <c r="F58" s="92">
        <f t="shared" si="3"/>
        <v>0</v>
      </c>
      <c r="G58" s="92">
        <f t="shared" si="1"/>
        <v>0</v>
      </c>
      <c r="H58" s="91">
        <f t="shared" si="4"/>
        <v>0</v>
      </c>
      <c r="I58" s="87"/>
      <c r="J58" s="87"/>
      <c r="K58" s="8"/>
      <c r="L58" s="83"/>
    </row>
    <row r="59" spans="1:13" s="26" customFormat="1" ht="10.5" customHeight="1">
      <c r="A59" s="87">
        <v>48</v>
      </c>
      <c r="B59" s="88">
        <f t="shared" si="0"/>
        <v>1993</v>
      </c>
      <c r="C59" s="89" t="str">
        <f t="shared" si="2"/>
        <v>Non</v>
      </c>
      <c r="D59" s="90">
        <v>0.15</v>
      </c>
      <c r="E59" s="91">
        <f t="shared" si="5"/>
        <v>0</v>
      </c>
      <c r="F59" s="92">
        <f t="shared" si="3"/>
        <v>0</v>
      </c>
      <c r="G59" s="92">
        <f t="shared" si="1"/>
        <v>0</v>
      </c>
      <c r="H59" s="91">
        <f t="shared" si="4"/>
        <v>0</v>
      </c>
      <c r="I59" s="87"/>
      <c r="J59" s="87"/>
      <c r="K59" s="8"/>
      <c r="L59" s="83"/>
    </row>
    <row r="60" spans="1:13" s="26" customFormat="1" ht="10.5" customHeight="1">
      <c r="A60" s="87">
        <v>49</v>
      </c>
      <c r="B60" s="88">
        <f t="shared" si="0"/>
        <v>1994</v>
      </c>
      <c r="C60" s="89" t="str">
        <f t="shared" si="2"/>
        <v>Non</v>
      </c>
      <c r="D60" s="90">
        <v>0.15</v>
      </c>
      <c r="E60" s="91">
        <f t="shared" si="5"/>
        <v>0</v>
      </c>
      <c r="F60" s="92">
        <f t="shared" si="3"/>
        <v>0</v>
      </c>
      <c r="G60" s="92">
        <f t="shared" si="1"/>
        <v>0</v>
      </c>
      <c r="H60" s="91">
        <f t="shared" si="4"/>
        <v>0</v>
      </c>
      <c r="I60" s="87"/>
      <c r="J60" s="87"/>
      <c r="K60" s="8"/>
      <c r="L60" s="83"/>
    </row>
    <row r="61" spans="1:13" s="26" customFormat="1" ht="10.5" customHeight="1">
      <c r="A61" s="87">
        <v>50</v>
      </c>
      <c r="B61" s="88">
        <f t="shared" si="0"/>
        <v>1995</v>
      </c>
      <c r="C61" s="89" t="str">
        <f t="shared" si="2"/>
        <v>Non</v>
      </c>
      <c r="D61" s="90">
        <v>0.15</v>
      </c>
      <c r="E61" s="91">
        <f t="shared" si="5"/>
        <v>0</v>
      </c>
      <c r="F61" s="92">
        <f t="shared" si="3"/>
        <v>0</v>
      </c>
      <c r="G61" s="92">
        <f t="shared" si="1"/>
        <v>0</v>
      </c>
      <c r="H61" s="91">
        <f t="shared" si="4"/>
        <v>0</v>
      </c>
      <c r="I61" s="214" t="s">
        <v>22</v>
      </c>
      <c r="J61" s="214" t="s">
        <v>23</v>
      </c>
      <c r="K61" s="214" t="s">
        <v>47</v>
      </c>
      <c r="L61" s="86"/>
      <c r="M61" s="38"/>
    </row>
    <row r="62" spans="1:13" s="26" customFormat="1" ht="10.5" customHeight="1">
      <c r="A62" s="87">
        <v>51</v>
      </c>
      <c r="B62" s="88">
        <f t="shared" si="0"/>
        <v>1996</v>
      </c>
      <c r="C62" s="89" t="str">
        <f t="shared" si="2"/>
        <v>Non</v>
      </c>
      <c r="D62" s="90">
        <v>0.15</v>
      </c>
      <c r="E62" s="91">
        <f t="shared" si="5"/>
        <v>0</v>
      </c>
      <c r="F62" s="92">
        <f t="shared" si="3"/>
        <v>0</v>
      </c>
      <c r="G62" s="92">
        <f t="shared" si="1"/>
        <v>0</v>
      </c>
      <c r="H62" s="91">
        <f t="shared" si="4"/>
        <v>0</v>
      </c>
      <c r="I62" s="214"/>
      <c r="J62" s="214"/>
      <c r="K62" s="214"/>
      <c r="L62" s="86"/>
      <c r="M62" s="38"/>
    </row>
    <row r="63" spans="1:13" s="26" customFormat="1" ht="10.5" customHeight="1">
      <c r="A63" s="87">
        <v>52</v>
      </c>
      <c r="B63" s="88">
        <f t="shared" si="0"/>
        <v>1997</v>
      </c>
      <c r="C63" s="89" t="str">
        <f t="shared" si="2"/>
        <v>Non</v>
      </c>
      <c r="D63" s="90">
        <v>0.15</v>
      </c>
      <c r="E63" s="91">
        <f t="shared" si="5"/>
        <v>0</v>
      </c>
      <c r="F63" s="92">
        <f t="shared" si="3"/>
        <v>0</v>
      </c>
      <c r="G63" s="92">
        <f t="shared" si="1"/>
        <v>0</v>
      </c>
      <c r="H63" s="91">
        <f t="shared" si="4"/>
        <v>0</v>
      </c>
      <c r="I63" s="214"/>
      <c r="J63" s="214"/>
      <c r="K63" s="214"/>
      <c r="L63" s="86"/>
      <c r="M63" s="38"/>
    </row>
    <row r="64" spans="1:13" s="26" customFormat="1" ht="10.5" customHeight="1">
      <c r="A64" s="87">
        <v>53</v>
      </c>
      <c r="B64" s="88">
        <f t="shared" si="0"/>
        <v>1998</v>
      </c>
      <c r="C64" s="89" t="str">
        <f t="shared" si="2"/>
        <v>Non</v>
      </c>
      <c r="D64" s="90">
        <v>0.15</v>
      </c>
      <c r="E64" s="91">
        <f t="shared" si="5"/>
        <v>0</v>
      </c>
      <c r="F64" s="92">
        <f t="shared" si="3"/>
        <v>0</v>
      </c>
      <c r="G64" s="92">
        <f t="shared" si="1"/>
        <v>0</v>
      </c>
      <c r="H64" s="91">
        <f t="shared" si="4"/>
        <v>0</v>
      </c>
      <c r="I64" s="214"/>
      <c r="J64" s="214"/>
      <c r="K64" s="214"/>
      <c r="L64" s="86"/>
      <c r="M64" s="38"/>
    </row>
    <row r="65" spans="1:23" s="26" customFormat="1" ht="10.5" customHeight="1">
      <c r="A65" s="194">
        <v>54</v>
      </c>
      <c r="B65" s="195">
        <f t="shared" si="0"/>
        <v>1999</v>
      </c>
      <c r="C65" s="196" t="str">
        <f t="shared" si="2"/>
        <v>Non</v>
      </c>
      <c r="D65" s="197">
        <v>0.15</v>
      </c>
      <c r="E65" s="198">
        <f t="shared" si="5"/>
        <v>0</v>
      </c>
      <c r="F65" s="199">
        <f t="shared" si="3"/>
        <v>0</v>
      </c>
      <c r="G65" s="199">
        <f t="shared" si="1"/>
        <v>0</v>
      </c>
      <c r="H65" s="198">
        <f t="shared" si="4"/>
        <v>0</v>
      </c>
      <c r="I65" s="214"/>
      <c r="J65" s="214"/>
      <c r="K65" s="214"/>
      <c r="L65" s="86"/>
      <c r="M65" s="38"/>
    </row>
    <row r="66" spans="1:23" s="26" customFormat="1" ht="10.5" customHeight="1">
      <c r="A66" s="87">
        <v>55</v>
      </c>
      <c r="B66" s="88">
        <f t="shared" si="0"/>
        <v>2000</v>
      </c>
      <c r="C66" s="89" t="str">
        <f t="shared" si="2"/>
        <v>Non</v>
      </c>
      <c r="D66" s="90">
        <v>0.18</v>
      </c>
      <c r="E66" s="91">
        <f t="shared" si="5"/>
        <v>0</v>
      </c>
      <c r="F66" s="92">
        <f t="shared" si="3"/>
        <v>0</v>
      </c>
      <c r="G66" s="92">
        <f t="shared" si="1"/>
        <v>0</v>
      </c>
      <c r="H66" s="91">
        <f t="shared" si="4"/>
        <v>0</v>
      </c>
      <c r="I66" s="214"/>
      <c r="J66" s="214"/>
      <c r="K66" s="214"/>
      <c r="L66" s="86"/>
      <c r="M66" s="38"/>
    </row>
    <row r="67" spans="1:23" s="26" customFormat="1" ht="10.5" customHeight="1">
      <c r="A67" s="87">
        <v>56</v>
      </c>
      <c r="B67" s="88">
        <f t="shared" si="0"/>
        <v>2001</v>
      </c>
      <c r="C67" s="89" t="str">
        <f t="shared" si="2"/>
        <v>Non</v>
      </c>
      <c r="D67" s="90">
        <v>0.18</v>
      </c>
      <c r="E67" s="91">
        <f t="shared" si="5"/>
        <v>0</v>
      </c>
      <c r="F67" s="92">
        <f t="shared" si="3"/>
        <v>0</v>
      </c>
      <c r="G67" s="92">
        <f t="shared" si="1"/>
        <v>0</v>
      </c>
      <c r="H67" s="91">
        <f t="shared" si="4"/>
        <v>0</v>
      </c>
      <c r="I67" s="193"/>
      <c r="J67" s="193"/>
      <c r="K67" s="8"/>
      <c r="L67" s="86"/>
      <c r="M67" s="38"/>
    </row>
    <row r="68" spans="1:23" s="26" customFormat="1" ht="10.5" customHeight="1">
      <c r="A68" s="87">
        <v>57</v>
      </c>
      <c r="B68" s="88">
        <f t="shared" si="0"/>
        <v>2002</v>
      </c>
      <c r="C68" s="89" t="str">
        <f t="shared" si="2"/>
        <v>Non</v>
      </c>
      <c r="D68" s="90">
        <v>0.18</v>
      </c>
      <c r="E68" s="91">
        <f t="shared" si="5"/>
        <v>0</v>
      </c>
      <c r="F68" s="92">
        <f t="shared" si="3"/>
        <v>0</v>
      </c>
      <c r="G68" s="92">
        <f t="shared" si="1"/>
        <v>0</v>
      </c>
      <c r="H68" s="91">
        <f t="shared" si="4"/>
        <v>0</v>
      </c>
      <c r="I68" s="91"/>
      <c r="J68" s="91"/>
      <c r="K68" s="8"/>
      <c r="L68" s="84"/>
      <c r="M68" s="27"/>
    </row>
    <row r="69" spans="1:23" s="26" customFormat="1" ht="10.5" customHeight="1">
      <c r="A69" s="87">
        <v>58</v>
      </c>
      <c r="B69" s="88">
        <f t="shared" si="0"/>
        <v>2003</v>
      </c>
      <c r="C69" s="89" t="str">
        <f t="shared" si="2"/>
        <v>Non</v>
      </c>
      <c r="D69" s="90">
        <v>0.18</v>
      </c>
      <c r="E69" s="91">
        <f t="shared" si="5"/>
        <v>0</v>
      </c>
      <c r="F69" s="92">
        <f t="shared" si="3"/>
        <v>0</v>
      </c>
      <c r="G69" s="92">
        <f t="shared" si="1"/>
        <v>0</v>
      </c>
      <c r="H69" s="91">
        <f t="shared" si="4"/>
        <v>0</v>
      </c>
      <c r="I69" s="91"/>
      <c r="J69" s="91"/>
      <c r="K69" s="8"/>
      <c r="L69" s="84"/>
      <c r="M69" s="27"/>
    </row>
    <row r="70" spans="1:23" s="26" customFormat="1" ht="10.5" customHeight="1">
      <c r="A70" s="87">
        <v>59</v>
      </c>
      <c r="B70" s="88">
        <f t="shared" si="0"/>
        <v>2004</v>
      </c>
      <c r="C70" s="89" t="str">
        <f t="shared" si="2"/>
        <v>Non</v>
      </c>
      <c r="D70" s="90">
        <v>0.18</v>
      </c>
      <c r="E70" s="91">
        <f t="shared" si="5"/>
        <v>0</v>
      </c>
      <c r="F70" s="92">
        <f t="shared" si="3"/>
        <v>0</v>
      </c>
      <c r="G70" s="92">
        <f t="shared" si="1"/>
        <v>0</v>
      </c>
      <c r="H70" s="91">
        <f t="shared" si="4"/>
        <v>0</v>
      </c>
      <c r="I70" s="91"/>
      <c r="J70" s="91"/>
      <c r="K70" s="8"/>
      <c r="L70" s="84"/>
      <c r="M70" s="27"/>
    </row>
    <row r="71" spans="1:23" s="26" customFormat="1" ht="10.5" customHeight="1">
      <c r="A71" s="87">
        <v>60</v>
      </c>
      <c r="B71" s="88">
        <f t="shared" si="0"/>
        <v>2005</v>
      </c>
      <c r="C71" s="89" t="str">
        <f t="shared" si="2"/>
        <v>Non</v>
      </c>
      <c r="D71" s="90">
        <v>0.18</v>
      </c>
      <c r="E71" s="91">
        <f t="shared" si="5"/>
        <v>0</v>
      </c>
      <c r="F71" s="92">
        <f t="shared" si="3"/>
        <v>0</v>
      </c>
      <c r="G71" s="92">
        <f t="shared" si="1"/>
        <v>0</v>
      </c>
      <c r="H71" s="91">
        <f t="shared" si="4"/>
        <v>0</v>
      </c>
      <c r="I71" s="91"/>
      <c r="J71" s="91"/>
      <c r="K71" s="8"/>
      <c r="L71" s="84"/>
      <c r="M71" s="27"/>
    </row>
    <row r="72" spans="1:23" s="26" customFormat="1" ht="10.5" customHeight="1">
      <c r="A72" s="87">
        <v>61</v>
      </c>
      <c r="B72" s="88">
        <f t="shared" si="0"/>
        <v>2006</v>
      </c>
      <c r="C72" s="89" t="str">
        <f t="shared" si="2"/>
        <v>Non</v>
      </c>
      <c r="D72" s="90">
        <v>0.18</v>
      </c>
      <c r="E72" s="91">
        <f t="shared" si="5"/>
        <v>0</v>
      </c>
      <c r="F72" s="92">
        <f t="shared" si="3"/>
        <v>0</v>
      </c>
      <c r="G72" s="92">
        <f t="shared" si="1"/>
        <v>0</v>
      </c>
      <c r="H72" s="91">
        <f t="shared" si="4"/>
        <v>0</v>
      </c>
      <c r="I72" s="91"/>
      <c r="J72" s="91"/>
      <c r="K72" s="8"/>
      <c r="L72" s="84"/>
      <c r="M72" s="27"/>
    </row>
    <row r="73" spans="1:23" s="26" customFormat="1" ht="10.5" customHeight="1">
      <c r="A73" s="87">
        <v>62</v>
      </c>
      <c r="B73" s="88">
        <f t="shared" si="0"/>
        <v>2007</v>
      </c>
      <c r="C73" s="89" t="str">
        <f t="shared" si="2"/>
        <v>Non</v>
      </c>
      <c r="D73" s="90">
        <v>0.18</v>
      </c>
      <c r="E73" s="91">
        <f t="shared" si="5"/>
        <v>0</v>
      </c>
      <c r="F73" s="92">
        <f t="shared" si="3"/>
        <v>0</v>
      </c>
      <c r="G73" s="92">
        <f t="shared" si="1"/>
        <v>0</v>
      </c>
      <c r="H73" s="91">
        <f t="shared" si="4"/>
        <v>0</v>
      </c>
      <c r="I73" s="91"/>
      <c r="J73" s="91"/>
      <c r="K73" s="8"/>
      <c r="L73" s="84"/>
      <c r="M73" s="27"/>
      <c r="N73" s="4"/>
      <c r="O73" s="4"/>
      <c r="P73" s="4"/>
      <c r="Q73" s="4"/>
      <c r="R73" s="4"/>
      <c r="S73" s="4"/>
      <c r="T73" s="4"/>
      <c r="U73" s="4"/>
      <c r="V73" s="4"/>
      <c r="W73" s="4"/>
    </row>
    <row r="74" spans="1:23" s="26" customFormat="1" ht="10.5" customHeight="1">
      <c r="A74" s="87">
        <v>63</v>
      </c>
      <c r="B74" s="88">
        <f t="shared" si="0"/>
        <v>2008</v>
      </c>
      <c r="C74" s="89" t="str">
        <f t="shared" si="2"/>
        <v>Non</v>
      </c>
      <c r="D74" s="90">
        <v>0.18</v>
      </c>
      <c r="E74" s="91">
        <f t="shared" si="5"/>
        <v>0</v>
      </c>
      <c r="F74" s="92">
        <f t="shared" si="3"/>
        <v>0</v>
      </c>
      <c r="G74" s="92">
        <f t="shared" si="1"/>
        <v>0</v>
      </c>
      <c r="H74" s="91">
        <f t="shared" si="4"/>
        <v>0</v>
      </c>
      <c r="I74" s="91">
        <f>IF(H74&lt;=0,0,$E$7*D74/12*MONTH($E$4))</f>
        <v>0</v>
      </c>
      <c r="J74" s="91">
        <f>H74*$E$6/12*MONTH($E$4)</f>
        <v>0</v>
      </c>
      <c r="K74" s="91">
        <f>ROUND(SUM(H74:J74)*2,1)/2</f>
        <v>0</v>
      </c>
      <c r="L74" s="84"/>
      <c r="M74" s="27"/>
      <c r="N74" s="4"/>
      <c r="O74" s="4"/>
      <c r="P74" s="4"/>
      <c r="Q74" s="4"/>
      <c r="R74" s="4"/>
      <c r="S74" s="4"/>
      <c r="T74" s="4"/>
      <c r="U74" s="4"/>
      <c r="V74" s="4"/>
      <c r="W74" s="4"/>
    </row>
    <row r="75" spans="1:23" s="26" customFormat="1" ht="10.5" customHeight="1">
      <c r="A75" s="87">
        <v>64</v>
      </c>
      <c r="B75" s="88">
        <f t="shared" si="0"/>
        <v>2009</v>
      </c>
      <c r="C75" s="89" t="str">
        <f t="shared" si="2"/>
        <v>Non</v>
      </c>
      <c r="D75" s="90">
        <v>0.18</v>
      </c>
      <c r="E75" s="91">
        <f t="shared" si="5"/>
        <v>0</v>
      </c>
      <c r="F75" s="92">
        <f t="shared" si="3"/>
        <v>0</v>
      </c>
      <c r="G75" s="92">
        <f t="shared" si="1"/>
        <v>0</v>
      </c>
      <c r="H75" s="91">
        <f t="shared" si="4"/>
        <v>0</v>
      </c>
      <c r="I75" s="91">
        <f>IF(H75&lt;=0,0,$E$7*D75/12*MONTH($E$4))</f>
        <v>0</v>
      </c>
      <c r="J75" s="91">
        <f>H75*$E$6/12*MONTH($E$4)</f>
        <v>0</v>
      </c>
      <c r="K75" s="91">
        <f>ROUND(SUM(H75:J75)*2,1)/2</f>
        <v>0</v>
      </c>
      <c r="L75" s="84"/>
      <c r="M75" s="27"/>
      <c r="N75" s="4"/>
      <c r="O75" s="4"/>
      <c r="P75" s="4"/>
      <c r="Q75" s="4"/>
      <c r="R75" s="4"/>
      <c r="S75" s="4"/>
      <c r="T75" s="4"/>
      <c r="U75" s="4"/>
      <c r="V75" s="4"/>
      <c r="W75" s="4"/>
    </row>
    <row r="76" spans="1:23" s="26" customFormat="1" ht="9" customHeight="1">
      <c r="A76" s="83"/>
      <c r="B76" s="83"/>
      <c r="C76" s="83"/>
      <c r="D76" s="83"/>
      <c r="E76" s="83"/>
      <c r="F76" s="83"/>
      <c r="G76" s="83"/>
      <c r="H76" s="83"/>
      <c r="I76" s="83"/>
      <c r="J76" s="83"/>
      <c r="K76" s="85"/>
      <c r="L76" s="83"/>
      <c r="N76" s="4"/>
      <c r="O76" s="4"/>
      <c r="P76" s="4"/>
      <c r="Q76" s="4"/>
      <c r="R76" s="4"/>
      <c r="S76" s="4"/>
      <c r="T76" s="4"/>
      <c r="U76" s="4"/>
      <c r="V76" s="4"/>
      <c r="W76" s="4"/>
    </row>
    <row r="77" spans="1:23" s="26" customFormat="1" ht="9" customHeight="1">
      <c r="A77" s="83"/>
      <c r="B77" s="83"/>
      <c r="C77" s="83"/>
      <c r="D77" s="83"/>
      <c r="E77" s="83"/>
      <c r="F77" s="83"/>
      <c r="G77" s="83"/>
      <c r="H77" s="83"/>
      <c r="I77" s="83"/>
      <c r="J77" s="83"/>
      <c r="K77" s="83"/>
      <c r="L77" s="83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</row>
    <row r="78" spans="1:23" s="26" customFormat="1" ht="9" customHeight="1">
      <c r="A78" s="83"/>
      <c r="B78" s="83"/>
      <c r="C78" s="83"/>
      <c r="D78" s="83"/>
      <c r="E78" s="83"/>
      <c r="F78" s="83"/>
      <c r="G78" s="83"/>
      <c r="H78" s="83"/>
      <c r="I78" s="83"/>
      <c r="J78" s="83"/>
      <c r="K78" s="83"/>
      <c r="L78" s="83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</row>
    <row r="79" spans="1:23" s="26" customFormat="1" ht="9" customHeight="1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</row>
    <row r="80" spans="1:23" s="26" customFormat="1" ht="9" customHeight="1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</row>
    <row r="81" spans="1:23" s="26" customFormat="1" ht="9" customHeight="1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</row>
    <row r="82" spans="1:23" s="26" customFormat="1" ht="9" customHeight="1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</row>
    <row r="83" spans="1:23" s="26" customFormat="1" ht="9" customHeight="1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</row>
    <row r="84" spans="1:23" s="26" customFormat="1" ht="9" customHeight="1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</row>
    <row r="85" spans="1:23" s="4" customFormat="1" ht="9" customHeight="1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</row>
    <row r="86" spans="1:23" s="4" customFormat="1" ht="9" customHeight="1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</row>
    <row r="87" spans="1:23" s="4" customFormat="1" ht="9" customHeight="1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</row>
    <row r="88" spans="1:23" s="4" customFormat="1" ht="24" customHeight="1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</row>
  </sheetData>
  <mergeCells count="3">
    <mergeCell ref="I61:I66"/>
    <mergeCell ref="J61:J66"/>
    <mergeCell ref="K61:K66"/>
  </mergeCells>
  <phoneticPr fontId="0" type="noConversion"/>
  <conditionalFormatting sqref="B25:B26">
    <cfRule type="expression" dxfId="0" priority="1">
      <formula>B25="aie !"</formula>
    </cfRule>
  </conditionalFormatting>
  <hyperlinks>
    <hyperlink ref="E1" r:id="rId1"/>
  </hyperlinks>
  <pageMargins left="0.23622047244094491" right="0.23622047244094491" top="0.27559055118110237" bottom="0.11811023622047245" header="0.15748031496062992" footer="0.11811023622047245"/>
  <pageSetup paperSize="9" orientation="landscape" r:id="rId2"/>
  <headerFooter alignWithMargins="0">
    <oddFooter>&amp;R&amp;7&amp;F</oddFooter>
  </headerFooter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Tabelle3"/>
  <dimension ref="A1:P45"/>
  <sheetViews>
    <sheetView workbookViewId="0">
      <selection activeCell="A18" sqref="A18"/>
    </sheetView>
  </sheetViews>
  <sheetFormatPr baseColWidth="10" defaultRowHeight="12.75"/>
  <cols>
    <col min="1" max="1" width="23.42578125" style="2" customWidth="1"/>
    <col min="2" max="2" width="11" style="2" bestFit="1" customWidth="1"/>
    <col min="3" max="4" width="11" style="2" customWidth="1"/>
    <col min="5" max="5" width="12.28515625" style="2" customWidth="1"/>
    <col min="6" max="6" width="12.5703125" style="2" customWidth="1"/>
    <col min="7" max="7" width="13.7109375" style="2" bestFit="1" customWidth="1"/>
    <col min="8" max="9" width="11" style="2" customWidth="1"/>
    <col min="10" max="10" width="12.42578125" style="2" customWidth="1"/>
    <col min="11" max="13" width="11" style="2" customWidth="1"/>
    <col min="14" max="14" width="11.42578125" style="2"/>
    <col min="15" max="15" width="37.140625" style="2" customWidth="1"/>
    <col min="16" max="16384" width="11.42578125" style="2"/>
  </cols>
  <sheetData>
    <row r="1" spans="1:16" ht="24.75" customHeight="1">
      <c r="A1" s="39" t="s">
        <v>32</v>
      </c>
      <c r="G1" s="3"/>
      <c r="K1" s="42"/>
      <c r="L1" s="42"/>
      <c r="O1" s="43" t="s">
        <v>13</v>
      </c>
      <c r="P1" s="152">
        <f ca="1">Projection!O1</f>
        <v>2</v>
      </c>
    </row>
    <row r="2" spans="1:16" s="1" customFormat="1" ht="13.5" customHeight="1">
      <c r="F2" s="112"/>
      <c r="O2" s="46" t="s">
        <v>9</v>
      </c>
      <c r="P2" s="183" t="str">
        <f ca="1">Projection!O2</f>
        <v>Non</v>
      </c>
    </row>
    <row r="3" spans="1:16" s="4" customFormat="1" ht="14.25" customHeight="1">
      <c r="A3" s="43" t="s">
        <v>4</v>
      </c>
      <c r="E3" s="178">
        <f ca="1">Projection!E3</f>
        <v>40909</v>
      </c>
      <c r="F3" s="113" t="str">
        <f>IF(DAY(E3)&lt;&gt;1,"AU PREMIER D'UN MOIS UNIQUEMENT !",IF(P3="Oui","Calcul à la date de retraite ou après !!",""))</f>
        <v>Calcul à la date de retraite ou après !!</v>
      </c>
      <c r="O3" s="43" t="s">
        <v>12</v>
      </c>
      <c r="P3" s="48" t="str">
        <f>IF(OR(AND(P1=1,E3&gt;=P5),AND(P1=2,E3&gt;=P6)),"Oui","Non")</f>
        <v>Oui</v>
      </c>
    </row>
    <row r="4" spans="1:16" s="4" customFormat="1" ht="14.25" customHeight="1">
      <c r="A4" s="43" t="s">
        <v>5</v>
      </c>
      <c r="E4" s="178">
        <f ca="1">Projection!E4</f>
        <v>16786</v>
      </c>
      <c r="F4" s="51" t="s">
        <v>24</v>
      </c>
      <c r="G4" s="6">
        <f>YEAR(E3)-YEAR(E4)</f>
        <v>67</v>
      </c>
      <c r="P4" s="5"/>
    </row>
    <row r="5" spans="1:16" s="4" customFormat="1" ht="19.5" customHeight="1">
      <c r="A5" s="43" t="s">
        <v>3</v>
      </c>
      <c r="D5" s="9"/>
      <c r="E5" s="179" t="str">
        <f ca="1">IF(P1=1,"Femme","Homme")</f>
        <v>Homme</v>
      </c>
      <c r="F5" s="5"/>
      <c r="G5" s="6"/>
      <c r="O5" s="43" t="s">
        <v>10</v>
      </c>
      <c r="P5" s="49">
        <f>DATE(YEAR(E4)+64,MONTH(E4)+1,1)</f>
        <v>40179</v>
      </c>
    </row>
    <row r="6" spans="1:16" s="8" customFormat="1" ht="14.25" customHeight="1">
      <c r="A6" s="15" t="str">
        <f>"Salaire assuré en "&amp;YEAR(E3)</f>
        <v>Salaire assuré en 2012</v>
      </c>
      <c r="B6" s="15"/>
      <c r="C6" s="15"/>
      <c r="D6" s="15"/>
      <c r="E6" s="180">
        <f ca="1">Projection!E7</f>
        <v>154125.65</v>
      </c>
      <c r="F6" s="15"/>
      <c r="G6" s="16"/>
      <c r="O6" s="43" t="s">
        <v>11</v>
      </c>
      <c r="P6" s="49">
        <f>DATE(YEAR(E4)+65,MONTH(E4)+1,1)</f>
        <v>40544</v>
      </c>
    </row>
    <row r="7" spans="1:16" s="8" customFormat="1" ht="14.25" customHeight="1">
      <c r="A7" s="101" t="s">
        <v>6</v>
      </c>
      <c r="B7" s="15"/>
      <c r="C7" s="15"/>
      <c r="D7" s="15"/>
      <c r="E7" s="181">
        <f ca="1">Projection!E6</f>
        <v>8.5400000000000004E-2</v>
      </c>
      <c r="F7" s="16"/>
      <c r="G7" s="16"/>
    </row>
    <row r="8" spans="1:16" s="4" customFormat="1" ht="14.25" customHeight="1">
      <c r="A8" s="101" t="s">
        <v>30</v>
      </c>
      <c r="B8" s="15"/>
      <c r="C8" s="15"/>
      <c r="D8" s="100"/>
      <c r="E8" s="103">
        <f ca="1">1+E7</f>
        <v>1.0853999999999999</v>
      </c>
      <c r="F8" s="15"/>
      <c r="G8" s="15"/>
    </row>
    <row r="9" spans="1:16" s="4" customFormat="1" ht="14.25" customHeight="1">
      <c r="A9" s="35" t="s">
        <v>14</v>
      </c>
      <c r="B9" s="36"/>
      <c r="C9" s="36"/>
      <c r="D9" s="36"/>
      <c r="E9" s="180">
        <f ca="1">Projection!E8</f>
        <v>0</v>
      </c>
      <c r="F9" s="15"/>
      <c r="G9" s="102"/>
      <c r="K9" s="43"/>
      <c r="L9" s="43"/>
      <c r="M9" s="43"/>
      <c r="N9" s="43"/>
      <c r="O9" s="43"/>
      <c r="P9" s="43"/>
    </row>
    <row r="10" spans="1:16" s="4" customFormat="1" ht="14.25" customHeight="1">
      <c r="A10" s="35"/>
      <c r="B10" s="36"/>
      <c r="C10" s="36"/>
      <c r="D10" s="36"/>
      <c r="E10" s="15"/>
      <c r="F10" s="15"/>
      <c r="G10" s="102"/>
      <c r="K10" s="43"/>
      <c r="L10" s="43"/>
      <c r="M10" s="43"/>
      <c r="N10" s="43"/>
      <c r="O10" s="43"/>
      <c r="P10" s="43"/>
    </row>
    <row r="11" spans="1:16" s="8" customFormat="1" ht="22.5" customHeight="1">
      <c r="A11" s="11" t="s">
        <v>48</v>
      </c>
      <c r="B11" s="12"/>
      <c r="C11" s="12"/>
      <c r="D11" s="12"/>
      <c r="E11" s="12"/>
      <c r="F11" s="114"/>
      <c r="K11" s="93"/>
      <c r="O11" s="43"/>
      <c r="P11" s="43"/>
    </row>
    <row r="12" spans="1:16" s="8" customFormat="1" ht="14.25" customHeight="1">
      <c r="A12" s="28" t="s">
        <v>31</v>
      </c>
      <c r="B12" s="15"/>
      <c r="C12" s="15"/>
      <c r="D12" s="15"/>
      <c r="E12" s="109" t="str">
        <f>IF(OR(MONTH(E3)=1,AND(P2="Oui",MONTH(E4)&lt;&gt;12)),"---",E9*E7/360*DAYS360(E3,DATE(YEAR(E3),12,31)+1,1))</f>
        <v>---</v>
      </c>
      <c r="F12" s="115"/>
      <c r="G12" s="19"/>
      <c r="K12" s="93"/>
      <c r="O12" s="43"/>
      <c r="P12" s="43"/>
    </row>
    <row r="13" spans="1:16" s="8" customFormat="1" ht="14.25" customHeight="1">
      <c r="A13" s="14" t="str">
        <f>"Cotisations "&amp;YEAR(E3)</f>
        <v>Cotisations 2012</v>
      </c>
      <c r="B13" s="15"/>
      <c r="C13" s="15"/>
      <c r="D13" s="110">
        <f>IF(ISERROR(VLOOKUP(G4,H18:I21,2)),0,VLOOKUP(G4,H18:I21,2))</f>
        <v>0.18</v>
      </c>
      <c r="E13" s="33" t="str">
        <f>IF(E12="---","---",E6*D13/12*(13-MONTH(E3)))</f>
        <v>---</v>
      </c>
      <c r="F13" s="18"/>
      <c r="G13" s="16"/>
      <c r="I13" s="33"/>
      <c r="J13" s="33"/>
      <c r="O13" s="119"/>
      <c r="P13" s="43"/>
    </row>
    <row r="14" spans="1:16" s="8" customFormat="1" ht="14.25" customHeight="1">
      <c r="A14" s="116" t="str">
        <f>IF(E12="---","---","Total jusqu'à fin "&amp;YEAR(E3)&amp;", y compris le capital")</f>
        <v>---</v>
      </c>
      <c r="B14" s="99"/>
      <c r="C14" s="99"/>
      <c r="D14" s="99"/>
      <c r="E14" s="111" t="str">
        <f>IF(E12="---","---",SUM(E12:E13)+E9)</f>
        <v>---</v>
      </c>
      <c r="F14" s="18"/>
      <c r="G14" s="16"/>
      <c r="I14" s="71"/>
      <c r="J14" s="71"/>
      <c r="O14" s="43"/>
      <c r="P14" s="43"/>
    </row>
    <row r="15" spans="1:16" s="8" customFormat="1" ht="14.25" customHeight="1">
      <c r="A15" s="121"/>
      <c r="B15" s="75"/>
      <c r="C15" s="75"/>
      <c r="D15" s="75"/>
      <c r="E15" s="75"/>
      <c r="F15" s="122"/>
      <c r="J15" s="16"/>
      <c r="K15" s="16"/>
      <c r="L15" s="16"/>
      <c r="O15" s="43"/>
      <c r="P15" s="43"/>
    </row>
    <row r="16" spans="1:16" s="8" customFormat="1" ht="14.25" customHeight="1">
      <c r="A16" s="95"/>
      <c r="B16" s="123"/>
      <c r="C16" s="124"/>
      <c r="D16" s="124"/>
      <c r="E16" s="78"/>
      <c r="F16" s="125"/>
      <c r="G16" s="78"/>
      <c r="H16" s="78"/>
      <c r="I16" s="78"/>
      <c r="J16" s="13"/>
      <c r="K16" s="16"/>
      <c r="L16" s="16"/>
      <c r="M16" s="16"/>
      <c r="N16" s="16"/>
      <c r="O16" s="43"/>
      <c r="P16" s="43"/>
    </row>
    <row r="17" spans="1:16" s="8" customFormat="1" ht="25.5">
      <c r="A17" s="126" t="s">
        <v>33</v>
      </c>
      <c r="B17" s="127" t="s">
        <v>34</v>
      </c>
      <c r="C17" s="127" t="s">
        <v>28</v>
      </c>
      <c r="D17" s="16" t="s">
        <v>25</v>
      </c>
      <c r="E17" s="129" t="s">
        <v>42</v>
      </c>
      <c r="F17" s="16" t="s">
        <v>51</v>
      </c>
      <c r="G17" s="16"/>
      <c r="H17" s="95" t="s">
        <v>29</v>
      </c>
      <c r="I17" s="13" t="s">
        <v>26</v>
      </c>
      <c r="J17" s="17"/>
      <c r="K17" s="16"/>
      <c r="L17" s="16"/>
      <c r="M17" s="16"/>
      <c r="N17" s="16"/>
      <c r="O17" s="94"/>
      <c r="P17" s="94"/>
    </row>
    <row r="18" spans="1:16" s="8" customFormat="1" ht="14.25" customHeight="1">
      <c r="A18" s="130" t="str">
        <f>IF(F3&lt;&gt;"","---",IF(OR(AND(MONTH(E4)&lt;&gt;12,MONTH(E3)&lt;&gt;1,P1=1,G4=63),AND(MONTH(E4)&lt;&gt;12,MONTH(E3)&lt;&gt;1,P1=2,G4=64),AND(MONTH(E4)&lt;&gt;12,P1=1,G4=64),AND(MONTH(E4)&lt;&gt;12,P1=2,G4=65),AND(MONTH(E3)&lt;&gt;1,P1=1,G4=64),AND(MONTH(E3)&lt;&gt;1,P1=2,G4=65)),"Aucune année complète",IF(G4&lt;25,25,IF(AND(DAY(E3)=1,MONTH(E3)=1),IF(P1=1,MIN(IF(MONTH(E4)=12,64,63),MAX(25,G4)),MIN(IF(MONTH(E4)=12,65,64),MAX(25,G4))),IF(P1=1,MIN(IF(MONTH(E4)=12,64,63),MAX(26,G4+1)),MIN(IF(MONTH(E4)=12,65,64),MAX(26,G4+1)))))))</f>
        <v>---</v>
      </c>
      <c r="B18" s="131" t="str">
        <f>IF(OR(A18="Aucune année complète",A18="---"),"---",IF(AND($P$1=1,MONTH($E$4)=12),64,IF($P$1=1,63,IF(MONTH($E$4)=12,65,64))))</f>
        <v>---</v>
      </c>
      <c r="C18" s="131" t="str">
        <f>IF(B18="---","---",B18-A18+1)</f>
        <v>---</v>
      </c>
      <c r="D18" s="132" t="str">
        <f>IF(B18="---","---",VLOOKUP(A18,H18:I21,2))</f>
        <v>---</v>
      </c>
      <c r="E18" s="143" t="str">
        <f>IF(B18="---","---",((($E$8^C18)-1)/$E$7)*(1+$E$7))</f>
        <v>---</v>
      </c>
      <c r="F18" s="131" t="str">
        <f>IF(B18="---","---",D18*E18)</f>
        <v>---</v>
      </c>
      <c r="G18" s="16"/>
      <c r="H18" s="96">
        <v>25</v>
      </c>
      <c r="I18" s="105">
        <v>7.0000000000000007E-2</v>
      </c>
      <c r="J18" s="105"/>
      <c r="K18" s="16"/>
      <c r="L18" s="16"/>
      <c r="M18" s="16"/>
      <c r="N18" s="16"/>
      <c r="O18" s="43"/>
      <c r="P18" s="43"/>
    </row>
    <row r="19" spans="1:16" s="8" customFormat="1" ht="14.25" customHeight="1">
      <c r="A19" s="130" t="str">
        <f>IF(A18&lt;$H$19,$H$19,IF(A18&lt;$H$20,$H$20,IF(A18&lt;$H$21,$H$21,"---")))</f>
        <v>---</v>
      </c>
      <c r="B19" s="131" t="str">
        <f>IF(OR(A19="Aucune année complète",A19="---"),"---",IF(AND($P$1=1,MONTH($E$4)=12),64,IF($P$1=1,63,IF(MONTH($E$4)=12,65,64))))</f>
        <v>---</v>
      </c>
      <c r="C19" s="131" t="str">
        <f>IF(B19="---","---",B19-A19+1)</f>
        <v>---</v>
      </c>
      <c r="D19" s="133" t="str">
        <f>IF(A19="---","---",IF(D18=7%,3%,IF(D18=10%,5%,3%)))</f>
        <v>---</v>
      </c>
      <c r="E19" s="143" t="str">
        <f>IF(B19="---","---",((($E$8^C19)-1)/$E$7)*(1+$E$7))</f>
        <v>---</v>
      </c>
      <c r="F19" s="131" t="str">
        <f>IF(A19="---","---",D19*E19)</f>
        <v>---</v>
      </c>
      <c r="G19" s="16"/>
      <c r="H19" s="96">
        <v>35</v>
      </c>
      <c r="I19" s="105">
        <v>0.1</v>
      </c>
      <c r="J19" s="105"/>
      <c r="K19" s="97"/>
      <c r="L19" s="16"/>
      <c r="M19" s="16"/>
      <c r="N19" s="16"/>
      <c r="O19" s="43"/>
      <c r="P19" s="43"/>
    </row>
    <row r="20" spans="1:16" s="8" customFormat="1" ht="14.25" customHeight="1">
      <c r="A20" s="130" t="str">
        <f>IF(A19&lt;$H$19,$H$19,IF(A19&lt;$H$20,$H$20,IF(A19&lt;$H$21,$H$21,"---")))</f>
        <v>---</v>
      </c>
      <c r="B20" s="131" t="str">
        <f>IF(OR(A20="Aucune année complète",A20="---"),"---",IF(AND($P$1=1,MONTH($E$4)=12),64,IF($P$1=1,63,IF(MONTH($E$4)=12,65,64))))</f>
        <v>---</v>
      </c>
      <c r="C20" s="131" t="str">
        <f>IF(B20="---","---",B20-A20+1)</f>
        <v>---</v>
      </c>
      <c r="D20" s="132" t="str">
        <f>IF(A20="---","---",IF(D18=7%,5%,3%))</f>
        <v>---</v>
      </c>
      <c r="E20" s="143" t="str">
        <f>IF(B20="---","---",((($E$8^C20)-1)/$E$7)*(1+$E$7))</f>
        <v>---</v>
      </c>
      <c r="F20" s="131" t="str">
        <f>IF(A20="---","---",D20*E20)</f>
        <v>---</v>
      </c>
      <c r="G20" s="16"/>
      <c r="H20" s="96">
        <v>45</v>
      </c>
      <c r="I20" s="105">
        <v>0.15</v>
      </c>
      <c r="J20" s="105"/>
      <c r="K20" s="97"/>
      <c r="L20" s="97"/>
      <c r="M20" s="16"/>
      <c r="N20" s="101"/>
      <c r="O20" s="43"/>
    </row>
    <row r="21" spans="1:16" s="8" customFormat="1" ht="14.25" customHeight="1">
      <c r="A21" s="130" t="str">
        <f>IF(A20&lt;$H$19,$H$19,IF(A20&lt;$H$20,$H$20,IF(A20&lt;$H$21,$H$21,"---")))</f>
        <v>---</v>
      </c>
      <c r="B21" s="131" t="str">
        <f>IF(OR(A21="Aucune année complète",A21="---"),"---",IF(AND($P$1=1,MONTH($E$4)=12),64,IF($P$1=1,63,IF(MONTH($E$4)=12,65,64))))</f>
        <v>---</v>
      </c>
      <c r="C21" s="131" t="str">
        <f>IF(B21="---","---",B21-A21+1)</f>
        <v>---</v>
      </c>
      <c r="D21" s="107" t="str">
        <f>IF(A21="---","---",3%)</f>
        <v>---</v>
      </c>
      <c r="E21" s="143" t="str">
        <f>IF(B21="---","---",((($E$8^C21)-1)/$E$7)*(1+$E$7))</f>
        <v>---</v>
      </c>
      <c r="F21" s="108" t="str">
        <f>IF(A21="---","---",D21*E21)</f>
        <v>---</v>
      </c>
      <c r="G21" s="16"/>
      <c r="H21" s="106">
        <v>55</v>
      </c>
      <c r="I21" s="98">
        <v>0.18</v>
      </c>
      <c r="J21" s="105"/>
      <c r="K21" s="97"/>
      <c r="L21" s="97"/>
      <c r="M21" s="16"/>
      <c r="N21" s="101"/>
      <c r="O21" s="43"/>
    </row>
    <row r="22" spans="1:16" s="8" customFormat="1" ht="14.25" customHeight="1">
      <c r="A22" s="121"/>
      <c r="B22" s="131"/>
      <c r="C22" s="131"/>
      <c r="D22" s="134">
        <f>SUM(D18:D21)</f>
        <v>0</v>
      </c>
      <c r="E22" s="35" t="s">
        <v>0</v>
      </c>
      <c r="F22" s="131">
        <f>SUM(F18:F21)</f>
        <v>0</v>
      </c>
      <c r="G22" s="16"/>
      <c r="H22" s="16"/>
      <c r="I22" s="16"/>
      <c r="J22" s="105"/>
      <c r="K22" s="97"/>
      <c r="L22" s="97"/>
      <c r="M22" s="16"/>
      <c r="N22" s="101"/>
      <c r="O22" s="43"/>
    </row>
    <row r="23" spans="1:16" s="8" customFormat="1" ht="24.75" customHeight="1">
      <c r="A23" s="135" t="s">
        <v>36</v>
      </c>
      <c r="B23" s="75"/>
      <c r="C23" s="75"/>
      <c r="D23" s="75"/>
      <c r="E23" s="136">
        <f>(E6/E8)*F22</f>
        <v>0</v>
      </c>
      <c r="F23" s="16"/>
      <c r="G23" s="16"/>
      <c r="H23" s="16"/>
      <c r="I23" s="16"/>
      <c r="J23" s="17"/>
      <c r="K23" s="104"/>
      <c r="L23" s="16"/>
      <c r="M23" s="97"/>
      <c r="N23" s="101"/>
      <c r="O23" s="43"/>
    </row>
    <row r="24" spans="1:16" s="8" customFormat="1" ht="14.25" customHeight="1">
      <c r="A24" s="135" t="s">
        <v>37</v>
      </c>
      <c r="B24" s="75"/>
      <c r="C24" s="75"/>
      <c r="D24" s="75"/>
      <c r="E24" s="120" t="str">
        <f>IF(B18="---","---",(IF(MONTH(E3)=1,E9,E14)*(E8^C18)))</f>
        <v>---</v>
      </c>
      <c r="F24" s="16"/>
      <c r="G24" s="16"/>
      <c r="H24" s="16"/>
      <c r="I24" s="16"/>
      <c r="J24" s="17"/>
      <c r="M24" s="97"/>
      <c r="N24" s="16"/>
      <c r="O24" s="43"/>
      <c r="P24" s="43"/>
    </row>
    <row r="25" spans="1:16" s="8" customFormat="1" ht="14.25" customHeight="1">
      <c r="A25" s="137" t="str">
        <f>IF(MONTH(E4)=12,"Capital total à disposition","Capital à disposition à la fin de l'avant-dernière année")</f>
        <v>Capital total à disposition</v>
      </c>
      <c r="B25" s="138"/>
      <c r="C25" s="138"/>
      <c r="D25" s="138"/>
      <c r="E25" s="142" t="str">
        <f>IF(B18="---","---",SUM(E23:E24))</f>
        <v>---</v>
      </c>
      <c r="F25" s="76"/>
      <c r="G25" s="16"/>
      <c r="H25" s="16"/>
      <c r="I25" s="16"/>
      <c r="J25" s="17"/>
      <c r="M25" s="97"/>
      <c r="N25" s="16"/>
      <c r="O25" s="43"/>
      <c r="P25" s="43"/>
    </row>
    <row r="26" spans="1:16" s="8" customFormat="1" ht="14.25" customHeight="1">
      <c r="A26" s="139"/>
      <c r="B26" s="75"/>
      <c r="C26" s="75"/>
      <c r="D26" s="75"/>
      <c r="E26" s="75"/>
      <c r="F26" s="76"/>
      <c r="G26" s="16"/>
      <c r="H26" s="16"/>
      <c r="I26" s="16"/>
      <c r="J26" s="17"/>
      <c r="M26" s="97"/>
      <c r="N26" s="16"/>
      <c r="O26" s="43"/>
      <c r="P26" s="43"/>
    </row>
    <row r="27" spans="1:16" s="8" customFormat="1" ht="14.25" customHeight="1">
      <c r="A27" s="29" t="s">
        <v>35</v>
      </c>
      <c r="B27" s="75"/>
      <c r="C27" s="75"/>
      <c r="D27" s="75"/>
      <c r="E27" s="75"/>
      <c r="F27" s="76"/>
      <c r="G27" s="16"/>
      <c r="H27" s="16"/>
      <c r="I27" s="16"/>
      <c r="J27" s="17"/>
      <c r="O27" s="43"/>
      <c r="P27" s="43"/>
    </row>
    <row r="28" spans="1:16" s="8" customFormat="1" ht="14.25" customHeight="1">
      <c r="A28" s="29" t="s">
        <v>52</v>
      </c>
      <c r="B28" s="75"/>
      <c r="C28" s="75"/>
      <c r="D28" s="75"/>
      <c r="E28" s="75"/>
      <c r="F28" s="76"/>
      <c r="G28" s="16"/>
      <c r="H28" s="16"/>
      <c r="I28" s="16"/>
      <c r="J28" s="17"/>
      <c r="O28" s="43"/>
      <c r="P28" s="43"/>
    </row>
    <row r="29" spans="1:16" s="8" customFormat="1" ht="14.25" customHeight="1">
      <c r="A29" s="117"/>
      <c r="B29" s="118"/>
      <c r="C29" s="118"/>
      <c r="D29" s="118"/>
      <c r="E29" s="118"/>
      <c r="F29" s="140"/>
      <c r="G29" s="141"/>
      <c r="H29" s="141"/>
      <c r="I29" s="141"/>
      <c r="J29" s="22"/>
      <c r="O29" s="43"/>
      <c r="P29" s="43"/>
    </row>
    <row r="30" spans="1:16" s="8" customFormat="1" ht="14.25" customHeight="1">
      <c r="A30" s="148" t="s">
        <v>38</v>
      </c>
      <c r="B30" s="124"/>
      <c r="C30" s="124"/>
      <c r="D30" s="124"/>
      <c r="E30" s="124"/>
      <c r="F30" s="144"/>
      <c r="K30" s="93"/>
      <c r="O30" s="43"/>
      <c r="P30" s="43"/>
    </row>
    <row r="31" spans="1:16" s="8" customFormat="1" ht="14.25" customHeight="1">
      <c r="A31" s="29" t="s">
        <v>39</v>
      </c>
      <c r="B31" s="145">
        <v>0.18</v>
      </c>
      <c r="C31" s="75"/>
      <c r="D31" s="75"/>
      <c r="E31" s="136" t="str">
        <f>IF(MONTH(E4)=12,"---",IF(P2="Oui",E6*B31/12*(MONTH(E4)-MONTH(E3)+1),E6*B31/12*MONTH(E4)))</f>
        <v>---</v>
      </c>
      <c r="F31" s="122"/>
      <c r="O31" s="43"/>
      <c r="P31" s="43"/>
    </row>
    <row r="32" spans="1:16" s="8" customFormat="1" ht="14.25" customHeight="1">
      <c r="A32" s="29" t="s">
        <v>40</v>
      </c>
      <c r="B32" s="75"/>
      <c r="C32" s="75"/>
      <c r="D32" s="75"/>
      <c r="E32" s="120" t="str">
        <f>IF(MONTH(E4)=12,"---",IF(P2="Oui",E9*E7/12*(MONTH(E4)-MONTH(E3)+1),IF(E25&lt;&gt;"---",E25*E7/12*MONTH(E4),IF(E14&lt;&gt;"---",E14*E7/12*MONTH(E4),E9*E7/12*MONTH(E4)))))</f>
        <v>---</v>
      </c>
      <c r="F32" s="122"/>
      <c r="G32" s="116"/>
      <c r="O32" s="43"/>
      <c r="P32" s="43"/>
    </row>
    <row r="33" spans="1:16" s="8" customFormat="1" ht="14.25" customHeight="1">
      <c r="A33" s="146" t="s">
        <v>0</v>
      </c>
      <c r="B33" s="138"/>
      <c r="C33" s="138"/>
      <c r="D33" s="138"/>
      <c r="E33" s="142" t="str">
        <f>IF(MONTH(E4)=12,"---",IF(E25&lt;&gt;"---",SUM(E31:E32)+E25,IF(E14&lt;&gt;"---",SUM(E31:E32)+E14,SUM(E31:E32)+E9)))</f>
        <v>---</v>
      </c>
      <c r="F33" s="122"/>
      <c r="G33" s="116"/>
      <c r="O33" s="43"/>
      <c r="P33" s="43"/>
    </row>
    <row r="34" spans="1:16" s="8" customFormat="1" ht="14.25" customHeight="1">
      <c r="A34" s="117"/>
      <c r="B34" s="118"/>
      <c r="C34" s="118"/>
      <c r="D34" s="118"/>
      <c r="E34" s="118"/>
      <c r="F34" s="147"/>
      <c r="O34" s="43"/>
      <c r="P34" s="43"/>
    </row>
    <row r="35" spans="1:16" s="8" customFormat="1" ht="14.25" customHeight="1">
      <c r="A35" s="9"/>
      <c r="B35" s="9"/>
      <c r="C35" s="9"/>
      <c r="D35" s="9"/>
      <c r="E35" s="9"/>
      <c r="F35" s="10"/>
      <c r="O35" s="43"/>
      <c r="P35" s="43"/>
    </row>
    <row r="36" spans="1:16" s="8" customFormat="1" ht="14.25" customHeight="1" thickBot="1">
      <c r="A36" s="9"/>
      <c r="B36" s="9"/>
      <c r="C36" s="9"/>
      <c r="D36" s="9"/>
      <c r="E36" s="9"/>
      <c r="F36" s="10"/>
      <c r="O36" s="43"/>
      <c r="P36" s="43"/>
    </row>
    <row r="37" spans="1:16" s="8" customFormat="1" ht="12.75" customHeight="1">
      <c r="A37" s="9"/>
      <c r="B37" s="52"/>
      <c r="C37" s="53"/>
      <c r="D37" s="53"/>
      <c r="E37" s="54"/>
      <c r="F37" s="55"/>
      <c r="O37" s="43"/>
      <c r="P37" s="43"/>
    </row>
    <row r="38" spans="1:16" s="8" customFormat="1" ht="12.75" customHeight="1">
      <c r="B38" s="64"/>
      <c r="C38" s="56" t="s">
        <v>8</v>
      </c>
      <c r="D38" s="57"/>
      <c r="E38" s="56" t="s">
        <v>1</v>
      </c>
      <c r="F38" s="73"/>
      <c r="O38" s="43"/>
      <c r="P38" s="43"/>
    </row>
    <row r="39" spans="1:16" s="4" customFormat="1" ht="20.25" customHeight="1">
      <c r="A39" s="8"/>
      <c r="B39" s="65">
        <f>IF(P1=1,64,65)</f>
        <v>65</v>
      </c>
      <c r="C39" s="58" t="e">
        <f>ROUND(IF(E33&lt;&gt;"---",E33,IF(E25&lt;&gt;"---",E25,E14))*2,1)/2</f>
        <v>#VALUE!</v>
      </c>
      <c r="D39" s="59">
        <v>6.8000000000000005E-2</v>
      </c>
      <c r="E39" s="58" t="e">
        <f>ROUND(C39*D39*2,1)/2</f>
        <v>#VALUE!</v>
      </c>
      <c r="F39" s="74" t="e">
        <f>(ROUND(E39/12,0)*12)</f>
        <v>#VALUE!</v>
      </c>
      <c r="G39" s="8"/>
      <c r="H39" s="8"/>
      <c r="I39" s="8"/>
      <c r="J39" s="8"/>
      <c r="K39" s="8"/>
      <c r="L39" s="8"/>
      <c r="M39" s="8"/>
      <c r="N39" s="43"/>
      <c r="O39" s="43"/>
      <c r="P39" s="43"/>
    </row>
    <row r="40" spans="1:16" s="4" customFormat="1" ht="20.25" customHeight="1" thickBot="1">
      <c r="A40" s="23"/>
      <c r="B40" s="66"/>
      <c r="C40" s="61" t="s">
        <v>43</v>
      </c>
      <c r="D40" s="60"/>
      <c r="E40" s="62"/>
      <c r="F40" s="63" t="s">
        <v>44</v>
      </c>
      <c r="G40" s="8"/>
      <c r="H40" s="23"/>
      <c r="I40" s="25"/>
      <c r="J40" s="25"/>
      <c r="K40" s="24"/>
      <c r="L40" s="25"/>
      <c r="M40" s="8"/>
      <c r="N40" s="43"/>
      <c r="O40" s="43"/>
      <c r="P40" s="43"/>
    </row>
    <row r="41" spans="1:16" s="4" customFormat="1" ht="20.25" customHeight="1">
      <c r="A41" s="23"/>
      <c r="B41" s="41"/>
      <c r="C41" s="24"/>
      <c r="D41" s="25"/>
      <c r="E41" s="10"/>
      <c r="F41" s="8"/>
      <c r="G41" s="8"/>
      <c r="H41" s="23"/>
      <c r="I41" s="25"/>
      <c r="J41" s="25"/>
      <c r="K41" s="24"/>
      <c r="L41" s="25"/>
      <c r="M41" s="8"/>
      <c r="N41" s="43"/>
      <c r="O41" s="43"/>
      <c r="P41" s="43"/>
    </row>
    <row r="42" spans="1:16" s="8" customFormat="1" ht="20.25" customHeight="1">
      <c r="A42" s="23"/>
      <c r="B42" s="40"/>
      <c r="C42" s="24"/>
      <c r="D42" s="25"/>
      <c r="E42" s="10"/>
      <c r="H42" s="23"/>
      <c r="I42" s="25"/>
      <c r="J42" s="25"/>
      <c r="K42" s="24"/>
      <c r="L42" s="25"/>
      <c r="O42" s="43"/>
      <c r="P42" s="43"/>
    </row>
    <row r="43" spans="1:16" s="8" customFormat="1" ht="20.25" customHeight="1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O43" s="43"/>
      <c r="P43" s="43"/>
    </row>
    <row r="44" spans="1:16" s="8" customFormat="1" ht="20.25" customHeight="1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O44" s="43"/>
      <c r="P44" s="43"/>
    </row>
    <row r="45" spans="1:16" s="4" customFormat="1" ht="24" customHeight="1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</row>
  </sheetData>
  <sheetProtection sheet="1" objects="1" scenarios="1"/>
  <phoneticPr fontId="21" type="noConversion"/>
  <pageMargins left="0.23622047244094491" right="0.23622047244094491" top="0.62992125984251968" bottom="0.11811023622047245" header="0.15748031496062992" footer="0.11811023622047245"/>
  <pageSetup paperSize="9" orientation="landscape" r:id="rId1"/>
  <headerFooter alignWithMargins="0">
    <oddFooter>&amp;R&amp;8&amp;F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codeName="Tabelle5"/>
  <dimension ref="A1:Q44"/>
  <sheetViews>
    <sheetView workbookViewId="0">
      <selection activeCell="J32" sqref="J32"/>
    </sheetView>
  </sheetViews>
  <sheetFormatPr baseColWidth="10" defaultRowHeight="12.75"/>
  <cols>
    <col min="1" max="1" width="23.42578125" style="2" customWidth="1"/>
    <col min="2" max="2" width="11" style="2" bestFit="1" customWidth="1"/>
    <col min="3" max="4" width="11" style="2" customWidth="1"/>
    <col min="5" max="5" width="12.28515625" style="2" customWidth="1"/>
    <col min="6" max="6" width="12.5703125" style="2" customWidth="1"/>
    <col min="7" max="7" width="13.7109375" style="2" bestFit="1" customWidth="1"/>
    <col min="8" max="9" width="11" style="2" customWidth="1"/>
    <col min="10" max="10" width="12.42578125" style="2" customWidth="1"/>
    <col min="11" max="11" width="4" style="2" customWidth="1"/>
    <col min="12" max="13" width="11" style="2" customWidth="1"/>
    <col min="14" max="14" width="11.42578125" style="2"/>
    <col min="15" max="15" width="37.140625" style="2" customWidth="1"/>
    <col min="16" max="16" width="11.42578125" style="2"/>
    <col min="17" max="17" width="15.7109375" style="2" bestFit="1" customWidth="1"/>
    <col min="18" max="16384" width="11.42578125" style="2"/>
  </cols>
  <sheetData>
    <row r="1" spans="1:17" ht="24.75" customHeight="1">
      <c r="A1" s="39" t="s">
        <v>49</v>
      </c>
      <c r="G1" s="3"/>
      <c r="K1" s="42"/>
      <c r="L1" s="42"/>
      <c r="O1" s="43" t="s">
        <v>13</v>
      </c>
      <c r="P1" s="152">
        <f ca="1">Projection!O1</f>
        <v>2</v>
      </c>
      <c r="Q1" s="185"/>
    </row>
    <row r="2" spans="1:17" s="1" customFormat="1" ht="13.5" customHeight="1">
      <c r="F2" s="112"/>
      <c r="O2" s="46" t="s">
        <v>9</v>
      </c>
      <c r="P2" s="183" t="str">
        <f ca="1">Projection!O2</f>
        <v>Non</v>
      </c>
      <c r="Q2" s="186" t="str">
        <f>IF(AND(P2="Oui",MONTH(E3)=1,MONTH(E4)=12),"Mais entière !","")</f>
        <v/>
      </c>
    </row>
    <row r="3" spans="1:17" s="4" customFormat="1" ht="14.25" customHeight="1">
      <c r="A3" s="43" t="s">
        <v>4</v>
      </c>
      <c r="E3" s="178">
        <f ca="1">Projection!E3</f>
        <v>40909</v>
      </c>
      <c r="F3" s="113" t="str">
        <f>IF(DAY(E3)&lt;&gt;1,"AU PREMIER D'UN MOIS UNIQUEMENT !",IF(P3="Oui","Calcul à la date de retraite ou après !!",""))</f>
        <v>Calcul à la date de retraite ou après !!</v>
      </c>
      <c r="O3" s="43" t="s">
        <v>12</v>
      </c>
      <c r="P3" s="48" t="str">
        <f>IF(OR(AND(P1=1,E3&gt;=P5),AND(P1=2,E3&gt;=P6)),"Oui","Non")</f>
        <v>Oui</v>
      </c>
    </row>
    <row r="4" spans="1:17" s="4" customFormat="1" ht="14.25" customHeight="1">
      <c r="A4" s="43" t="s">
        <v>5</v>
      </c>
      <c r="E4" s="178">
        <f ca="1">Projection!E4</f>
        <v>16786</v>
      </c>
      <c r="F4" s="51" t="s">
        <v>24</v>
      </c>
      <c r="G4" s="6">
        <f>YEAR(E3)-YEAR(E4)</f>
        <v>67</v>
      </c>
      <c r="P4" s="5"/>
    </row>
    <row r="5" spans="1:17" s="4" customFormat="1" ht="19.5" customHeight="1">
      <c r="A5" s="43" t="s">
        <v>3</v>
      </c>
      <c r="D5" s="9"/>
      <c r="E5" s="179" t="str">
        <f ca="1">IF(P1=1,"Femme","Homme")</f>
        <v>Homme</v>
      </c>
      <c r="F5" s="5"/>
      <c r="G5" s="6"/>
      <c r="O5" s="43" t="s">
        <v>10</v>
      </c>
      <c r="P5" s="49">
        <f>DATE(YEAR(E4)+64,MONTH(E4)+1,1)</f>
        <v>40179</v>
      </c>
    </row>
    <row r="6" spans="1:17" s="8" customFormat="1" ht="14.25" customHeight="1">
      <c r="A6" s="15" t="str">
        <f>"Salaire assuré en "&amp;YEAR(E3)</f>
        <v>Salaire assuré en 2012</v>
      </c>
      <c r="B6" s="15"/>
      <c r="C6" s="15"/>
      <c r="D6" s="15"/>
      <c r="E6" s="180">
        <f ca="1">Projection!E7</f>
        <v>154125.65</v>
      </c>
      <c r="F6" s="15"/>
      <c r="G6" s="16"/>
      <c r="O6" s="43" t="s">
        <v>11</v>
      </c>
      <c r="P6" s="49">
        <f>DATE(YEAR(E4)+65,MONTH(E4)+1,1)</f>
        <v>40544</v>
      </c>
    </row>
    <row r="7" spans="1:17" s="8" customFormat="1" ht="14.25" customHeight="1">
      <c r="A7" s="101" t="s">
        <v>6</v>
      </c>
      <c r="B7" s="15"/>
      <c r="C7" s="15"/>
      <c r="D7" s="15"/>
      <c r="E7" s="181">
        <f ca="1">Projection!E6</f>
        <v>8.5400000000000004E-2</v>
      </c>
      <c r="F7" s="16"/>
      <c r="G7" s="16"/>
    </row>
    <row r="8" spans="1:17" s="4" customFormat="1" ht="14.25" customHeight="1">
      <c r="A8" s="101" t="s">
        <v>30</v>
      </c>
      <c r="B8" s="15"/>
      <c r="C8" s="15"/>
      <c r="D8" s="100"/>
      <c r="E8" s="103">
        <f ca="1">1+E7</f>
        <v>1.0853999999999999</v>
      </c>
      <c r="F8" s="15"/>
      <c r="G8" s="15"/>
    </row>
    <row r="9" spans="1:17" s="4" customFormat="1" ht="14.25" customHeight="1">
      <c r="A9" s="35" t="s">
        <v>14</v>
      </c>
      <c r="B9" s="36"/>
      <c r="C9" s="36"/>
      <c r="D9" s="36"/>
      <c r="E9" s="180">
        <f ca="1">Projection!E8</f>
        <v>0</v>
      </c>
      <c r="F9" s="15"/>
      <c r="G9" s="102"/>
      <c r="K9" s="43"/>
      <c r="L9" s="43"/>
      <c r="M9" s="43"/>
      <c r="N9" s="43"/>
      <c r="O9" s="43"/>
      <c r="P9" s="43"/>
    </row>
    <row r="10" spans="1:17" s="4" customFormat="1" ht="14.25" customHeight="1">
      <c r="A10" s="35"/>
      <c r="B10" s="36"/>
      <c r="C10" s="36"/>
      <c r="D10" s="36"/>
      <c r="E10" s="15"/>
      <c r="F10" s="15"/>
      <c r="G10" s="102"/>
      <c r="K10" s="43"/>
      <c r="L10" s="43"/>
      <c r="M10" s="43"/>
      <c r="N10" s="43"/>
      <c r="O10" s="43"/>
      <c r="P10" s="43"/>
    </row>
    <row r="11" spans="1:17" s="8" customFormat="1" ht="22.5" customHeight="1">
      <c r="A11" s="11" t="s">
        <v>48</v>
      </c>
      <c r="B11" s="12"/>
      <c r="C11" s="12"/>
      <c r="D11" s="12"/>
      <c r="E11" s="12"/>
      <c r="F11" s="114"/>
      <c r="K11" s="93"/>
      <c r="O11" s="43"/>
      <c r="P11" s="43"/>
    </row>
    <row r="12" spans="1:17" s="8" customFormat="1" ht="14.25" customHeight="1">
      <c r="A12" s="28" t="s">
        <v>31</v>
      </c>
      <c r="B12" s="15"/>
      <c r="C12" s="15"/>
      <c r="D12" s="15"/>
      <c r="E12" s="109" t="str">
        <f>IF(OR(MONTH(E3)=1,AND(P2="Oui",MONTH(E4)&lt;&gt;12)),"---",E9*E7/360*DAYS360(E3,DATE(YEAR(E3),12,31)+1,1))</f>
        <v>---</v>
      </c>
      <c r="F12" s="115"/>
      <c r="G12" s="19"/>
      <c r="K12" s="93"/>
      <c r="O12" s="43"/>
      <c r="P12" s="43"/>
    </row>
    <row r="13" spans="1:17" s="8" customFormat="1" ht="14.25" customHeight="1">
      <c r="A13" s="14" t="str">
        <f>"Cotisations "&amp;YEAR(E3)</f>
        <v>Cotisations 2012</v>
      </c>
      <c r="B13" s="15"/>
      <c r="C13" s="15"/>
      <c r="D13" s="110">
        <f>IF(ISERROR(VLOOKUP(G4,H18:J21,3)),0,VLOOKUP(G4,H18:J21,3))</f>
        <v>0.18</v>
      </c>
      <c r="E13" s="33" t="str">
        <f>IF(E12="---","---",E6*D13/12*(13-MONTH(E3)))</f>
        <v>---</v>
      </c>
      <c r="F13" s="18"/>
      <c r="G13" s="16"/>
      <c r="I13" s="33"/>
      <c r="J13" s="33"/>
      <c r="O13" s="119"/>
      <c r="P13" s="43"/>
    </row>
    <row r="14" spans="1:17" s="8" customFormat="1" ht="14.25" customHeight="1">
      <c r="A14" s="116" t="str">
        <f>IF(E12="---","---","Total jusqu'à fin "&amp;YEAR(E3)&amp;", y compris le capital")</f>
        <v>---</v>
      </c>
      <c r="B14" s="99"/>
      <c r="C14" s="99"/>
      <c r="D14" s="99"/>
      <c r="E14" s="111" t="str">
        <f>IF(E12="---","---",SUM(E12:E13)+E9)</f>
        <v>---</v>
      </c>
      <c r="F14" s="18"/>
      <c r="G14" s="16"/>
      <c r="I14" s="71"/>
      <c r="J14" s="71"/>
      <c r="O14" s="43"/>
      <c r="P14" s="43"/>
    </row>
    <row r="15" spans="1:17" s="8" customFormat="1" ht="14.25" customHeight="1">
      <c r="A15" s="121"/>
      <c r="B15" s="75"/>
      <c r="C15" s="75"/>
      <c r="D15" s="75"/>
      <c r="E15" s="75"/>
      <c r="F15" s="122"/>
      <c r="J15" s="16"/>
      <c r="K15" s="16"/>
      <c r="L15" s="16"/>
      <c r="O15" s="43"/>
      <c r="P15" s="43"/>
    </row>
    <row r="16" spans="1:17" s="8" customFormat="1" ht="14.25" customHeight="1">
      <c r="A16" s="95"/>
      <c r="B16" s="123"/>
      <c r="C16" s="124"/>
      <c r="D16" s="124"/>
      <c r="E16" s="78"/>
      <c r="F16" s="78" t="s">
        <v>50</v>
      </c>
      <c r="G16" s="78"/>
      <c r="H16" s="78"/>
      <c r="I16" s="78"/>
      <c r="J16" s="78"/>
      <c r="K16" s="13"/>
      <c r="L16" s="16"/>
      <c r="M16" s="16"/>
      <c r="N16" s="16"/>
      <c r="O16" s="43"/>
      <c r="P16" s="43"/>
    </row>
    <row r="17" spans="1:16" s="8" customFormat="1" ht="25.5">
      <c r="A17" s="126" t="s">
        <v>33</v>
      </c>
      <c r="B17" s="127" t="s">
        <v>34</v>
      </c>
      <c r="C17" s="127" t="s">
        <v>28</v>
      </c>
      <c r="D17" s="128"/>
      <c r="E17" s="129"/>
      <c r="F17" s="153">
        <f>IF(E14="---",E9,E14)</f>
        <v>0</v>
      </c>
      <c r="G17" s="16"/>
      <c r="H17" s="95" t="s">
        <v>33</v>
      </c>
      <c r="I17" s="78" t="s">
        <v>34</v>
      </c>
      <c r="J17" s="13" t="s">
        <v>26</v>
      </c>
      <c r="K17" s="17"/>
      <c r="L17" s="16"/>
      <c r="M17" s="16"/>
      <c r="N17" s="16"/>
      <c r="O17" s="94"/>
      <c r="P17" s="94"/>
    </row>
    <row r="18" spans="1:16" s="8" customFormat="1" ht="24" customHeight="1">
      <c r="A18" s="130" t="str">
        <f>IF($G$4&gt;I18,"---",IF(AND(MONTH($E$3)=1,$G$4&lt;=I18),MAX(H18,$G$4),MAX(H18,$G$4+1)))</f>
        <v>---</v>
      </c>
      <c r="B18" s="131" t="str">
        <f>IF($G$4&lt;=I18,I18,"---")</f>
        <v>---</v>
      </c>
      <c r="C18" s="131" t="str">
        <f>IF(B18="---","---",B18-A18+1)</f>
        <v>---</v>
      </c>
      <c r="D18" s="149">
        <v>7.0000000000000007E-2</v>
      </c>
      <c r="E18" s="143"/>
      <c r="F18" s="154">
        <f>IF(A18="---",F17,FV($E$7,C18,-$E$6*D18,-F17))</f>
        <v>0</v>
      </c>
      <c r="G18" s="16"/>
      <c r="H18" s="96">
        <v>25</v>
      </c>
      <c r="I18" s="16">
        <v>34</v>
      </c>
      <c r="J18" s="105">
        <v>7.0000000000000007E-2</v>
      </c>
      <c r="K18" s="17"/>
      <c r="L18" s="16"/>
      <c r="M18" s="16"/>
      <c r="N18" s="16"/>
      <c r="O18" s="43"/>
      <c r="P18" s="43"/>
    </row>
    <row r="19" spans="1:16" s="8" customFormat="1" ht="14.25" customHeight="1">
      <c r="A19" s="130" t="str">
        <f>IF($G$4&gt;I19,"---",IF(AND(MONTH($E$3)=1,$G$4&lt;=I19),MAX(H19,$G$4),MAX(H19,$G$4+1)))</f>
        <v>---</v>
      </c>
      <c r="B19" s="131" t="str">
        <f>IF($G$4&lt;=I19,I19,"---")</f>
        <v>---</v>
      </c>
      <c r="C19" s="131" t="str">
        <f>IF(B19="---","---",B19-A19+1)</f>
        <v>---</v>
      </c>
      <c r="D19" s="149">
        <v>0.1</v>
      </c>
      <c r="E19" s="143"/>
      <c r="F19" s="154">
        <f>IF(A19="---",F18,FV($E$7,C19,-$E$6*D19,-F18))</f>
        <v>0</v>
      </c>
      <c r="G19" s="16"/>
      <c r="H19" s="96">
        <v>35</v>
      </c>
      <c r="I19" s="16">
        <v>44</v>
      </c>
      <c r="J19" s="105">
        <v>0.1</v>
      </c>
      <c r="K19" s="105"/>
      <c r="L19" s="16"/>
      <c r="M19" s="16"/>
      <c r="N19" s="16"/>
      <c r="O19" s="43"/>
      <c r="P19" s="43"/>
    </row>
    <row r="20" spans="1:16" s="8" customFormat="1" ht="14.25" customHeight="1">
      <c r="A20" s="130" t="str">
        <f>IF($G$4&gt;I20,"---",IF(AND(MONTH($E$3)=1,$G$4&lt;=I20),MAX(H20,$G$4),MAX(H20,$G$4+1)))</f>
        <v>---</v>
      </c>
      <c r="B20" s="131" t="str">
        <f>IF($G$4&lt;=I20,I20,"---")</f>
        <v>---</v>
      </c>
      <c r="C20" s="131" t="str">
        <f>IF(B20="---","---",B20-A20+1)</f>
        <v>---</v>
      </c>
      <c r="D20" s="149">
        <v>0.15</v>
      </c>
      <c r="E20" s="143"/>
      <c r="F20" s="154">
        <f>IF(A20="---",F19,FV($E$7,C20,-$E$6*D20,-F19))</f>
        <v>0</v>
      </c>
      <c r="G20" s="16"/>
      <c r="H20" s="96">
        <v>45</v>
      </c>
      <c r="I20" s="16">
        <v>54</v>
      </c>
      <c r="J20" s="105">
        <v>0.15</v>
      </c>
      <c r="K20" s="105"/>
      <c r="L20" s="97"/>
      <c r="M20" s="16"/>
      <c r="N20" s="101"/>
      <c r="O20" s="43"/>
    </row>
    <row r="21" spans="1:16" s="8" customFormat="1" ht="14.25" customHeight="1">
      <c r="A21" s="155" t="str">
        <f>IF(B21="---","---",IF($G$4&gt;I21,"---",IF(AND(MONTH($E$3)=1,$G$4&lt;=I21),MAX(H21,$G$4),MAX(H21,$G$4+1))))</f>
        <v>---</v>
      </c>
      <c r="B21" s="150">
        <f>IF(OR(AND(G4=I21-1,MONTH(E3)&lt;&gt;1,MONTH(E4)&lt;&gt;12),AND(Q2="",P2="Oui")),"---",IF(MONTH(E4)=12,I21,I21-1))</f>
        <v>65</v>
      </c>
      <c r="C21" s="131" t="e">
        <f>IF(B21="---","---",B21-A21+1)</f>
        <v>#VALUE!</v>
      </c>
      <c r="D21" s="149">
        <v>0.18</v>
      </c>
      <c r="E21" s="143"/>
      <c r="F21" s="156">
        <f>IF(A21="---",F20,FV($E$7,C21,-$E$6*D21,-F20))</f>
        <v>0</v>
      </c>
      <c r="G21" s="16"/>
      <c r="H21" s="106">
        <v>55</v>
      </c>
      <c r="I21" s="151">
        <f>IF(P1=1,64,65)</f>
        <v>65</v>
      </c>
      <c r="J21" s="98">
        <v>0.18</v>
      </c>
      <c r="K21" s="105"/>
      <c r="L21" s="97"/>
      <c r="M21" s="16"/>
      <c r="N21" s="101"/>
      <c r="O21" s="43"/>
    </row>
    <row r="22" spans="1:16" s="8" customFormat="1" ht="14.25" customHeight="1">
      <c r="A22" s="117"/>
      <c r="B22" s="108"/>
      <c r="C22" s="108"/>
      <c r="D22" s="157"/>
      <c r="E22" s="158"/>
      <c r="F22" s="108"/>
      <c r="G22" s="141"/>
      <c r="H22" s="141"/>
      <c r="I22" s="141"/>
      <c r="J22" s="159"/>
      <c r="K22" s="98"/>
      <c r="L22" s="97"/>
      <c r="M22" s="16"/>
      <c r="N22" s="101"/>
      <c r="O22" s="43"/>
    </row>
    <row r="23" spans="1:16" s="8" customFormat="1" ht="14.25" customHeight="1">
      <c r="A23" s="146" t="s">
        <v>38</v>
      </c>
      <c r="B23" s="75"/>
      <c r="C23" s="75"/>
      <c r="D23" s="75"/>
      <c r="E23" s="75"/>
      <c r="F23" s="122"/>
      <c r="G23" s="16"/>
      <c r="H23" s="16"/>
      <c r="I23" s="16"/>
      <c r="J23" s="16"/>
      <c r="M23" s="97"/>
      <c r="N23" s="16"/>
      <c r="O23" s="43"/>
      <c r="P23" s="43"/>
    </row>
    <row r="24" spans="1:16" s="8" customFormat="1" ht="14.25" customHeight="1">
      <c r="A24" s="29" t="s">
        <v>39</v>
      </c>
      <c r="B24" s="145">
        <v>0.18</v>
      </c>
      <c r="C24" s="75"/>
      <c r="D24" s="75"/>
      <c r="E24" s="136" t="str">
        <f>IF(MONTH(E4)=12,"---",IF(P2="Oui",E6*B24/12*(MONTH(E4)-MONTH(E3)+1),E6*B24/12*MONTH(E4)))</f>
        <v>---</v>
      </c>
      <c r="F24" s="122"/>
      <c r="G24" s="16"/>
      <c r="I24" s="16"/>
      <c r="J24" s="16"/>
      <c r="M24" s="97"/>
      <c r="N24" s="16"/>
      <c r="O24" s="43"/>
      <c r="P24" s="43"/>
    </row>
    <row r="25" spans="1:16" s="8" customFormat="1" ht="14.25" customHeight="1">
      <c r="A25" s="29" t="s">
        <v>40</v>
      </c>
      <c r="B25" s="75"/>
      <c r="C25" s="75"/>
      <c r="D25" s="75"/>
      <c r="E25" s="120" t="str">
        <f>IF(MONTH(E4)=12,"---",IF(P2="Oui",E9*E7/12*(MONTH(E4)-MONTH(E3)+1),IF(F21="---",E9*E7/12*MONTH(E4),F21*E7/12*MONTH(E4))))</f>
        <v>---</v>
      </c>
      <c r="F25" s="122"/>
      <c r="G25" s="16"/>
      <c r="M25" s="97"/>
      <c r="N25" s="16"/>
      <c r="O25" s="43"/>
      <c r="P25" s="43"/>
    </row>
    <row r="26" spans="1:16" s="8" customFormat="1" ht="14.25" customHeight="1">
      <c r="A26" s="146" t="s">
        <v>0</v>
      </c>
      <c r="B26" s="138"/>
      <c r="C26" s="138"/>
      <c r="D26" s="138"/>
      <c r="E26" s="142" t="str">
        <f>IF(MONTH(E4)=12,"---",IF(F21 ="---",SUM(E24:E25)+E3,SUM(E24:E25)+F21))</f>
        <v>---</v>
      </c>
      <c r="F26" s="122"/>
      <c r="G26" s="16"/>
      <c r="H26" s="16"/>
      <c r="J26" s="16"/>
      <c r="O26" s="43"/>
      <c r="P26" s="43"/>
    </row>
    <row r="27" spans="1:16" s="8" customFormat="1" ht="14.25" customHeight="1">
      <c r="A27" s="117"/>
      <c r="B27" s="118"/>
      <c r="C27" s="118"/>
      <c r="D27" s="118"/>
      <c r="E27" s="118"/>
      <c r="F27" s="147"/>
      <c r="G27" s="16"/>
      <c r="H27" s="16"/>
      <c r="I27" s="16"/>
      <c r="J27" s="16"/>
      <c r="O27" s="43"/>
      <c r="P27" s="43"/>
    </row>
    <row r="28" spans="1:16" s="8" customFormat="1" ht="14.25" customHeight="1">
      <c r="A28" s="75"/>
      <c r="B28" s="75"/>
      <c r="C28" s="75"/>
      <c r="D28" s="75"/>
      <c r="E28" s="75"/>
      <c r="F28" s="76"/>
      <c r="H28" s="16"/>
      <c r="I28" s="16"/>
      <c r="J28" s="16"/>
      <c r="O28" s="43"/>
      <c r="P28" s="43"/>
    </row>
    <row r="29" spans="1:16" s="8" customFormat="1" ht="14.25" customHeight="1">
      <c r="A29" s="9"/>
      <c r="B29" s="9"/>
      <c r="C29" s="9"/>
      <c r="D29" s="9"/>
      <c r="E29" s="9"/>
      <c r="F29" s="10"/>
      <c r="K29" s="93"/>
      <c r="O29" s="43"/>
      <c r="P29" s="43"/>
    </row>
    <row r="30" spans="1:16" s="8" customFormat="1" ht="14.25" customHeight="1" thickBot="1">
      <c r="A30" s="9"/>
      <c r="B30" s="9"/>
      <c r="C30" s="9"/>
      <c r="D30" s="9"/>
      <c r="E30" s="9"/>
      <c r="F30" s="10"/>
      <c r="O30" s="43"/>
      <c r="P30" s="43"/>
    </row>
    <row r="31" spans="1:16" s="8" customFormat="1" ht="14.25" customHeight="1">
      <c r="A31" s="9"/>
      <c r="B31" s="52"/>
      <c r="C31" s="53"/>
      <c r="D31" s="53"/>
      <c r="E31" s="54"/>
      <c r="F31" s="55"/>
      <c r="O31" s="43"/>
      <c r="P31" s="43"/>
    </row>
    <row r="32" spans="1:16" s="8" customFormat="1" ht="14.25" customHeight="1">
      <c r="B32" s="64"/>
      <c r="C32" s="56" t="s">
        <v>8</v>
      </c>
      <c r="D32" s="57"/>
      <c r="E32" s="56" t="s">
        <v>1</v>
      </c>
      <c r="F32" s="73"/>
      <c r="O32" s="43"/>
      <c r="P32" s="43"/>
    </row>
    <row r="33" spans="1:16" s="8" customFormat="1" ht="14.25" customHeight="1">
      <c r="B33" s="65">
        <f>IF(P1=1,64,65)</f>
        <v>65</v>
      </c>
      <c r="C33" s="58">
        <f>ROUND(IF(E26&lt;&gt;"---",E26,IF(F21&lt;&gt;"---",F21,E14))*2,1)/2</f>
        <v>0</v>
      </c>
      <c r="D33" s="59">
        <v>6.8000000000000005E-2</v>
      </c>
      <c r="E33" s="58">
        <f>ROUND(C33*D33*2,1)/2</f>
        <v>0</v>
      </c>
      <c r="F33" s="74">
        <f>(ROUND(E33/12,0)*12)</f>
        <v>0</v>
      </c>
      <c r="O33" s="43"/>
      <c r="P33" s="43"/>
    </row>
    <row r="34" spans="1:16" s="8" customFormat="1" ht="14.25" customHeight="1" thickBot="1">
      <c r="A34" s="23"/>
      <c r="B34" s="66"/>
      <c r="C34" s="61" t="s">
        <v>43</v>
      </c>
      <c r="D34" s="60"/>
      <c r="E34" s="62"/>
      <c r="F34" s="63" t="s">
        <v>44</v>
      </c>
      <c r="O34" s="43"/>
      <c r="P34" s="43"/>
    </row>
    <row r="35" spans="1:16" s="8" customFormat="1" ht="14.25" customHeight="1">
      <c r="A35" s="23"/>
      <c r="B35" s="41"/>
      <c r="C35" s="24"/>
      <c r="D35" s="25"/>
      <c r="E35" s="10"/>
      <c r="O35" s="43"/>
      <c r="P35" s="43"/>
    </row>
    <row r="36" spans="1:16" s="8" customFormat="1" ht="12.75" customHeight="1">
      <c r="A36" s="23"/>
      <c r="B36" s="40"/>
      <c r="C36" s="24"/>
      <c r="D36" s="25"/>
      <c r="E36" s="10"/>
      <c r="G36" s="2"/>
      <c r="O36" s="43"/>
      <c r="P36" s="43"/>
    </row>
    <row r="37" spans="1:16" s="8" customFormat="1" ht="12.75" customHeight="1">
      <c r="A37" s="2"/>
      <c r="B37" s="2"/>
      <c r="C37" s="2"/>
      <c r="D37" s="2"/>
      <c r="E37" s="2"/>
      <c r="F37" s="2"/>
      <c r="G37" s="2"/>
      <c r="O37" s="43"/>
      <c r="P37" s="43"/>
    </row>
    <row r="38" spans="1:16" s="4" customFormat="1" ht="20.25" customHeight="1">
      <c r="A38" s="2"/>
      <c r="B38" s="2"/>
      <c r="C38" s="2"/>
      <c r="D38" s="2"/>
      <c r="E38" s="2"/>
      <c r="F38" s="2"/>
      <c r="G38" s="2"/>
      <c r="H38" s="8"/>
      <c r="I38" s="8"/>
      <c r="J38" s="8"/>
      <c r="K38" s="8"/>
      <c r="L38" s="8"/>
      <c r="M38" s="8"/>
      <c r="N38" s="43"/>
      <c r="O38" s="43"/>
      <c r="P38" s="43"/>
    </row>
    <row r="39" spans="1:16" s="4" customFormat="1" ht="20.25" customHeight="1">
      <c r="A39" s="2"/>
      <c r="B39" s="2"/>
      <c r="C39" s="2"/>
      <c r="D39" s="2"/>
      <c r="E39" s="2"/>
      <c r="F39" s="2"/>
      <c r="G39" s="2"/>
      <c r="H39" s="23"/>
      <c r="I39" s="25"/>
      <c r="J39" s="25"/>
      <c r="K39" s="24"/>
      <c r="L39" s="25"/>
      <c r="M39" s="8"/>
      <c r="N39" s="43"/>
      <c r="O39" s="43"/>
      <c r="P39" s="43"/>
    </row>
    <row r="40" spans="1:16" s="4" customFormat="1" ht="20.25" customHeight="1">
      <c r="A40" s="2"/>
      <c r="B40" s="2"/>
      <c r="C40" s="2"/>
      <c r="D40" s="2"/>
      <c r="E40" s="2"/>
      <c r="F40" s="2"/>
      <c r="G40" s="2"/>
      <c r="H40" s="23"/>
      <c r="I40" s="25"/>
      <c r="J40" s="25"/>
      <c r="K40" s="24"/>
      <c r="L40" s="25"/>
      <c r="M40" s="8"/>
      <c r="N40" s="43"/>
      <c r="O40" s="43"/>
      <c r="P40" s="43"/>
    </row>
    <row r="41" spans="1:16" s="8" customFormat="1" ht="20.25" customHeight="1">
      <c r="A41" s="2"/>
      <c r="B41" s="2"/>
      <c r="C41" s="2"/>
      <c r="D41" s="2"/>
      <c r="E41" s="2"/>
      <c r="F41" s="2"/>
      <c r="G41" s="2"/>
      <c r="H41" s="23"/>
      <c r="I41" s="25"/>
      <c r="J41" s="25"/>
      <c r="K41" s="24"/>
      <c r="L41" s="25"/>
      <c r="O41" s="43"/>
      <c r="P41" s="43"/>
    </row>
    <row r="42" spans="1:16" s="8" customFormat="1" ht="20.25" customHeight="1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O42" s="43"/>
      <c r="P42" s="43"/>
    </row>
    <row r="43" spans="1:16" s="8" customFormat="1" ht="20.25" customHeight="1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O43" s="43"/>
      <c r="P43" s="43"/>
    </row>
    <row r="44" spans="1:16" s="4" customFormat="1" ht="24" customHeight="1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</row>
  </sheetData>
  <sheetProtection sheet="1" objects="1" scenarios="1"/>
  <phoneticPr fontId="21" type="noConversion"/>
  <pageMargins left="0.23622047244094491" right="0.23622047244094491" top="0.62992125984251968" bottom="0.11811023622047245" header="0.15748031496062992" footer="0.11811023622047245"/>
  <pageSetup paperSize="9" orientation="landscape" r:id="rId1"/>
  <headerFooter alignWithMargins="0">
    <oddFooter>&amp;R&amp;8&amp;F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:R145"/>
  <sheetViews>
    <sheetView tabSelected="1" workbookViewId="0">
      <selection activeCell="F11" sqref="F11"/>
    </sheetView>
  </sheetViews>
  <sheetFormatPr baseColWidth="10" defaultRowHeight="12.75"/>
  <cols>
    <col min="1" max="2" width="11.42578125" style="209"/>
    <col min="3" max="4" width="11.42578125" style="205"/>
    <col min="6" max="6" width="11.42578125" style="207"/>
    <col min="7" max="7" width="11.42578125" style="212"/>
    <col min="8" max="9" width="31.5703125" customWidth="1"/>
    <col min="10" max="10" width="22.7109375" customWidth="1"/>
    <col min="18" max="18" width="11.42578125" style="207"/>
  </cols>
  <sheetData>
    <row r="1" spans="1:18" s="200" customFormat="1" ht="35.25" customHeight="1">
      <c r="A1" s="208" t="s">
        <v>65</v>
      </c>
      <c r="B1" s="208" t="s">
        <v>5</v>
      </c>
      <c r="C1" s="210" t="s">
        <v>59</v>
      </c>
      <c r="D1" s="210" t="s">
        <v>60</v>
      </c>
      <c r="E1" s="200" t="s">
        <v>64</v>
      </c>
      <c r="F1" s="206" t="s">
        <v>6</v>
      </c>
      <c r="G1" s="211" t="s">
        <v>29</v>
      </c>
      <c r="H1" s="200" t="s">
        <v>53</v>
      </c>
      <c r="I1" s="200" t="s">
        <v>54</v>
      </c>
      <c r="M1" s="200" t="s">
        <v>65</v>
      </c>
      <c r="N1" s="200" t="s">
        <v>5</v>
      </c>
      <c r="O1" s="200" t="s">
        <v>59</v>
      </c>
      <c r="P1" s="200" t="s">
        <v>60</v>
      </c>
      <c r="Q1" s="200" t="s">
        <v>64</v>
      </c>
      <c r="R1" s="206" t="s">
        <v>6</v>
      </c>
    </row>
    <row r="2" spans="1:18">
      <c r="M2" s="201">
        <v>40544</v>
      </c>
      <c r="N2" s="201">
        <v>33984</v>
      </c>
      <c r="O2" s="205">
        <v>10145.25</v>
      </c>
      <c r="P2" s="205">
        <v>12345.65</v>
      </c>
      <c r="Q2">
        <v>1</v>
      </c>
      <c r="R2" s="207">
        <v>5.0000000000000001E-3</v>
      </c>
    </row>
    <row r="3" spans="1:18">
      <c r="M3" s="201">
        <v>40575</v>
      </c>
      <c r="N3" s="201">
        <v>34015</v>
      </c>
      <c r="O3" s="205">
        <v>154125.65</v>
      </c>
      <c r="P3" s="205">
        <v>0</v>
      </c>
      <c r="Q3">
        <v>2</v>
      </c>
      <c r="R3" s="207">
        <v>0.04</v>
      </c>
    </row>
    <row r="4" spans="1:18">
      <c r="M4" s="201">
        <v>40603</v>
      </c>
      <c r="N4" s="201">
        <v>34043</v>
      </c>
      <c r="R4" s="207">
        <v>8.5400000000000004E-2</v>
      </c>
    </row>
    <row r="5" spans="1:18">
      <c r="M5" s="201">
        <v>40634</v>
      </c>
      <c r="N5" s="201">
        <v>34074</v>
      </c>
    </row>
    <row r="6" spans="1:18">
      <c r="M6" s="201">
        <v>40664</v>
      </c>
      <c r="N6" s="201">
        <v>34104</v>
      </c>
    </row>
    <row r="7" spans="1:18">
      <c r="M7" s="201">
        <v>40695</v>
      </c>
      <c r="N7" s="201">
        <v>34135</v>
      </c>
    </row>
    <row r="8" spans="1:18">
      <c r="M8" s="201">
        <v>40725</v>
      </c>
      <c r="N8" s="201">
        <v>34165</v>
      </c>
    </row>
    <row r="9" spans="1:18">
      <c r="M9" s="201">
        <v>40756</v>
      </c>
      <c r="N9" s="201">
        <v>34196</v>
      </c>
    </row>
    <row r="10" spans="1:18">
      <c r="M10" s="201">
        <v>40787</v>
      </c>
      <c r="N10" s="201">
        <v>34227</v>
      </c>
    </row>
    <row r="11" spans="1:18">
      <c r="M11" s="201">
        <v>40817</v>
      </c>
      <c r="N11" s="201">
        <v>34257</v>
      </c>
    </row>
    <row r="12" spans="1:18">
      <c r="M12" s="201">
        <v>40848</v>
      </c>
      <c r="N12" s="201">
        <v>34288</v>
      </c>
    </row>
    <row r="13" spans="1:18">
      <c r="M13" s="201">
        <v>40878</v>
      </c>
      <c r="N13" s="201">
        <v>34318</v>
      </c>
    </row>
    <row r="14" spans="1:18">
      <c r="M14" s="201">
        <v>40909</v>
      </c>
      <c r="N14" s="201">
        <v>31792</v>
      </c>
    </row>
    <row r="15" spans="1:18">
      <c r="M15" s="201"/>
      <c r="N15" s="201">
        <v>31823</v>
      </c>
    </row>
    <row r="16" spans="1:18">
      <c r="M16" s="201"/>
      <c r="N16" s="201">
        <v>31851</v>
      </c>
    </row>
    <row r="17" spans="13:14">
      <c r="M17" s="201"/>
      <c r="N17" s="201">
        <v>31882</v>
      </c>
    </row>
    <row r="18" spans="13:14">
      <c r="M18" s="201"/>
      <c r="N18" s="201">
        <v>31912</v>
      </c>
    </row>
    <row r="19" spans="13:14">
      <c r="M19" s="201"/>
      <c r="N19" s="201">
        <v>31943</v>
      </c>
    </row>
    <row r="20" spans="13:14">
      <c r="M20" s="201"/>
      <c r="N20" s="201">
        <v>31973</v>
      </c>
    </row>
    <row r="21" spans="13:14">
      <c r="M21" s="201"/>
      <c r="N21" s="201">
        <v>32004</v>
      </c>
    </row>
    <row r="22" spans="13:14">
      <c r="M22" s="201"/>
      <c r="N22" s="201">
        <v>32035</v>
      </c>
    </row>
    <row r="23" spans="13:14">
      <c r="M23" s="201"/>
      <c r="N23" s="201">
        <v>32065</v>
      </c>
    </row>
    <row r="24" spans="13:14">
      <c r="M24" s="201"/>
      <c r="N24" s="201">
        <v>32096</v>
      </c>
    </row>
    <row r="25" spans="13:14">
      <c r="M25" s="201"/>
      <c r="N25" s="201">
        <v>32126</v>
      </c>
    </row>
    <row r="26" spans="13:14">
      <c r="M26" s="201"/>
      <c r="N26" s="201">
        <v>31427</v>
      </c>
    </row>
    <row r="27" spans="13:14">
      <c r="M27" s="201"/>
      <c r="N27" s="201">
        <v>31458</v>
      </c>
    </row>
    <row r="28" spans="13:14">
      <c r="M28" s="201"/>
      <c r="N28" s="201">
        <v>31486</v>
      </c>
    </row>
    <row r="29" spans="13:14">
      <c r="N29" s="201">
        <v>31517</v>
      </c>
    </row>
    <row r="30" spans="13:14">
      <c r="N30" s="201">
        <v>31547</v>
      </c>
    </row>
    <row r="31" spans="13:14">
      <c r="N31" s="201">
        <v>31578</v>
      </c>
    </row>
    <row r="32" spans="13:14">
      <c r="N32" s="201">
        <v>31608</v>
      </c>
    </row>
    <row r="33" spans="14:14">
      <c r="N33" s="201">
        <v>31639</v>
      </c>
    </row>
    <row r="34" spans="14:14">
      <c r="N34" s="201">
        <v>31670</v>
      </c>
    </row>
    <row r="35" spans="14:14">
      <c r="N35" s="201">
        <v>31700</v>
      </c>
    </row>
    <row r="36" spans="14:14">
      <c r="N36" s="201">
        <v>31731</v>
      </c>
    </row>
    <row r="37" spans="14:14">
      <c r="N37" s="201">
        <v>31761</v>
      </c>
    </row>
    <row r="38" spans="14:14">
      <c r="N38" s="201">
        <v>31062</v>
      </c>
    </row>
    <row r="39" spans="14:14">
      <c r="N39" s="201">
        <v>31093</v>
      </c>
    </row>
    <row r="40" spans="14:14">
      <c r="N40" s="201">
        <v>31121</v>
      </c>
    </row>
    <row r="41" spans="14:14">
      <c r="N41" s="201">
        <v>31152</v>
      </c>
    </row>
    <row r="42" spans="14:14">
      <c r="N42" s="201">
        <v>31182</v>
      </c>
    </row>
    <row r="43" spans="14:14">
      <c r="N43" s="201">
        <v>31213</v>
      </c>
    </row>
    <row r="44" spans="14:14">
      <c r="N44" s="201">
        <v>31243</v>
      </c>
    </row>
    <row r="45" spans="14:14">
      <c r="N45" s="201">
        <v>31274</v>
      </c>
    </row>
    <row r="46" spans="14:14">
      <c r="N46" s="201">
        <v>31305</v>
      </c>
    </row>
    <row r="47" spans="14:14">
      <c r="N47" s="201">
        <v>31335</v>
      </c>
    </row>
    <row r="48" spans="14:14">
      <c r="N48" s="201">
        <v>31366</v>
      </c>
    </row>
    <row r="49" spans="14:14">
      <c r="N49" s="201">
        <v>31396</v>
      </c>
    </row>
    <row r="50" spans="14:14">
      <c r="N50" s="201">
        <v>28140</v>
      </c>
    </row>
    <row r="51" spans="14:14">
      <c r="N51" s="201">
        <v>28171</v>
      </c>
    </row>
    <row r="52" spans="14:14">
      <c r="N52" s="201">
        <v>28199</v>
      </c>
    </row>
    <row r="53" spans="14:14">
      <c r="N53" s="201">
        <v>28230</v>
      </c>
    </row>
    <row r="54" spans="14:14">
      <c r="N54" s="201">
        <v>28260</v>
      </c>
    </row>
    <row r="55" spans="14:14">
      <c r="N55" s="201">
        <v>28291</v>
      </c>
    </row>
    <row r="56" spans="14:14">
      <c r="N56" s="201">
        <v>28321</v>
      </c>
    </row>
    <row r="57" spans="14:14">
      <c r="N57" s="201">
        <v>28352</v>
      </c>
    </row>
    <row r="58" spans="14:14">
      <c r="N58" s="201">
        <v>28383</v>
      </c>
    </row>
    <row r="59" spans="14:14">
      <c r="N59" s="201">
        <v>28413</v>
      </c>
    </row>
    <row r="60" spans="14:14">
      <c r="N60" s="201">
        <v>28444</v>
      </c>
    </row>
    <row r="61" spans="14:14">
      <c r="N61" s="201">
        <v>28474</v>
      </c>
    </row>
    <row r="62" spans="14:14">
      <c r="N62" s="201">
        <v>27774</v>
      </c>
    </row>
    <row r="63" spans="14:14">
      <c r="N63" s="201">
        <v>27805</v>
      </c>
    </row>
    <row r="64" spans="14:14">
      <c r="N64" s="201">
        <v>27834</v>
      </c>
    </row>
    <row r="65" spans="14:14">
      <c r="N65" s="201">
        <v>27865</v>
      </c>
    </row>
    <row r="66" spans="14:14">
      <c r="N66" s="201">
        <v>27895</v>
      </c>
    </row>
    <row r="67" spans="14:14">
      <c r="N67" s="201">
        <v>27926</v>
      </c>
    </row>
    <row r="68" spans="14:14">
      <c r="N68" s="201">
        <v>27956</v>
      </c>
    </row>
    <row r="69" spans="14:14">
      <c r="N69" s="201">
        <v>27987</v>
      </c>
    </row>
    <row r="70" spans="14:14">
      <c r="N70" s="201">
        <v>28018</v>
      </c>
    </row>
    <row r="71" spans="14:14">
      <c r="N71" s="201">
        <v>28048</v>
      </c>
    </row>
    <row r="72" spans="14:14">
      <c r="N72" s="201">
        <v>28079</v>
      </c>
    </row>
    <row r="73" spans="14:14">
      <c r="N73" s="201">
        <v>28109</v>
      </c>
    </row>
    <row r="74" spans="14:14">
      <c r="N74" s="201">
        <v>27409</v>
      </c>
    </row>
    <row r="75" spans="14:14">
      <c r="N75" s="201">
        <v>27440</v>
      </c>
    </row>
    <row r="76" spans="14:14">
      <c r="N76" s="201">
        <v>27468</v>
      </c>
    </row>
    <row r="77" spans="14:14">
      <c r="N77" s="201">
        <v>27499</v>
      </c>
    </row>
    <row r="78" spans="14:14">
      <c r="N78" s="201">
        <v>27529</v>
      </c>
    </row>
    <row r="79" spans="14:14">
      <c r="N79" s="201">
        <v>27560</v>
      </c>
    </row>
    <row r="80" spans="14:14">
      <c r="N80" s="201">
        <v>27590</v>
      </c>
    </row>
    <row r="81" spans="14:14">
      <c r="N81" s="201">
        <v>27621</v>
      </c>
    </row>
    <row r="82" spans="14:14">
      <c r="N82" s="201">
        <v>27652</v>
      </c>
    </row>
    <row r="83" spans="14:14">
      <c r="N83" s="201">
        <v>27682</v>
      </c>
    </row>
    <row r="84" spans="14:14">
      <c r="N84" s="201">
        <v>27713</v>
      </c>
    </row>
    <row r="85" spans="14:14">
      <c r="N85" s="201">
        <v>27743</v>
      </c>
    </row>
    <row r="86" spans="14:14">
      <c r="N86" s="201">
        <v>27044</v>
      </c>
    </row>
    <row r="87" spans="14:14">
      <c r="N87" s="201">
        <v>27075</v>
      </c>
    </row>
    <row r="88" spans="14:14">
      <c r="N88" s="201">
        <v>27103</v>
      </c>
    </row>
    <row r="89" spans="14:14">
      <c r="N89" s="201">
        <v>27134</v>
      </c>
    </row>
    <row r="90" spans="14:14">
      <c r="N90" s="201">
        <v>27164</v>
      </c>
    </row>
    <row r="91" spans="14:14">
      <c r="N91" s="201">
        <v>27195</v>
      </c>
    </row>
    <row r="92" spans="14:14">
      <c r="N92" s="201">
        <v>27225</v>
      </c>
    </row>
    <row r="93" spans="14:14">
      <c r="N93" s="201">
        <v>27256</v>
      </c>
    </row>
    <row r="94" spans="14:14">
      <c r="N94" s="201">
        <v>27287</v>
      </c>
    </row>
    <row r="95" spans="14:14">
      <c r="N95" s="201">
        <v>27317</v>
      </c>
    </row>
    <row r="96" spans="14:14">
      <c r="N96" s="201">
        <v>27348</v>
      </c>
    </row>
    <row r="97" spans="14:14">
      <c r="N97" s="201">
        <v>27378</v>
      </c>
    </row>
    <row r="98" spans="14:14">
      <c r="N98" s="201">
        <v>17547</v>
      </c>
    </row>
    <row r="99" spans="14:14">
      <c r="N99" s="201">
        <v>17578</v>
      </c>
    </row>
    <row r="100" spans="14:14">
      <c r="N100" s="201">
        <v>17607</v>
      </c>
    </row>
    <row r="101" spans="14:14">
      <c r="N101" s="201">
        <v>17638</v>
      </c>
    </row>
    <row r="102" spans="14:14">
      <c r="N102" s="201">
        <v>17668</v>
      </c>
    </row>
    <row r="103" spans="14:14">
      <c r="N103" s="201">
        <v>17699</v>
      </c>
    </row>
    <row r="104" spans="14:14">
      <c r="N104" s="201">
        <v>17729</v>
      </c>
    </row>
    <row r="105" spans="14:14">
      <c r="N105" s="201">
        <v>17760</v>
      </c>
    </row>
    <row r="106" spans="14:14">
      <c r="N106" s="201">
        <v>17791</v>
      </c>
    </row>
    <row r="107" spans="14:14">
      <c r="N107" s="201">
        <v>17821</v>
      </c>
    </row>
    <row r="108" spans="14:14">
      <c r="N108" s="201">
        <v>17852</v>
      </c>
    </row>
    <row r="109" spans="14:14">
      <c r="N109" s="201">
        <v>17882</v>
      </c>
    </row>
    <row r="110" spans="14:14">
      <c r="N110" s="201">
        <v>17182</v>
      </c>
    </row>
    <row r="111" spans="14:14">
      <c r="N111" s="201">
        <v>17213</v>
      </c>
    </row>
    <row r="112" spans="14:14">
      <c r="N112" s="201">
        <v>17241</v>
      </c>
    </row>
    <row r="113" spans="14:14">
      <c r="N113" s="201">
        <v>17272</v>
      </c>
    </row>
    <row r="114" spans="14:14">
      <c r="N114" s="201">
        <v>17302</v>
      </c>
    </row>
    <row r="115" spans="14:14">
      <c r="N115" s="201">
        <v>17333</v>
      </c>
    </row>
    <row r="116" spans="14:14">
      <c r="N116" s="201">
        <v>17363</v>
      </c>
    </row>
    <row r="117" spans="14:14">
      <c r="N117" s="201">
        <v>17394</v>
      </c>
    </row>
    <row r="118" spans="14:14">
      <c r="N118" s="201">
        <v>17425</v>
      </c>
    </row>
    <row r="119" spans="14:14">
      <c r="N119" s="201">
        <v>17455</v>
      </c>
    </row>
    <row r="120" spans="14:14">
      <c r="N120" s="201">
        <v>17486</v>
      </c>
    </row>
    <row r="121" spans="14:14">
      <c r="N121" s="201">
        <v>17516</v>
      </c>
    </row>
    <row r="122" spans="14:14">
      <c r="N122" s="201">
        <v>16817</v>
      </c>
    </row>
    <row r="123" spans="14:14">
      <c r="N123" s="201">
        <v>16848</v>
      </c>
    </row>
    <row r="124" spans="14:14">
      <c r="N124" s="201">
        <v>16876</v>
      </c>
    </row>
    <row r="125" spans="14:14">
      <c r="N125" s="201">
        <v>16907</v>
      </c>
    </row>
    <row r="126" spans="14:14">
      <c r="N126" s="201">
        <v>16937</v>
      </c>
    </row>
    <row r="127" spans="14:14">
      <c r="N127" s="201">
        <v>16968</v>
      </c>
    </row>
    <row r="128" spans="14:14">
      <c r="N128" s="201">
        <v>16998</v>
      </c>
    </row>
    <row r="129" spans="14:14">
      <c r="N129" s="201">
        <v>17029</v>
      </c>
    </row>
    <row r="130" spans="14:14">
      <c r="N130" s="201">
        <v>17060</v>
      </c>
    </row>
    <row r="131" spans="14:14">
      <c r="N131" s="201">
        <v>17090</v>
      </c>
    </row>
    <row r="132" spans="14:14">
      <c r="N132" s="201">
        <v>17121</v>
      </c>
    </row>
    <row r="133" spans="14:14">
      <c r="N133" s="201">
        <v>17151</v>
      </c>
    </row>
    <row r="134" spans="14:14">
      <c r="N134" s="201">
        <v>16452</v>
      </c>
    </row>
    <row r="135" spans="14:14">
      <c r="N135" s="201">
        <v>16483</v>
      </c>
    </row>
    <row r="136" spans="14:14">
      <c r="N136" s="201">
        <v>16511</v>
      </c>
    </row>
    <row r="137" spans="14:14">
      <c r="N137" s="201">
        <v>16542</v>
      </c>
    </row>
    <row r="138" spans="14:14">
      <c r="N138" s="201">
        <v>16572</v>
      </c>
    </row>
    <row r="139" spans="14:14">
      <c r="N139" s="201">
        <v>16603</v>
      </c>
    </row>
    <row r="140" spans="14:14">
      <c r="N140" s="201">
        <v>16633</v>
      </c>
    </row>
    <row r="141" spans="14:14">
      <c r="N141" s="201">
        <v>16664</v>
      </c>
    </row>
    <row r="142" spans="14:14">
      <c r="N142" s="201">
        <v>16695</v>
      </c>
    </row>
    <row r="143" spans="14:14">
      <c r="N143" s="201">
        <v>16725</v>
      </c>
    </row>
    <row r="144" spans="14:14">
      <c r="N144" s="201">
        <v>16756</v>
      </c>
    </row>
    <row r="145" spans="14:14">
      <c r="N145" s="201">
        <v>16786</v>
      </c>
    </row>
  </sheetData>
  <phoneticPr fontId="21" type="noConversion"/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Projection</vt:lpstr>
      <vt:lpstr>Méthode Olten</vt:lpstr>
      <vt:lpstr>Méthode simple</vt:lpstr>
      <vt:lpstr>Tests</vt:lpstr>
      <vt:lpstr>'Méthode Olten'!Zone_d_impression</vt:lpstr>
      <vt:lpstr>'Méthode simple'!Zone_d_impression</vt:lpstr>
      <vt:lpstr>Projection!Zone_d_impression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Vouardoux Rion</dc:creator>
  <cp:lastModifiedBy>Zombai</cp:lastModifiedBy>
  <cp:lastPrinted>2011-02-25T14:58:48Z</cp:lastPrinted>
  <dcterms:created xsi:type="dcterms:W3CDTF">2004-03-03T20:41:07Z</dcterms:created>
  <dcterms:modified xsi:type="dcterms:W3CDTF">2011-02-26T21:40:55Z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1190587063</vt:i4>
  </property>
  <property fmtid="{D5CDD505-2E9C-101B-9397-08002B2CF9AE}" pid="3" name="_NewReviewCycle">
    <vt:lpwstr/>
  </property>
  <property fmtid="{D5CDD505-2E9C-101B-9397-08002B2CF9AE}" pid="4" name="_EmailSubject">
    <vt:lpwstr>REGLEMENT_2008_ANHAENGE_annexes_et_divers_calculs_Einkauf_Projektion.xls</vt:lpwstr>
  </property>
  <property fmtid="{D5CDD505-2E9C-101B-9397-08002B2CF9AE}" pid="5" name="_AuthorEmail">
    <vt:lpwstr>Yves.Vouardoux@pkpost.ch</vt:lpwstr>
  </property>
  <property fmtid="{D5CDD505-2E9C-101B-9397-08002B2CF9AE}" pid="6" name="_AuthorEmailDisplayName">
    <vt:lpwstr>Vouardoux Yves</vt:lpwstr>
  </property>
  <property fmtid="{D5CDD505-2E9C-101B-9397-08002B2CF9AE}" pid="7" name="_PreviousAdHocReviewCycleID">
    <vt:i4>-1655626817</vt:i4>
  </property>
  <property fmtid="{D5CDD505-2E9C-101B-9397-08002B2CF9AE}" pid="8" name="_ReviewingToolsShownOnce">
    <vt:lpwstr/>
  </property>
</Properties>
</file>