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customProperty3.bin" ContentType="application/vnd.openxmlformats-officedocument.spreadsheetml.customProperty"/>
  <Override PartName="/xl/customProperty4.bin" ContentType="application/vnd.openxmlformats-officedocument.spreadsheetml.customProperty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ustomProperty2.bin" ContentType="application/vnd.openxmlformats-officedocument.spreadsheetml.customProperty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0" windowWidth="12555" windowHeight="9630"/>
  </bookViews>
  <sheets>
    <sheet name="évaluation" sheetId="1" r:id="rId1"/>
    <sheet name="résultats" sheetId="2" r:id="rId2"/>
    <sheet name="Commentaires" sheetId="3" r:id="rId3"/>
    <sheet name="DV-IDENTITY-0" sheetId="4" state="veryHidden" r:id="rId4"/>
  </sheets>
  <calcPr calcId="114210"/>
  <webPublishObjects count="2">
    <webPublishObject id="2100" divId="évaluation enseignementBis_2100" destinationFile="C:\Documents and Settings\roubertier\Bureau\Page.htm"/>
    <webPublishObject id="2205" divId="évaluation enseignementBis_2205" destinationFile="C:\Documents and Settings\roubertier\Bureau\test eval.htm"/>
  </webPublishObjects>
</workbook>
</file>

<file path=xl/calcChain.xml><?xml version="1.0" encoding="utf-8"?>
<calcChain xmlns="http://schemas.openxmlformats.org/spreadsheetml/2006/main">
  <c r="B27" i="2"/>
  <c r="C27"/>
  <c r="D27"/>
  <c r="E27"/>
  <c r="F27"/>
  <c r="G27"/>
  <c r="I27"/>
  <c r="B22"/>
  <c r="C22"/>
  <c r="D22"/>
  <c r="E22"/>
  <c r="F22"/>
  <c r="G22"/>
  <c r="I22"/>
  <c r="B17"/>
  <c r="C17"/>
  <c r="D17"/>
  <c r="E17"/>
  <c r="F17"/>
  <c r="G17"/>
  <c r="I17"/>
  <c r="B12"/>
  <c r="C12"/>
  <c r="D12"/>
  <c r="E12"/>
  <c r="F12"/>
  <c r="G12"/>
  <c r="I12"/>
  <c r="B7"/>
  <c r="C7"/>
  <c r="D7"/>
  <c r="E7"/>
  <c r="F7"/>
  <c r="G7"/>
  <c r="I7"/>
  <c r="A4" i="4"/>
  <c r="B4"/>
  <c r="C4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AH4"/>
  <c r="AI4"/>
  <c r="AJ4"/>
  <c r="AK4"/>
  <c r="AL4"/>
  <c r="AM4"/>
  <c r="AN4"/>
  <c r="AO4"/>
  <c r="AP4"/>
  <c r="AQ4"/>
  <c r="AR4"/>
  <c r="AS4"/>
  <c r="AT4"/>
  <c r="AU4"/>
  <c r="AV4"/>
  <c r="AW4"/>
  <c r="AX4"/>
  <c r="AY4"/>
  <c r="AZ4"/>
  <c r="BA4"/>
  <c r="BB4"/>
  <c r="BC4"/>
  <c r="BD4"/>
  <c r="BE4"/>
  <c r="BF4"/>
  <c r="BG4"/>
  <c r="BH4"/>
  <c r="BI4"/>
  <c r="BJ4"/>
  <c r="BK4"/>
  <c r="BL4"/>
  <c r="BM4"/>
  <c r="BN4"/>
  <c r="BO4"/>
  <c r="BP4"/>
  <c r="BQ4"/>
  <c r="BR4"/>
  <c r="BS4"/>
  <c r="BT4"/>
  <c r="BU4"/>
  <c r="BV4"/>
  <c r="BW4"/>
  <c r="BX4"/>
  <c r="BY4"/>
  <c r="BZ4"/>
  <c r="CA4"/>
  <c r="CB4"/>
  <c r="CC4"/>
  <c r="CD4"/>
  <c r="CE4"/>
  <c r="CF4"/>
  <c r="CG4"/>
  <c r="CH4"/>
  <c r="CI4"/>
  <c r="CJ4"/>
  <c r="CK4"/>
  <c r="CL4"/>
  <c r="CM4"/>
  <c r="CN4"/>
  <c r="CO4"/>
  <c r="CP4"/>
  <c r="CQ4"/>
  <c r="CR4"/>
  <c r="CS4"/>
  <c r="CT4"/>
  <c r="CU4"/>
  <c r="CV4"/>
  <c r="CW4"/>
  <c r="CX4"/>
  <c r="A3"/>
  <c r="B3"/>
  <c r="C3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AH3"/>
  <c r="AI3"/>
  <c r="AJ3"/>
  <c r="AK3"/>
  <c r="AL3"/>
  <c r="AM3"/>
  <c r="AN3"/>
  <c r="AO3"/>
  <c r="AP3"/>
  <c r="AQ3"/>
  <c r="AR3"/>
  <c r="AS3"/>
  <c r="AT3"/>
  <c r="AU3"/>
  <c r="AV3"/>
  <c r="AW3"/>
  <c r="AX3"/>
  <c r="AY3"/>
  <c r="AZ3"/>
  <c r="BA3"/>
  <c r="BB3"/>
  <c r="BC3"/>
  <c r="BD3"/>
  <c r="BE3"/>
  <c r="BF3"/>
  <c r="BG3"/>
  <c r="BH3"/>
  <c r="BI3"/>
  <c r="BJ3"/>
  <c r="BK3"/>
  <c r="BL3"/>
  <c r="BM3"/>
  <c r="BN3"/>
  <c r="BO3"/>
  <c r="BP3"/>
  <c r="BQ3"/>
  <c r="BR3"/>
  <c r="BS3"/>
  <c r="BT3"/>
  <c r="BU3"/>
  <c r="BV3"/>
  <c r="BW3"/>
  <c r="BX3"/>
  <c r="BY3"/>
  <c r="BZ3"/>
  <c r="CA3"/>
  <c r="CB3"/>
  <c r="CC3"/>
  <c r="CD3"/>
  <c r="CE3"/>
  <c r="CF3"/>
  <c r="CG3"/>
  <c r="CH3"/>
  <c r="CI3"/>
  <c r="CJ3"/>
  <c r="CK3"/>
  <c r="CL3"/>
  <c r="CM3"/>
  <c r="CN3"/>
  <c r="CO3"/>
  <c r="CP3"/>
  <c r="CQ3"/>
  <c r="CR3"/>
  <c r="CS3"/>
  <c r="CT3"/>
  <c r="CU3"/>
  <c r="CV3"/>
  <c r="CW3"/>
  <c r="CX3"/>
  <c r="CY3"/>
  <c r="CZ3"/>
  <c r="DA3"/>
  <c r="DB3"/>
  <c r="DC3"/>
  <c r="DD3"/>
  <c r="DE3"/>
  <c r="DF3"/>
  <c r="DG3"/>
  <c r="DH3"/>
  <c r="DI3"/>
  <c r="DJ3"/>
  <c r="DK3"/>
  <c r="DL3"/>
  <c r="DM3"/>
  <c r="DN3"/>
  <c r="DO3"/>
  <c r="DP3"/>
  <c r="DQ3"/>
  <c r="DR3"/>
  <c r="DS3"/>
  <c r="DT3"/>
  <c r="DU3"/>
  <c r="DV3"/>
  <c r="DW3"/>
  <c r="DX3"/>
  <c r="DY3"/>
  <c r="DZ3"/>
  <c r="EA3"/>
  <c r="EB3"/>
  <c r="EC3"/>
  <c r="ED3"/>
  <c r="EE3"/>
  <c r="EF3"/>
  <c r="EG3"/>
  <c r="EH3"/>
  <c r="EI3"/>
  <c r="EJ3"/>
  <c r="EK3"/>
  <c r="EL3"/>
  <c r="EM3"/>
  <c r="EN3"/>
  <c r="EO3"/>
  <c r="EP3"/>
  <c r="EQ3"/>
  <c r="ER3"/>
  <c r="ES3"/>
  <c r="ET3"/>
  <c r="EU3"/>
  <c r="EV3"/>
  <c r="EW3"/>
  <c r="EX3"/>
  <c r="EY3"/>
  <c r="EZ3"/>
  <c r="FA3"/>
  <c r="FB3"/>
  <c r="FC3"/>
  <c r="FD3"/>
  <c r="FE3"/>
  <c r="FF3"/>
  <c r="FG3"/>
  <c r="FH3"/>
  <c r="FI3"/>
  <c r="FJ3"/>
  <c r="FK3"/>
  <c r="FL3"/>
  <c r="FM3"/>
  <c r="FN3"/>
  <c r="FO3"/>
  <c r="FP3"/>
  <c r="FQ3"/>
  <c r="FR3"/>
  <c r="FS3"/>
  <c r="FT3"/>
  <c r="FU3"/>
  <c r="FV3"/>
  <c r="FW3"/>
  <c r="FX3"/>
  <c r="FY3"/>
  <c r="FZ3"/>
  <c r="GA3"/>
  <c r="GB3"/>
  <c r="GC3"/>
  <c r="GD3"/>
  <c r="GE3"/>
  <c r="GF3"/>
  <c r="GG3"/>
  <c r="GH3"/>
  <c r="GI3"/>
  <c r="GJ3"/>
  <c r="GK3"/>
  <c r="GL3"/>
  <c r="GM3"/>
  <c r="GN3"/>
  <c r="GO3"/>
  <c r="GP3"/>
  <c r="GQ3"/>
  <c r="GR3"/>
  <c r="GS3"/>
  <c r="GT3"/>
  <c r="GU3"/>
  <c r="GV3"/>
  <c r="GW3"/>
  <c r="GX3"/>
  <c r="GY3"/>
  <c r="GZ3"/>
  <c r="HA3"/>
  <c r="HB3"/>
  <c r="HC3"/>
  <c r="HD3"/>
  <c r="HE3"/>
  <c r="HF3"/>
  <c r="HG3"/>
  <c r="HH3"/>
  <c r="HI3"/>
  <c r="HJ3"/>
  <c r="HK3"/>
  <c r="HL3"/>
  <c r="HM3"/>
  <c r="HN3"/>
  <c r="HO3"/>
  <c r="HP3"/>
  <c r="HQ3"/>
  <c r="HR3"/>
  <c r="HS3"/>
  <c r="HT3"/>
  <c r="HU3"/>
  <c r="HV3"/>
  <c r="HW3"/>
  <c r="HX3"/>
  <c r="HY3"/>
  <c r="HZ3"/>
  <c r="IA3"/>
  <c r="IB3"/>
  <c r="IC3"/>
  <c r="ID3"/>
  <c r="IE3"/>
  <c r="IF3"/>
  <c r="IG3"/>
  <c r="IH3"/>
  <c r="II3"/>
  <c r="IJ3"/>
  <c r="IK3"/>
  <c r="IL3"/>
  <c r="IM3"/>
  <c r="IN3"/>
  <c r="IO3"/>
  <c r="IP3"/>
  <c r="IQ3"/>
  <c r="IR3"/>
  <c r="IS3"/>
  <c r="IT3"/>
  <c r="IU3"/>
  <c r="IV3"/>
  <c r="A2"/>
  <c r="B2"/>
  <c r="C2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AJ2"/>
  <c r="AK2"/>
  <c r="AL2"/>
  <c r="AM2"/>
  <c r="AN2"/>
  <c r="AO2"/>
  <c r="AP2"/>
  <c r="AQ2"/>
  <c r="AR2"/>
  <c r="AS2"/>
  <c r="AT2"/>
  <c r="AU2"/>
  <c r="AV2"/>
  <c r="AW2"/>
  <c r="AX2"/>
  <c r="AY2"/>
  <c r="AZ2"/>
  <c r="BA2"/>
  <c r="BB2"/>
  <c r="BC2"/>
  <c r="BD2"/>
  <c r="BE2"/>
  <c r="BF2"/>
  <c r="BG2"/>
  <c r="BH2"/>
  <c r="BI2"/>
  <c r="BJ2"/>
  <c r="BK2"/>
  <c r="BL2"/>
  <c r="BM2"/>
  <c r="BN2"/>
  <c r="BO2"/>
  <c r="BP2"/>
  <c r="BQ2"/>
  <c r="BR2"/>
  <c r="BS2"/>
  <c r="BT2"/>
  <c r="BU2"/>
  <c r="BV2"/>
  <c r="BW2"/>
  <c r="BX2"/>
  <c r="BY2"/>
  <c r="BZ2"/>
  <c r="CA2"/>
  <c r="CB2"/>
  <c r="CC2"/>
  <c r="CD2"/>
  <c r="CE2"/>
  <c r="CF2"/>
  <c r="CG2"/>
  <c r="CH2"/>
  <c r="CI2"/>
  <c r="CJ2"/>
  <c r="CK2"/>
  <c r="CL2"/>
  <c r="CM2"/>
  <c r="CN2"/>
  <c r="CO2"/>
  <c r="CP2"/>
  <c r="CQ2"/>
  <c r="CR2"/>
  <c r="CS2"/>
  <c r="CT2"/>
  <c r="CU2"/>
  <c r="CV2"/>
  <c r="CW2"/>
  <c r="CX2"/>
  <c r="CY2"/>
  <c r="CZ2"/>
  <c r="DA2"/>
  <c r="DB2"/>
  <c r="DC2"/>
  <c r="DD2"/>
  <c r="DE2"/>
  <c r="DF2"/>
  <c r="DG2"/>
  <c r="DH2"/>
  <c r="DI2"/>
  <c r="DJ2"/>
  <c r="DK2"/>
  <c r="DL2"/>
  <c r="DM2"/>
  <c r="DN2"/>
  <c r="DO2"/>
  <c r="DP2"/>
  <c r="DQ2"/>
  <c r="DR2"/>
  <c r="DS2"/>
  <c r="DT2"/>
  <c r="DU2"/>
  <c r="DV2"/>
  <c r="DW2"/>
  <c r="DX2"/>
  <c r="DY2"/>
  <c r="DZ2"/>
  <c r="EA2"/>
  <c r="EB2"/>
  <c r="EC2"/>
  <c r="ED2"/>
  <c r="EE2"/>
  <c r="EF2"/>
  <c r="EG2"/>
  <c r="EH2"/>
  <c r="EI2"/>
  <c r="EJ2"/>
  <c r="EK2"/>
  <c r="EL2"/>
  <c r="EM2"/>
  <c r="EN2"/>
  <c r="EO2"/>
  <c r="EP2"/>
  <c r="EQ2"/>
  <c r="ER2"/>
  <c r="ES2"/>
  <c r="ET2"/>
  <c r="EU2"/>
  <c r="EV2"/>
  <c r="EW2"/>
  <c r="EX2"/>
  <c r="EY2"/>
  <c r="EZ2"/>
  <c r="FA2"/>
  <c r="FB2"/>
  <c r="FC2"/>
  <c r="FD2"/>
  <c r="FE2"/>
  <c r="FF2"/>
  <c r="FG2"/>
  <c r="FH2"/>
  <c r="FI2"/>
  <c r="FJ2"/>
  <c r="FK2"/>
  <c r="FL2"/>
  <c r="FM2"/>
  <c r="FN2"/>
  <c r="FO2"/>
  <c r="FP2"/>
  <c r="FQ2"/>
  <c r="FR2"/>
  <c r="FS2"/>
  <c r="FT2"/>
  <c r="FU2"/>
  <c r="FV2"/>
  <c r="FW2"/>
  <c r="FX2"/>
  <c r="FY2"/>
  <c r="FZ2"/>
  <c r="GA2"/>
  <c r="GB2"/>
  <c r="GC2"/>
  <c r="GD2"/>
  <c r="GE2"/>
  <c r="GF2"/>
  <c r="GG2"/>
  <c r="GH2"/>
  <c r="GI2"/>
  <c r="GJ2"/>
  <c r="GK2"/>
  <c r="GL2"/>
  <c r="GM2"/>
  <c r="GN2"/>
  <c r="GO2"/>
  <c r="GP2"/>
  <c r="GQ2"/>
  <c r="GR2"/>
  <c r="GS2"/>
  <c r="GT2"/>
  <c r="GU2"/>
  <c r="GV2"/>
  <c r="GW2"/>
  <c r="GX2"/>
  <c r="GY2"/>
  <c r="GZ2"/>
  <c r="HA2"/>
  <c r="HB2"/>
  <c r="HC2"/>
  <c r="HD2"/>
  <c r="HE2"/>
  <c r="HF2"/>
  <c r="HG2"/>
  <c r="HH2"/>
  <c r="HI2"/>
  <c r="HJ2"/>
  <c r="HK2"/>
  <c r="HL2"/>
  <c r="HM2"/>
  <c r="HN2"/>
  <c r="HO2"/>
  <c r="HP2"/>
  <c r="HQ2"/>
  <c r="HR2"/>
  <c r="HS2"/>
  <c r="HT2"/>
  <c r="HU2"/>
  <c r="HV2"/>
  <c r="HW2"/>
  <c r="HX2"/>
  <c r="HY2"/>
  <c r="HZ2"/>
  <c r="IA2"/>
  <c r="IB2"/>
  <c r="IC2"/>
  <c r="ID2"/>
  <c r="IE2"/>
  <c r="IF2"/>
  <c r="IG2"/>
  <c r="IH2"/>
  <c r="II2"/>
  <c r="IJ2"/>
  <c r="IK2"/>
  <c r="IL2"/>
  <c r="IM2"/>
  <c r="IN2"/>
  <c r="IO2"/>
  <c r="IP2"/>
  <c r="IQ2"/>
  <c r="IR2"/>
  <c r="IS2"/>
  <c r="IT2"/>
  <c r="IU2"/>
  <c r="IV2"/>
  <c r="A1"/>
  <c r="B1"/>
  <c r="C1"/>
  <c r="D1"/>
  <c r="E1"/>
  <c r="F1"/>
  <c r="G1"/>
  <c r="H1"/>
  <c r="I1"/>
  <c r="J1"/>
  <c r="K1"/>
  <c r="L1"/>
  <c r="M1"/>
  <c r="N1"/>
  <c r="O1"/>
  <c r="P1"/>
  <c r="Q1"/>
  <c r="R1"/>
  <c r="S1"/>
  <c r="T1"/>
  <c r="U1"/>
  <c r="V1"/>
  <c r="W1"/>
  <c r="X1"/>
  <c r="Y1"/>
  <c r="Z1"/>
  <c r="AA1"/>
  <c r="AB1"/>
  <c r="AC1"/>
  <c r="AD1"/>
  <c r="AE1"/>
  <c r="AF1"/>
  <c r="AG1"/>
  <c r="AH1"/>
  <c r="AI1"/>
  <c r="AJ1"/>
  <c r="AK1"/>
  <c r="AL1"/>
  <c r="AM1"/>
  <c r="AN1"/>
  <c r="AO1"/>
  <c r="AP1"/>
  <c r="AQ1"/>
  <c r="AR1"/>
  <c r="AS1"/>
  <c r="AT1"/>
  <c r="AU1"/>
  <c r="AV1"/>
  <c r="AW1"/>
  <c r="AX1"/>
  <c r="AY1"/>
  <c r="AZ1"/>
  <c r="BA1"/>
  <c r="BB1"/>
  <c r="BC1"/>
  <c r="BD1"/>
  <c r="BE1"/>
  <c r="BF1"/>
  <c r="BG1"/>
  <c r="BH1"/>
  <c r="BI1"/>
  <c r="BJ1"/>
  <c r="BK1"/>
  <c r="BL1"/>
  <c r="BM1"/>
  <c r="BN1"/>
  <c r="BO1"/>
  <c r="BP1"/>
  <c r="BQ1"/>
  <c r="BR1"/>
  <c r="BS1"/>
  <c r="BT1"/>
  <c r="BU1"/>
  <c r="BV1"/>
  <c r="BW1"/>
  <c r="BX1"/>
  <c r="BY1"/>
  <c r="BZ1"/>
  <c r="CA1"/>
  <c r="CB1"/>
  <c r="CC1"/>
  <c r="CD1"/>
  <c r="CE1"/>
  <c r="CF1"/>
  <c r="CG1"/>
  <c r="CH1"/>
  <c r="CI1"/>
  <c r="CJ1"/>
  <c r="CK1"/>
  <c r="CL1"/>
  <c r="CM1"/>
  <c r="CN1"/>
  <c r="CO1"/>
  <c r="CP1"/>
  <c r="CQ1"/>
  <c r="CR1"/>
  <c r="CS1"/>
  <c r="CT1"/>
  <c r="CU1"/>
  <c r="CV1"/>
  <c r="CW1"/>
  <c r="CX1"/>
  <c r="CY1"/>
  <c r="CZ1"/>
  <c r="DA1"/>
  <c r="DB1"/>
  <c r="DC1"/>
  <c r="DD1"/>
  <c r="DE1"/>
  <c r="DF1"/>
  <c r="DG1"/>
  <c r="DH1"/>
  <c r="DI1"/>
  <c r="DJ1"/>
  <c r="DK1"/>
  <c r="DL1"/>
  <c r="DM1"/>
  <c r="DN1"/>
  <c r="DO1"/>
  <c r="DP1"/>
  <c r="DQ1"/>
  <c r="DR1"/>
  <c r="DS1"/>
  <c r="DT1"/>
  <c r="DU1"/>
  <c r="DV1"/>
  <c r="DW1"/>
  <c r="DX1"/>
  <c r="DY1"/>
  <c r="DZ1"/>
  <c r="EA1"/>
  <c r="EB1"/>
  <c r="EC1"/>
  <c r="ED1"/>
  <c r="EE1"/>
  <c r="EF1"/>
  <c r="EG1"/>
  <c r="EH1"/>
  <c r="EI1"/>
  <c r="EJ1"/>
  <c r="EK1"/>
  <c r="EL1"/>
  <c r="EM1"/>
  <c r="EN1"/>
  <c r="EO1"/>
  <c r="EP1"/>
  <c r="EQ1"/>
  <c r="ER1"/>
  <c r="ES1"/>
  <c r="ET1"/>
  <c r="EU1"/>
  <c r="EV1"/>
  <c r="EW1"/>
  <c r="EX1"/>
  <c r="EY1"/>
  <c r="EZ1"/>
  <c r="FA1"/>
  <c r="FB1"/>
  <c r="FC1"/>
  <c r="FD1"/>
  <c r="FE1"/>
  <c r="FF1"/>
  <c r="FG1"/>
  <c r="FH1"/>
  <c r="FI1"/>
  <c r="FJ1"/>
  <c r="FK1"/>
  <c r="FL1"/>
  <c r="FM1"/>
  <c r="FN1"/>
  <c r="FO1"/>
  <c r="FP1"/>
  <c r="FQ1"/>
  <c r="FR1"/>
  <c r="FS1"/>
  <c r="FT1"/>
  <c r="FU1"/>
  <c r="FV1"/>
  <c r="FW1"/>
  <c r="FX1"/>
  <c r="FY1"/>
  <c r="FZ1"/>
  <c r="GA1"/>
  <c r="GB1"/>
  <c r="GC1"/>
  <c r="GD1"/>
  <c r="GE1"/>
  <c r="GF1"/>
  <c r="GG1"/>
  <c r="GH1"/>
  <c r="GI1"/>
  <c r="GJ1"/>
  <c r="GK1"/>
  <c r="GL1"/>
  <c r="GM1"/>
  <c r="GN1"/>
  <c r="GO1"/>
  <c r="GP1"/>
  <c r="GQ1"/>
  <c r="GR1"/>
  <c r="GS1"/>
  <c r="GT1"/>
  <c r="GU1"/>
  <c r="GV1"/>
  <c r="GW1"/>
  <c r="GX1"/>
  <c r="GY1"/>
  <c r="GZ1"/>
  <c r="HA1"/>
  <c r="HB1"/>
  <c r="HC1"/>
  <c r="HD1"/>
  <c r="HE1"/>
  <c r="HF1"/>
  <c r="HG1"/>
  <c r="HH1"/>
  <c r="HI1"/>
  <c r="HJ1"/>
  <c r="HK1"/>
  <c r="HL1"/>
  <c r="HM1"/>
  <c r="HN1"/>
  <c r="HO1"/>
  <c r="HP1"/>
  <c r="HQ1"/>
  <c r="HR1"/>
  <c r="HS1"/>
  <c r="HT1"/>
  <c r="HU1"/>
  <c r="HV1"/>
  <c r="HW1"/>
  <c r="HX1"/>
  <c r="HY1"/>
  <c r="HZ1"/>
  <c r="IA1"/>
  <c r="IB1"/>
  <c r="IC1"/>
  <c r="ID1"/>
  <c r="IE1"/>
  <c r="IF1"/>
  <c r="IG1"/>
  <c r="IH1"/>
  <c r="II1"/>
  <c r="IJ1"/>
  <c r="IK1"/>
  <c r="IL1"/>
  <c r="IM1"/>
  <c r="IN1"/>
  <c r="IO1"/>
  <c r="IP1"/>
  <c r="IQ1"/>
  <c r="IR1"/>
  <c r="IS1"/>
  <c r="IT1"/>
  <c r="IU1"/>
  <c r="IV1"/>
  <c r="H63" i="2"/>
</calcChain>
</file>

<file path=xl/sharedStrings.xml><?xml version="1.0" encoding="utf-8"?>
<sst xmlns="http://schemas.openxmlformats.org/spreadsheetml/2006/main" count="128" uniqueCount="59">
  <si>
    <t>nom</t>
  </si>
  <si>
    <t>Enseignement</t>
  </si>
  <si>
    <t>Nom</t>
  </si>
  <si>
    <t>Prénom</t>
  </si>
  <si>
    <t>Clarté des objectifs</t>
  </si>
  <si>
    <t>Cohérence avec les autres enseignements</t>
  </si>
  <si>
    <t>Qualité des documents fournis</t>
  </si>
  <si>
    <t>Qualité des exposés</t>
  </si>
  <si>
    <t>Temps imparti satisfaisant</t>
  </si>
  <si>
    <t>réponses au questionnaire :</t>
  </si>
  <si>
    <t>commentaire :</t>
  </si>
  <si>
    <t>satisfaisant</t>
  </si>
  <si>
    <t>moyen</t>
  </si>
  <si>
    <t>décevant</t>
  </si>
  <si>
    <t>très décevant</t>
  </si>
  <si>
    <t>sans opinion</t>
  </si>
  <si>
    <t>très satisfaisant</t>
  </si>
  <si>
    <t>clarté</t>
  </si>
  <si>
    <t>cohérence</t>
  </si>
  <si>
    <t>documents</t>
  </si>
  <si>
    <t>exposés</t>
  </si>
  <si>
    <t>temps</t>
  </si>
  <si>
    <t>total</t>
  </si>
  <si>
    <t>prénom</t>
  </si>
  <si>
    <t>a répondu</t>
  </si>
  <si>
    <t>total élèves</t>
  </si>
  <si>
    <t>Commentaires recensés</t>
  </si>
  <si>
    <t>Mathématiques</t>
  </si>
  <si>
    <t>1. Cliquer sur "remplir le questionnaire".</t>
  </si>
  <si>
    <t>2. Ne cocher qu'une case par intitulé.</t>
  </si>
  <si>
    <t>5. Cliquer sur Valider.</t>
  </si>
  <si>
    <t>4. Vérifier vos réponses et rédiger un commentaire si besoin.</t>
  </si>
  <si>
    <t>Pour répondre au questionnaire merci de bien vouloir :</t>
  </si>
  <si>
    <t>3. Cliquer sur OK après avoir répondu à TOUTES LES QUESTIONS</t>
  </si>
  <si>
    <t>AAAAADf9+mY=</t>
  </si>
  <si>
    <t>B7: ajouter 1 à chaque fois que la réponse est "excellent"</t>
  </si>
  <si>
    <t>http://forum.excel-pratique.com/excel/recenser-des-termes-t26964.html?sid=ced409cc1d162f001f33f8657bc20b28</t>
  </si>
  <si>
    <t>Satisfaisant</t>
  </si>
  <si>
    <t>Moyen</t>
  </si>
  <si>
    <t>Décevant</t>
  </si>
  <si>
    <t>Très décevant</t>
  </si>
  <si>
    <t>Carapuce</t>
  </si>
  <si>
    <t>Banzai64</t>
  </si>
  <si>
    <t>Très satisfaisant</t>
  </si>
  <si>
    <t>Ceci est un commentaire</t>
  </si>
  <si>
    <t>Jules</t>
  </si>
  <si>
    <t>Sans opinion</t>
  </si>
  <si>
    <t>trucmuche</t>
  </si>
  <si>
    <t>karl</t>
  </si>
  <si>
    <t>autre commentaire</t>
  </si>
  <si>
    <t>Bidule</t>
  </si>
  <si>
    <t>Un essai</t>
  </si>
  <si>
    <t>Pierre</t>
  </si>
  <si>
    <t>Encore un</t>
  </si>
  <si>
    <t>Paul</t>
  </si>
  <si>
    <t>Ochon</t>
  </si>
  <si>
    <t>C'est lui</t>
  </si>
  <si>
    <t>Alain</t>
  </si>
  <si>
    <t>Doit changer de ligne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</si>
</sst>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6"/>
      <color indexed="8"/>
      <name val="Calibri"/>
      <family val="2"/>
    </font>
    <font>
      <u/>
      <sz val="11"/>
      <color indexed="8"/>
      <name val="Calibri"/>
      <family val="2"/>
    </font>
    <font>
      <sz val="8"/>
      <name val="Calibri"/>
      <family val="2"/>
    </font>
    <font>
      <b/>
      <sz val="14"/>
      <color indexed="8"/>
      <name val="Calibri"/>
      <family val="2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u/>
      <sz val="11"/>
      <color indexed="12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2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7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2" fillId="0" borderId="0" xfId="0" applyFont="1"/>
    <xf numFmtId="0" fontId="0" fillId="0" borderId="0" xfId="0" applyAlignment="1">
      <alignment horizontal="distributed" vertical="distributed"/>
    </xf>
    <xf numFmtId="0" fontId="0" fillId="0" borderId="3" xfId="0" applyBorder="1" applyAlignment="1">
      <alignment horizontal="distributed" vertical="distributed"/>
    </xf>
    <xf numFmtId="0" fontId="0" fillId="0" borderId="0" xfId="0" applyBorder="1"/>
    <xf numFmtId="0" fontId="0" fillId="0" borderId="4" xfId="0" applyBorder="1"/>
    <xf numFmtId="0" fontId="0" fillId="0" borderId="1" xfId="0" applyBorder="1" applyAlignment="1">
      <alignment horizontal="distributed" vertical="distributed"/>
    </xf>
    <xf numFmtId="0" fontId="0" fillId="0" borderId="1" xfId="0" applyFill="1" applyBorder="1" applyAlignment="1">
      <alignment horizontal="distributed" vertical="distributed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0" xfId="0" applyAlignment="1">
      <alignment vertical="justify"/>
    </xf>
    <xf numFmtId="0" fontId="0" fillId="0" borderId="11" xfId="0" applyBorder="1"/>
    <xf numFmtId="0" fontId="0" fillId="2" borderId="12" xfId="0" applyFill="1" applyBorder="1"/>
    <xf numFmtId="0" fontId="0" fillId="2" borderId="2" xfId="0" applyFill="1" applyBorder="1"/>
    <xf numFmtId="0" fontId="0" fillId="2" borderId="3" xfId="0" applyFill="1" applyBorder="1"/>
    <xf numFmtId="0" fontId="0" fillId="3" borderId="13" xfId="0" applyFill="1" applyBorder="1"/>
    <xf numFmtId="0" fontId="0" fillId="3" borderId="14" xfId="0" applyFill="1" applyBorder="1"/>
    <xf numFmtId="0" fontId="0" fillId="3" borderId="15" xfId="0" applyFill="1" applyBorder="1"/>
    <xf numFmtId="0" fontId="0" fillId="3" borderId="11" xfId="0" applyFill="1" applyBorder="1"/>
    <xf numFmtId="0" fontId="0" fillId="0" borderId="0" xfId="0" applyFill="1" applyAlignment="1">
      <alignment horizontal="justify" vertical="justify"/>
    </xf>
    <xf numFmtId="0" fontId="0" fillId="0" borderId="0" xfId="0" applyFill="1"/>
    <xf numFmtId="0" fontId="7" fillId="0" borderId="0" xfId="1" applyAlignment="1" applyProtection="1"/>
    <xf numFmtId="0" fontId="0" fillId="0" borderId="0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0" fontId="0" fillId="0" borderId="0" xfId="0" applyFill="1" applyAlignment="1">
      <alignment vertical="justify"/>
    </xf>
    <xf numFmtId="0" fontId="0" fillId="0" borderId="16" xfId="0" applyFill="1" applyBorder="1" applyAlignment="1">
      <alignment horizontal="left" vertical="justify"/>
    </xf>
    <xf numFmtId="0" fontId="0" fillId="0" borderId="17" xfId="0" applyFill="1" applyBorder="1" applyAlignment="1">
      <alignment horizontal="left" vertical="justify"/>
    </xf>
    <xf numFmtId="0" fontId="0" fillId="2" borderId="20" xfId="0" applyFill="1" applyBorder="1" applyAlignment="1">
      <alignment horizontal="center" vertical="justify"/>
    </xf>
    <xf numFmtId="0" fontId="0" fillId="2" borderId="22" xfId="0" applyFill="1" applyBorder="1" applyAlignment="1">
      <alignment horizontal="center" vertical="justify"/>
    </xf>
    <xf numFmtId="0" fontId="0" fillId="0" borderId="16" xfId="0" applyFill="1" applyBorder="1" applyAlignment="1">
      <alignment horizontal="justify" vertical="justify"/>
    </xf>
    <xf numFmtId="0" fontId="0" fillId="0" borderId="17" xfId="0" applyFill="1" applyBorder="1" applyAlignment="1">
      <alignment horizontal="justify" vertical="justify"/>
    </xf>
    <xf numFmtId="0" fontId="0" fillId="0" borderId="18" xfId="0" applyFill="1" applyBorder="1" applyAlignment="1">
      <alignment horizontal="left"/>
    </xf>
    <xf numFmtId="0" fontId="0" fillId="0" borderId="19" xfId="0" applyFill="1" applyBorder="1" applyAlignment="1">
      <alignment horizontal="left"/>
    </xf>
    <xf numFmtId="0" fontId="1" fillId="2" borderId="20" xfId="0" applyFont="1" applyFill="1" applyBorder="1" applyAlignment="1">
      <alignment horizontal="center"/>
    </xf>
    <xf numFmtId="0" fontId="0" fillId="5" borderId="16" xfId="0" applyFill="1" applyBorder="1" applyAlignment="1">
      <alignment horizontal="left" vertical="justify"/>
    </xf>
    <xf numFmtId="0" fontId="0" fillId="5" borderId="17" xfId="0" applyFill="1" applyBorder="1" applyAlignment="1">
      <alignment horizontal="left" vertical="justify"/>
    </xf>
    <xf numFmtId="0" fontId="0" fillId="0" borderId="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4" borderId="23" xfId="0" applyFill="1" applyBorder="1" applyAlignment="1">
      <alignment horizontal="center" vertical="justify"/>
    </xf>
    <xf numFmtId="0" fontId="0" fillId="4" borderId="24" xfId="0" applyFill="1" applyBorder="1" applyAlignment="1">
      <alignment horizontal="center" vertical="justify"/>
    </xf>
    <xf numFmtId="0" fontId="0" fillId="4" borderId="12" xfId="0" applyFill="1" applyBorder="1" applyAlignment="1">
      <alignment horizontal="center" vertical="justify"/>
    </xf>
    <xf numFmtId="0" fontId="0" fillId="4" borderId="2" xfId="0" applyFill="1" applyBorder="1" applyAlignment="1">
      <alignment horizontal="center" vertical="justify"/>
    </xf>
    <xf numFmtId="0" fontId="0" fillId="4" borderId="25" xfId="0" applyFill="1" applyBorder="1" applyAlignment="1">
      <alignment horizontal="center" vertical="justify"/>
    </xf>
    <xf numFmtId="0" fontId="0" fillId="4" borderId="9" xfId="0" applyFill="1" applyBorder="1" applyAlignment="1">
      <alignment horizontal="center" vertical="justify"/>
    </xf>
    <xf numFmtId="0" fontId="0" fillId="4" borderId="26" xfId="0" applyFill="1" applyBorder="1" applyAlignment="1">
      <alignment horizontal="center" vertical="justify"/>
    </xf>
    <xf numFmtId="0" fontId="0" fillId="4" borderId="5" xfId="0" applyFill="1" applyBorder="1" applyAlignment="1">
      <alignment horizontal="center" vertical="justify"/>
    </xf>
    <xf numFmtId="0" fontId="4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</cellXfs>
  <cellStyles count="2">
    <cellStyle name="Lien hypertexte" xfId="1" builtinId="8"/>
    <cellStyle name="Normal" xfId="0" builtinId="0"/>
  </cellStyles>
  <dxfs count="6"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7</xdr:row>
      <xdr:rowOff>171450</xdr:rowOff>
    </xdr:from>
    <xdr:to>
      <xdr:col>17</xdr:col>
      <xdr:colOff>323850</xdr:colOff>
      <xdr:row>29</xdr:row>
      <xdr:rowOff>19050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7686675" y="1619250"/>
          <a:ext cx="8648700" cy="5219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Bonsoir !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voilà mon problème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réalisé une feuille d'évaluation qui me donne un tableau de résultats en plusieurs paramètres.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chaque paramètre, 6 réponses sont possibles. Je voudrais maintenant arriver à "compter le nombre de réponses".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cela je pensais faire quelque chose comme: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le paramètre "clarté"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la case (x,x) ajouter 1 à chaque fois que le mot "excellent" apparait (ou quand CheckBox1 = true)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la case (x,y) ajouter 1 à chaque fois que le mot "satisfaisant" apparait (ou quand CheckBox2= true)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....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ce pour les 6 réponses possibles et les 5 paramètres étudiés.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essayé plusieurs méthodes mais sans succès (je suis complètement débutante dans le domaine...)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joins mon fichier en pièce jointe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J'espère que l'un d'entre vous aura un peu de temps pour m'aider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d'avance et bonne soirée !</a:t>
          </a:r>
        </a:p>
      </xdr:txBody>
    </xdr:sp>
    <xdr:clientData/>
  </xdr:twoCellAnchor>
  <xdr:twoCellAnchor>
    <xdr:from>
      <xdr:col>0</xdr:col>
      <xdr:colOff>895350</xdr:colOff>
      <xdr:row>22</xdr:row>
      <xdr:rowOff>161925</xdr:rowOff>
    </xdr:from>
    <xdr:to>
      <xdr:col>3</xdr:col>
      <xdr:colOff>638175</xdr:colOff>
      <xdr:row>25</xdr:row>
      <xdr:rowOff>85725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895350" y="5648325"/>
          <a:ext cx="2800350" cy="49530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Remplacer par des OptionButton</a:t>
          </a:r>
        </a:p>
      </xdr:txBody>
    </xdr:sp>
    <xdr:clientData/>
  </xdr:twoCellAnchor>
  <xdr:twoCellAnchor>
    <xdr:from>
      <xdr:col>0</xdr:col>
      <xdr:colOff>1581150</xdr:colOff>
      <xdr:row>16</xdr:row>
      <xdr:rowOff>180975</xdr:rowOff>
    </xdr:from>
    <xdr:to>
      <xdr:col>1</xdr:col>
      <xdr:colOff>571500</xdr:colOff>
      <xdr:row>22</xdr:row>
      <xdr:rowOff>152400</xdr:rowOff>
    </xdr:to>
    <xdr:sp macro="" textlink="">
      <xdr:nvSpPr>
        <xdr:cNvPr id="1030" name="Line 6"/>
        <xdr:cNvSpPr>
          <a:spLocks noChangeShapeType="1"/>
        </xdr:cNvSpPr>
      </xdr:nvSpPr>
      <xdr:spPr bwMode="auto">
        <a:xfrm flipH="1" flipV="1">
          <a:off x="1581150" y="4010025"/>
          <a:ext cx="581025" cy="1628775"/>
        </a:xfrm>
        <a:prstGeom prst="line">
          <a:avLst/>
        </a:prstGeom>
        <a:noFill/>
        <a:ln w="25400">
          <a:solidFill>
            <a:srgbClr val="FF0000"/>
          </a:solidFill>
          <a:round/>
          <a:headEnd/>
          <a:tailEnd type="triangle" w="med" len="med"/>
        </a:ln>
      </xdr:spPr>
    </xdr:sp>
    <xdr:clientData/>
  </xdr:twoCellAnchor>
  <xdr:twoCellAnchor>
    <xdr:from>
      <xdr:col>3</xdr:col>
      <xdr:colOff>2228850</xdr:colOff>
      <xdr:row>23</xdr:row>
      <xdr:rowOff>114300</xdr:rowOff>
    </xdr:from>
    <xdr:to>
      <xdr:col>6</xdr:col>
      <xdr:colOff>590550</xdr:colOff>
      <xdr:row>28</xdr:row>
      <xdr:rowOff>19050</xdr:rowOff>
    </xdr:to>
    <xdr:sp macro="" textlink="">
      <xdr:nvSpPr>
        <xdr:cNvPr id="1031" name="Text Box 7"/>
        <xdr:cNvSpPr txBox="1">
          <a:spLocks noChangeArrowheads="1"/>
        </xdr:cNvSpPr>
      </xdr:nvSpPr>
      <xdr:spPr bwMode="auto">
        <a:xfrm>
          <a:off x="5286375" y="5791200"/>
          <a:ext cx="2933700" cy="857250"/>
        </a:xfrm>
        <a:prstGeom prst="rect">
          <a:avLst/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saisie du Nom est obligatoire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600075</xdr:colOff>
      <xdr:row>9</xdr:row>
      <xdr:rowOff>161925</xdr:rowOff>
    </xdr:from>
    <xdr:to>
      <xdr:col>20</xdr:col>
      <xdr:colOff>590550</xdr:colOff>
      <xdr:row>31</xdr:row>
      <xdr:rowOff>9525</xdr:rowOff>
    </xdr:to>
    <xdr:sp macro="" textlink="">
      <xdr:nvSpPr>
        <xdr:cNvPr id="3073" name="Text Box 1"/>
        <xdr:cNvSpPr txBox="1">
          <a:spLocks noChangeArrowheads="1"/>
        </xdr:cNvSpPr>
      </xdr:nvSpPr>
      <xdr:spPr bwMode="auto">
        <a:xfrm>
          <a:off x="11868150" y="2247900"/>
          <a:ext cx="8648700" cy="5219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Bonsoir !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voilà mon problème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réalisé une feuille d'évaluation qui me donne un tableau de résultats en plusieurs paramètres.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chaque paramètre, 6 réponses sont possibles. Je voudrais maintenant arriver à "compter le nombre de réponses".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cela je pensais faire quelque chose comme: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le paramètre "clarté"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la case (x,x) ajouter 1 à chaque fois que le mot "excellent" apparait (ou quand CheckBox1 = true)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la case (x,y) ajouter 1 à chaque fois que le mot "satisfaisant" apparait (ou quand CheckBox2= true)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....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ce pour les 6 réponses possibles et les 5 paramètres étudiés.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essayé plusieurs méthodes mais sans succès (je suis complètement débutante dans le domaine...)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joins mon fichier en pièce jointe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J'espère que l'un d'entre vous aura un peu de temps pour m'aider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d'avance et bonne soirée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ustomProperty" Target="../customProperty1.bin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censer-des-termes-t26964.html?sid=ced409cc1d162f001f33f8657bc20b28" TargetMode="Externa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20"/>
  <sheetViews>
    <sheetView tabSelected="1" workbookViewId="0">
      <selection activeCell="D31" sqref="D31"/>
    </sheetView>
  </sheetViews>
  <sheetFormatPr baseColWidth="10" defaultRowHeight="15"/>
  <cols>
    <col min="1" max="1" width="23.85546875" customWidth="1"/>
    <col min="2" max="2" width="17.42578125" customWidth="1"/>
    <col min="3" max="3" width="4.5703125" customWidth="1"/>
    <col min="4" max="4" width="39" customWidth="1"/>
    <col min="5" max="5" width="18.140625" customWidth="1"/>
  </cols>
  <sheetData>
    <row r="1" spans="1:8" ht="15.75" thickBot="1">
      <c r="H1" s="28" t="s">
        <v>36</v>
      </c>
    </row>
    <row r="2" spans="1:8" ht="21.75" thickBot="1">
      <c r="A2" s="46" t="s">
        <v>1</v>
      </c>
      <c r="B2" s="35"/>
      <c r="C2" s="35"/>
      <c r="D2" s="35" t="s">
        <v>27</v>
      </c>
      <c r="E2" s="36"/>
    </row>
    <row r="4" spans="1:8">
      <c r="D4" s="4" t="s">
        <v>9</v>
      </c>
    </row>
    <row r="5" spans="1:8" ht="15.75" thickBot="1"/>
    <row r="6" spans="1:8">
      <c r="A6" s="19" t="s">
        <v>2</v>
      </c>
      <c r="B6" s="22"/>
      <c r="D6" s="19" t="s">
        <v>4</v>
      </c>
      <c r="E6" s="22"/>
    </row>
    <row r="7" spans="1:8" ht="15.75" thickBot="1">
      <c r="A7" s="20" t="s">
        <v>3</v>
      </c>
      <c r="B7" s="23"/>
      <c r="D7" s="21" t="s">
        <v>5</v>
      </c>
      <c r="E7" s="24"/>
    </row>
    <row r="8" spans="1:8">
      <c r="D8" s="21" t="s">
        <v>6</v>
      </c>
      <c r="E8" s="24"/>
    </row>
    <row r="9" spans="1:8">
      <c r="D9" s="21" t="s">
        <v>7</v>
      </c>
      <c r="E9" s="24"/>
    </row>
    <row r="10" spans="1:8" ht="15.75" thickBot="1">
      <c r="D10" s="20" t="s">
        <v>8</v>
      </c>
      <c r="E10" s="23"/>
    </row>
    <row r="12" spans="1:8">
      <c r="D12" s="4" t="s">
        <v>10</v>
      </c>
    </row>
    <row r="13" spans="1:8" ht="15.75" thickBot="1"/>
    <row r="14" spans="1:8" ht="48" customHeight="1" thickBot="1">
      <c r="A14" s="37"/>
      <c r="B14" s="37"/>
      <c r="C14" s="26"/>
      <c r="D14" s="25"/>
    </row>
    <row r="15" spans="1:8" ht="30.75" customHeight="1" thickBot="1">
      <c r="A15" s="40" t="s">
        <v>32</v>
      </c>
      <c r="B15" s="41"/>
      <c r="C15" s="26"/>
    </row>
    <row r="16" spans="1:8" ht="17.25" customHeight="1">
      <c r="A16" s="38" t="s">
        <v>28</v>
      </c>
      <c r="B16" s="39"/>
      <c r="C16" s="26"/>
    </row>
    <row r="17" spans="1:3" ht="18" customHeight="1">
      <c r="A17" s="47" t="s">
        <v>29</v>
      </c>
      <c r="B17" s="48"/>
      <c r="C17" s="26"/>
    </row>
    <row r="18" spans="1:3" ht="33" customHeight="1">
      <c r="A18" s="42" t="s">
        <v>33</v>
      </c>
      <c r="B18" s="43"/>
      <c r="C18" s="27"/>
    </row>
    <row r="19" spans="1:3" ht="33.75" customHeight="1">
      <c r="A19" s="42" t="s">
        <v>31</v>
      </c>
      <c r="B19" s="43"/>
      <c r="C19" s="27"/>
    </row>
    <row r="20" spans="1:3" ht="15.75" thickBot="1">
      <c r="A20" s="44" t="s">
        <v>30</v>
      </c>
      <c r="B20" s="45"/>
      <c r="C20" s="27"/>
    </row>
  </sheetData>
  <mergeCells count="9">
    <mergeCell ref="A20:B20"/>
    <mergeCell ref="A2:C2"/>
    <mergeCell ref="A17:B17"/>
    <mergeCell ref="D2:E2"/>
    <mergeCell ref="A14:B14"/>
    <mergeCell ref="A16:B16"/>
    <mergeCell ref="A15:B15"/>
    <mergeCell ref="A18:B18"/>
    <mergeCell ref="A19:B19"/>
  </mergeCells>
  <phoneticPr fontId="3" type="noConversion"/>
  <hyperlinks>
    <hyperlink ref="H1" r:id="rId1"/>
  </hyperlinks>
  <pageMargins left="0.7" right="0.7" top="0.75" bottom="0.75" header="0.3" footer="0.3"/>
  <pageSetup paperSize="9" orientation="portrait" r:id="rId2"/>
  <customProperties>
    <customPr name="DVSECTIONID" r:id="rId3"/>
  </customProperties>
  <drawing r:id="rId4"/>
  <legacyDrawing r:id="rId5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M78"/>
  <sheetViews>
    <sheetView zoomScale="70" zoomScaleNormal="70" workbookViewId="0">
      <selection activeCell="K44" sqref="K44"/>
    </sheetView>
  </sheetViews>
  <sheetFormatPr baseColWidth="10" defaultRowHeight="15"/>
  <cols>
    <col min="2" max="2" width="15.7109375" customWidth="1"/>
    <col min="3" max="3" width="21.85546875" customWidth="1"/>
    <col min="4" max="7" width="15.7109375" customWidth="1"/>
    <col min="13" max="13" width="49.85546875" customWidth="1"/>
  </cols>
  <sheetData>
    <row r="3" spans="1:13" ht="15.75" thickBot="1"/>
    <row r="4" spans="1:13" ht="20.100000000000001" customHeight="1">
      <c r="A4" s="51" t="s">
        <v>4</v>
      </c>
      <c r="B4" s="52"/>
      <c r="C4" s="52"/>
      <c r="D4" s="52"/>
      <c r="E4" s="52"/>
      <c r="F4" s="52"/>
      <c r="G4" s="52"/>
      <c r="H4" s="52"/>
      <c r="I4" s="52"/>
      <c r="J4" s="53"/>
    </row>
    <row r="5" spans="1:13">
      <c r="A5" s="50"/>
      <c r="B5" s="49"/>
      <c r="C5" s="49"/>
      <c r="D5" s="49"/>
      <c r="E5" s="49"/>
      <c r="F5" s="49"/>
      <c r="G5" s="49"/>
      <c r="H5" s="49"/>
      <c r="I5" s="7"/>
      <c r="J5" s="57"/>
    </row>
    <row r="6" spans="1:13" s="5" customFormat="1" ht="30" customHeight="1">
      <c r="A6" s="50"/>
      <c r="B6" s="9" t="s">
        <v>16</v>
      </c>
      <c r="C6" s="9" t="s">
        <v>11</v>
      </c>
      <c r="D6" s="9" t="s">
        <v>12</v>
      </c>
      <c r="E6" s="9" t="s">
        <v>13</v>
      </c>
      <c r="F6" s="9" t="s">
        <v>14</v>
      </c>
      <c r="G6" s="9" t="s">
        <v>15</v>
      </c>
      <c r="H6" s="49"/>
      <c r="I6" s="9" t="s">
        <v>22</v>
      </c>
      <c r="J6" s="57"/>
      <c r="M6" s="6" t="s">
        <v>35</v>
      </c>
    </row>
    <row r="7" spans="1:13" ht="20.100000000000001" customHeight="1">
      <c r="A7" s="50"/>
      <c r="B7" s="34">
        <f t="shared" ref="B7:G7" si="0">IF(COUNTIF($C$33:$C$62,B6)&gt;0,COUNTIF($C$33:$C$62,B6),"")</f>
        <v>4</v>
      </c>
      <c r="C7" s="34" t="str">
        <f t="shared" si="0"/>
        <v/>
      </c>
      <c r="D7" s="34">
        <f t="shared" si="0"/>
        <v>3</v>
      </c>
      <c r="E7" s="34" t="str">
        <f t="shared" si="0"/>
        <v/>
      </c>
      <c r="F7" s="34" t="str">
        <f t="shared" si="0"/>
        <v/>
      </c>
      <c r="G7" s="34">
        <f t="shared" si="0"/>
        <v>2</v>
      </c>
      <c r="H7" s="49"/>
      <c r="I7" s="34">
        <f>SUM(B7:G7)</f>
        <v>9</v>
      </c>
      <c r="J7" s="57"/>
    </row>
    <row r="8" spans="1:13">
      <c r="A8" s="50"/>
      <c r="B8" s="49"/>
      <c r="C8" s="49"/>
      <c r="D8" s="49"/>
      <c r="E8" s="49"/>
      <c r="F8" s="49"/>
      <c r="G8" s="49"/>
      <c r="H8" s="49"/>
      <c r="I8" s="7"/>
      <c r="J8" s="57"/>
    </row>
    <row r="9" spans="1:13" ht="20.100000000000001" customHeight="1">
      <c r="A9" s="54" t="s">
        <v>5</v>
      </c>
      <c r="B9" s="55"/>
      <c r="C9" s="55"/>
      <c r="D9" s="55"/>
      <c r="E9" s="55"/>
      <c r="F9" s="55"/>
      <c r="G9" s="55"/>
      <c r="H9" s="55"/>
      <c r="I9" s="55"/>
      <c r="J9" s="56"/>
    </row>
    <row r="10" spans="1:13">
      <c r="A10" s="50"/>
      <c r="B10" s="49"/>
      <c r="C10" s="49"/>
      <c r="D10" s="49"/>
      <c r="E10" s="49"/>
      <c r="F10" s="49"/>
      <c r="G10" s="49"/>
      <c r="H10" s="49"/>
      <c r="I10" s="7"/>
      <c r="J10" s="57"/>
    </row>
    <row r="11" spans="1:13" ht="30" customHeight="1">
      <c r="A11" s="50"/>
      <c r="B11" s="9" t="s">
        <v>16</v>
      </c>
      <c r="C11" s="9" t="s">
        <v>11</v>
      </c>
      <c r="D11" s="9" t="s">
        <v>12</v>
      </c>
      <c r="E11" s="9" t="s">
        <v>13</v>
      </c>
      <c r="F11" s="9" t="s">
        <v>14</v>
      </c>
      <c r="G11" s="9" t="s">
        <v>15</v>
      </c>
      <c r="H11" s="49"/>
      <c r="I11" s="10" t="s">
        <v>22</v>
      </c>
      <c r="J11" s="57"/>
    </row>
    <row r="12" spans="1:13" ht="20.100000000000001" customHeight="1">
      <c r="A12" s="50"/>
      <c r="B12" s="34">
        <f t="shared" ref="B12:G12" si="1">IF(COUNTIF($D$33:$D$62,B11)&gt;0,COUNTIF($D$33:$D$62,B11),"")</f>
        <v>1</v>
      </c>
      <c r="C12" s="34">
        <f t="shared" si="1"/>
        <v>5</v>
      </c>
      <c r="D12" s="34" t="str">
        <f t="shared" si="1"/>
        <v/>
      </c>
      <c r="E12" s="34">
        <f t="shared" si="1"/>
        <v>2</v>
      </c>
      <c r="F12" s="34" t="str">
        <f t="shared" si="1"/>
        <v/>
      </c>
      <c r="G12" s="34">
        <f t="shared" si="1"/>
        <v>1</v>
      </c>
      <c r="H12" s="49"/>
      <c r="I12" s="34">
        <f>SUM(B12:G12)</f>
        <v>9</v>
      </c>
      <c r="J12" s="57"/>
    </row>
    <row r="13" spans="1:13">
      <c r="A13" s="50"/>
      <c r="B13" s="49"/>
      <c r="C13" s="49"/>
      <c r="D13" s="49"/>
      <c r="E13" s="49"/>
      <c r="F13" s="49"/>
      <c r="G13" s="49"/>
      <c r="H13" s="49"/>
      <c r="I13" s="7"/>
      <c r="J13" s="57"/>
    </row>
    <row r="14" spans="1:13" ht="20.100000000000001" customHeight="1">
      <c r="A14" s="54" t="s">
        <v>6</v>
      </c>
      <c r="B14" s="55"/>
      <c r="C14" s="55"/>
      <c r="D14" s="55"/>
      <c r="E14" s="55"/>
      <c r="F14" s="55"/>
      <c r="G14" s="55"/>
      <c r="H14" s="55"/>
      <c r="I14" s="55"/>
      <c r="J14" s="56"/>
    </row>
    <row r="15" spans="1:13">
      <c r="A15" s="50"/>
      <c r="B15" s="49"/>
      <c r="C15" s="49"/>
      <c r="D15" s="49"/>
      <c r="E15" s="49"/>
      <c r="F15" s="49"/>
      <c r="G15" s="49"/>
      <c r="H15" s="49"/>
      <c r="I15" s="7"/>
      <c r="J15" s="57"/>
    </row>
    <row r="16" spans="1:13" ht="30" customHeight="1">
      <c r="A16" s="50"/>
      <c r="B16" s="9" t="s">
        <v>16</v>
      </c>
      <c r="C16" s="9" t="s">
        <v>11</v>
      </c>
      <c r="D16" s="9" t="s">
        <v>12</v>
      </c>
      <c r="E16" s="9" t="s">
        <v>13</v>
      </c>
      <c r="F16" s="9" t="s">
        <v>14</v>
      </c>
      <c r="G16" s="9" t="s">
        <v>15</v>
      </c>
      <c r="H16" s="49"/>
      <c r="I16" s="10" t="s">
        <v>22</v>
      </c>
      <c r="J16" s="57"/>
    </row>
    <row r="17" spans="1:10" ht="20.100000000000001" customHeight="1">
      <c r="A17" s="50"/>
      <c r="B17" s="34" t="str">
        <f t="shared" ref="B17:G17" si="2">IF(COUNTIF($E$33:$E$62,B16)&gt;0,COUNTIF($E$33:$E$62,B16),"")</f>
        <v/>
      </c>
      <c r="C17" s="34">
        <f t="shared" si="2"/>
        <v>4</v>
      </c>
      <c r="D17" s="34">
        <f t="shared" si="2"/>
        <v>1</v>
      </c>
      <c r="E17" s="34">
        <f t="shared" si="2"/>
        <v>1</v>
      </c>
      <c r="F17" s="34" t="str">
        <f t="shared" si="2"/>
        <v/>
      </c>
      <c r="G17" s="34">
        <f t="shared" si="2"/>
        <v>1</v>
      </c>
      <c r="H17" s="49"/>
      <c r="I17" s="34">
        <f>SUM(B17:G17)</f>
        <v>7</v>
      </c>
      <c r="J17" s="57"/>
    </row>
    <row r="18" spans="1:10">
      <c r="A18" s="50"/>
      <c r="B18" s="49"/>
      <c r="C18" s="49"/>
      <c r="D18" s="49"/>
      <c r="E18" s="49"/>
      <c r="F18" s="49"/>
      <c r="G18" s="49"/>
      <c r="H18" s="49"/>
      <c r="I18" s="7"/>
      <c r="J18" s="57"/>
    </row>
    <row r="19" spans="1:10" ht="20.100000000000001" customHeight="1">
      <c r="A19" s="54" t="s">
        <v>7</v>
      </c>
      <c r="B19" s="55"/>
      <c r="C19" s="55"/>
      <c r="D19" s="55"/>
      <c r="E19" s="55"/>
      <c r="F19" s="55"/>
      <c r="G19" s="55"/>
      <c r="H19" s="55"/>
      <c r="I19" s="55"/>
      <c r="J19" s="56"/>
    </row>
    <row r="20" spans="1:10">
      <c r="A20" s="50"/>
      <c r="B20" s="49"/>
      <c r="C20" s="49"/>
      <c r="D20" s="49"/>
      <c r="E20" s="49"/>
      <c r="F20" s="49"/>
      <c r="G20" s="49"/>
      <c r="H20" s="49"/>
      <c r="I20" s="7"/>
      <c r="J20" s="57"/>
    </row>
    <row r="21" spans="1:10" ht="30" customHeight="1">
      <c r="A21" s="50"/>
      <c r="B21" s="9" t="s">
        <v>16</v>
      </c>
      <c r="C21" s="9" t="s">
        <v>11</v>
      </c>
      <c r="D21" s="9" t="s">
        <v>12</v>
      </c>
      <c r="E21" s="9" t="s">
        <v>13</v>
      </c>
      <c r="F21" s="9" t="s">
        <v>14</v>
      </c>
      <c r="G21" s="9" t="s">
        <v>15</v>
      </c>
      <c r="H21" s="49"/>
      <c r="I21" s="10" t="s">
        <v>22</v>
      </c>
      <c r="J21" s="57"/>
    </row>
    <row r="22" spans="1:10" ht="20.100000000000001" customHeight="1">
      <c r="A22" s="50"/>
      <c r="B22" s="34">
        <f t="shared" ref="B22:G22" si="3">IF(COUNTIF($F$33:$F$62,B21)&gt;0,COUNTIF($F$33:$F$62,B21),"")</f>
        <v>1</v>
      </c>
      <c r="C22" s="34">
        <f t="shared" si="3"/>
        <v>2</v>
      </c>
      <c r="D22" s="34">
        <f t="shared" si="3"/>
        <v>2</v>
      </c>
      <c r="E22" s="34">
        <f t="shared" si="3"/>
        <v>1</v>
      </c>
      <c r="F22" s="34">
        <f t="shared" si="3"/>
        <v>2</v>
      </c>
      <c r="G22" s="34">
        <f t="shared" si="3"/>
        <v>1</v>
      </c>
      <c r="H22" s="49"/>
      <c r="I22" s="34">
        <f>SUM(B22:G22)</f>
        <v>9</v>
      </c>
      <c r="J22" s="57"/>
    </row>
    <row r="23" spans="1:10">
      <c r="A23" s="50"/>
      <c r="B23" s="49"/>
      <c r="C23" s="49"/>
      <c r="D23" s="49"/>
      <c r="E23" s="49"/>
      <c r="F23" s="49"/>
      <c r="G23" s="49"/>
      <c r="H23" s="49"/>
      <c r="I23" s="29"/>
      <c r="J23" s="57"/>
    </row>
    <row r="24" spans="1:10" ht="20.100000000000001" customHeight="1">
      <c r="A24" s="54" t="s">
        <v>8</v>
      </c>
      <c r="B24" s="55"/>
      <c r="C24" s="55"/>
      <c r="D24" s="55"/>
      <c r="E24" s="55"/>
      <c r="F24" s="55"/>
      <c r="G24" s="55"/>
      <c r="H24" s="55"/>
      <c r="I24" s="55"/>
      <c r="J24" s="56"/>
    </row>
    <row r="25" spans="1:10">
      <c r="A25" s="50"/>
      <c r="B25" s="49"/>
      <c r="C25" s="49"/>
      <c r="D25" s="49"/>
      <c r="E25" s="49"/>
      <c r="F25" s="49"/>
      <c r="G25" s="49"/>
      <c r="H25" s="49"/>
      <c r="I25" s="7"/>
      <c r="J25" s="57"/>
    </row>
    <row r="26" spans="1:10" ht="30" customHeight="1">
      <c r="A26" s="50"/>
      <c r="B26" s="9" t="s">
        <v>16</v>
      </c>
      <c r="C26" s="9" t="s">
        <v>11</v>
      </c>
      <c r="D26" s="9" t="s">
        <v>12</v>
      </c>
      <c r="E26" s="9" t="s">
        <v>13</v>
      </c>
      <c r="F26" s="9" t="s">
        <v>14</v>
      </c>
      <c r="G26" s="9" t="s">
        <v>15</v>
      </c>
      <c r="H26" s="49"/>
      <c r="I26" s="10" t="s">
        <v>22</v>
      </c>
      <c r="J26" s="57"/>
    </row>
    <row r="27" spans="1:10" ht="20.100000000000001" customHeight="1">
      <c r="A27" s="50"/>
      <c r="B27" s="34">
        <f t="shared" ref="B27:G27" si="4">IF(COUNTIF($G$33:$G$62,B26)&gt;0,COUNTIF($G$33:$G$62,B26),"")</f>
        <v>1</v>
      </c>
      <c r="C27" s="34">
        <f t="shared" si="4"/>
        <v>2</v>
      </c>
      <c r="D27" s="34" t="str">
        <f t="shared" si="4"/>
        <v/>
      </c>
      <c r="E27" s="34">
        <f t="shared" si="4"/>
        <v>2</v>
      </c>
      <c r="F27" s="34">
        <f t="shared" si="4"/>
        <v>1</v>
      </c>
      <c r="G27" s="34">
        <f t="shared" si="4"/>
        <v>2</v>
      </c>
      <c r="H27" s="49"/>
      <c r="I27" s="34">
        <f>SUM(B27:G27)</f>
        <v>8</v>
      </c>
      <c r="J27" s="57"/>
    </row>
    <row r="28" spans="1:10" ht="15.75" thickBot="1">
      <c r="A28" s="60"/>
      <c r="B28" s="58"/>
      <c r="C28" s="58"/>
      <c r="D28" s="58"/>
      <c r="E28" s="58"/>
      <c r="F28" s="58"/>
      <c r="G28" s="58"/>
      <c r="H28" s="58"/>
      <c r="I28" s="8"/>
      <c r="J28" s="59"/>
    </row>
    <row r="30" spans="1:10" ht="15.75" thickBot="1"/>
    <row r="31" spans="1:10" s="17" customFormat="1">
      <c r="A31" s="63" t="s">
        <v>0</v>
      </c>
      <c r="B31" s="65" t="s">
        <v>23</v>
      </c>
      <c r="C31" s="67" t="s">
        <v>17</v>
      </c>
      <c r="D31" s="67" t="s">
        <v>18</v>
      </c>
      <c r="E31" s="67" t="s">
        <v>19</v>
      </c>
      <c r="F31" s="67" t="s">
        <v>20</v>
      </c>
      <c r="G31" s="67" t="s">
        <v>21</v>
      </c>
      <c r="H31" s="61" t="s">
        <v>24</v>
      </c>
    </row>
    <row r="32" spans="1:10" s="17" customFormat="1" ht="15.75" thickBot="1">
      <c r="A32" s="64"/>
      <c r="B32" s="66"/>
      <c r="C32" s="68"/>
      <c r="D32" s="68"/>
      <c r="E32" s="68"/>
      <c r="F32" s="68"/>
      <c r="G32" s="68"/>
      <c r="H32" s="62"/>
    </row>
    <row r="33" spans="1:8">
      <c r="A33" s="16" t="s">
        <v>41</v>
      </c>
      <c r="B33" s="13"/>
      <c r="C33" s="12" t="s">
        <v>43</v>
      </c>
      <c r="D33" s="12" t="s">
        <v>37</v>
      </c>
      <c r="E33" s="12" t="s">
        <v>37</v>
      </c>
      <c r="F33" s="12" t="s">
        <v>37</v>
      </c>
      <c r="G33" s="12" t="s">
        <v>43</v>
      </c>
      <c r="H33" s="30">
        <v>1</v>
      </c>
    </row>
    <row r="34" spans="1:8">
      <c r="A34" s="3" t="s">
        <v>42</v>
      </c>
      <c r="B34" s="14"/>
      <c r="C34" s="1" t="s">
        <v>43</v>
      </c>
      <c r="D34" s="1" t="s">
        <v>37</v>
      </c>
      <c r="E34" s="1" t="s">
        <v>38</v>
      </c>
      <c r="F34" s="1" t="s">
        <v>39</v>
      </c>
      <c r="G34" s="1" t="s">
        <v>40</v>
      </c>
      <c r="H34" s="31">
        <v>1</v>
      </c>
    </row>
    <row r="35" spans="1:8">
      <c r="A35" s="3" t="s">
        <v>45</v>
      </c>
      <c r="B35" s="14"/>
      <c r="C35" s="1" t="s">
        <v>46</v>
      </c>
      <c r="D35" s="1" t="s">
        <v>46</v>
      </c>
      <c r="E35" s="1" t="s">
        <v>46</v>
      </c>
      <c r="F35" s="1" t="s">
        <v>46</v>
      </c>
      <c r="G35" s="1" t="s">
        <v>46</v>
      </c>
      <c r="H35" s="31">
        <v>1</v>
      </c>
    </row>
    <row r="36" spans="1:8">
      <c r="A36" s="3" t="s">
        <v>47</v>
      </c>
      <c r="B36" s="14"/>
      <c r="C36" s="1" t="s">
        <v>38</v>
      </c>
      <c r="D36" s="1" t="s">
        <v>37</v>
      </c>
      <c r="E36" s="1" t="s">
        <v>37</v>
      </c>
      <c r="F36" s="1" t="s">
        <v>37</v>
      </c>
      <c r="G36" s="1"/>
      <c r="H36" s="31">
        <v>1</v>
      </c>
    </row>
    <row r="37" spans="1:8">
      <c r="A37" s="3" t="s">
        <v>48</v>
      </c>
      <c r="B37" s="14"/>
      <c r="C37" s="1" t="s">
        <v>43</v>
      </c>
      <c r="D37" s="1" t="s">
        <v>43</v>
      </c>
      <c r="E37" s="1" t="s">
        <v>37</v>
      </c>
      <c r="F37" s="1" t="s">
        <v>40</v>
      </c>
      <c r="G37" s="1" t="s">
        <v>46</v>
      </c>
      <c r="H37" s="31">
        <v>1</v>
      </c>
    </row>
    <row r="38" spans="1:8">
      <c r="A38" s="3" t="s">
        <v>50</v>
      </c>
      <c r="B38" s="14"/>
      <c r="C38" s="1" t="s">
        <v>38</v>
      </c>
      <c r="D38" s="1" t="s">
        <v>39</v>
      </c>
      <c r="E38" s="1" t="s">
        <v>37</v>
      </c>
      <c r="F38" s="1" t="s">
        <v>38</v>
      </c>
      <c r="G38" s="1" t="s">
        <v>37</v>
      </c>
      <c r="H38" s="31">
        <v>1</v>
      </c>
    </row>
    <row r="39" spans="1:8">
      <c r="A39" s="3" t="s">
        <v>52</v>
      </c>
      <c r="B39" s="14"/>
      <c r="C39" s="1" t="s">
        <v>46</v>
      </c>
      <c r="D39" s="1" t="s">
        <v>39</v>
      </c>
      <c r="E39" s="1" t="s">
        <v>39</v>
      </c>
      <c r="F39" s="1" t="s">
        <v>40</v>
      </c>
      <c r="G39" s="1" t="s">
        <v>39</v>
      </c>
      <c r="H39" s="31">
        <v>1</v>
      </c>
    </row>
    <row r="40" spans="1:8">
      <c r="A40" s="3" t="s">
        <v>54</v>
      </c>
      <c r="B40" s="14" t="s">
        <v>55</v>
      </c>
      <c r="C40" s="1" t="s">
        <v>43</v>
      </c>
      <c r="D40" s="1" t="s">
        <v>37</v>
      </c>
      <c r="E40" s="1"/>
      <c r="F40" s="1" t="s">
        <v>43</v>
      </c>
      <c r="G40" s="1" t="s">
        <v>37</v>
      </c>
      <c r="H40" s="31">
        <v>1</v>
      </c>
    </row>
    <row r="41" spans="1:8">
      <c r="A41" s="3" t="s">
        <v>57</v>
      </c>
      <c r="B41" s="14"/>
      <c r="C41" s="1" t="s">
        <v>38</v>
      </c>
      <c r="D41" s="1" t="s">
        <v>37</v>
      </c>
      <c r="E41" s="1"/>
      <c r="F41" s="1" t="s">
        <v>38</v>
      </c>
      <c r="G41" s="1" t="s">
        <v>39</v>
      </c>
      <c r="H41" s="31">
        <v>1</v>
      </c>
    </row>
    <row r="42" spans="1:8">
      <c r="A42" s="3"/>
      <c r="B42" s="14"/>
      <c r="C42" s="1"/>
      <c r="D42" s="1"/>
      <c r="E42" s="1"/>
      <c r="F42" s="1"/>
      <c r="G42" s="1"/>
      <c r="H42" s="31"/>
    </row>
    <row r="43" spans="1:8">
      <c r="A43" s="3"/>
      <c r="B43" s="14"/>
      <c r="C43" s="1"/>
      <c r="D43" s="1"/>
      <c r="E43" s="1"/>
      <c r="F43" s="1"/>
      <c r="G43" s="1"/>
      <c r="H43" s="31"/>
    </row>
    <row r="44" spans="1:8">
      <c r="A44" s="3"/>
      <c r="B44" s="14"/>
      <c r="C44" s="1"/>
      <c r="D44" s="1"/>
      <c r="E44" s="1"/>
      <c r="F44" s="1"/>
      <c r="G44" s="1"/>
      <c r="H44" s="31"/>
    </row>
    <row r="45" spans="1:8">
      <c r="A45" s="3"/>
      <c r="B45" s="14"/>
      <c r="C45" s="1"/>
      <c r="D45" s="1"/>
      <c r="E45" s="1"/>
      <c r="F45" s="1"/>
      <c r="G45" s="1"/>
      <c r="H45" s="31"/>
    </row>
    <row r="46" spans="1:8">
      <c r="A46" s="3"/>
      <c r="B46" s="14"/>
      <c r="C46" s="1"/>
      <c r="D46" s="1"/>
      <c r="E46" s="1"/>
      <c r="F46" s="1"/>
      <c r="G46" s="1"/>
      <c r="H46" s="31"/>
    </row>
    <row r="47" spans="1:8">
      <c r="A47" s="3"/>
      <c r="B47" s="14"/>
      <c r="C47" s="1"/>
      <c r="D47" s="1"/>
      <c r="E47" s="1"/>
      <c r="F47" s="1"/>
      <c r="G47" s="1"/>
      <c r="H47" s="31"/>
    </row>
    <row r="48" spans="1:8">
      <c r="A48" s="3"/>
      <c r="B48" s="14"/>
      <c r="C48" s="1"/>
      <c r="D48" s="1"/>
      <c r="E48" s="1"/>
      <c r="F48" s="1"/>
      <c r="G48" s="1"/>
      <c r="H48" s="31"/>
    </row>
    <row r="49" spans="1:8">
      <c r="A49" s="3"/>
      <c r="B49" s="14"/>
      <c r="C49" s="1"/>
      <c r="D49" s="1"/>
      <c r="E49" s="1"/>
      <c r="F49" s="1"/>
      <c r="G49" s="1"/>
      <c r="H49" s="31"/>
    </row>
    <row r="50" spans="1:8">
      <c r="A50" s="3"/>
      <c r="B50" s="14"/>
      <c r="C50" s="1"/>
      <c r="D50" s="1"/>
      <c r="E50" s="1"/>
      <c r="F50" s="1"/>
      <c r="G50" s="1"/>
      <c r="H50" s="31"/>
    </row>
    <row r="51" spans="1:8">
      <c r="A51" s="3"/>
      <c r="B51" s="14"/>
      <c r="C51" s="1"/>
      <c r="D51" s="1"/>
      <c r="E51" s="1"/>
      <c r="F51" s="1"/>
      <c r="G51" s="1"/>
      <c r="H51" s="31"/>
    </row>
    <row r="52" spans="1:8">
      <c r="A52" s="3"/>
      <c r="B52" s="14"/>
      <c r="C52" s="1"/>
      <c r="D52" s="1"/>
      <c r="E52" s="1"/>
      <c r="F52" s="1"/>
      <c r="G52" s="1"/>
      <c r="H52" s="31"/>
    </row>
    <row r="53" spans="1:8">
      <c r="A53" s="3"/>
      <c r="B53" s="14"/>
      <c r="C53" s="1"/>
      <c r="D53" s="1"/>
      <c r="E53" s="1"/>
      <c r="F53" s="1"/>
      <c r="G53" s="1"/>
      <c r="H53" s="31"/>
    </row>
    <row r="54" spans="1:8">
      <c r="A54" s="3"/>
      <c r="B54" s="14"/>
      <c r="C54" s="1"/>
      <c r="D54" s="1"/>
      <c r="E54" s="1"/>
      <c r="F54" s="1"/>
      <c r="G54" s="1"/>
      <c r="H54" s="31"/>
    </row>
    <row r="55" spans="1:8">
      <c r="A55" s="3"/>
      <c r="B55" s="14"/>
      <c r="C55" s="1"/>
      <c r="D55" s="1"/>
      <c r="E55" s="1"/>
      <c r="F55" s="1"/>
      <c r="G55" s="1"/>
      <c r="H55" s="31"/>
    </row>
    <row r="56" spans="1:8">
      <c r="A56" s="3"/>
      <c r="B56" s="14"/>
      <c r="C56" s="1"/>
      <c r="D56" s="1"/>
      <c r="E56" s="1"/>
      <c r="F56" s="1"/>
      <c r="G56" s="1"/>
      <c r="H56" s="31"/>
    </row>
    <row r="57" spans="1:8">
      <c r="A57" s="3"/>
      <c r="B57" s="14"/>
      <c r="C57" s="1"/>
      <c r="D57" s="1"/>
      <c r="E57" s="1"/>
      <c r="F57" s="1"/>
      <c r="G57" s="1"/>
      <c r="H57" s="31"/>
    </row>
    <row r="58" spans="1:8">
      <c r="A58" s="3"/>
      <c r="B58" s="14"/>
      <c r="C58" s="1"/>
      <c r="D58" s="1"/>
      <c r="E58" s="1"/>
      <c r="F58" s="1"/>
      <c r="G58" s="1"/>
      <c r="H58" s="31"/>
    </row>
    <row r="59" spans="1:8">
      <c r="A59" s="3"/>
      <c r="B59" s="14"/>
      <c r="C59" s="1"/>
      <c r="D59" s="1"/>
      <c r="E59" s="1"/>
      <c r="F59" s="1"/>
      <c r="G59" s="1"/>
      <c r="H59" s="31"/>
    </row>
    <row r="60" spans="1:8">
      <c r="A60" s="3"/>
      <c r="B60" s="14"/>
      <c r="C60" s="1"/>
      <c r="D60" s="1"/>
      <c r="E60" s="1"/>
      <c r="F60" s="1"/>
      <c r="G60" s="1"/>
      <c r="H60" s="31"/>
    </row>
    <row r="61" spans="1:8">
      <c r="A61" s="3"/>
      <c r="B61" s="14"/>
      <c r="C61" s="1"/>
      <c r="D61" s="1"/>
      <c r="E61" s="1"/>
      <c r="F61" s="1"/>
      <c r="G61" s="1"/>
      <c r="H61" s="31"/>
    </row>
    <row r="62" spans="1:8" ht="15.75" thickBot="1">
      <c r="A62" s="2"/>
      <c r="B62" s="15"/>
      <c r="C62" s="11"/>
      <c r="D62" s="11"/>
      <c r="E62" s="11"/>
      <c r="F62" s="11"/>
      <c r="G62" s="11"/>
      <c r="H62" s="32"/>
    </row>
    <row r="63" spans="1:8">
      <c r="A63" s="7"/>
      <c r="B63" s="7"/>
      <c r="C63" s="7"/>
      <c r="D63" s="7"/>
      <c r="E63" s="7"/>
      <c r="F63" s="7"/>
      <c r="G63" s="12" t="s">
        <v>25</v>
      </c>
      <c r="H63" s="33">
        <f>SUM(H33:H62)</f>
        <v>9</v>
      </c>
    </row>
    <row r="65" spans="1:8">
      <c r="A65" s="7"/>
      <c r="B65" s="7"/>
      <c r="C65" s="7"/>
      <c r="D65" s="7"/>
      <c r="E65" s="7"/>
      <c r="F65" s="7"/>
      <c r="G65" s="7"/>
      <c r="H65" s="7"/>
    </row>
    <row r="66" spans="1:8">
      <c r="A66" s="7"/>
      <c r="B66" s="7"/>
      <c r="C66" s="7"/>
      <c r="D66" s="7"/>
      <c r="E66" s="7"/>
      <c r="F66" s="7"/>
      <c r="G66" s="7"/>
      <c r="H66" s="7"/>
    </row>
    <row r="67" spans="1:8">
      <c r="A67" s="7"/>
      <c r="B67" s="7"/>
      <c r="C67" s="7"/>
      <c r="D67" s="7"/>
      <c r="E67" s="7"/>
      <c r="F67" s="7"/>
      <c r="G67" s="7"/>
      <c r="H67" s="7"/>
    </row>
    <row r="68" spans="1:8">
      <c r="A68" s="7"/>
      <c r="B68" s="7"/>
      <c r="C68" s="7"/>
      <c r="D68" s="7"/>
      <c r="E68" s="7"/>
      <c r="F68" s="7"/>
      <c r="G68" s="7"/>
      <c r="H68" s="7"/>
    </row>
    <row r="69" spans="1:8">
      <c r="A69" s="7"/>
      <c r="B69" s="7"/>
      <c r="C69" s="7"/>
      <c r="D69" s="7"/>
      <c r="E69" s="7"/>
      <c r="F69" s="7"/>
      <c r="G69" s="7"/>
      <c r="H69" s="7"/>
    </row>
    <row r="70" spans="1:8">
      <c r="A70" s="7"/>
      <c r="B70" s="7"/>
      <c r="C70" s="7"/>
      <c r="D70" s="7"/>
      <c r="E70" s="7"/>
      <c r="F70" s="7"/>
      <c r="G70" s="7"/>
      <c r="H70" s="7"/>
    </row>
    <row r="71" spans="1:8">
      <c r="A71" s="7"/>
      <c r="B71" s="7"/>
      <c r="C71" s="7"/>
      <c r="D71" s="7"/>
      <c r="E71" s="7"/>
      <c r="F71" s="7"/>
      <c r="G71" s="7"/>
      <c r="H71" s="7"/>
    </row>
    <row r="72" spans="1:8">
      <c r="A72" s="7"/>
      <c r="B72" s="7"/>
      <c r="C72" s="7"/>
      <c r="D72" s="7"/>
      <c r="E72" s="7"/>
      <c r="F72" s="7"/>
      <c r="G72" s="7"/>
      <c r="H72" s="7"/>
    </row>
    <row r="73" spans="1:8">
      <c r="A73" s="7"/>
      <c r="B73" s="7"/>
      <c r="C73" s="7"/>
      <c r="D73" s="7"/>
      <c r="E73" s="7"/>
      <c r="F73" s="7"/>
      <c r="G73" s="7"/>
      <c r="H73" s="7"/>
    </row>
    <row r="74" spans="1:8">
      <c r="A74" s="7"/>
      <c r="B74" s="7"/>
      <c r="C74" s="7"/>
      <c r="D74" s="7"/>
      <c r="E74" s="7"/>
      <c r="F74" s="7"/>
      <c r="G74" s="7"/>
      <c r="H74" s="7"/>
    </row>
    <row r="75" spans="1:8">
      <c r="A75" s="7"/>
      <c r="B75" s="7"/>
      <c r="C75" s="7"/>
      <c r="D75" s="7"/>
      <c r="E75" s="7"/>
      <c r="F75" s="7"/>
      <c r="G75" s="7"/>
      <c r="H75" s="7"/>
    </row>
    <row r="76" spans="1:8">
      <c r="A76" s="7"/>
      <c r="B76" s="7"/>
      <c r="C76" s="7"/>
      <c r="D76" s="7"/>
      <c r="E76" s="7"/>
      <c r="F76" s="7"/>
      <c r="G76" s="7"/>
      <c r="H76" s="7"/>
    </row>
    <row r="77" spans="1:8">
      <c r="A77" s="7"/>
      <c r="B77" s="7"/>
      <c r="C77" s="7"/>
      <c r="D77" s="7"/>
      <c r="E77" s="7"/>
      <c r="F77" s="7"/>
      <c r="G77" s="7"/>
      <c r="H77" s="7"/>
    </row>
    <row r="78" spans="1:8">
      <c r="A78" s="7"/>
      <c r="B78" s="7"/>
      <c r="C78" s="7"/>
      <c r="D78" s="7"/>
      <c r="E78" s="7"/>
      <c r="F78" s="7"/>
      <c r="G78" s="7"/>
      <c r="H78" s="7"/>
    </row>
  </sheetData>
  <sheetProtection selectLockedCells="1" selectUnlockedCells="1"/>
  <mergeCells count="38">
    <mergeCell ref="F31:F32"/>
    <mergeCell ref="G31:G32"/>
    <mergeCell ref="B23:G23"/>
    <mergeCell ref="B25:G25"/>
    <mergeCell ref="B28:G28"/>
    <mergeCell ref="A25:A28"/>
    <mergeCell ref="H31:H32"/>
    <mergeCell ref="A31:A32"/>
    <mergeCell ref="B31:B32"/>
    <mergeCell ref="C31:C32"/>
    <mergeCell ref="D31:D32"/>
    <mergeCell ref="E31:E32"/>
    <mergeCell ref="H25:H28"/>
    <mergeCell ref="A20:A23"/>
    <mergeCell ref="H20:H23"/>
    <mergeCell ref="B20:G20"/>
    <mergeCell ref="B8:G8"/>
    <mergeCell ref="J20:J23"/>
    <mergeCell ref="J25:J28"/>
    <mergeCell ref="A14:J14"/>
    <mergeCell ref="A19:J19"/>
    <mergeCell ref="A24:J24"/>
    <mergeCell ref="A4:J4"/>
    <mergeCell ref="A9:J9"/>
    <mergeCell ref="B15:G15"/>
    <mergeCell ref="H15:H18"/>
    <mergeCell ref="J5:J8"/>
    <mergeCell ref="J10:J13"/>
    <mergeCell ref="J15:J18"/>
    <mergeCell ref="B18:G18"/>
    <mergeCell ref="A10:A13"/>
    <mergeCell ref="H5:H8"/>
    <mergeCell ref="H10:H13"/>
    <mergeCell ref="A15:A18"/>
    <mergeCell ref="A5:A8"/>
    <mergeCell ref="B10:G10"/>
    <mergeCell ref="B13:G13"/>
    <mergeCell ref="B5:G5"/>
  </mergeCells>
  <phoneticPr fontId="3" type="noConversion"/>
  <conditionalFormatting sqref="C33:H62">
    <cfRule type="containsText" dxfId="5" priority="1" stopIfTrue="1" operator="containsText" text="opinion">
      <formula>NOT(ISERROR(SEARCH("opinion",C33)))</formula>
    </cfRule>
    <cfRule type="containsText" dxfId="4" priority="2" stopIfTrue="1" operator="containsText" text="mauvais">
      <formula>NOT(ISERROR(SEARCH("mauvais",C33)))</formula>
    </cfRule>
    <cfRule type="containsText" dxfId="3" priority="3" stopIfTrue="1" operator="containsText" text="Décevant">
      <formula>NOT(ISERROR(SEARCH("Décevant",C33)))</formula>
    </cfRule>
    <cfRule type="containsText" dxfId="2" priority="4" stopIfTrue="1" operator="containsText" text="moyen">
      <formula>NOT(ISERROR(SEARCH("moyen",C33)))</formula>
    </cfRule>
    <cfRule type="containsText" dxfId="1" priority="5" stopIfTrue="1" operator="containsText" text="Satisfaisant">
      <formula>NOT(ISERROR(SEARCH("Satisfaisant",C33)))</formula>
    </cfRule>
    <cfRule type="containsText" dxfId="0" priority="6" stopIfTrue="1" operator="containsText" text="Excellent">
      <formula>NOT(ISERROR(SEARCH("Excellent",C33)))</formula>
    </cfRule>
  </conditionalFormatting>
  <pageMargins left="0.7" right="0.7" top="0.75" bottom="0.75" header="0.3" footer="0.3"/>
  <pageSetup paperSize="9" orientation="portrait" r:id="rId1"/>
  <customProperties>
    <customPr name="DVSECTIONID" r:id="rId2"/>
  </customProperties>
  <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5"/>
  <sheetViews>
    <sheetView workbookViewId="0">
      <selection activeCell="A12" sqref="A12"/>
    </sheetView>
  </sheetViews>
  <sheetFormatPr baseColWidth="10" defaultRowHeight="15"/>
  <cols>
    <col min="1" max="5" width="25.5703125" customWidth="1"/>
  </cols>
  <sheetData>
    <row r="1" spans="1:5" ht="18.75">
      <c r="A1" s="69" t="s">
        <v>26</v>
      </c>
      <c r="B1" s="70"/>
      <c r="C1" s="70"/>
      <c r="D1" s="70"/>
      <c r="E1" s="70"/>
    </row>
    <row r="2" spans="1:5" ht="15.75" thickBot="1"/>
    <row r="3" spans="1:5" ht="110.1" customHeight="1" thickBot="1">
      <c r="A3" s="18" t="s">
        <v>44</v>
      </c>
      <c r="B3" s="18" t="s">
        <v>49</v>
      </c>
      <c r="C3" s="18" t="s">
        <v>51</v>
      </c>
      <c r="D3" s="18" t="s">
        <v>53</v>
      </c>
      <c r="E3" s="18" t="s">
        <v>56</v>
      </c>
    </row>
    <row r="4" spans="1:5" ht="110.1" customHeight="1" thickBot="1">
      <c r="A4" s="18" t="s">
        <v>58</v>
      </c>
      <c r="B4" s="18"/>
      <c r="C4" s="18"/>
      <c r="D4" s="18"/>
      <c r="E4" s="18"/>
    </row>
    <row r="5" spans="1:5" ht="110.1" customHeight="1" thickBot="1">
      <c r="A5" s="18"/>
      <c r="B5" s="18"/>
      <c r="C5" s="18"/>
      <c r="D5" s="18"/>
      <c r="E5" s="18"/>
    </row>
  </sheetData>
  <mergeCells count="1">
    <mergeCell ref="A1:E1"/>
  </mergeCells>
  <phoneticPr fontId="3" type="noConversion"/>
  <pageMargins left="0.78740157499999996" right="0.78740157499999996" top="0.984251969" bottom="0.984251969" header="0.4921259845" footer="0.4921259845"/>
  <headerFooter alignWithMargins="0"/>
  <customProperties>
    <customPr name="DVSECTIONID" r:id="rId1"/>
  </customPropertie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V4"/>
  <sheetViews>
    <sheetView topLeftCell="AC1" workbookViewId="0">
      <selection activeCell="AV3" sqref="AV3"/>
    </sheetView>
  </sheetViews>
  <sheetFormatPr baseColWidth="10" defaultRowHeight="15"/>
  <sheetData>
    <row r="1" spans="1:256">
      <c r="A1">
        <f ca="1">IF(évaluation!1:1,"AAAAAF6w9QA=",0)</f>
        <v>0</v>
      </c>
      <c r="B1" t="e">
        <f ca="1">AND(évaluation!A1,"AAAAAF6w9QE=")</f>
        <v>#VALUE!</v>
      </c>
      <c r="C1" t="e">
        <f ca="1">AND(évaluation!B1,"AAAAAF6w9QI=")</f>
        <v>#VALUE!</v>
      </c>
      <c r="D1" t="e">
        <f ca="1">AND(évaluation!C1,"AAAAAF6w9QM=")</f>
        <v>#VALUE!</v>
      </c>
      <c r="E1" t="e">
        <f ca="1">AND(évaluation!D1,"AAAAAF6w9QQ=")</f>
        <v>#VALUE!</v>
      </c>
      <c r="F1" t="e">
        <f ca="1">AND(évaluation!E1,"AAAAAF6w9QU=")</f>
        <v>#VALUE!</v>
      </c>
      <c r="G1">
        <f ca="1">IF(évaluation!2:2,"AAAAAF6w9QY=",0)</f>
        <v>0</v>
      </c>
      <c r="H1" t="e">
        <f ca="1">AND(évaluation!A2,"AAAAAF6w9Qc=")</f>
        <v>#VALUE!</v>
      </c>
      <c r="I1" t="e">
        <f ca="1">AND(évaluation!B2,"AAAAAF6w9Qg=")</f>
        <v>#VALUE!</v>
      </c>
      <c r="J1" t="e">
        <f ca="1">AND(évaluation!C2,"AAAAAF6w9Qk=")</f>
        <v>#VALUE!</v>
      </c>
      <c r="K1" t="e">
        <f ca="1">AND(évaluation!D2,"AAAAAF6w9Qo=")</f>
        <v>#VALUE!</v>
      </c>
      <c r="L1" t="e">
        <f ca="1">AND(évaluation!E2,"AAAAAF6w9Qs=")</f>
        <v>#VALUE!</v>
      </c>
      <c r="M1">
        <f ca="1">IF(évaluation!3:3,"AAAAAF6w9Qw=",0)</f>
        <v>0</v>
      </c>
      <c r="N1" t="e">
        <f ca="1">AND(évaluation!A3,"AAAAAF6w9Q0=")</f>
        <v>#VALUE!</v>
      </c>
      <c r="O1" t="e">
        <f ca="1">AND(évaluation!B3,"AAAAAF6w9Q4=")</f>
        <v>#VALUE!</v>
      </c>
      <c r="P1" t="e">
        <f ca="1">AND(évaluation!C3,"AAAAAF6w9Q8=")</f>
        <v>#VALUE!</v>
      </c>
      <c r="Q1" t="e">
        <f ca="1">AND(évaluation!D3,"AAAAAF6w9RA=")</f>
        <v>#VALUE!</v>
      </c>
      <c r="R1" t="e">
        <f ca="1">AND(évaluation!E3,"AAAAAF6w9RE=")</f>
        <v>#VALUE!</v>
      </c>
      <c r="S1">
        <f ca="1">IF(évaluation!4:4,"AAAAAF6w9RI=",0)</f>
        <v>0</v>
      </c>
      <c r="T1" t="e">
        <f ca="1">AND(évaluation!A4,"AAAAAF6w9RM=")</f>
        <v>#VALUE!</v>
      </c>
      <c r="U1" t="e">
        <f ca="1">AND(évaluation!B4,"AAAAAF6w9RQ=")</f>
        <v>#VALUE!</v>
      </c>
      <c r="V1" t="e">
        <f ca="1">AND(évaluation!C4,"AAAAAF6w9RU=")</f>
        <v>#VALUE!</v>
      </c>
      <c r="W1" t="e">
        <f ca="1">AND(évaluation!D4,"AAAAAF6w9RY=")</f>
        <v>#VALUE!</v>
      </c>
      <c r="X1" t="e">
        <f ca="1">AND(évaluation!E4,"AAAAAF6w9Rc=")</f>
        <v>#VALUE!</v>
      </c>
      <c r="Y1">
        <f ca="1">IF(évaluation!5:5,"AAAAAF6w9Rg=",0)</f>
        <v>0</v>
      </c>
      <c r="Z1" t="e">
        <f ca="1">AND(évaluation!A5,"AAAAAF6w9Rk=")</f>
        <v>#VALUE!</v>
      </c>
      <c r="AA1" t="e">
        <f ca="1">AND(évaluation!B5,"AAAAAF6w9Ro=")</f>
        <v>#VALUE!</v>
      </c>
      <c r="AB1" t="e">
        <f ca="1">AND(évaluation!C5,"AAAAAF6w9Rs=")</f>
        <v>#VALUE!</v>
      </c>
      <c r="AC1" t="e">
        <f ca="1">AND(évaluation!D5,"AAAAAF6w9Rw=")</f>
        <v>#VALUE!</v>
      </c>
      <c r="AD1" t="e">
        <f ca="1">AND(évaluation!E5,"AAAAAF6w9R0=")</f>
        <v>#VALUE!</v>
      </c>
      <c r="AE1">
        <f ca="1">IF(évaluation!6:6,"AAAAAF6w9R4=",0)</f>
        <v>0</v>
      </c>
      <c r="AF1" t="e">
        <f ca="1">AND(évaluation!A6,"AAAAAF6w9R8=")</f>
        <v>#VALUE!</v>
      </c>
      <c r="AG1" t="e">
        <f ca="1">AND(évaluation!B6,"AAAAAF6w9SA=")</f>
        <v>#VALUE!</v>
      </c>
      <c r="AH1" t="e">
        <f ca="1">AND(évaluation!C6,"AAAAAF6w9SE=")</f>
        <v>#VALUE!</v>
      </c>
      <c r="AI1" t="e">
        <f ca="1">AND(évaluation!D6,"AAAAAF6w9SI=")</f>
        <v>#VALUE!</v>
      </c>
      <c r="AJ1" t="e">
        <f ca="1">AND(évaluation!E6,"AAAAAF6w9SM=")</f>
        <v>#VALUE!</v>
      </c>
      <c r="AK1">
        <f ca="1">IF(évaluation!7:7,"AAAAAF6w9SQ=",0)</f>
        <v>0</v>
      </c>
      <c r="AL1" t="e">
        <f ca="1">AND(évaluation!A7,"AAAAAF6w9SU=")</f>
        <v>#VALUE!</v>
      </c>
      <c r="AM1" t="e">
        <f ca="1">AND(évaluation!B7,"AAAAAF6w9SY=")</f>
        <v>#VALUE!</v>
      </c>
      <c r="AN1" t="e">
        <f ca="1">AND(évaluation!C7,"AAAAAF6w9Sc=")</f>
        <v>#VALUE!</v>
      </c>
      <c r="AO1" t="e">
        <f ca="1">AND(évaluation!D7,"AAAAAF6w9Sg=")</f>
        <v>#VALUE!</v>
      </c>
      <c r="AP1" t="e">
        <f ca="1">AND(évaluation!E7,"AAAAAF6w9Sk=")</f>
        <v>#VALUE!</v>
      </c>
      <c r="AQ1">
        <f ca="1">IF(évaluation!8:8,"AAAAAF6w9So=",0)</f>
        <v>0</v>
      </c>
      <c r="AR1" t="e">
        <f ca="1">AND(évaluation!A8,"AAAAAF6w9Ss=")</f>
        <v>#VALUE!</v>
      </c>
      <c r="AS1" t="e">
        <f ca="1">AND(évaluation!B8,"AAAAAF6w9Sw=")</f>
        <v>#VALUE!</v>
      </c>
      <c r="AT1" t="e">
        <f ca="1">AND(évaluation!C8,"AAAAAF6w9S0=")</f>
        <v>#VALUE!</v>
      </c>
      <c r="AU1" t="e">
        <f ca="1">AND(évaluation!D8,"AAAAAF6w9S4=")</f>
        <v>#VALUE!</v>
      </c>
      <c r="AV1" t="e">
        <f ca="1">AND(évaluation!E8,"AAAAAF6w9S8=")</f>
        <v>#VALUE!</v>
      </c>
      <c r="AW1">
        <f ca="1">IF(évaluation!9:9,"AAAAAF6w9TA=",0)</f>
        <v>0</v>
      </c>
      <c r="AX1" t="e">
        <f ca="1">AND(évaluation!A9,"AAAAAF6w9TE=")</f>
        <v>#VALUE!</v>
      </c>
      <c r="AY1" t="e">
        <f ca="1">AND(évaluation!B9,"AAAAAF6w9TI=")</f>
        <v>#VALUE!</v>
      </c>
      <c r="AZ1" t="e">
        <f ca="1">AND(évaluation!C9,"AAAAAF6w9TM=")</f>
        <v>#VALUE!</v>
      </c>
      <c r="BA1" t="e">
        <f ca="1">AND(évaluation!D9,"AAAAAF6w9TQ=")</f>
        <v>#VALUE!</v>
      </c>
      <c r="BB1" t="e">
        <f ca="1">AND(évaluation!E9,"AAAAAF6w9TU=")</f>
        <v>#VALUE!</v>
      </c>
      <c r="BC1">
        <f ca="1">IF(évaluation!10:10,"AAAAAF6w9TY=",0)</f>
        <v>0</v>
      </c>
      <c r="BD1" t="e">
        <f ca="1">AND(évaluation!A10,"AAAAAF6w9Tc=")</f>
        <v>#VALUE!</v>
      </c>
      <c r="BE1" t="e">
        <f ca="1">AND(évaluation!B10,"AAAAAF6w9Tg=")</f>
        <v>#VALUE!</v>
      </c>
      <c r="BF1" t="e">
        <f ca="1">AND(évaluation!C10,"AAAAAF6w9Tk=")</f>
        <v>#VALUE!</v>
      </c>
      <c r="BG1" t="e">
        <f ca="1">AND(évaluation!D10,"AAAAAF6w9To=")</f>
        <v>#VALUE!</v>
      </c>
      <c r="BH1" t="e">
        <f ca="1">AND(évaluation!E10,"AAAAAF6w9Ts=")</f>
        <v>#VALUE!</v>
      </c>
      <c r="BI1">
        <f ca="1">IF(évaluation!11:11,"AAAAAF6w9Tw=",0)</f>
        <v>0</v>
      </c>
      <c r="BJ1" t="e">
        <f ca="1">AND(évaluation!A11,"AAAAAF6w9T0=")</f>
        <v>#VALUE!</v>
      </c>
      <c r="BK1" t="e">
        <f ca="1">AND(évaluation!B11,"AAAAAF6w9T4=")</f>
        <v>#VALUE!</v>
      </c>
      <c r="BL1" t="e">
        <f ca="1">AND(évaluation!C11,"AAAAAF6w9T8=")</f>
        <v>#VALUE!</v>
      </c>
      <c r="BM1" t="e">
        <f ca="1">AND(évaluation!D11,"AAAAAF6w9UA=")</f>
        <v>#VALUE!</v>
      </c>
      <c r="BN1" t="e">
        <f ca="1">AND(évaluation!E11,"AAAAAF6w9UE=")</f>
        <v>#VALUE!</v>
      </c>
      <c r="BO1">
        <f ca="1">IF(évaluation!12:12,"AAAAAF6w9UI=",0)</f>
        <v>0</v>
      </c>
      <c r="BP1" t="e">
        <f ca="1">AND(évaluation!A12,"AAAAAF6w9UM=")</f>
        <v>#VALUE!</v>
      </c>
      <c r="BQ1" t="e">
        <f ca="1">AND(évaluation!B12,"AAAAAF6w9UQ=")</f>
        <v>#VALUE!</v>
      </c>
      <c r="BR1" t="e">
        <f ca="1">AND(évaluation!C12,"AAAAAF6w9UU=")</f>
        <v>#VALUE!</v>
      </c>
      <c r="BS1" t="e">
        <f ca="1">AND(évaluation!D12,"AAAAAF6w9UY=")</f>
        <v>#VALUE!</v>
      </c>
      <c r="BT1" t="e">
        <f ca="1">AND(évaluation!E12,"AAAAAF6w9Uc=")</f>
        <v>#VALUE!</v>
      </c>
      <c r="BU1">
        <f ca="1">IF(évaluation!13:13,"AAAAAF6w9Ug=",0)</f>
        <v>0</v>
      </c>
      <c r="BV1" t="e">
        <f ca="1">AND(évaluation!A13,"AAAAAF6w9Uk=")</f>
        <v>#VALUE!</v>
      </c>
      <c r="BW1" t="e">
        <f ca="1">AND(évaluation!B13,"AAAAAF6w9Uo=")</f>
        <v>#VALUE!</v>
      </c>
      <c r="BX1" t="e">
        <f ca="1">AND(évaluation!C13,"AAAAAF6w9Us=")</f>
        <v>#VALUE!</v>
      </c>
      <c r="BY1" t="e">
        <f ca="1">AND(évaluation!D13,"AAAAAF6w9Uw=")</f>
        <v>#VALUE!</v>
      </c>
      <c r="BZ1" t="e">
        <f ca="1">AND(évaluation!E13,"AAAAAF6w9U0=")</f>
        <v>#VALUE!</v>
      </c>
      <c r="CA1">
        <f ca="1">IF(évaluation!14:14,"AAAAAF6w9U4=",0)</f>
        <v>0</v>
      </c>
      <c r="CB1" t="e">
        <f ca="1">AND(évaluation!A14,"AAAAAF6w9U8=")</f>
        <v>#VALUE!</v>
      </c>
      <c r="CC1" t="e">
        <f ca="1">AND(évaluation!B14,"AAAAAF6w9VA=")</f>
        <v>#VALUE!</v>
      </c>
      <c r="CD1" t="e">
        <f ca="1">AND(évaluation!C14,"AAAAAF6w9VE=")</f>
        <v>#VALUE!</v>
      </c>
      <c r="CE1" t="e">
        <f ca="1">AND(évaluation!D14,"AAAAAF6w9VI=")</f>
        <v>#VALUE!</v>
      </c>
      <c r="CF1" t="e">
        <f ca="1">AND(évaluation!E14,"AAAAAF6w9VM=")</f>
        <v>#VALUE!</v>
      </c>
      <c r="CG1">
        <f ca="1">IF(évaluation!15:15,"AAAAAF6w9VQ=",0)</f>
        <v>0</v>
      </c>
      <c r="CH1" t="e">
        <f ca="1">AND(évaluation!A15,"AAAAAF6w9VU=")</f>
        <v>#VALUE!</v>
      </c>
      <c r="CI1" t="e">
        <f ca="1">AND(évaluation!B15,"AAAAAF6w9VY=")</f>
        <v>#VALUE!</v>
      </c>
      <c r="CJ1" t="e">
        <f ca="1">AND(évaluation!C15,"AAAAAF6w9Vc=")</f>
        <v>#VALUE!</v>
      </c>
      <c r="CK1" t="e">
        <f ca="1">AND(évaluation!D15,"AAAAAF6w9Vg=")</f>
        <v>#VALUE!</v>
      </c>
      <c r="CL1" t="e">
        <f ca="1">AND(évaluation!E15,"AAAAAF6w9Vk=")</f>
        <v>#VALUE!</v>
      </c>
      <c r="CM1">
        <f ca="1">IF(évaluation!16:16,"AAAAAF6w9Vo=",0)</f>
        <v>0</v>
      </c>
      <c r="CN1" t="e">
        <f ca="1">AND(évaluation!A16,"AAAAAF6w9Vs=")</f>
        <v>#VALUE!</v>
      </c>
      <c r="CO1" t="e">
        <f ca="1">AND(évaluation!B16,"AAAAAF6w9Vw=")</f>
        <v>#VALUE!</v>
      </c>
      <c r="CP1" t="e">
        <f ca="1">AND(évaluation!C16,"AAAAAF6w9V0=")</f>
        <v>#VALUE!</v>
      </c>
      <c r="CQ1" t="e">
        <f ca="1">AND(évaluation!D16,"AAAAAF6w9V4=")</f>
        <v>#VALUE!</v>
      </c>
      <c r="CR1" t="e">
        <f ca="1">AND(évaluation!E16,"AAAAAF6w9V8=")</f>
        <v>#VALUE!</v>
      </c>
      <c r="CS1">
        <f ca="1">IF(évaluation!17:17,"AAAAAF6w9WA=",0)</f>
        <v>0</v>
      </c>
      <c r="CT1" t="e">
        <f ca="1">AND(évaluation!A17,"AAAAAF6w9WE=")</f>
        <v>#VALUE!</v>
      </c>
      <c r="CU1" t="e">
        <f ca="1">AND(évaluation!B17,"AAAAAF6w9WI=")</f>
        <v>#VALUE!</v>
      </c>
      <c r="CV1" t="e">
        <f ca="1">AND(évaluation!C17,"AAAAAF6w9WM=")</f>
        <v>#VALUE!</v>
      </c>
      <c r="CW1" t="e">
        <f ca="1">AND(évaluation!D17,"AAAAAF6w9WQ=")</f>
        <v>#VALUE!</v>
      </c>
      <c r="CX1" t="e">
        <f ca="1">AND(évaluation!E17,"AAAAAF6w9WU=")</f>
        <v>#VALUE!</v>
      </c>
      <c r="CY1">
        <f ca="1">IF(évaluation!18:18,"AAAAAF6w9WY=",0)</f>
        <v>0</v>
      </c>
      <c r="CZ1" t="e">
        <f ca="1">AND(évaluation!A18,"AAAAAF6w9Wc=")</f>
        <v>#VALUE!</v>
      </c>
      <c r="DA1" t="e">
        <f ca="1">AND(évaluation!B18,"AAAAAF6w9Wg=")</f>
        <v>#VALUE!</v>
      </c>
      <c r="DB1" t="e">
        <f ca="1">AND(évaluation!C18,"AAAAAF6w9Wk=")</f>
        <v>#VALUE!</v>
      </c>
      <c r="DC1" t="e">
        <f ca="1">AND(évaluation!D18,"AAAAAF6w9Wo=")</f>
        <v>#VALUE!</v>
      </c>
      <c r="DD1" t="e">
        <f ca="1">AND(évaluation!E18,"AAAAAF6w9Ws=")</f>
        <v>#VALUE!</v>
      </c>
      <c r="DE1">
        <f ca="1">IF(évaluation!19:19,"AAAAAF6w9Ww=",0)</f>
        <v>0</v>
      </c>
      <c r="DF1" t="e">
        <f ca="1">AND(évaluation!A19,"AAAAAF6w9W0=")</f>
        <v>#VALUE!</v>
      </c>
      <c r="DG1" t="e">
        <f ca="1">AND(évaluation!B19,"AAAAAF6w9W4=")</f>
        <v>#VALUE!</v>
      </c>
      <c r="DH1" t="e">
        <f ca="1">AND(évaluation!C19,"AAAAAF6w9W8=")</f>
        <v>#VALUE!</v>
      </c>
      <c r="DI1" t="e">
        <f ca="1">AND(évaluation!D19,"AAAAAF6w9XA=")</f>
        <v>#VALUE!</v>
      </c>
      <c r="DJ1" t="e">
        <f ca="1">AND(évaluation!E19,"AAAAAF6w9XE=")</f>
        <v>#VALUE!</v>
      </c>
      <c r="DK1">
        <f ca="1">IF(évaluation!20:20,"AAAAAF6w9XI=",0)</f>
        <v>0</v>
      </c>
      <c r="DL1" t="e">
        <f ca="1">AND(évaluation!A20,"AAAAAF6w9XM=")</f>
        <v>#VALUE!</v>
      </c>
      <c r="DM1" t="e">
        <f ca="1">AND(évaluation!B20,"AAAAAF6w9XQ=")</f>
        <v>#VALUE!</v>
      </c>
      <c r="DN1" t="e">
        <f ca="1">AND(évaluation!C20,"AAAAAF6w9XU=")</f>
        <v>#VALUE!</v>
      </c>
      <c r="DO1" t="e">
        <f ca="1">AND(évaluation!D20,"AAAAAF6w9XY=")</f>
        <v>#VALUE!</v>
      </c>
      <c r="DP1" t="e">
        <f ca="1">AND(évaluation!E20,"AAAAAF6w9Xc=")</f>
        <v>#VALUE!</v>
      </c>
      <c r="DQ1">
        <f ca="1">IF(évaluation!A:A,"AAAAAF6w9Xg=",0)</f>
        <v>0</v>
      </c>
      <c r="DR1">
        <f ca="1">IF(évaluation!B:B,"AAAAAF6w9Xk=",0)</f>
        <v>0</v>
      </c>
      <c r="DS1">
        <f ca="1">IF(évaluation!C:C,"AAAAAF6w9Xo=",0)</f>
        <v>0</v>
      </c>
      <c r="DT1">
        <f ca="1">IF(évaluation!D:D,"AAAAAF6w9Xs=",0)</f>
        <v>0</v>
      </c>
      <c r="DU1">
        <f ca="1">IF(évaluation!E:E,"AAAAAF6w9Xw=",0)</f>
        <v>0</v>
      </c>
      <c r="DV1">
        <f ca="1">IF(résultats!1:1,"AAAAAF6w9X0=",0)</f>
        <v>0</v>
      </c>
      <c r="DW1" t="e">
        <f ca="1">AND(résultats!A1,"AAAAAF6w9X4=")</f>
        <v>#VALUE!</v>
      </c>
      <c r="DX1" t="e">
        <f ca="1">AND(résultats!B1,"AAAAAF6w9X8=")</f>
        <v>#VALUE!</v>
      </c>
      <c r="DY1" t="e">
        <f ca="1">AND(résultats!C1,"AAAAAF6w9YA=")</f>
        <v>#VALUE!</v>
      </c>
      <c r="DZ1" t="e">
        <f ca="1">AND(résultats!D1,"AAAAAF6w9YE=")</f>
        <v>#VALUE!</v>
      </c>
      <c r="EA1" t="e">
        <f ca="1">AND(résultats!E1,"AAAAAF6w9YI=")</f>
        <v>#VALUE!</v>
      </c>
      <c r="EB1" t="e">
        <f ca="1">AND(résultats!F1,"AAAAAF6w9YM=")</f>
        <v>#VALUE!</v>
      </c>
      <c r="EC1" t="e">
        <f ca="1">AND(résultats!G1,"AAAAAF6w9YQ=")</f>
        <v>#VALUE!</v>
      </c>
      <c r="ED1" t="e">
        <f ca="1">AND(résultats!H1,"AAAAAF6w9YU=")</f>
        <v>#VALUE!</v>
      </c>
      <c r="EE1" t="e">
        <f ca="1">AND(résultats!I1,"AAAAAF6w9YY=")</f>
        <v>#VALUE!</v>
      </c>
      <c r="EF1" t="e">
        <f ca="1">AND(résultats!J1,"AAAAAF6w9Yc=")</f>
        <v>#VALUE!</v>
      </c>
      <c r="EG1" t="e">
        <f ca="1">AND(résultats!K1,"AAAAAF6w9Yg=")</f>
        <v>#VALUE!</v>
      </c>
      <c r="EH1" t="e">
        <f ca="1">AND(résultats!L1,"AAAAAF6w9Yk=")</f>
        <v>#VALUE!</v>
      </c>
      <c r="EI1" t="e">
        <f ca="1">AND(résultats!M1,"AAAAAF6w9Yo=")</f>
        <v>#VALUE!</v>
      </c>
      <c r="EJ1">
        <f ca="1">IF(résultats!2:2,"AAAAAF6w9Ys=",0)</f>
        <v>0</v>
      </c>
      <c r="EK1" t="e">
        <f ca="1">AND(résultats!A2,"AAAAAF6w9Yw=")</f>
        <v>#VALUE!</v>
      </c>
      <c r="EL1" t="e">
        <f ca="1">AND(résultats!B2,"AAAAAF6w9Y0=")</f>
        <v>#VALUE!</v>
      </c>
      <c r="EM1" t="e">
        <f ca="1">AND(résultats!C2,"AAAAAF6w9Y4=")</f>
        <v>#VALUE!</v>
      </c>
      <c r="EN1" t="e">
        <f ca="1">AND(résultats!D2,"AAAAAF6w9Y8=")</f>
        <v>#VALUE!</v>
      </c>
      <c r="EO1" t="e">
        <f ca="1">AND(résultats!E2,"AAAAAF6w9ZA=")</f>
        <v>#VALUE!</v>
      </c>
      <c r="EP1" t="e">
        <f ca="1">AND(résultats!F2,"AAAAAF6w9ZE=")</f>
        <v>#VALUE!</v>
      </c>
      <c r="EQ1" t="e">
        <f ca="1">AND(résultats!G2,"AAAAAF6w9ZI=")</f>
        <v>#VALUE!</v>
      </c>
      <c r="ER1" t="e">
        <f ca="1">AND(résultats!H2,"AAAAAF6w9ZM=")</f>
        <v>#VALUE!</v>
      </c>
      <c r="ES1" t="e">
        <f ca="1">AND(résultats!I2,"AAAAAF6w9ZQ=")</f>
        <v>#VALUE!</v>
      </c>
      <c r="ET1" t="e">
        <f ca="1">AND(résultats!J2,"AAAAAF6w9ZU=")</f>
        <v>#VALUE!</v>
      </c>
      <c r="EU1" t="e">
        <f ca="1">AND(résultats!K2,"AAAAAF6w9ZY=")</f>
        <v>#VALUE!</v>
      </c>
      <c r="EV1" t="e">
        <f ca="1">AND(résultats!L2,"AAAAAF6w9Zc=")</f>
        <v>#VALUE!</v>
      </c>
      <c r="EW1" t="e">
        <f ca="1">AND(résultats!M2,"AAAAAF6w9Zg=")</f>
        <v>#VALUE!</v>
      </c>
      <c r="EX1">
        <f ca="1">IF(résultats!3:3,"AAAAAF6w9Zk=",0)</f>
        <v>0</v>
      </c>
      <c r="EY1" t="e">
        <f ca="1">AND(résultats!A3,"AAAAAF6w9Zo=")</f>
        <v>#VALUE!</v>
      </c>
      <c r="EZ1" t="e">
        <f ca="1">AND(résultats!B3,"AAAAAF6w9Zs=")</f>
        <v>#VALUE!</v>
      </c>
      <c r="FA1" t="e">
        <f ca="1">AND(résultats!C3,"AAAAAF6w9Zw=")</f>
        <v>#VALUE!</v>
      </c>
      <c r="FB1" t="e">
        <f ca="1">AND(résultats!D3,"AAAAAF6w9Z0=")</f>
        <v>#VALUE!</v>
      </c>
      <c r="FC1" t="e">
        <f ca="1">AND(résultats!E3,"AAAAAF6w9Z4=")</f>
        <v>#VALUE!</v>
      </c>
      <c r="FD1" t="e">
        <f ca="1">AND(résultats!F3,"AAAAAF6w9Z8=")</f>
        <v>#VALUE!</v>
      </c>
      <c r="FE1" t="e">
        <f ca="1">AND(résultats!G3,"AAAAAF6w9aA=")</f>
        <v>#VALUE!</v>
      </c>
      <c r="FF1" t="e">
        <f ca="1">AND(résultats!H3,"AAAAAF6w9aE=")</f>
        <v>#VALUE!</v>
      </c>
      <c r="FG1" t="e">
        <f ca="1">AND(résultats!I3,"AAAAAF6w9aI=")</f>
        <v>#VALUE!</v>
      </c>
      <c r="FH1" t="e">
        <f ca="1">AND(résultats!J3,"AAAAAF6w9aM=")</f>
        <v>#VALUE!</v>
      </c>
      <c r="FI1" t="e">
        <f ca="1">AND(résultats!K3,"AAAAAF6w9aQ=")</f>
        <v>#VALUE!</v>
      </c>
      <c r="FJ1" t="e">
        <f ca="1">AND(résultats!L3,"AAAAAF6w9aU=")</f>
        <v>#VALUE!</v>
      </c>
      <c r="FK1" t="e">
        <f ca="1">AND(résultats!M3,"AAAAAF6w9aY=")</f>
        <v>#VALUE!</v>
      </c>
      <c r="FL1">
        <f ca="1">IF(résultats!4:4,"AAAAAF6w9ac=",0)</f>
        <v>0</v>
      </c>
      <c r="FM1" t="e">
        <f ca="1">AND(résultats!A4,"AAAAAF6w9ag=")</f>
        <v>#VALUE!</v>
      </c>
      <c r="FN1" t="e">
        <f ca="1">AND(résultats!B4,"AAAAAF6w9ak=")</f>
        <v>#VALUE!</v>
      </c>
      <c r="FO1" t="e">
        <f ca="1">AND(résultats!C4,"AAAAAF6w9ao=")</f>
        <v>#VALUE!</v>
      </c>
      <c r="FP1" t="e">
        <f ca="1">AND(résultats!D4,"AAAAAF6w9as=")</f>
        <v>#VALUE!</v>
      </c>
      <c r="FQ1" t="e">
        <f ca="1">AND(résultats!E4,"AAAAAF6w9aw=")</f>
        <v>#VALUE!</v>
      </c>
      <c r="FR1" t="e">
        <f ca="1">AND(résultats!F4,"AAAAAF6w9a0=")</f>
        <v>#VALUE!</v>
      </c>
      <c r="FS1" t="e">
        <f ca="1">AND(résultats!G4,"AAAAAF6w9a4=")</f>
        <v>#VALUE!</v>
      </c>
      <c r="FT1" t="e">
        <f ca="1">AND(résultats!H4,"AAAAAF6w9a8=")</f>
        <v>#VALUE!</v>
      </c>
      <c r="FU1" t="e">
        <f ca="1">AND(résultats!I4,"AAAAAF6w9bA=")</f>
        <v>#VALUE!</v>
      </c>
      <c r="FV1" t="e">
        <f ca="1">AND(résultats!J4,"AAAAAF6w9bE=")</f>
        <v>#VALUE!</v>
      </c>
      <c r="FW1" t="e">
        <f ca="1">AND(résultats!K4,"AAAAAF6w9bI=")</f>
        <v>#VALUE!</v>
      </c>
      <c r="FX1" t="e">
        <f ca="1">AND(résultats!L4,"AAAAAF6w9bM=")</f>
        <v>#VALUE!</v>
      </c>
      <c r="FY1" t="e">
        <f ca="1">AND(résultats!M4,"AAAAAF6w9bQ=")</f>
        <v>#VALUE!</v>
      </c>
      <c r="FZ1">
        <f ca="1">IF(résultats!5:5,"AAAAAF6w9bU=",0)</f>
        <v>0</v>
      </c>
      <c r="GA1" t="e">
        <f ca="1">AND(résultats!A5,"AAAAAF6w9bY=")</f>
        <v>#VALUE!</v>
      </c>
      <c r="GB1" t="e">
        <f ca="1">AND(résultats!B5,"AAAAAF6w9bc=")</f>
        <v>#VALUE!</v>
      </c>
      <c r="GC1" t="e">
        <f ca="1">AND(résultats!C5,"AAAAAF6w9bg=")</f>
        <v>#VALUE!</v>
      </c>
      <c r="GD1" t="e">
        <f ca="1">AND(résultats!D5,"AAAAAF6w9bk=")</f>
        <v>#VALUE!</v>
      </c>
      <c r="GE1" t="e">
        <f ca="1">AND(résultats!E5,"AAAAAF6w9bo=")</f>
        <v>#VALUE!</v>
      </c>
      <c r="GF1" t="e">
        <f ca="1">AND(résultats!F5,"AAAAAF6w9bs=")</f>
        <v>#VALUE!</v>
      </c>
      <c r="GG1" t="e">
        <f ca="1">AND(résultats!G5,"AAAAAF6w9bw=")</f>
        <v>#VALUE!</v>
      </c>
      <c r="GH1" t="e">
        <f ca="1">AND(résultats!H5,"AAAAAF6w9b0=")</f>
        <v>#VALUE!</v>
      </c>
      <c r="GI1" t="e">
        <f ca="1">AND(résultats!I5,"AAAAAF6w9b4=")</f>
        <v>#VALUE!</v>
      </c>
      <c r="GJ1" t="e">
        <f ca="1">AND(résultats!J5,"AAAAAF6w9b8=")</f>
        <v>#VALUE!</v>
      </c>
      <c r="GK1" t="e">
        <f ca="1">AND(résultats!K5,"AAAAAF6w9cA=")</f>
        <v>#VALUE!</v>
      </c>
      <c r="GL1" t="e">
        <f ca="1">AND(résultats!L5,"AAAAAF6w9cE=")</f>
        <v>#VALUE!</v>
      </c>
      <c r="GM1" t="e">
        <f ca="1">AND(résultats!M5,"AAAAAF6w9cI=")</f>
        <v>#VALUE!</v>
      </c>
      <c r="GN1">
        <f ca="1">IF(résultats!6:6,"AAAAAF6w9cM=",0)</f>
        <v>0</v>
      </c>
      <c r="GO1" t="e">
        <f ca="1">AND(résultats!A6,"AAAAAF6w9cQ=")</f>
        <v>#VALUE!</v>
      </c>
      <c r="GP1" t="e">
        <f ca="1">AND(résultats!B6,"AAAAAF6w9cU=")</f>
        <v>#VALUE!</v>
      </c>
      <c r="GQ1" t="e">
        <f ca="1">AND(résultats!C6,"AAAAAF6w9cY=")</f>
        <v>#VALUE!</v>
      </c>
      <c r="GR1" t="e">
        <f ca="1">AND(résultats!D6,"AAAAAF6w9cc=")</f>
        <v>#VALUE!</v>
      </c>
      <c r="GS1" t="e">
        <f ca="1">AND(résultats!E6,"AAAAAF6w9cg=")</f>
        <v>#VALUE!</v>
      </c>
      <c r="GT1" t="e">
        <f ca="1">AND(résultats!F6,"AAAAAF6w9ck=")</f>
        <v>#VALUE!</v>
      </c>
      <c r="GU1" t="e">
        <f ca="1">AND(résultats!G6,"AAAAAF6w9co=")</f>
        <v>#VALUE!</v>
      </c>
      <c r="GV1" t="e">
        <f ca="1">AND(résultats!H6,"AAAAAF6w9cs=")</f>
        <v>#VALUE!</v>
      </c>
      <c r="GW1" t="e">
        <f ca="1">AND(résultats!I6,"AAAAAF6w9cw=")</f>
        <v>#VALUE!</v>
      </c>
      <c r="GX1" t="e">
        <f ca="1">AND(résultats!J6,"AAAAAF6w9c0=")</f>
        <v>#VALUE!</v>
      </c>
      <c r="GY1" t="e">
        <f ca="1">AND(résultats!K6,"AAAAAF6w9c4=")</f>
        <v>#VALUE!</v>
      </c>
      <c r="GZ1" t="e">
        <f ca="1">AND(résultats!L6,"AAAAAF6w9c8=")</f>
        <v>#VALUE!</v>
      </c>
      <c r="HA1" t="e">
        <f ca="1">AND(résultats!M6,"AAAAAF6w9dA=")</f>
        <v>#VALUE!</v>
      </c>
      <c r="HB1">
        <f ca="1">IF(résultats!7:7,"AAAAAF6w9dE=",0)</f>
        <v>0</v>
      </c>
      <c r="HC1" t="e">
        <f ca="1">AND(résultats!A7,"AAAAAF6w9dI=")</f>
        <v>#VALUE!</v>
      </c>
      <c r="HD1" t="e">
        <f ca="1">AND(résultats!B7,"AAAAAF6w9dM=")</f>
        <v>#VALUE!</v>
      </c>
      <c r="HE1" t="e">
        <f ca="1">AND(résultats!C7,"AAAAAF6w9dQ=")</f>
        <v>#VALUE!</v>
      </c>
      <c r="HF1" t="e">
        <f ca="1">AND(résultats!D7,"AAAAAF6w9dU=")</f>
        <v>#VALUE!</v>
      </c>
      <c r="HG1" t="e">
        <f ca="1">AND(résultats!E7,"AAAAAF6w9dY=")</f>
        <v>#VALUE!</v>
      </c>
      <c r="HH1" t="e">
        <f ca="1">AND(résultats!F7,"AAAAAF6w9dc=")</f>
        <v>#VALUE!</v>
      </c>
      <c r="HI1" t="e">
        <f ca="1">AND(résultats!G7,"AAAAAF6w9dg=")</f>
        <v>#VALUE!</v>
      </c>
      <c r="HJ1" t="e">
        <f ca="1">AND(résultats!H7,"AAAAAF6w9dk=")</f>
        <v>#VALUE!</v>
      </c>
      <c r="HK1" t="e">
        <f ca="1">AND(résultats!I7,"AAAAAF6w9do=")</f>
        <v>#VALUE!</v>
      </c>
      <c r="HL1" t="e">
        <f ca="1">AND(résultats!J7,"AAAAAF6w9ds=")</f>
        <v>#VALUE!</v>
      </c>
      <c r="HM1" t="e">
        <f ca="1">AND(résultats!K7,"AAAAAF6w9dw=")</f>
        <v>#VALUE!</v>
      </c>
      <c r="HN1" t="e">
        <f ca="1">AND(résultats!L7,"AAAAAF6w9d0=")</f>
        <v>#VALUE!</v>
      </c>
      <c r="HO1" t="e">
        <f ca="1">AND(résultats!M7,"AAAAAF6w9d4=")</f>
        <v>#VALUE!</v>
      </c>
      <c r="HP1">
        <f ca="1">IF(résultats!8:8,"AAAAAF6w9d8=",0)</f>
        <v>0</v>
      </c>
      <c r="HQ1" t="e">
        <f ca="1">AND(résultats!A8,"AAAAAF6w9eA=")</f>
        <v>#VALUE!</v>
      </c>
      <c r="HR1" t="e">
        <f ca="1">AND(résultats!B8,"AAAAAF6w9eE=")</f>
        <v>#VALUE!</v>
      </c>
      <c r="HS1" t="e">
        <f ca="1">AND(résultats!C8,"AAAAAF6w9eI=")</f>
        <v>#VALUE!</v>
      </c>
      <c r="HT1" t="e">
        <f ca="1">AND(résultats!D8,"AAAAAF6w9eM=")</f>
        <v>#VALUE!</v>
      </c>
      <c r="HU1" t="e">
        <f ca="1">AND(résultats!E8,"AAAAAF6w9eQ=")</f>
        <v>#VALUE!</v>
      </c>
      <c r="HV1" t="e">
        <f ca="1">AND(résultats!F8,"AAAAAF6w9eU=")</f>
        <v>#VALUE!</v>
      </c>
      <c r="HW1" t="e">
        <f ca="1">AND(résultats!G8,"AAAAAF6w9eY=")</f>
        <v>#VALUE!</v>
      </c>
      <c r="HX1" t="e">
        <f ca="1">AND(résultats!H8,"AAAAAF6w9ec=")</f>
        <v>#VALUE!</v>
      </c>
      <c r="HY1" t="e">
        <f ca="1">AND(résultats!I8,"AAAAAF6w9eg=")</f>
        <v>#VALUE!</v>
      </c>
      <c r="HZ1" t="e">
        <f ca="1">AND(résultats!J8,"AAAAAF6w9ek=")</f>
        <v>#VALUE!</v>
      </c>
      <c r="IA1" t="e">
        <f ca="1">AND(résultats!K8,"AAAAAF6w9eo=")</f>
        <v>#VALUE!</v>
      </c>
      <c r="IB1" t="e">
        <f ca="1">AND(résultats!L8,"AAAAAF6w9es=")</f>
        <v>#VALUE!</v>
      </c>
      <c r="IC1" t="e">
        <f ca="1">AND(résultats!M8,"AAAAAF6w9ew=")</f>
        <v>#VALUE!</v>
      </c>
      <c r="ID1">
        <f ca="1">IF(résultats!9:9,"AAAAAF6w9e0=",0)</f>
        <v>0</v>
      </c>
      <c r="IE1" t="e">
        <f ca="1">AND(résultats!A9,"AAAAAF6w9e4=")</f>
        <v>#VALUE!</v>
      </c>
      <c r="IF1" t="e">
        <f ca="1">AND(résultats!B9,"AAAAAF6w9e8=")</f>
        <v>#VALUE!</v>
      </c>
      <c r="IG1" t="e">
        <f ca="1">AND(résultats!C9,"AAAAAF6w9fA=")</f>
        <v>#VALUE!</v>
      </c>
      <c r="IH1" t="e">
        <f ca="1">AND(résultats!D9,"AAAAAF6w9fE=")</f>
        <v>#VALUE!</v>
      </c>
      <c r="II1" t="e">
        <f ca="1">AND(résultats!E9,"AAAAAF6w9fI=")</f>
        <v>#VALUE!</v>
      </c>
      <c r="IJ1" t="e">
        <f ca="1">AND(résultats!F9,"AAAAAF6w9fM=")</f>
        <v>#VALUE!</v>
      </c>
      <c r="IK1" t="e">
        <f ca="1">AND(résultats!G9,"AAAAAF6w9fQ=")</f>
        <v>#VALUE!</v>
      </c>
      <c r="IL1" t="e">
        <f ca="1">AND(résultats!H9,"AAAAAF6w9fU=")</f>
        <v>#VALUE!</v>
      </c>
      <c r="IM1" t="e">
        <f ca="1">AND(résultats!I9,"AAAAAF6w9fY=")</f>
        <v>#VALUE!</v>
      </c>
      <c r="IN1" t="e">
        <f ca="1">AND(résultats!J9,"AAAAAF6w9fc=")</f>
        <v>#VALUE!</v>
      </c>
      <c r="IO1" t="e">
        <f ca="1">AND(résultats!K9,"AAAAAF6w9fg=")</f>
        <v>#VALUE!</v>
      </c>
      <c r="IP1" t="e">
        <f ca="1">AND(résultats!L9,"AAAAAF6w9fk=")</f>
        <v>#VALUE!</v>
      </c>
      <c r="IQ1" t="e">
        <f ca="1">AND(résultats!M9,"AAAAAF6w9fo=")</f>
        <v>#VALUE!</v>
      </c>
      <c r="IR1">
        <f ca="1">IF(résultats!10:10,"AAAAAF6w9fs=",0)</f>
        <v>0</v>
      </c>
      <c r="IS1" t="e">
        <f ca="1">AND(résultats!A10,"AAAAAF6w9fw=")</f>
        <v>#VALUE!</v>
      </c>
      <c r="IT1" t="e">
        <f ca="1">AND(résultats!B10,"AAAAAF6w9f0=")</f>
        <v>#VALUE!</v>
      </c>
      <c r="IU1" t="e">
        <f ca="1">AND(résultats!C10,"AAAAAF6w9f4=")</f>
        <v>#VALUE!</v>
      </c>
      <c r="IV1" t="e">
        <f ca="1">AND(résultats!D10,"AAAAAF6w9f8=")</f>
        <v>#VALUE!</v>
      </c>
    </row>
    <row r="2" spans="1:256">
      <c r="A2" t="e">
        <f ca="1">AND(résultats!E10,"AAAAAH/f9gA=")</f>
        <v>#VALUE!</v>
      </c>
      <c r="B2" t="e">
        <f ca="1">AND(résultats!F10,"AAAAAH/f9gE=")</f>
        <v>#VALUE!</v>
      </c>
      <c r="C2" t="e">
        <f ca="1">AND(résultats!G10,"AAAAAH/f9gI=")</f>
        <v>#VALUE!</v>
      </c>
      <c r="D2" t="e">
        <f ca="1">AND(résultats!H10,"AAAAAH/f9gM=")</f>
        <v>#VALUE!</v>
      </c>
      <c r="E2" t="e">
        <f ca="1">AND(résultats!I10,"AAAAAH/f9gQ=")</f>
        <v>#VALUE!</v>
      </c>
      <c r="F2" t="e">
        <f ca="1">AND(résultats!J10,"AAAAAH/f9gU=")</f>
        <v>#VALUE!</v>
      </c>
      <c r="G2" t="e">
        <f ca="1">AND(résultats!K10,"AAAAAH/f9gY=")</f>
        <v>#VALUE!</v>
      </c>
      <c r="H2" t="e">
        <f ca="1">AND(résultats!L10,"AAAAAH/f9gc=")</f>
        <v>#VALUE!</v>
      </c>
      <c r="I2" t="e">
        <f ca="1">AND(résultats!M10,"AAAAAH/f9gg=")</f>
        <v>#VALUE!</v>
      </c>
      <c r="J2">
        <f ca="1">IF(résultats!11:11,"AAAAAH/f9gk=",0)</f>
        <v>0</v>
      </c>
      <c r="K2" t="e">
        <f ca="1">AND(résultats!A11,"AAAAAH/f9go=")</f>
        <v>#VALUE!</v>
      </c>
      <c r="L2" t="e">
        <f ca="1">AND(résultats!B11,"AAAAAH/f9gs=")</f>
        <v>#VALUE!</v>
      </c>
      <c r="M2" t="e">
        <f ca="1">AND(résultats!C11,"AAAAAH/f9gw=")</f>
        <v>#VALUE!</v>
      </c>
      <c r="N2" t="e">
        <f ca="1">AND(résultats!D11,"AAAAAH/f9g0=")</f>
        <v>#VALUE!</v>
      </c>
      <c r="O2" t="e">
        <f ca="1">AND(résultats!E11,"AAAAAH/f9g4=")</f>
        <v>#VALUE!</v>
      </c>
      <c r="P2" t="e">
        <f ca="1">AND(résultats!F11,"AAAAAH/f9g8=")</f>
        <v>#VALUE!</v>
      </c>
      <c r="Q2" t="e">
        <f ca="1">AND(résultats!G11,"AAAAAH/f9hA=")</f>
        <v>#VALUE!</v>
      </c>
      <c r="R2" t="e">
        <f ca="1">AND(résultats!H11,"AAAAAH/f9hE=")</f>
        <v>#VALUE!</v>
      </c>
      <c r="S2" t="e">
        <f ca="1">AND(résultats!I11,"AAAAAH/f9hI=")</f>
        <v>#VALUE!</v>
      </c>
      <c r="T2" t="e">
        <f ca="1">AND(résultats!J11,"AAAAAH/f9hM=")</f>
        <v>#VALUE!</v>
      </c>
      <c r="U2" t="e">
        <f ca="1">AND(résultats!K11,"AAAAAH/f9hQ=")</f>
        <v>#VALUE!</v>
      </c>
      <c r="V2" t="e">
        <f ca="1">AND(résultats!L11,"AAAAAH/f9hU=")</f>
        <v>#VALUE!</v>
      </c>
      <c r="W2" t="e">
        <f ca="1">AND(résultats!M11,"AAAAAH/f9hY=")</f>
        <v>#VALUE!</v>
      </c>
      <c r="X2">
        <f ca="1">IF(résultats!12:12,"AAAAAH/f9hc=",0)</f>
        <v>0</v>
      </c>
      <c r="Y2" t="e">
        <f ca="1">AND(résultats!A12,"AAAAAH/f9hg=")</f>
        <v>#VALUE!</v>
      </c>
      <c r="Z2" t="e">
        <f ca="1">AND(résultats!B12,"AAAAAH/f9hk=")</f>
        <v>#VALUE!</v>
      </c>
      <c r="AA2" t="e">
        <f ca="1">AND(résultats!C12,"AAAAAH/f9ho=")</f>
        <v>#VALUE!</v>
      </c>
      <c r="AB2" t="e">
        <f ca="1">AND(résultats!D12,"AAAAAH/f9hs=")</f>
        <v>#VALUE!</v>
      </c>
      <c r="AC2" t="e">
        <f ca="1">AND(résultats!E12,"AAAAAH/f9hw=")</f>
        <v>#VALUE!</v>
      </c>
      <c r="AD2" t="e">
        <f ca="1">AND(résultats!F12,"AAAAAH/f9h0=")</f>
        <v>#VALUE!</v>
      </c>
      <c r="AE2" t="e">
        <f ca="1">AND(résultats!G12,"AAAAAH/f9h4=")</f>
        <v>#VALUE!</v>
      </c>
      <c r="AF2" t="e">
        <f ca="1">AND(résultats!H12,"AAAAAH/f9h8=")</f>
        <v>#VALUE!</v>
      </c>
      <c r="AG2" t="e">
        <f ca="1">AND(résultats!I12,"AAAAAH/f9iA=")</f>
        <v>#VALUE!</v>
      </c>
      <c r="AH2" t="e">
        <f ca="1">AND(résultats!J12,"AAAAAH/f9iE=")</f>
        <v>#VALUE!</v>
      </c>
      <c r="AI2" t="e">
        <f ca="1">AND(résultats!K12,"AAAAAH/f9iI=")</f>
        <v>#VALUE!</v>
      </c>
      <c r="AJ2" t="e">
        <f ca="1">AND(résultats!L12,"AAAAAH/f9iM=")</f>
        <v>#VALUE!</v>
      </c>
      <c r="AK2" t="e">
        <f ca="1">AND(résultats!M12,"AAAAAH/f9iQ=")</f>
        <v>#VALUE!</v>
      </c>
      <c r="AL2">
        <f ca="1">IF(résultats!13:13,"AAAAAH/f9iU=",0)</f>
        <v>0</v>
      </c>
      <c r="AM2" t="e">
        <f ca="1">AND(résultats!A13,"AAAAAH/f9iY=")</f>
        <v>#VALUE!</v>
      </c>
      <c r="AN2" t="e">
        <f ca="1">AND(résultats!B13,"AAAAAH/f9ic=")</f>
        <v>#VALUE!</v>
      </c>
      <c r="AO2" t="e">
        <f ca="1">AND(résultats!C13,"AAAAAH/f9ig=")</f>
        <v>#VALUE!</v>
      </c>
      <c r="AP2" t="e">
        <f ca="1">AND(résultats!D13,"AAAAAH/f9ik=")</f>
        <v>#VALUE!</v>
      </c>
      <c r="AQ2" t="e">
        <f ca="1">AND(résultats!E13,"AAAAAH/f9io=")</f>
        <v>#VALUE!</v>
      </c>
      <c r="AR2" t="e">
        <f ca="1">AND(résultats!F13,"AAAAAH/f9is=")</f>
        <v>#VALUE!</v>
      </c>
      <c r="AS2" t="e">
        <f ca="1">AND(résultats!G13,"AAAAAH/f9iw=")</f>
        <v>#VALUE!</v>
      </c>
      <c r="AT2" t="e">
        <f ca="1">AND(résultats!H13,"AAAAAH/f9i0=")</f>
        <v>#VALUE!</v>
      </c>
      <c r="AU2" t="e">
        <f ca="1">AND(résultats!I13,"AAAAAH/f9i4=")</f>
        <v>#VALUE!</v>
      </c>
      <c r="AV2" t="e">
        <f ca="1">AND(résultats!J13,"AAAAAH/f9i8=")</f>
        <v>#VALUE!</v>
      </c>
      <c r="AW2" t="e">
        <f ca="1">AND(résultats!K13,"AAAAAH/f9jA=")</f>
        <v>#VALUE!</v>
      </c>
      <c r="AX2" t="e">
        <f ca="1">AND(résultats!L13,"AAAAAH/f9jE=")</f>
        <v>#VALUE!</v>
      </c>
      <c r="AY2" t="e">
        <f ca="1">AND(résultats!M13,"AAAAAH/f9jI=")</f>
        <v>#VALUE!</v>
      </c>
      <c r="AZ2">
        <f ca="1">IF(résultats!14:14,"AAAAAH/f9jM=",0)</f>
        <v>0</v>
      </c>
      <c r="BA2" t="e">
        <f ca="1">AND(résultats!A14,"AAAAAH/f9jQ=")</f>
        <v>#VALUE!</v>
      </c>
      <c r="BB2" t="e">
        <f ca="1">AND(résultats!B14,"AAAAAH/f9jU=")</f>
        <v>#VALUE!</v>
      </c>
      <c r="BC2" t="e">
        <f ca="1">AND(résultats!C14,"AAAAAH/f9jY=")</f>
        <v>#VALUE!</v>
      </c>
      <c r="BD2" t="e">
        <f ca="1">AND(résultats!D14,"AAAAAH/f9jc=")</f>
        <v>#VALUE!</v>
      </c>
      <c r="BE2" t="e">
        <f ca="1">AND(résultats!E14,"AAAAAH/f9jg=")</f>
        <v>#VALUE!</v>
      </c>
      <c r="BF2" t="e">
        <f ca="1">AND(résultats!F14,"AAAAAH/f9jk=")</f>
        <v>#VALUE!</v>
      </c>
      <c r="BG2" t="e">
        <f ca="1">AND(résultats!G14,"AAAAAH/f9jo=")</f>
        <v>#VALUE!</v>
      </c>
      <c r="BH2" t="e">
        <f ca="1">AND(résultats!H14,"AAAAAH/f9js=")</f>
        <v>#VALUE!</v>
      </c>
      <c r="BI2" t="e">
        <f ca="1">AND(résultats!I14,"AAAAAH/f9jw=")</f>
        <v>#VALUE!</v>
      </c>
      <c r="BJ2" t="e">
        <f ca="1">AND(résultats!J14,"AAAAAH/f9j0=")</f>
        <v>#VALUE!</v>
      </c>
      <c r="BK2" t="e">
        <f ca="1">AND(résultats!K14,"AAAAAH/f9j4=")</f>
        <v>#VALUE!</v>
      </c>
      <c r="BL2" t="e">
        <f ca="1">AND(résultats!L14,"AAAAAH/f9j8=")</f>
        <v>#VALUE!</v>
      </c>
      <c r="BM2" t="e">
        <f ca="1">AND(résultats!M14,"AAAAAH/f9kA=")</f>
        <v>#VALUE!</v>
      </c>
      <c r="BN2">
        <f ca="1">IF(résultats!15:15,"AAAAAH/f9kE=",0)</f>
        <v>0</v>
      </c>
      <c r="BO2" t="e">
        <f ca="1">AND(résultats!A15,"AAAAAH/f9kI=")</f>
        <v>#VALUE!</v>
      </c>
      <c r="BP2" t="e">
        <f ca="1">AND(résultats!B15,"AAAAAH/f9kM=")</f>
        <v>#VALUE!</v>
      </c>
      <c r="BQ2" t="e">
        <f ca="1">AND(résultats!C15,"AAAAAH/f9kQ=")</f>
        <v>#VALUE!</v>
      </c>
      <c r="BR2" t="e">
        <f ca="1">AND(résultats!D15,"AAAAAH/f9kU=")</f>
        <v>#VALUE!</v>
      </c>
      <c r="BS2" t="e">
        <f ca="1">AND(résultats!E15,"AAAAAH/f9kY=")</f>
        <v>#VALUE!</v>
      </c>
      <c r="BT2" t="e">
        <f ca="1">AND(résultats!F15,"AAAAAH/f9kc=")</f>
        <v>#VALUE!</v>
      </c>
      <c r="BU2" t="e">
        <f ca="1">AND(résultats!G15,"AAAAAH/f9kg=")</f>
        <v>#VALUE!</v>
      </c>
      <c r="BV2" t="e">
        <f ca="1">AND(résultats!H15,"AAAAAH/f9kk=")</f>
        <v>#VALUE!</v>
      </c>
      <c r="BW2" t="e">
        <f ca="1">AND(résultats!I15,"AAAAAH/f9ko=")</f>
        <v>#VALUE!</v>
      </c>
      <c r="BX2" t="e">
        <f ca="1">AND(résultats!J15,"AAAAAH/f9ks=")</f>
        <v>#VALUE!</v>
      </c>
      <c r="BY2" t="e">
        <f ca="1">AND(résultats!K15,"AAAAAH/f9kw=")</f>
        <v>#VALUE!</v>
      </c>
      <c r="BZ2" t="e">
        <f ca="1">AND(résultats!L15,"AAAAAH/f9k0=")</f>
        <v>#VALUE!</v>
      </c>
      <c r="CA2" t="e">
        <f ca="1">AND(résultats!M15,"AAAAAH/f9k4=")</f>
        <v>#VALUE!</v>
      </c>
      <c r="CB2">
        <f ca="1">IF(résultats!16:16,"AAAAAH/f9k8=",0)</f>
        <v>0</v>
      </c>
      <c r="CC2" t="e">
        <f ca="1">AND(résultats!A16,"AAAAAH/f9lA=")</f>
        <v>#VALUE!</v>
      </c>
      <c r="CD2" t="e">
        <f ca="1">AND(résultats!B16,"AAAAAH/f9lE=")</f>
        <v>#VALUE!</v>
      </c>
      <c r="CE2" t="e">
        <f ca="1">AND(résultats!C16,"AAAAAH/f9lI=")</f>
        <v>#VALUE!</v>
      </c>
      <c r="CF2" t="e">
        <f ca="1">AND(résultats!D16,"AAAAAH/f9lM=")</f>
        <v>#VALUE!</v>
      </c>
      <c r="CG2" t="e">
        <f ca="1">AND(résultats!E16,"AAAAAH/f9lQ=")</f>
        <v>#VALUE!</v>
      </c>
      <c r="CH2" t="e">
        <f ca="1">AND(résultats!F16,"AAAAAH/f9lU=")</f>
        <v>#VALUE!</v>
      </c>
      <c r="CI2" t="e">
        <f ca="1">AND(résultats!G16,"AAAAAH/f9lY=")</f>
        <v>#VALUE!</v>
      </c>
      <c r="CJ2" t="e">
        <f ca="1">AND(résultats!H16,"AAAAAH/f9lc=")</f>
        <v>#VALUE!</v>
      </c>
      <c r="CK2" t="e">
        <f ca="1">AND(résultats!I16,"AAAAAH/f9lg=")</f>
        <v>#VALUE!</v>
      </c>
      <c r="CL2" t="e">
        <f ca="1">AND(résultats!J16,"AAAAAH/f9lk=")</f>
        <v>#VALUE!</v>
      </c>
      <c r="CM2" t="e">
        <f ca="1">AND(résultats!K16,"AAAAAH/f9lo=")</f>
        <v>#VALUE!</v>
      </c>
      <c r="CN2" t="e">
        <f ca="1">AND(résultats!L16,"AAAAAH/f9ls=")</f>
        <v>#VALUE!</v>
      </c>
      <c r="CO2" t="e">
        <f ca="1">AND(résultats!M16,"AAAAAH/f9lw=")</f>
        <v>#VALUE!</v>
      </c>
      <c r="CP2">
        <f ca="1">IF(résultats!17:17,"AAAAAH/f9l0=",0)</f>
        <v>0</v>
      </c>
      <c r="CQ2" t="e">
        <f ca="1">AND(résultats!A17,"AAAAAH/f9l4=")</f>
        <v>#VALUE!</v>
      </c>
      <c r="CR2" t="e">
        <f ca="1">AND(résultats!B17,"AAAAAH/f9l8=")</f>
        <v>#VALUE!</v>
      </c>
      <c r="CS2" t="e">
        <f ca="1">AND(résultats!C17,"AAAAAH/f9mA=")</f>
        <v>#VALUE!</v>
      </c>
      <c r="CT2" t="e">
        <f ca="1">AND(résultats!D17,"AAAAAH/f9mE=")</f>
        <v>#VALUE!</v>
      </c>
      <c r="CU2" t="e">
        <f ca="1">AND(résultats!E17,"AAAAAH/f9mI=")</f>
        <v>#VALUE!</v>
      </c>
      <c r="CV2" t="e">
        <f ca="1">AND(résultats!F17,"AAAAAH/f9mM=")</f>
        <v>#VALUE!</v>
      </c>
      <c r="CW2" t="e">
        <f ca="1">AND(résultats!G17,"AAAAAH/f9mQ=")</f>
        <v>#VALUE!</v>
      </c>
      <c r="CX2" t="e">
        <f ca="1">AND(résultats!H17,"AAAAAH/f9mU=")</f>
        <v>#VALUE!</v>
      </c>
      <c r="CY2" t="e">
        <f ca="1">AND(résultats!I17,"AAAAAH/f9mY=")</f>
        <v>#VALUE!</v>
      </c>
      <c r="CZ2" t="e">
        <f ca="1">AND(résultats!J17,"AAAAAH/f9mc=")</f>
        <v>#VALUE!</v>
      </c>
      <c r="DA2" t="e">
        <f ca="1">AND(résultats!K17,"AAAAAH/f9mg=")</f>
        <v>#VALUE!</v>
      </c>
      <c r="DB2" t="e">
        <f ca="1">AND(résultats!L17,"AAAAAH/f9mk=")</f>
        <v>#VALUE!</v>
      </c>
      <c r="DC2" t="e">
        <f ca="1">AND(résultats!M17,"AAAAAH/f9mo=")</f>
        <v>#VALUE!</v>
      </c>
      <c r="DD2">
        <f ca="1">IF(résultats!18:18,"AAAAAH/f9ms=",0)</f>
        <v>0</v>
      </c>
      <c r="DE2" t="e">
        <f ca="1">AND(résultats!A18,"AAAAAH/f9mw=")</f>
        <v>#VALUE!</v>
      </c>
      <c r="DF2" t="e">
        <f ca="1">AND(résultats!B18,"AAAAAH/f9m0=")</f>
        <v>#VALUE!</v>
      </c>
      <c r="DG2" t="e">
        <f ca="1">AND(résultats!C18,"AAAAAH/f9m4=")</f>
        <v>#VALUE!</v>
      </c>
      <c r="DH2" t="e">
        <f ca="1">AND(résultats!D18,"AAAAAH/f9m8=")</f>
        <v>#VALUE!</v>
      </c>
      <c r="DI2" t="e">
        <f ca="1">AND(résultats!E18,"AAAAAH/f9nA=")</f>
        <v>#VALUE!</v>
      </c>
      <c r="DJ2" t="e">
        <f ca="1">AND(résultats!F18,"AAAAAH/f9nE=")</f>
        <v>#VALUE!</v>
      </c>
      <c r="DK2" t="e">
        <f ca="1">AND(résultats!G18,"AAAAAH/f9nI=")</f>
        <v>#VALUE!</v>
      </c>
      <c r="DL2" t="e">
        <f ca="1">AND(résultats!H18,"AAAAAH/f9nM=")</f>
        <v>#VALUE!</v>
      </c>
      <c r="DM2" t="e">
        <f ca="1">AND(résultats!I18,"AAAAAH/f9nQ=")</f>
        <v>#VALUE!</v>
      </c>
      <c r="DN2" t="e">
        <f ca="1">AND(résultats!J18,"AAAAAH/f9nU=")</f>
        <v>#VALUE!</v>
      </c>
      <c r="DO2" t="e">
        <f ca="1">AND(résultats!K18,"AAAAAH/f9nY=")</f>
        <v>#VALUE!</v>
      </c>
      <c r="DP2" t="e">
        <f ca="1">AND(résultats!L18,"AAAAAH/f9nc=")</f>
        <v>#VALUE!</v>
      </c>
      <c r="DQ2" t="e">
        <f ca="1">AND(résultats!M18,"AAAAAH/f9ng=")</f>
        <v>#VALUE!</v>
      </c>
      <c r="DR2">
        <f ca="1">IF(résultats!19:19,"AAAAAH/f9nk=",0)</f>
        <v>0</v>
      </c>
      <c r="DS2" t="e">
        <f ca="1">AND(résultats!A19,"AAAAAH/f9no=")</f>
        <v>#VALUE!</v>
      </c>
      <c r="DT2" t="e">
        <f ca="1">AND(résultats!B19,"AAAAAH/f9ns=")</f>
        <v>#VALUE!</v>
      </c>
      <c r="DU2" t="e">
        <f ca="1">AND(résultats!C19,"AAAAAH/f9nw=")</f>
        <v>#VALUE!</v>
      </c>
      <c r="DV2" t="e">
        <f ca="1">AND(résultats!D19,"AAAAAH/f9n0=")</f>
        <v>#VALUE!</v>
      </c>
      <c r="DW2" t="e">
        <f ca="1">AND(résultats!E19,"AAAAAH/f9n4=")</f>
        <v>#VALUE!</v>
      </c>
      <c r="DX2" t="e">
        <f ca="1">AND(résultats!F19,"AAAAAH/f9n8=")</f>
        <v>#VALUE!</v>
      </c>
      <c r="DY2" t="e">
        <f ca="1">AND(résultats!G19,"AAAAAH/f9oA=")</f>
        <v>#VALUE!</v>
      </c>
      <c r="DZ2" t="e">
        <f ca="1">AND(résultats!H19,"AAAAAH/f9oE=")</f>
        <v>#VALUE!</v>
      </c>
      <c r="EA2" t="e">
        <f ca="1">AND(résultats!I19,"AAAAAH/f9oI=")</f>
        <v>#VALUE!</v>
      </c>
      <c r="EB2" t="e">
        <f ca="1">AND(résultats!J19,"AAAAAH/f9oM=")</f>
        <v>#VALUE!</v>
      </c>
      <c r="EC2" t="e">
        <f ca="1">AND(résultats!K19,"AAAAAH/f9oQ=")</f>
        <v>#VALUE!</v>
      </c>
      <c r="ED2" t="e">
        <f ca="1">AND(résultats!L19,"AAAAAH/f9oU=")</f>
        <v>#VALUE!</v>
      </c>
      <c r="EE2" t="e">
        <f ca="1">AND(résultats!M19,"AAAAAH/f9oY=")</f>
        <v>#VALUE!</v>
      </c>
      <c r="EF2">
        <f ca="1">IF(résultats!20:20,"AAAAAH/f9oc=",0)</f>
        <v>0</v>
      </c>
      <c r="EG2" t="e">
        <f ca="1">AND(résultats!A20,"AAAAAH/f9og=")</f>
        <v>#VALUE!</v>
      </c>
      <c r="EH2" t="e">
        <f ca="1">AND(résultats!B20,"AAAAAH/f9ok=")</f>
        <v>#VALUE!</v>
      </c>
      <c r="EI2" t="e">
        <f ca="1">AND(résultats!C20,"AAAAAH/f9oo=")</f>
        <v>#VALUE!</v>
      </c>
      <c r="EJ2" t="e">
        <f ca="1">AND(résultats!D20,"AAAAAH/f9os=")</f>
        <v>#VALUE!</v>
      </c>
      <c r="EK2" t="e">
        <f ca="1">AND(résultats!E20,"AAAAAH/f9ow=")</f>
        <v>#VALUE!</v>
      </c>
      <c r="EL2" t="e">
        <f ca="1">AND(résultats!F20,"AAAAAH/f9o0=")</f>
        <v>#VALUE!</v>
      </c>
      <c r="EM2" t="e">
        <f ca="1">AND(résultats!G20,"AAAAAH/f9o4=")</f>
        <v>#VALUE!</v>
      </c>
      <c r="EN2" t="e">
        <f ca="1">AND(résultats!H20,"AAAAAH/f9o8=")</f>
        <v>#VALUE!</v>
      </c>
      <c r="EO2" t="e">
        <f ca="1">AND(résultats!I20,"AAAAAH/f9pA=")</f>
        <v>#VALUE!</v>
      </c>
      <c r="EP2" t="e">
        <f ca="1">AND(résultats!J20,"AAAAAH/f9pE=")</f>
        <v>#VALUE!</v>
      </c>
      <c r="EQ2" t="e">
        <f ca="1">AND(résultats!K20,"AAAAAH/f9pI=")</f>
        <v>#VALUE!</v>
      </c>
      <c r="ER2" t="e">
        <f ca="1">AND(résultats!L20,"AAAAAH/f9pM=")</f>
        <v>#VALUE!</v>
      </c>
      <c r="ES2" t="e">
        <f ca="1">AND(résultats!M20,"AAAAAH/f9pQ=")</f>
        <v>#VALUE!</v>
      </c>
      <c r="ET2">
        <f ca="1">IF(résultats!21:21,"AAAAAH/f9pU=",0)</f>
        <v>0</v>
      </c>
      <c r="EU2" t="e">
        <f ca="1">AND(résultats!A21,"AAAAAH/f9pY=")</f>
        <v>#VALUE!</v>
      </c>
      <c r="EV2" t="e">
        <f ca="1">AND(résultats!B21,"AAAAAH/f9pc=")</f>
        <v>#VALUE!</v>
      </c>
      <c r="EW2" t="e">
        <f ca="1">AND(résultats!C21,"AAAAAH/f9pg=")</f>
        <v>#VALUE!</v>
      </c>
      <c r="EX2" t="e">
        <f ca="1">AND(résultats!D21,"AAAAAH/f9pk=")</f>
        <v>#VALUE!</v>
      </c>
      <c r="EY2" t="e">
        <f ca="1">AND(résultats!E21,"AAAAAH/f9po=")</f>
        <v>#VALUE!</v>
      </c>
      <c r="EZ2" t="e">
        <f ca="1">AND(résultats!F21,"AAAAAH/f9ps=")</f>
        <v>#VALUE!</v>
      </c>
      <c r="FA2" t="e">
        <f ca="1">AND(résultats!G21,"AAAAAH/f9pw=")</f>
        <v>#VALUE!</v>
      </c>
      <c r="FB2" t="e">
        <f ca="1">AND(résultats!H21,"AAAAAH/f9p0=")</f>
        <v>#VALUE!</v>
      </c>
      <c r="FC2" t="e">
        <f ca="1">AND(résultats!I21,"AAAAAH/f9p4=")</f>
        <v>#VALUE!</v>
      </c>
      <c r="FD2" t="e">
        <f ca="1">AND(résultats!J21,"AAAAAH/f9p8=")</f>
        <v>#VALUE!</v>
      </c>
      <c r="FE2" t="e">
        <f ca="1">AND(résultats!K21,"AAAAAH/f9qA=")</f>
        <v>#VALUE!</v>
      </c>
      <c r="FF2" t="e">
        <f ca="1">AND(résultats!L21,"AAAAAH/f9qE=")</f>
        <v>#VALUE!</v>
      </c>
      <c r="FG2" t="e">
        <f ca="1">AND(résultats!M21,"AAAAAH/f9qI=")</f>
        <v>#VALUE!</v>
      </c>
      <c r="FH2">
        <f ca="1">IF(résultats!22:22,"AAAAAH/f9qM=",0)</f>
        <v>0</v>
      </c>
      <c r="FI2" t="e">
        <f ca="1">AND(résultats!A22,"AAAAAH/f9qQ=")</f>
        <v>#VALUE!</v>
      </c>
      <c r="FJ2" t="e">
        <f ca="1">AND(résultats!B22,"AAAAAH/f9qU=")</f>
        <v>#VALUE!</v>
      </c>
      <c r="FK2" t="e">
        <f ca="1">AND(résultats!C22,"AAAAAH/f9qY=")</f>
        <v>#VALUE!</v>
      </c>
      <c r="FL2" t="e">
        <f ca="1">AND(résultats!D22,"AAAAAH/f9qc=")</f>
        <v>#VALUE!</v>
      </c>
      <c r="FM2" t="e">
        <f ca="1">AND(résultats!E22,"AAAAAH/f9qg=")</f>
        <v>#VALUE!</v>
      </c>
      <c r="FN2" t="e">
        <f ca="1">AND(résultats!F22,"AAAAAH/f9qk=")</f>
        <v>#VALUE!</v>
      </c>
      <c r="FO2" t="e">
        <f ca="1">AND(résultats!G22,"AAAAAH/f9qo=")</f>
        <v>#VALUE!</v>
      </c>
      <c r="FP2" t="e">
        <f ca="1">AND(résultats!H22,"AAAAAH/f9qs=")</f>
        <v>#VALUE!</v>
      </c>
      <c r="FQ2" t="e">
        <f ca="1">AND(résultats!I22,"AAAAAH/f9qw=")</f>
        <v>#VALUE!</v>
      </c>
      <c r="FR2" t="e">
        <f ca="1">AND(résultats!J22,"AAAAAH/f9q0=")</f>
        <v>#VALUE!</v>
      </c>
      <c r="FS2" t="e">
        <f ca="1">AND(résultats!K22,"AAAAAH/f9q4=")</f>
        <v>#VALUE!</v>
      </c>
      <c r="FT2" t="e">
        <f ca="1">AND(résultats!L22,"AAAAAH/f9q8=")</f>
        <v>#VALUE!</v>
      </c>
      <c r="FU2" t="e">
        <f ca="1">AND(résultats!M22,"AAAAAH/f9rA=")</f>
        <v>#VALUE!</v>
      </c>
      <c r="FV2">
        <f ca="1">IF(résultats!23:23,"AAAAAH/f9rE=",0)</f>
        <v>0</v>
      </c>
      <c r="FW2" t="e">
        <f ca="1">AND(résultats!A23,"AAAAAH/f9rI=")</f>
        <v>#VALUE!</v>
      </c>
      <c r="FX2" t="e">
        <f ca="1">AND(résultats!B23,"AAAAAH/f9rM=")</f>
        <v>#VALUE!</v>
      </c>
      <c r="FY2" t="e">
        <f ca="1">AND(résultats!C23,"AAAAAH/f9rQ=")</f>
        <v>#VALUE!</v>
      </c>
      <c r="FZ2" t="e">
        <f ca="1">AND(résultats!D23,"AAAAAH/f9rU=")</f>
        <v>#VALUE!</v>
      </c>
      <c r="GA2" t="e">
        <f ca="1">AND(résultats!E23,"AAAAAH/f9rY=")</f>
        <v>#VALUE!</v>
      </c>
      <c r="GB2" t="e">
        <f ca="1">AND(résultats!F23,"AAAAAH/f9rc=")</f>
        <v>#VALUE!</v>
      </c>
      <c r="GC2" t="e">
        <f ca="1">AND(résultats!G23,"AAAAAH/f9rg=")</f>
        <v>#VALUE!</v>
      </c>
      <c r="GD2" t="e">
        <f ca="1">AND(résultats!H23,"AAAAAH/f9rk=")</f>
        <v>#VALUE!</v>
      </c>
      <c r="GE2" t="e">
        <f ca="1">AND(résultats!I23,"AAAAAH/f9ro=")</f>
        <v>#VALUE!</v>
      </c>
      <c r="GF2" t="e">
        <f ca="1">AND(résultats!J23,"AAAAAH/f9rs=")</f>
        <v>#VALUE!</v>
      </c>
      <c r="GG2" t="e">
        <f ca="1">AND(résultats!K23,"AAAAAH/f9rw=")</f>
        <v>#VALUE!</v>
      </c>
      <c r="GH2" t="e">
        <f ca="1">AND(résultats!L23,"AAAAAH/f9r0=")</f>
        <v>#VALUE!</v>
      </c>
      <c r="GI2" t="e">
        <f ca="1">AND(résultats!M23,"AAAAAH/f9r4=")</f>
        <v>#VALUE!</v>
      </c>
      <c r="GJ2">
        <f ca="1">IF(résultats!24:24,"AAAAAH/f9r8=",0)</f>
        <v>0</v>
      </c>
      <c r="GK2" t="e">
        <f ca="1">AND(résultats!A24,"AAAAAH/f9sA=")</f>
        <v>#VALUE!</v>
      </c>
      <c r="GL2" t="e">
        <f ca="1">AND(résultats!B24,"AAAAAH/f9sE=")</f>
        <v>#VALUE!</v>
      </c>
      <c r="GM2" t="e">
        <f ca="1">AND(résultats!C24,"AAAAAH/f9sI=")</f>
        <v>#VALUE!</v>
      </c>
      <c r="GN2" t="e">
        <f ca="1">AND(résultats!D24,"AAAAAH/f9sM=")</f>
        <v>#VALUE!</v>
      </c>
      <c r="GO2" t="e">
        <f ca="1">AND(résultats!E24,"AAAAAH/f9sQ=")</f>
        <v>#VALUE!</v>
      </c>
      <c r="GP2" t="e">
        <f ca="1">AND(résultats!F24,"AAAAAH/f9sU=")</f>
        <v>#VALUE!</v>
      </c>
      <c r="GQ2" t="e">
        <f ca="1">AND(résultats!G24,"AAAAAH/f9sY=")</f>
        <v>#VALUE!</v>
      </c>
      <c r="GR2" t="e">
        <f ca="1">AND(résultats!H24,"AAAAAH/f9sc=")</f>
        <v>#VALUE!</v>
      </c>
      <c r="GS2" t="e">
        <f ca="1">AND(résultats!I24,"AAAAAH/f9sg=")</f>
        <v>#VALUE!</v>
      </c>
      <c r="GT2" t="e">
        <f ca="1">AND(résultats!J24,"AAAAAH/f9sk=")</f>
        <v>#VALUE!</v>
      </c>
      <c r="GU2" t="e">
        <f ca="1">AND(résultats!K24,"AAAAAH/f9so=")</f>
        <v>#VALUE!</v>
      </c>
      <c r="GV2" t="e">
        <f ca="1">AND(résultats!L24,"AAAAAH/f9ss=")</f>
        <v>#VALUE!</v>
      </c>
      <c r="GW2" t="e">
        <f ca="1">AND(résultats!M24,"AAAAAH/f9sw=")</f>
        <v>#VALUE!</v>
      </c>
      <c r="GX2">
        <f ca="1">IF(résultats!25:25,"AAAAAH/f9s0=",0)</f>
        <v>0</v>
      </c>
      <c r="GY2" t="e">
        <f ca="1">AND(résultats!A25,"AAAAAH/f9s4=")</f>
        <v>#VALUE!</v>
      </c>
      <c r="GZ2" t="e">
        <f ca="1">AND(résultats!B25,"AAAAAH/f9s8=")</f>
        <v>#VALUE!</v>
      </c>
      <c r="HA2" t="e">
        <f ca="1">AND(résultats!C25,"AAAAAH/f9tA=")</f>
        <v>#VALUE!</v>
      </c>
      <c r="HB2" t="e">
        <f ca="1">AND(résultats!D25,"AAAAAH/f9tE=")</f>
        <v>#VALUE!</v>
      </c>
      <c r="HC2" t="e">
        <f ca="1">AND(résultats!E25,"AAAAAH/f9tI=")</f>
        <v>#VALUE!</v>
      </c>
      <c r="HD2" t="e">
        <f ca="1">AND(résultats!F25,"AAAAAH/f9tM=")</f>
        <v>#VALUE!</v>
      </c>
      <c r="HE2" t="e">
        <f ca="1">AND(résultats!G25,"AAAAAH/f9tQ=")</f>
        <v>#VALUE!</v>
      </c>
      <c r="HF2" t="e">
        <f ca="1">AND(résultats!H25,"AAAAAH/f9tU=")</f>
        <v>#VALUE!</v>
      </c>
      <c r="HG2" t="e">
        <f ca="1">AND(résultats!I25,"AAAAAH/f9tY=")</f>
        <v>#VALUE!</v>
      </c>
      <c r="HH2" t="e">
        <f ca="1">AND(résultats!J25,"AAAAAH/f9tc=")</f>
        <v>#VALUE!</v>
      </c>
      <c r="HI2" t="e">
        <f ca="1">AND(résultats!K25,"AAAAAH/f9tg=")</f>
        <v>#VALUE!</v>
      </c>
      <c r="HJ2" t="e">
        <f ca="1">AND(résultats!L25,"AAAAAH/f9tk=")</f>
        <v>#VALUE!</v>
      </c>
      <c r="HK2" t="e">
        <f ca="1">AND(résultats!M25,"AAAAAH/f9to=")</f>
        <v>#VALUE!</v>
      </c>
      <c r="HL2">
        <f ca="1">IF(résultats!26:26,"AAAAAH/f9ts=",0)</f>
        <v>0</v>
      </c>
      <c r="HM2" t="e">
        <f ca="1">AND(résultats!A26,"AAAAAH/f9tw=")</f>
        <v>#VALUE!</v>
      </c>
      <c r="HN2" t="e">
        <f ca="1">AND(résultats!B26,"AAAAAH/f9t0=")</f>
        <v>#VALUE!</v>
      </c>
      <c r="HO2" t="e">
        <f ca="1">AND(résultats!C26,"AAAAAH/f9t4=")</f>
        <v>#VALUE!</v>
      </c>
      <c r="HP2" t="e">
        <f ca="1">AND(résultats!D26,"AAAAAH/f9t8=")</f>
        <v>#VALUE!</v>
      </c>
      <c r="HQ2" t="e">
        <f ca="1">AND(résultats!E26,"AAAAAH/f9uA=")</f>
        <v>#VALUE!</v>
      </c>
      <c r="HR2" t="e">
        <f ca="1">AND(résultats!F26,"AAAAAH/f9uE=")</f>
        <v>#VALUE!</v>
      </c>
      <c r="HS2" t="e">
        <f ca="1">AND(résultats!G26,"AAAAAH/f9uI=")</f>
        <v>#VALUE!</v>
      </c>
      <c r="HT2" t="e">
        <f ca="1">AND(résultats!H26,"AAAAAH/f9uM=")</f>
        <v>#VALUE!</v>
      </c>
      <c r="HU2" t="e">
        <f ca="1">AND(résultats!I26,"AAAAAH/f9uQ=")</f>
        <v>#VALUE!</v>
      </c>
      <c r="HV2" t="e">
        <f ca="1">AND(résultats!J26,"AAAAAH/f9uU=")</f>
        <v>#VALUE!</v>
      </c>
      <c r="HW2" t="e">
        <f ca="1">AND(résultats!K26,"AAAAAH/f9uY=")</f>
        <v>#VALUE!</v>
      </c>
      <c r="HX2" t="e">
        <f ca="1">AND(résultats!L26,"AAAAAH/f9uc=")</f>
        <v>#VALUE!</v>
      </c>
      <c r="HY2" t="e">
        <f ca="1">AND(résultats!M26,"AAAAAH/f9ug=")</f>
        <v>#VALUE!</v>
      </c>
      <c r="HZ2">
        <f ca="1">IF(résultats!27:27,"AAAAAH/f9uk=",0)</f>
        <v>0</v>
      </c>
      <c r="IA2" t="e">
        <f ca="1">AND(résultats!A27,"AAAAAH/f9uo=")</f>
        <v>#VALUE!</v>
      </c>
      <c r="IB2" t="e">
        <f ca="1">AND(résultats!B27,"AAAAAH/f9us=")</f>
        <v>#VALUE!</v>
      </c>
      <c r="IC2" t="e">
        <f ca="1">AND(résultats!C27,"AAAAAH/f9uw=")</f>
        <v>#VALUE!</v>
      </c>
      <c r="ID2" t="e">
        <f ca="1">AND(résultats!D27,"AAAAAH/f9u0=")</f>
        <v>#VALUE!</v>
      </c>
      <c r="IE2" t="e">
        <f ca="1">AND(résultats!E27,"AAAAAH/f9u4=")</f>
        <v>#VALUE!</v>
      </c>
      <c r="IF2" t="e">
        <f ca="1">AND(résultats!F27,"AAAAAH/f9u8=")</f>
        <v>#VALUE!</v>
      </c>
      <c r="IG2" t="e">
        <f ca="1">AND(résultats!G27,"AAAAAH/f9vA=")</f>
        <v>#VALUE!</v>
      </c>
      <c r="IH2" t="e">
        <f ca="1">AND(résultats!H27,"AAAAAH/f9vE=")</f>
        <v>#VALUE!</v>
      </c>
      <c r="II2" t="e">
        <f ca="1">AND(résultats!I27,"AAAAAH/f9vI=")</f>
        <v>#VALUE!</v>
      </c>
      <c r="IJ2" t="e">
        <f ca="1">AND(résultats!J27,"AAAAAH/f9vM=")</f>
        <v>#VALUE!</v>
      </c>
      <c r="IK2" t="e">
        <f ca="1">AND(résultats!K27,"AAAAAH/f9vQ=")</f>
        <v>#VALUE!</v>
      </c>
      <c r="IL2" t="e">
        <f ca="1">AND(résultats!L27,"AAAAAH/f9vU=")</f>
        <v>#VALUE!</v>
      </c>
      <c r="IM2" t="e">
        <f ca="1">AND(résultats!M27,"AAAAAH/f9vY=")</f>
        <v>#VALUE!</v>
      </c>
      <c r="IN2">
        <f ca="1">IF(résultats!28:28,"AAAAAH/f9vc=",0)</f>
        <v>0</v>
      </c>
      <c r="IO2" t="e">
        <f ca="1">AND(résultats!A28,"AAAAAH/f9vg=")</f>
        <v>#VALUE!</v>
      </c>
      <c r="IP2" t="e">
        <f ca="1">AND(résultats!B28,"AAAAAH/f9vk=")</f>
        <v>#VALUE!</v>
      </c>
      <c r="IQ2" t="e">
        <f ca="1">AND(résultats!C28,"AAAAAH/f9vo=")</f>
        <v>#VALUE!</v>
      </c>
      <c r="IR2" t="e">
        <f ca="1">AND(résultats!D28,"AAAAAH/f9vs=")</f>
        <v>#VALUE!</v>
      </c>
      <c r="IS2" t="e">
        <f ca="1">AND(résultats!E28,"AAAAAH/f9vw=")</f>
        <v>#VALUE!</v>
      </c>
      <c r="IT2" t="e">
        <f ca="1">AND(résultats!F28,"AAAAAH/f9v0=")</f>
        <v>#VALUE!</v>
      </c>
      <c r="IU2" t="e">
        <f ca="1">AND(résultats!G28,"AAAAAH/f9v4=")</f>
        <v>#VALUE!</v>
      </c>
      <c r="IV2" t="e">
        <f ca="1">AND(résultats!H28,"AAAAAH/f9v8=")</f>
        <v>#VALUE!</v>
      </c>
    </row>
    <row r="3" spans="1:256">
      <c r="A3" t="e">
        <f ca="1">AND(résultats!I28,"AAAAAF3/zQA=")</f>
        <v>#VALUE!</v>
      </c>
      <c r="B3" t="e">
        <f ca="1">AND(résultats!J28,"AAAAAF3/zQE=")</f>
        <v>#VALUE!</v>
      </c>
      <c r="C3" t="e">
        <f ca="1">AND(résultats!K28,"AAAAAF3/zQI=")</f>
        <v>#VALUE!</v>
      </c>
      <c r="D3" t="e">
        <f ca="1">AND(résultats!L28,"AAAAAF3/zQM=")</f>
        <v>#VALUE!</v>
      </c>
      <c r="E3" t="e">
        <f ca="1">AND(résultats!M28,"AAAAAF3/zQQ=")</f>
        <v>#VALUE!</v>
      </c>
      <c r="F3">
        <f ca="1">IF(résultats!29:29,"AAAAAF3/zQU=",0)</f>
        <v>0</v>
      </c>
      <c r="G3" t="e">
        <f ca="1">AND(résultats!A29,"AAAAAF3/zQY=")</f>
        <v>#VALUE!</v>
      </c>
      <c r="H3" t="e">
        <f ca="1">AND(résultats!B29,"AAAAAF3/zQc=")</f>
        <v>#VALUE!</v>
      </c>
      <c r="I3" t="e">
        <f ca="1">AND(résultats!C29,"AAAAAF3/zQg=")</f>
        <v>#VALUE!</v>
      </c>
      <c r="J3" t="e">
        <f ca="1">AND(résultats!D29,"AAAAAF3/zQk=")</f>
        <v>#VALUE!</v>
      </c>
      <c r="K3" t="e">
        <f ca="1">AND(résultats!E29,"AAAAAF3/zQo=")</f>
        <v>#VALUE!</v>
      </c>
      <c r="L3" t="e">
        <f ca="1">AND(résultats!F29,"AAAAAF3/zQs=")</f>
        <v>#VALUE!</v>
      </c>
      <c r="M3" t="e">
        <f ca="1">AND(résultats!G29,"AAAAAF3/zQw=")</f>
        <v>#VALUE!</v>
      </c>
      <c r="N3" t="e">
        <f ca="1">AND(résultats!H29,"AAAAAF3/zQ0=")</f>
        <v>#VALUE!</v>
      </c>
      <c r="O3">
        <f ca="1">IF(résultats!30:30,"AAAAAF3/zQ4=",0)</f>
        <v>0</v>
      </c>
      <c r="P3" t="e">
        <f ca="1">AND(résultats!A30,"AAAAAF3/zQ8=")</f>
        <v>#VALUE!</v>
      </c>
      <c r="Q3" t="e">
        <f ca="1">AND(résultats!B30,"AAAAAF3/zRA=")</f>
        <v>#VALUE!</v>
      </c>
      <c r="R3" t="e">
        <f ca="1">AND(résultats!C30,"AAAAAF3/zRE=")</f>
        <v>#VALUE!</v>
      </c>
      <c r="S3" t="e">
        <f ca="1">AND(résultats!D30,"AAAAAF3/zRI=")</f>
        <v>#VALUE!</v>
      </c>
      <c r="T3" t="e">
        <f ca="1">AND(résultats!E30,"AAAAAF3/zRM=")</f>
        <v>#VALUE!</v>
      </c>
      <c r="U3" t="e">
        <f ca="1">AND(résultats!F30,"AAAAAF3/zRQ=")</f>
        <v>#VALUE!</v>
      </c>
      <c r="V3" t="e">
        <f ca="1">AND(résultats!G30,"AAAAAF3/zRU=")</f>
        <v>#VALUE!</v>
      </c>
      <c r="W3" t="e">
        <f ca="1">AND(résultats!H30,"AAAAAF3/zRY=")</f>
        <v>#VALUE!</v>
      </c>
      <c r="X3">
        <f ca="1">IF(résultats!31:31,"AAAAAF3/zRc=",0)</f>
        <v>0</v>
      </c>
      <c r="Y3" t="e">
        <f ca="1">AND(résultats!A31,"AAAAAF3/zRg=")</f>
        <v>#VALUE!</v>
      </c>
      <c r="Z3" t="e">
        <f ca="1">AND(résultats!B31,"AAAAAF3/zRk=")</f>
        <v>#VALUE!</v>
      </c>
      <c r="AA3" t="e">
        <f ca="1">AND(résultats!C31,"AAAAAF3/zRo=")</f>
        <v>#VALUE!</v>
      </c>
      <c r="AB3" t="e">
        <f ca="1">AND(résultats!D31,"AAAAAF3/zRs=")</f>
        <v>#VALUE!</v>
      </c>
      <c r="AC3" t="e">
        <f ca="1">AND(résultats!E31,"AAAAAF3/zRw=")</f>
        <v>#VALUE!</v>
      </c>
      <c r="AD3" t="e">
        <f ca="1">AND(résultats!F31,"AAAAAF3/zR0=")</f>
        <v>#VALUE!</v>
      </c>
      <c r="AE3" t="e">
        <f ca="1">AND(résultats!G31,"AAAAAF3/zR4=")</f>
        <v>#VALUE!</v>
      </c>
      <c r="AF3" t="e">
        <f ca="1">AND(résultats!H31,"AAAAAF3/zR8=")</f>
        <v>#VALUE!</v>
      </c>
      <c r="AG3">
        <f ca="1">IF(résultats!32:32,"AAAAAF3/zSA=",0)</f>
        <v>0</v>
      </c>
      <c r="AH3" t="e">
        <f ca="1">AND(résultats!A32,"AAAAAF3/zSE=")</f>
        <v>#VALUE!</v>
      </c>
      <c r="AI3" t="e">
        <f ca="1">AND(résultats!B32,"AAAAAF3/zSI=")</f>
        <v>#VALUE!</v>
      </c>
      <c r="AJ3" t="e">
        <f ca="1">AND(résultats!C32,"AAAAAF3/zSM=")</f>
        <v>#VALUE!</v>
      </c>
      <c r="AK3" t="e">
        <f ca="1">AND(résultats!D32,"AAAAAF3/zSQ=")</f>
        <v>#VALUE!</v>
      </c>
      <c r="AL3" t="e">
        <f ca="1">AND(résultats!E32,"AAAAAF3/zSU=")</f>
        <v>#VALUE!</v>
      </c>
      <c r="AM3" t="e">
        <f ca="1">AND(résultats!F32,"AAAAAF3/zSY=")</f>
        <v>#VALUE!</v>
      </c>
      <c r="AN3" t="e">
        <f ca="1">AND(résultats!G32,"AAAAAF3/zSc=")</f>
        <v>#VALUE!</v>
      </c>
      <c r="AO3" t="e">
        <f ca="1">AND(résultats!H32,"AAAAAF3/zSg=")</f>
        <v>#VALUE!</v>
      </c>
      <c r="AP3">
        <f ca="1">IF(résultats!33:33,"AAAAAF3/zSk=",0)</f>
        <v>0</v>
      </c>
      <c r="AQ3" t="e">
        <f ca="1">AND(résultats!A33,"AAAAAF3/zSo=")</f>
        <v>#VALUE!</v>
      </c>
      <c r="AR3" t="e">
        <f ca="1">AND(résultats!B33,"AAAAAF3/zSs=")</f>
        <v>#VALUE!</v>
      </c>
      <c r="AS3" t="e">
        <f ca="1">AND(résultats!C33,"AAAAAF3/zSw=")</f>
        <v>#VALUE!</v>
      </c>
      <c r="AT3" t="e">
        <f ca="1">AND(résultats!D33,"AAAAAF3/zS0=")</f>
        <v>#VALUE!</v>
      </c>
      <c r="AU3" t="e">
        <f ca="1">AND(résultats!E33,"AAAAAF3/zS4=")</f>
        <v>#VALUE!</v>
      </c>
      <c r="AV3" t="e">
        <f ca="1">AND(résultats!F33,"AAAAAF3/zS8=")</f>
        <v>#VALUE!</v>
      </c>
      <c r="AW3" t="e">
        <f ca="1">AND(résultats!G33,"AAAAAF3/zTA=")</f>
        <v>#VALUE!</v>
      </c>
      <c r="AX3" t="e">
        <f ca="1">AND(résultats!H33,"AAAAAF3/zTE=")</f>
        <v>#VALUE!</v>
      </c>
      <c r="AY3">
        <f ca="1">IF(résultats!34:34,"AAAAAF3/zTI=",0)</f>
        <v>0</v>
      </c>
      <c r="AZ3" t="e">
        <f ca="1">AND(résultats!A34,"AAAAAF3/zTM=")</f>
        <v>#VALUE!</v>
      </c>
      <c r="BA3" t="e">
        <f ca="1">AND(résultats!B34,"AAAAAF3/zTQ=")</f>
        <v>#VALUE!</v>
      </c>
      <c r="BB3" t="e">
        <f ca="1">AND(résultats!C34,"AAAAAF3/zTU=")</f>
        <v>#VALUE!</v>
      </c>
      <c r="BC3" t="e">
        <f ca="1">AND(résultats!D34,"AAAAAF3/zTY=")</f>
        <v>#VALUE!</v>
      </c>
      <c r="BD3" t="e">
        <f ca="1">AND(résultats!E34,"AAAAAF3/zTc=")</f>
        <v>#VALUE!</v>
      </c>
      <c r="BE3" t="e">
        <f ca="1">AND(résultats!F34,"AAAAAF3/zTg=")</f>
        <v>#VALUE!</v>
      </c>
      <c r="BF3" t="e">
        <f ca="1">AND(résultats!G34,"AAAAAF3/zTk=")</f>
        <v>#VALUE!</v>
      </c>
      <c r="BG3" t="e">
        <f ca="1">AND(résultats!H34,"AAAAAF3/zTo=")</f>
        <v>#VALUE!</v>
      </c>
      <c r="BH3">
        <f ca="1">IF(résultats!35:35,"AAAAAF3/zTs=",0)</f>
        <v>0</v>
      </c>
      <c r="BI3" t="e">
        <f ca="1">AND(résultats!A35,"AAAAAF3/zTw=")</f>
        <v>#VALUE!</v>
      </c>
      <c r="BJ3" t="e">
        <f ca="1">AND(résultats!B35,"AAAAAF3/zT0=")</f>
        <v>#VALUE!</v>
      </c>
      <c r="BK3" t="e">
        <f ca="1">AND(résultats!C35,"AAAAAF3/zT4=")</f>
        <v>#VALUE!</v>
      </c>
      <c r="BL3" t="e">
        <f ca="1">AND(résultats!D35,"AAAAAF3/zT8=")</f>
        <v>#VALUE!</v>
      </c>
      <c r="BM3" t="e">
        <f ca="1">AND(résultats!E35,"AAAAAF3/zUA=")</f>
        <v>#VALUE!</v>
      </c>
      <c r="BN3" t="e">
        <f ca="1">AND(résultats!F35,"AAAAAF3/zUE=")</f>
        <v>#VALUE!</v>
      </c>
      <c r="BO3" t="e">
        <f ca="1">AND(résultats!G35,"AAAAAF3/zUI=")</f>
        <v>#VALUE!</v>
      </c>
      <c r="BP3" t="e">
        <f ca="1">AND(résultats!H35,"AAAAAF3/zUM=")</f>
        <v>#VALUE!</v>
      </c>
      <c r="BQ3">
        <f ca="1">IF(résultats!36:36,"AAAAAF3/zUQ=",0)</f>
        <v>0</v>
      </c>
      <c r="BR3" t="e">
        <f ca="1">AND(résultats!A36,"AAAAAF3/zUU=")</f>
        <v>#VALUE!</v>
      </c>
      <c r="BS3" t="e">
        <f ca="1">AND(résultats!B36,"AAAAAF3/zUY=")</f>
        <v>#VALUE!</v>
      </c>
      <c r="BT3" t="e">
        <f ca="1">AND(résultats!C36,"AAAAAF3/zUc=")</f>
        <v>#VALUE!</v>
      </c>
      <c r="BU3" t="e">
        <f ca="1">AND(résultats!D36,"AAAAAF3/zUg=")</f>
        <v>#VALUE!</v>
      </c>
      <c r="BV3" t="e">
        <f ca="1">AND(résultats!E36,"AAAAAF3/zUk=")</f>
        <v>#VALUE!</v>
      </c>
      <c r="BW3" t="e">
        <f ca="1">AND(résultats!F36,"AAAAAF3/zUo=")</f>
        <v>#VALUE!</v>
      </c>
      <c r="BX3" t="e">
        <f ca="1">AND(résultats!G36,"AAAAAF3/zUs=")</f>
        <v>#VALUE!</v>
      </c>
      <c r="BY3" t="e">
        <f ca="1">AND(résultats!H36,"AAAAAF3/zUw=")</f>
        <v>#VALUE!</v>
      </c>
      <c r="BZ3">
        <f ca="1">IF(résultats!37:37,"AAAAAF3/zU0=",0)</f>
        <v>0</v>
      </c>
      <c r="CA3" t="e">
        <f ca="1">AND(résultats!A37,"AAAAAF3/zU4=")</f>
        <v>#VALUE!</v>
      </c>
      <c r="CB3" t="e">
        <f ca="1">AND(résultats!B37,"AAAAAF3/zU8=")</f>
        <v>#VALUE!</v>
      </c>
      <c r="CC3" t="e">
        <f ca="1">AND(résultats!C37,"AAAAAF3/zVA=")</f>
        <v>#VALUE!</v>
      </c>
      <c r="CD3" t="e">
        <f ca="1">AND(résultats!D37,"AAAAAF3/zVE=")</f>
        <v>#VALUE!</v>
      </c>
      <c r="CE3" t="e">
        <f ca="1">AND(résultats!E37,"AAAAAF3/zVI=")</f>
        <v>#VALUE!</v>
      </c>
      <c r="CF3" t="e">
        <f ca="1">AND(résultats!F37,"AAAAAF3/zVM=")</f>
        <v>#VALUE!</v>
      </c>
      <c r="CG3" t="e">
        <f ca="1">AND(résultats!G37,"AAAAAF3/zVQ=")</f>
        <v>#VALUE!</v>
      </c>
      <c r="CH3" t="e">
        <f ca="1">AND(résultats!H37,"AAAAAF3/zVU=")</f>
        <v>#VALUE!</v>
      </c>
      <c r="CI3">
        <f ca="1">IF(résultats!38:38,"AAAAAF3/zVY=",0)</f>
        <v>0</v>
      </c>
      <c r="CJ3" t="e">
        <f ca="1">AND(résultats!A38,"AAAAAF3/zVc=")</f>
        <v>#VALUE!</v>
      </c>
      <c r="CK3" t="e">
        <f ca="1">AND(résultats!B38,"AAAAAF3/zVg=")</f>
        <v>#VALUE!</v>
      </c>
      <c r="CL3" t="e">
        <f ca="1">AND(résultats!C38,"AAAAAF3/zVk=")</f>
        <v>#VALUE!</v>
      </c>
      <c r="CM3" t="e">
        <f ca="1">AND(résultats!D38,"AAAAAF3/zVo=")</f>
        <v>#VALUE!</v>
      </c>
      <c r="CN3" t="e">
        <f ca="1">AND(résultats!E38,"AAAAAF3/zVs=")</f>
        <v>#VALUE!</v>
      </c>
      <c r="CO3" t="e">
        <f ca="1">AND(résultats!F38,"AAAAAF3/zVw=")</f>
        <v>#VALUE!</v>
      </c>
      <c r="CP3" t="e">
        <f ca="1">AND(résultats!G38,"AAAAAF3/zV0=")</f>
        <v>#VALUE!</v>
      </c>
      <c r="CQ3" t="e">
        <f ca="1">AND(résultats!H38,"AAAAAF3/zV4=")</f>
        <v>#VALUE!</v>
      </c>
      <c r="CR3">
        <f ca="1">IF(résultats!39:39,"AAAAAF3/zV8=",0)</f>
        <v>0</v>
      </c>
      <c r="CS3" t="e">
        <f ca="1">AND(résultats!A39,"AAAAAF3/zWA=")</f>
        <v>#VALUE!</v>
      </c>
      <c r="CT3" t="e">
        <f ca="1">AND(résultats!B39,"AAAAAF3/zWE=")</f>
        <v>#VALUE!</v>
      </c>
      <c r="CU3" t="e">
        <f ca="1">AND(résultats!C39,"AAAAAF3/zWI=")</f>
        <v>#VALUE!</v>
      </c>
      <c r="CV3" t="e">
        <f ca="1">AND(résultats!D39,"AAAAAF3/zWM=")</f>
        <v>#VALUE!</v>
      </c>
      <c r="CW3" t="e">
        <f ca="1">AND(résultats!E39,"AAAAAF3/zWQ=")</f>
        <v>#VALUE!</v>
      </c>
      <c r="CX3" t="e">
        <f ca="1">AND(résultats!F39,"AAAAAF3/zWU=")</f>
        <v>#VALUE!</v>
      </c>
      <c r="CY3" t="e">
        <f ca="1">AND(résultats!G39,"AAAAAF3/zWY=")</f>
        <v>#VALUE!</v>
      </c>
      <c r="CZ3" t="e">
        <f ca="1">AND(résultats!H39,"AAAAAF3/zWc=")</f>
        <v>#VALUE!</v>
      </c>
      <c r="DA3">
        <f ca="1">IF(résultats!40:40,"AAAAAF3/zWg=",0)</f>
        <v>0</v>
      </c>
      <c r="DB3" t="e">
        <f ca="1">AND(résultats!A40,"AAAAAF3/zWk=")</f>
        <v>#VALUE!</v>
      </c>
      <c r="DC3" t="e">
        <f ca="1">AND(résultats!B40,"AAAAAF3/zWo=")</f>
        <v>#VALUE!</v>
      </c>
      <c r="DD3" t="e">
        <f ca="1">AND(résultats!C40,"AAAAAF3/zWs=")</f>
        <v>#VALUE!</v>
      </c>
      <c r="DE3" t="e">
        <f ca="1">AND(résultats!D40,"AAAAAF3/zWw=")</f>
        <v>#VALUE!</v>
      </c>
      <c r="DF3" t="e">
        <f ca="1">AND(résultats!E40,"AAAAAF3/zW0=")</f>
        <v>#VALUE!</v>
      </c>
      <c r="DG3" t="e">
        <f ca="1">AND(résultats!F40,"AAAAAF3/zW4=")</f>
        <v>#VALUE!</v>
      </c>
      <c r="DH3" t="e">
        <f ca="1">AND(résultats!G40,"AAAAAF3/zW8=")</f>
        <v>#VALUE!</v>
      </c>
      <c r="DI3" t="e">
        <f ca="1">AND(résultats!H40,"AAAAAF3/zXA=")</f>
        <v>#VALUE!</v>
      </c>
      <c r="DJ3">
        <f ca="1">IF(résultats!41:41,"AAAAAF3/zXE=",0)</f>
        <v>0</v>
      </c>
      <c r="DK3" t="e">
        <f ca="1">AND(résultats!A41,"AAAAAF3/zXI=")</f>
        <v>#VALUE!</v>
      </c>
      <c r="DL3" t="e">
        <f ca="1">AND(résultats!B41,"AAAAAF3/zXM=")</f>
        <v>#VALUE!</v>
      </c>
      <c r="DM3" t="e">
        <f ca="1">AND(résultats!C41,"AAAAAF3/zXQ=")</f>
        <v>#VALUE!</v>
      </c>
      <c r="DN3" t="e">
        <f ca="1">AND(résultats!D41,"AAAAAF3/zXU=")</f>
        <v>#VALUE!</v>
      </c>
      <c r="DO3" t="e">
        <f ca="1">AND(résultats!E41,"AAAAAF3/zXY=")</f>
        <v>#VALUE!</v>
      </c>
      <c r="DP3" t="e">
        <f ca="1">AND(résultats!F41,"AAAAAF3/zXc=")</f>
        <v>#VALUE!</v>
      </c>
      <c r="DQ3" t="e">
        <f ca="1">AND(résultats!G41,"AAAAAF3/zXg=")</f>
        <v>#VALUE!</v>
      </c>
      <c r="DR3" t="e">
        <f ca="1">AND(résultats!H41,"AAAAAF3/zXk=")</f>
        <v>#VALUE!</v>
      </c>
      <c r="DS3">
        <f ca="1">IF(résultats!42:42,"AAAAAF3/zXo=",0)</f>
        <v>0</v>
      </c>
      <c r="DT3" t="e">
        <f ca="1">AND(résultats!A42,"AAAAAF3/zXs=")</f>
        <v>#VALUE!</v>
      </c>
      <c r="DU3" t="e">
        <f ca="1">AND(résultats!B42,"AAAAAF3/zXw=")</f>
        <v>#VALUE!</v>
      </c>
      <c r="DV3" t="e">
        <f ca="1">AND(résultats!C42,"AAAAAF3/zX0=")</f>
        <v>#VALUE!</v>
      </c>
      <c r="DW3" t="e">
        <f ca="1">AND(résultats!D42,"AAAAAF3/zX4=")</f>
        <v>#VALUE!</v>
      </c>
      <c r="DX3" t="e">
        <f ca="1">AND(résultats!E42,"AAAAAF3/zX8=")</f>
        <v>#VALUE!</v>
      </c>
      <c r="DY3" t="e">
        <f ca="1">AND(résultats!F42,"AAAAAF3/zYA=")</f>
        <v>#VALUE!</v>
      </c>
      <c r="DZ3" t="e">
        <f ca="1">AND(résultats!G42,"AAAAAF3/zYE=")</f>
        <v>#VALUE!</v>
      </c>
      <c r="EA3" t="e">
        <f ca="1">AND(résultats!H42,"AAAAAF3/zYI=")</f>
        <v>#VALUE!</v>
      </c>
      <c r="EB3">
        <f ca="1">IF(résultats!43:43,"AAAAAF3/zYM=",0)</f>
        <v>0</v>
      </c>
      <c r="EC3" t="e">
        <f ca="1">AND(résultats!A43,"AAAAAF3/zYQ=")</f>
        <v>#VALUE!</v>
      </c>
      <c r="ED3" t="e">
        <f ca="1">AND(résultats!B43,"AAAAAF3/zYU=")</f>
        <v>#VALUE!</v>
      </c>
      <c r="EE3" t="e">
        <f ca="1">AND(résultats!C43,"AAAAAF3/zYY=")</f>
        <v>#VALUE!</v>
      </c>
      <c r="EF3" t="e">
        <f ca="1">AND(résultats!D43,"AAAAAF3/zYc=")</f>
        <v>#VALUE!</v>
      </c>
      <c r="EG3" t="e">
        <f ca="1">AND(résultats!E43,"AAAAAF3/zYg=")</f>
        <v>#VALUE!</v>
      </c>
      <c r="EH3" t="e">
        <f ca="1">AND(résultats!F43,"AAAAAF3/zYk=")</f>
        <v>#VALUE!</v>
      </c>
      <c r="EI3" t="e">
        <f ca="1">AND(résultats!G43,"AAAAAF3/zYo=")</f>
        <v>#VALUE!</v>
      </c>
      <c r="EJ3" t="e">
        <f ca="1">AND(résultats!H43,"AAAAAF3/zYs=")</f>
        <v>#VALUE!</v>
      </c>
      <c r="EK3">
        <f ca="1">IF(résultats!44:44,"AAAAAF3/zYw=",0)</f>
        <v>0</v>
      </c>
      <c r="EL3" t="e">
        <f ca="1">AND(résultats!A44,"AAAAAF3/zY0=")</f>
        <v>#VALUE!</v>
      </c>
      <c r="EM3" t="e">
        <f ca="1">AND(résultats!B44,"AAAAAF3/zY4=")</f>
        <v>#VALUE!</v>
      </c>
      <c r="EN3" t="e">
        <f ca="1">AND(résultats!C44,"AAAAAF3/zY8=")</f>
        <v>#VALUE!</v>
      </c>
      <c r="EO3" t="e">
        <f ca="1">AND(résultats!D44,"AAAAAF3/zZA=")</f>
        <v>#VALUE!</v>
      </c>
      <c r="EP3" t="e">
        <f ca="1">AND(résultats!E44,"AAAAAF3/zZE=")</f>
        <v>#VALUE!</v>
      </c>
      <c r="EQ3" t="e">
        <f ca="1">AND(résultats!F44,"AAAAAF3/zZI=")</f>
        <v>#VALUE!</v>
      </c>
      <c r="ER3" t="e">
        <f ca="1">AND(résultats!G44,"AAAAAF3/zZM=")</f>
        <v>#VALUE!</v>
      </c>
      <c r="ES3" t="e">
        <f ca="1">AND(résultats!H44,"AAAAAF3/zZQ=")</f>
        <v>#VALUE!</v>
      </c>
      <c r="ET3">
        <f ca="1">IF(résultats!45:45,"AAAAAF3/zZU=",0)</f>
        <v>0</v>
      </c>
      <c r="EU3" t="e">
        <f ca="1">AND(résultats!A45,"AAAAAF3/zZY=")</f>
        <v>#VALUE!</v>
      </c>
      <c r="EV3" t="e">
        <f ca="1">AND(résultats!B45,"AAAAAF3/zZc=")</f>
        <v>#VALUE!</v>
      </c>
      <c r="EW3" t="e">
        <f ca="1">AND(résultats!C45,"AAAAAF3/zZg=")</f>
        <v>#VALUE!</v>
      </c>
      <c r="EX3" t="e">
        <f ca="1">AND(résultats!D45,"AAAAAF3/zZk=")</f>
        <v>#VALUE!</v>
      </c>
      <c r="EY3" t="e">
        <f ca="1">AND(résultats!E45,"AAAAAF3/zZo=")</f>
        <v>#VALUE!</v>
      </c>
      <c r="EZ3" t="e">
        <f ca="1">AND(résultats!F45,"AAAAAF3/zZs=")</f>
        <v>#VALUE!</v>
      </c>
      <c r="FA3" t="e">
        <f ca="1">AND(résultats!G45,"AAAAAF3/zZw=")</f>
        <v>#VALUE!</v>
      </c>
      <c r="FB3" t="e">
        <f ca="1">AND(résultats!H45,"AAAAAF3/zZ0=")</f>
        <v>#VALUE!</v>
      </c>
      <c r="FC3">
        <f ca="1">IF(résultats!46:46,"AAAAAF3/zZ4=",0)</f>
        <v>0</v>
      </c>
      <c r="FD3" t="e">
        <f ca="1">AND(résultats!A46,"AAAAAF3/zZ8=")</f>
        <v>#VALUE!</v>
      </c>
      <c r="FE3" t="e">
        <f ca="1">AND(résultats!B46,"AAAAAF3/zaA=")</f>
        <v>#VALUE!</v>
      </c>
      <c r="FF3" t="e">
        <f ca="1">AND(résultats!C46,"AAAAAF3/zaE=")</f>
        <v>#VALUE!</v>
      </c>
      <c r="FG3" t="e">
        <f ca="1">AND(résultats!D46,"AAAAAF3/zaI=")</f>
        <v>#VALUE!</v>
      </c>
      <c r="FH3" t="e">
        <f ca="1">AND(résultats!E46,"AAAAAF3/zaM=")</f>
        <v>#VALUE!</v>
      </c>
      <c r="FI3" t="e">
        <f ca="1">AND(résultats!F46,"AAAAAF3/zaQ=")</f>
        <v>#VALUE!</v>
      </c>
      <c r="FJ3" t="e">
        <f ca="1">AND(résultats!G46,"AAAAAF3/zaU=")</f>
        <v>#VALUE!</v>
      </c>
      <c r="FK3" t="e">
        <f ca="1">AND(résultats!H46,"AAAAAF3/zaY=")</f>
        <v>#VALUE!</v>
      </c>
      <c r="FL3">
        <f ca="1">IF(résultats!47:47,"AAAAAF3/zac=",0)</f>
        <v>0</v>
      </c>
      <c r="FM3" t="e">
        <f ca="1">AND(résultats!A47,"AAAAAF3/zag=")</f>
        <v>#VALUE!</v>
      </c>
      <c r="FN3" t="e">
        <f ca="1">AND(résultats!B47,"AAAAAF3/zak=")</f>
        <v>#VALUE!</v>
      </c>
      <c r="FO3" t="e">
        <f ca="1">AND(résultats!C47,"AAAAAF3/zao=")</f>
        <v>#VALUE!</v>
      </c>
      <c r="FP3" t="e">
        <f ca="1">AND(résultats!D47,"AAAAAF3/zas=")</f>
        <v>#VALUE!</v>
      </c>
      <c r="FQ3" t="e">
        <f ca="1">AND(résultats!E47,"AAAAAF3/zaw=")</f>
        <v>#VALUE!</v>
      </c>
      <c r="FR3" t="e">
        <f ca="1">AND(résultats!F47,"AAAAAF3/za0=")</f>
        <v>#VALUE!</v>
      </c>
      <c r="FS3" t="e">
        <f ca="1">AND(résultats!G47,"AAAAAF3/za4=")</f>
        <v>#VALUE!</v>
      </c>
      <c r="FT3" t="e">
        <f ca="1">AND(résultats!H47,"AAAAAF3/za8=")</f>
        <v>#VALUE!</v>
      </c>
      <c r="FU3">
        <f ca="1">IF(résultats!48:48,"AAAAAF3/zbA=",0)</f>
        <v>0</v>
      </c>
      <c r="FV3" t="e">
        <f ca="1">AND(résultats!A48,"AAAAAF3/zbE=")</f>
        <v>#VALUE!</v>
      </c>
      <c r="FW3" t="e">
        <f ca="1">AND(résultats!B48,"AAAAAF3/zbI=")</f>
        <v>#VALUE!</v>
      </c>
      <c r="FX3" t="e">
        <f ca="1">AND(résultats!C48,"AAAAAF3/zbM=")</f>
        <v>#VALUE!</v>
      </c>
      <c r="FY3" t="e">
        <f ca="1">AND(résultats!D48,"AAAAAF3/zbQ=")</f>
        <v>#VALUE!</v>
      </c>
      <c r="FZ3" t="e">
        <f ca="1">AND(résultats!E48,"AAAAAF3/zbU=")</f>
        <v>#VALUE!</v>
      </c>
      <c r="GA3" t="e">
        <f ca="1">AND(résultats!F48,"AAAAAF3/zbY=")</f>
        <v>#VALUE!</v>
      </c>
      <c r="GB3" t="e">
        <f ca="1">AND(résultats!G48,"AAAAAF3/zbc=")</f>
        <v>#VALUE!</v>
      </c>
      <c r="GC3" t="e">
        <f ca="1">AND(résultats!H48,"AAAAAF3/zbg=")</f>
        <v>#VALUE!</v>
      </c>
      <c r="GD3">
        <f ca="1">IF(résultats!49:49,"AAAAAF3/zbk=",0)</f>
        <v>0</v>
      </c>
      <c r="GE3" t="e">
        <f ca="1">AND(résultats!A49,"AAAAAF3/zbo=")</f>
        <v>#VALUE!</v>
      </c>
      <c r="GF3" t="e">
        <f ca="1">AND(résultats!B49,"AAAAAF3/zbs=")</f>
        <v>#VALUE!</v>
      </c>
      <c r="GG3" t="e">
        <f ca="1">AND(résultats!C49,"AAAAAF3/zbw=")</f>
        <v>#VALUE!</v>
      </c>
      <c r="GH3" t="e">
        <f ca="1">AND(résultats!D49,"AAAAAF3/zb0=")</f>
        <v>#VALUE!</v>
      </c>
      <c r="GI3" t="e">
        <f ca="1">AND(résultats!E49,"AAAAAF3/zb4=")</f>
        <v>#VALUE!</v>
      </c>
      <c r="GJ3" t="e">
        <f ca="1">AND(résultats!F49,"AAAAAF3/zb8=")</f>
        <v>#VALUE!</v>
      </c>
      <c r="GK3" t="e">
        <f ca="1">AND(résultats!G49,"AAAAAF3/zcA=")</f>
        <v>#VALUE!</v>
      </c>
      <c r="GL3" t="e">
        <f ca="1">AND(résultats!H49,"AAAAAF3/zcE=")</f>
        <v>#VALUE!</v>
      </c>
      <c r="GM3">
        <f ca="1">IF(résultats!50:50,"AAAAAF3/zcI=",0)</f>
        <v>0</v>
      </c>
      <c r="GN3" t="e">
        <f ca="1">AND(résultats!A50,"AAAAAF3/zcM=")</f>
        <v>#VALUE!</v>
      </c>
      <c r="GO3" t="e">
        <f ca="1">AND(résultats!B50,"AAAAAF3/zcQ=")</f>
        <v>#VALUE!</v>
      </c>
      <c r="GP3" t="e">
        <f ca="1">AND(résultats!C50,"AAAAAF3/zcU=")</f>
        <v>#VALUE!</v>
      </c>
      <c r="GQ3" t="e">
        <f ca="1">AND(résultats!D50,"AAAAAF3/zcY=")</f>
        <v>#VALUE!</v>
      </c>
      <c r="GR3" t="e">
        <f ca="1">AND(résultats!E50,"AAAAAF3/zcc=")</f>
        <v>#VALUE!</v>
      </c>
      <c r="GS3" t="e">
        <f ca="1">AND(résultats!F50,"AAAAAF3/zcg=")</f>
        <v>#VALUE!</v>
      </c>
      <c r="GT3" t="e">
        <f ca="1">AND(résultats!G50,"AAAAAF3/zck=")</f>
        <v>#VALUE!</v>
      </c>
      <c r="GU3" t="e">
        <f ca="1">AND(résultats!H50,"AAAAAF3/zco=")</f>
        <v>#VALUE!</v>
      </c>
      <c r="GV3">
        <f ca="1">IF(résultats!51:51,"AAAAAF3/zcs=",0)</f>
        <v>0</v>
      </c>
      <c r="GW3" t="e">
        <f ca="1">AND(résultats!A51,"AAAAAF3/zcw=")</f>
        <v>#VALUE!</v>
      </c>
      <c r="GX3" t="e">
        <f ca="1">AND(résultats!B51,"AAAAAF3/zc0=")</f>
        <v>#VALUE!</v>
      </c>
      <c r="GY3" t="e">
        <f ca="1">AND(résultats!C51,"AAAAAF3/zc4=")</f>
        <v>#VALUE!</v>
      </c>
      <c r="GZ3" t="e">
        <f ca="1">AND(résultats!D51,"AAAAAF3/zc8=")</f>
        <v>#VALUE!</v>
      </c>
      <c r="HA3" t="e">
        <f ca="1">AND(résultats!E51,"AAAAAF3/zdA=")</f>
        <v>#VALUE!</v>
      </c>
      <c r="HB3" t="e">
        <f ca="1">AND(résultats!F51,"AAAAAF3/zdE=")</f>
        <v>#VALUE!</v>
      </c>
      <c r="HC3" t="e">
        <f ca="1">AND(résultats!G51,"AAAAAF3/zdI=")</f>
        <v>#VALUE!</v>
      </c>
      <c r="HD3" t="e">
        <f ca="1">AND(résultats!H51,"AAAAAF3/zdM=")</f>
        <v>#VALUE!</v>
      </c>
      <c r="HE3">
        <f ca="1">IF(résultats!52:52,"AAAAAF3/zdQ=",0)</f>
        <v>0</v>
      </c>
      <c r="HF3" t="e">
        <f ca="1">AND(résultats!A52,"AAAAAF3/zdU=")</f>
        <v>#VALUE!</v>
      </c>
      <c r="HG3" t="e">
        <f ca="1">AND(résultats!B52,"AAAAAF3/zdY=")</f>
        <v>#VALUE!</v>
      </c>
      <c r="HH3" t="e">
        <f ca="1">AND(résultats!C52,"AAAAAF3/zdc=")</f>
        <v>#VALUE!</v>
      </c>
      <c r="HI3" t="e">
        <f ca="1">AND(résultats!D52,"AAAAAF3/zdg=")</f>
        <v>#VALUE!</v>
      </c>
      <c r="HJ3" t="e">
        <f ca="1">AND(résultats!E52,"AAAAAF3/zdk=")</f>
        <v>#VALUE!</v>
      </c>
      <c r="HK3" t="e">
        <f ca="1">AND(résultats!F52,"AAAAAF3/zdo=")</f>
        <v>#VALUE!</v>
      </c>
      <c r="HL3" t="e">
        <f ca="1">AND(résultats!G52,"AAAAAF3/zds=")</f>
        <v>#VALUE!</v>
      </c>
      <c r="HM3" t="e">
        <f ca="1">AND(résultats!H52,"AAAAAF3/zdw=")</f>
        <v>#VALUE!</v>
      </c>
      <c r="HN3">
        <f ca="1">IF(résultats!53:53,"AAAAAF3/zd0=",0)</f>
        <v>0</v>
      </c>
      <c r="HO3" t="e">
        <f ca="1">AND(résultats!A53,"AAAAAF3/zd4=")</f>
        <v>#VALUE!</v>
      </c>
      <c r="HP3" t="e">
        <f ca="1">AND(résultats!B53,"AAAAAF3/zd8=")</f>
        <v>#VALUE!</v>
      </c>
      <c r="HQ3" t="e">
        <f ca="1">AND(résultats!C53,"AAAAAF3/zeA=")</f>
        <v>#VALUE!</v>
      </c>
      <c r="HR3" t="e">
        <f ca="1">AND(résultats!D53,"AAAAAF3/zeE=")</f>
        <v>#VALUE!</v>
      </c>
      <c r="HS3" t="e">
        <f ca="1">AND(résultats!E53,"AAAAAF3/zeI=")</f>
        <v>#VALUE!</v>
      </c>
      <c r="HT3" t="e">
        <f ca="1">AND(résultats!F53,"AAAAAF3/zeM=")</f>
        <v>#VALUE!</v>
      </c>
      <c r="HU3" t="e">
        <f ca="1">AND(résultats!G53,"AAAAAF3/zeQ=")</f>
        <v>#VALUE!</v>
      </c>
      <c r="HV3" t="e">
        <f ca="1">AND(résultats!H53,"AAAAAF3/zeU=")</f>
        <v>#VALUE!</v>
      </c>
      <c r="HW3">
        <f ca="1">IF(résultats!54:54,"AAAAAF3/zeY=",0)</f>
        <v>0</v>
      </c>
      <c r="HX3" t="e">
        <f ca="1">AND(résultats!A54,"AAAAAF3/zec=")</f>
        <v>#VALUE!</v>
      </c>
      <c r="HY3" t="e">
        <f ca="1">AND(résultats!B54,"AAAAAF3/zeg=")</f>
        <v>#VALUE!</v>
      </c>
      <c r="HZ3" t="e">
        <f ca="1">AND(résultats!C54,"AAAAAF3/zek=")</f>
        <v>#VALUE!</v>
      </c>
      <c r="IA3" t="e">
        <f ca="1">AND(résultats!D54,"AAAAAF3/zeo=")</f>
        <v>#VALUE!</v>
      </c>
      <c r="IB3" t="e">
        <f ca="1">AND(résultats!E54,"AAAAAF3/zes=")</f>
        <v>#VALUE!</v>
      </c>
      <c r="IC3" t="e">
        <f ca="1">AND(résultats!F54,"AAAAAF3/zew=")</f>
        <v>#VALUE!</v>
      </c>
      <c r="ID3" t="e">
        <f ca="1">AND(résultats!G54,"AAAAAF3/ze0=")</f>
        <v>#VALUE!</v>
      </c>
      <c r="IE3" t="e">
        <f ca="1">AND(résultats!H54,"AAAAAF3/ze4=")</f>
        <v>#VALUE!</v>
      </c>
      <c r="IF3">
        <f ca="1">IF(résultats!55:55,"AAAAAF3/ze8=",0)</f>
        <v>0</v>
      </c>
      <c r="IG3" t="e">
        <f ca="1">AND(résultats!A55,"AAAAAF3/zfA=")</f>
        <v>#VALUE!</v>
      </c>
      <c r="IH3" t="e">
        <f ca="1">AND(résultats!B55,"AAAAAF3/zfE=")</f>
        <v>#VALUE!</v>
      </c>
      <c r="II3" t="e">
        <f ca="1">AND(résultats!C55,"AAAAAF3/zfI=")</f>
        <v>#VALUE!</v>
      </c>
      <c r="IJ3" t="e">
        <f ca="1">AND(résultats!D55,"AAAAAF3/zfM=")</f>
        <v>#VALUE!</v>
      </c>
      <c r="IK3" t="e">
        <f ca="1">AND(résultats!E55,"AAAAAF3/zfQ=")</f>
        <v>#VALUE!</v>
      </c>
      <c r="IL3" t="e">
        <f ca="1">AND(résultats!F55,"AAAAAF3/zfU=")</f>
        <v>#VALUE!</v>
      </c>
      <c r="IM3" t="e">
        <f ca="1">AND(résultats!G55,"AAAAAF3/zfY=")</f>
        <v>#VALUE!</v>
      </c>
      <c r="IN3" t="e">
        <f ca="1">AND(résultats!H55,"AAAAAF3/zfc=")</f>
        <v>#VALUE!</v>
      </c>
      <c r="IO3">
        <f ca="1">IF(résultats!56:56,"AAAAAF3/zfg=",0)</f>
        <v>0</v>
      </c>
      <c r="IP3" t="e">
        <f ca="1">AND(résultats!A56,"AAAAAF3/zfk=")</f>
        <v>#VALUE!</v>
      </c>
      <c r="IQ3" t="e">
        <f ca="1">AND(résultats!B56,"AAAAAF3/zfo=")</f>
        <v>#VALUE!</v>
      </c>
      <c r="IR3" t="e">
        <f ca="1">AND(résultats!C56,"AAAAAF3/zfs=")</f>
        <v>#VALUE!</v>
      </c>
      <c r="IS3" t="e">
        <f ca="1">AND(résultats!D56,"AAAAAF3/zfw=")</f>
        <v>#VALUE!</v>
      </c>
      <c r="IT3" t="e">
        <f ca="1">AND(résultats!E56,"AAAAAF3/zf0=")</f>
        <v>#VALUE!</v>
      </c>
      <c r="IU3" t="e">
        <f ca="1">AND(résultats!F56,"AAAAAF3/zf4=")</f>
        <v>#VALUE!</v>
      </c>
      <c r="IV3" t="e">
        <f ca="1">AND(résultats!G56,"AAAAAF3/zf8=")</f>
        <v>#VALUE!</v>
      </c>
    </row>
    <row r="4" spans="1:256">
      <c r="A4" t="e">
        <f ca="1">AND(résultats!H56,"AAAAADf9+gA=")</f>
        <v>#VALUE!</v>
      </c>
      <c r="B4">
        <f ca="1">IF(résultats!57:57,"AAAAADf9+gE=",0)</f>
        <v>0</v>
      </c>
      <c r="C4" t="e">
        <f ca="1">AND(résultats!A57,"AAAAADf9+gI=")</f>
        <v>#VALUE!</v>
      </c>
      <c r="D4" t="e">
        <f ca="1">AND(résultats!B57,"AAAAADf9+gM=")</f>
        <v>#VALUE!</v>
      </c>
      <c r="E4" t="e">
        <f ca="1">AND(résultats!C57,"AAAAADf9+gQ=")</f>
        <v>#VALUE!</v>
      </c>
      <c r="F4" t="e">
        <f ca="1">AND(résultats!D57,"AAAAADf9+gU=")</f>
        <v>#VALUE!</v>
      </c>
      <c r="G4" t="e">
        <f ca="1">AND(résultats!E57,"AAAAADf9+gY=")</f>
        <v>#VALUE!</v>
      </c>
      <c r="H4" t="e">
        <f ca="1">AND(résultats!F57,"AAAAADf9+gc=")</f>
        <v>#VALUE!</v>
      </c>
      <c r="I4" t="e">
        <f ca="1">AND(résultats!G57,"AAAAADf9+gg=")</f>
        <v>#VALUE!</v>
      </c>
      <c r="J4" t="e">
        <f ca="1">AND(résultats!H57,"AAAAADf9+gk=")</f>
        <v>#VALUE!</v>
      </c>
      <c r="K4">
        <f ca="1">IF(résultats!58:58,"AAAAADf9+go=",0)</f>
        <v>0</v>
      </c>
      <c r="L4" t="e">
        <f ca="1">AND(résultats!A58,"AAAAADf9+gs=")</f>
        <v>#VALUE!</v>
      </c>
      <c r="M4" t="e">
        <f ca="1">AND(résultats!B58,"AAAAADf9+gw=")</f>
        <v>#VALUE!</v>
      </c>
      <c r="N4" t="e">
        <f ca="1">AND(résultats!C58,"AAAAADf9+g0=")</f>
        <v>#VALUE!</v>
      </c>
      <c r="O4" t="e">
        <f ca="1">AND(résultats!D58,"AAAAADf9+g4=")</f>
        <v>#VALUE!</v>
      </c>
      <c r="P4" t="e">
        <f ca="1">AND(résultats!E58,"AAAAADf9+g8=")</f>
        <v>#VALUE!</v>
      </c>
      <c r="Q4" t="e">
        <f ca="1">AND(résultats!F58,"AAAAADf9+hA=")</f>
        <v>#VALUE!</v>
      </c>
      <c r="R4" t="e">
        <f ca="1">AND(résultats!G58,"AAAAADf9+hE=")</f>
        <v>#VALUE!</v>
      </c>
      <c r="S4" t="e">
        <f ca="1">AND(résultats!H58,"AAAAADf9+hI=")</f>
        <v>#VALUE!</v>
      </c>
      <c r="T4">
        <f ca="1">IF(résultats!59:59,"AAAAADf9+hM=",0)</f>
        <v>0</v>
      </c>
      <c r="U4" t="e">
        <f ca="1">AND(résultats!A59,"AAAAADf9+hQ=")</f>
        <v>#VALUE!</v>
      </c>
      <c r="V4" t="e">
        <f ca="1">AND(résultats!B59,"AAAAADf9+hU=")</f>
        <v>#VALUE!</v>
      </c>
      <c r="W4" t="e">
        <f ca="1">AND(résultats!C59,"AAAAADf9+hY=")</f>
        <v>#VALUE!</v>
      </c>
      <c r="X4" t="e">
        <f ca="1">AND(résultats!D59,"AAAAADf9+hc=")</f>
        <v>#VALUE!</v>
      </c>
      <c r="Y4" t="e">
        <f ca="1">AND(résultats!E59,"AAAAADf9+hg=")</f>
        <v>#VALUE!</v>
      </c>
      <c r="Z4" t="e">
        <f ca="1">AND(résultats!F59,"AAAAADf9+hk=")</f>
        <v>#VALUE!</v>
      </c>
      <c r="AA4" t="e">
        <f ca="1">AND(résultats!G59,"AAAAADf9+ho=")</f>
        <v>#VALUE!</v>
      </c>
      <c r="AB4" t="e">
        <f ca="1">AND(résultats!H59,"AAAAADf9+hs=")</f>
        <v>#VALUE!</v>
      </c>
      <c r="AC4">
        <f ca="1">IF(résultats!60:60,"AAAAADf9+hw=",0)</f>
        <v>0</v>
      </c>
      <c r="AD4" t="e">
        <f ca="1">AND(résultats!A60,"AAAAADf9+h0=")</f>
        <v>#VALUE!</v>
      </c>
      <c r="AE4" t="e">
        <f ca="1">AND(résultats!B60,"AAAAADf9+h4=")</f>
        <v>#VALUE!</v>
      </c>
      <c r="AF4" t="e">
        <f ca="1">AND(résultats!C60,"AAAAADf9+h8=")</f>
        <v>#VALUE!</v>
      </c>
      <c r="AG4" t="e">
        <f ca="1">AND(résultats!D60,"AAAAADf9+iA=")</f>
        <v>#VALUE!</v>
      </c>
      <c r="AH4" t="e">
        <f ca="1">AND(résultats!E60,"AAAAADf9+iE=")</f>
        <v>#VALUE!</v>
      </c>
      <c r="AI4" t="e">
        <f ca="1">AND(résultats!F60,"AAAAADf9+iI=")</f>
        <v>#VALUE!</v>
      </c>
      <c r="AJ4" t="e">
        <f ca="1">AND(résultats!G60,"AAAAADf9+iM=")</f>
        <v>#VALUE!</v>
      </c>
      <c r="AK4" t="e">
        <f ca="1">AND(résultats!H60,"AAAAADf9+iQ=")</f>
        <v>#VALUE!</v>
      </c>
      <c r="AL4">
        <f ca="1">IF(résultats!61:61,"AAAAADf9+iU=",0)</f>
        <v>0</v>
      </c>
      <c r="AM4" t="e">
        <f ca="1">AND(résultats!A61,"AAAAADf9+iY=")</f>
        <v>#VALUE!</v>
      </c>
      <c r="AN4" t="e">
        <f ca="1">AND(résultats!B61,"AAAAADf9+ic=")</f>
        <v>#VALUE!</v>
      </c>
      <c r="AO4" t="e">
        <f ca="1">AND(résultats!C61,"AAAAADf9+ig=")</f>
        <v>#VALUE!</v>
      </c>
      <c r="AP4" t="e">
        <f ca="1">AND(résultats!D61,"AAAAADf9+ik=")</f>
        <v>#VALUE!</v>
      </c>
      <c r="AQ4" t="e">
        <f ca="1">AND(résultats!E61,"AAAAADf9+io=")</f>
        <v>#VALUE!</v>
      </c>
      <c r="AR4" t="e">
        <f ca="1">AND(résultats!F61,"AAAAADf9+is=")</f>
        <v>#VALUE!</v>
      </c>
      <c r="AS4" t="e">
        <f ca="1">AND(résultats!G61,"AAAAADf9+iw=")</f>
        <v>#VALUE!</v>
      </c>
      <c r="AT4" t="e">
        <f ca="1">AND(résultats!H61,"AAAAADf9+i0=")</f>
        <v>#VALUE!</v>
      </c>
      <c r="AU4">
        <f ca="1">IF(résultats!62:62,"AAAAADf9+i4=",0)</f>
        <v>0</v>
      </c>
      <c r="AV4" t="e">
        <f ca="1">AND(résultats!A62,"AAAAADf9+i8=")</f>
        <v>#VALUE!</v>
      </c>
      <c r="AW4" t="e">
        <f ca="1">AND(résultats!B62,"AAAAADf9+jA=")</f>
        <v>#VALUE!</v>
      </c>
      <c r="AX4" t="e">
        <f ca="1">AND(résultats!C62,"AAAAADf9+jE=")</f>
        <v>#VALUE!</v>
      </c>
      <c r="AY4" t="e">
        <f ca="1">AND(résultats!D62,"AAAAADf9+jI=")</f>
        <v>#VALUE!</v>
      </c>
      <c r="AZ4" t="e">
        <f ca="1">AND(résultats!E62,"AAAAADf9+jM=")</f>
        <v>#VALUE!</v>
      </c>
      <c r="BA4" t="e">
        <f ca="1">AND(résultats!F62,"AAAAADf9+jQ=")</f>
        <v>#VALUE!</v>
      </c>
      <c r="BB4" t="e">
        <f ca="1">AND(résultats!G62,"AAAAADf9+jU=")</f>
        <v>#VALUE!</v>
      </c>
      <c r="BC4" t="e">
        <f ca="1">AND(résultats!H62,"AAAAADf9+jY=")</f>
        <v>#VALUE!</v>
      </c>
      <c r="BD4">
        <f ca="1">IF(résultats!63:63,"AAAAADf9+jc=",0)</f>
        <v>0</v>
      </c>
      <c r="BE4" t="e">
        <f ca="1">AND(résultats!A63,"AAAAADf9+jg=")</f>
        <v>#VALUE!</v>
      </c>
      <c r="BF4" t="e">
        <f ca="1">AND(résultats!B63,"AAAAADf9+jk=")</f>
        <v>#VALUE!</v>
      </c>
      <c r="BG4" t="e">
        <f ca="1">AND(résultats!C63,"AAAAADf9+jo=")</f>
        <v>#VALUE!</v>
      </c>
      <c r="BH4" t="e">
        <f ca="1">AND(résultats!D63,"AAAAADf9+js=")</f>
        <v>#VALUE!</v>
      </c>
      <c r="BI4" t="e">
        <f ca="1">AND(résultats!E63,"AAAAADf9+jw=")</f>
        <v>#VALUE!</v>
      </c>
      <c r="BJ4" t="e">
        <f ca="1">AND(résultats!F63,"AAAAADf9+j0=")</f>
        <v>#VALUE!</v>
      </c>
      <c r="BK4" t="e">
        <f ca="1">AND(résultats!G63,"AAAAADf9+j4=")</f>
        <v>#VALUE!</v>
      </c>
      <c r="BL4" t="e">
        <f ca="1">AND(résultats!H63,"AAAAADf9+j8=")</f>
        <v>#VALUE!</v>
      </c>
      <c r="BM4" t="e">
        <f ca="1">IF(résultats!A:A,"AAAAADf9+kA=",0)</f>
        <v>#VALUE!</v>
      </c>
      <c r="BN4">
        <f ca="1">IF(résultats!B:B,"AAAAADf9+kE=",0)</f>
        <v>0</v>
      </c>
      <c r="BO4">
        <f ca="1">IF(résultats!C:C,"AAAAADf9+kI=",0)</f>
        <v>0</v>
      </c>
      <c r="BP4">
        <f ca="1">IF(résultats!D:D,"AAAAADf9+kM=",0)</f>
        <v>0</v>
      </c>
      <c r="BQ4">
        <f ca="1">IF(résultats!E:E,"AAAAADf9+kQ=",0)</f>
        <v>0</v>
      </c>
      <c r="BR4">
        <f ca="1">IF(résultats!F:F,"AAAAADf9+kU=",0)</f>
        <v>0</v>
      </c>
      <c r="BS4">
        <f ca="1">IF(résultats!G:G,"AAAAADf9+kY=",0)</f>
        <v>0</v>
      </c>
      <c r="BT4">
        <f ca="1">IF(résultats!H:H,"AAAAADf9+kc=",0)</f>
        <v>0</v>
      </c>
      <c r="BU4">
        <f ca="1">IF(résultats!I:I,"AAAAADf9+kg=",0)</f>
        <v>0</v>
      </c>
      <c r="BV4">
        <f ca="1">IF(résultats!J:J,"AAAAADf9+kk=",0)</f>
        <v>0</v>
      </c>
      <c r="BW4">
        <f ca="1">IF(résultats!K:K,"AAAAADf9+ko=",0)</f>
        <v>0</v>
      </c>
      <c r="BX4">
        <f ca="1">IF(résultats!L:L,"AAAAADf9+ks=",0)</f>
        <v>0</v>
      </c>
      <c r="BY4">
        <f ca="1">IF(résultats!M:M,"AAAAADf9+kw=",0)</f>
        <v>0</v>
      </c>
      <c r="BZ4">
        <f ca="1">IF(Commentaires!1:1,"AAAAADf9+k0=",0)</f>
        <v>0</v>
      </c>
      <c r="CA4" t="e">
        <f ca="1">AND(Commentaires!A1,"AAAAADf9+k4=")</f>
        <v>#VALUE!</v>
      </c>
      <c r="CB4" t="e">
        <f ca="1">AND(Commentaires!B1,"AAAAADf9+k8=")</f>
        <v>#VALUE!</v>
      </c>
      <c r="CC4" t="e">
        <f ca="1">AND(Commentaires!C1,"AAAAADf9+lA=")</f>
        <v>#VALUE!</v>
      </c>
      <c r="CD4" t="e">
        <f ca="1">AND(Commentaires!D1,"AAAAADf9+lE=")</f>
        <v>#VALUE!</v>
      </c>
      <c r="CE4" t="e">
        <f ca="1">AND(Commentaires!E1,"AAAAADf9+lI=")</f>
        <v>#VALUE!</v>
      </c>
      <c r="CF4">
        <f ca="1">IF(Commentaires!2:2,"AAAAADf9+lM=",0)</f>
        <v>0</v>
      </c>
      <c r="CG4" t="e">
        <f ca="1">AND(Commentaires!A2,"AAAAADf9+lQ=")</f>
        <v>#VALUE!</v>
      </c>
      <c r="CH4" t="e">
        <f ca="1">AND(Commentaires!B2,"AAAAADf9+lU=")</f>
        <v>#VALUE!</v>
      </c>
      <c r="CI4" t="e">
        <f ca="1">AND(Commentaires!C2,"AAAAADf9+lY=")</f>
        <v>#VALUE!</v>
      </c>
      <c r="CJ4" t="e">
        <f ca="1">AND(Commentaires!D2,"AAAAADf9+lc=")</f>
        <v>#VALUE!</v>
      </c>
      <c r="CK4" t="e">
        <f ca="1">AND(Commentaires!E2,"AAAAADf9+lg=")</f>
        <v>#VALUE!</v>
      </c>
      <c r="CL4">
        <f ca="1">IF(Commentaires!3:3,"AAAAADf9+lk=",0)</f>
        <v>0</v>
      </c>
      <c r="CM4" t="e">
        <f ca="1">AND(Commentaires!A3,"AAAAADf9+lo=")</f>
        <v>#VALUE!</v>
      </c>
      <c r="CN4" t="e">
        <f ca="1">AND(Commentaires!B3,"AAAAADf9+ls=")</f>
        <v>#VALUE!</v>
      </c>
      <c r="CO4" t="e">
        <f ca="1">AND(Commentaires!C3,"AAAAADf9+lw=")</f>
        <v>#VALUE!</v>
      </c>
      <c r="CP4" t="e">
        <f ca="1">AND(Commentaires!D3,"AAAAADf9+l0=")</f>
        <v>#VALUE!</v>
      </c>
      <c r="CQ4" t="e">
        <f ca="1">AND(Commentaires!E3,"AAAAADf9+l4=")</f>
        <v>#VALUE!</v>
      </c>
      <c r="CR4">
        <f ca="1">IF(Commentaires!4:4,"AAAAADf9+l8=",0)</f>
        <v>0</v>
      </c>
      <c r="CS4">
        <f ca="1">IF(Commentaires!5:5,"AAAAADf9+mA=",0)</f>
        <v>0</v>
      </c>
      <c r="CT4" t="e">
        <f ca="1">IF(Commentaires!A:A,"AAAAADf9+mE=",0)</f>
        <v>#VALUE!</v>
      </c>
      <c r="CU4">
        <f ca="1">IF(Commentaires!B:B,"AAAAADf9+mI=",0)</f>
        <v>0</v>
      </c>
      <c r="CV4">
        <f ca="1">IF(Commentaires!C:C,"AAAAADf9+mM=",0)</f>
        <v>0</v>
      </c>
      <c r="CW4">
        <f ca="1">IF(Commentaires!D:D,"AAAAADf9+mQ=",0)</f>
        <v>0</v>
      </c>
      <c r="CX4">
        <f ca="1">IF(Commentaires!E:E,"AAAAADf9+mU=",0)</f>
        <v>0</v>
      </c>
      <c r="CY4" t="s">
        <v>34</v>
      </c>
    </row>
  </sheetData>
  <sheetCalcPr fullCalcOnLoad="1"/>
  <phoneticPr fontId="3" type="noConversion"/>
  <pageMargins left="0.7" right="0.7" top="0.75" bottom="0.75" header="0.3" footer="0.3"/>
  <customProperties>
    <customPr name="DVSECTION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évaluation</vt:lpstr>
      <vt:lpstr>résultats</vt:lpstr>
      <vt:lpstr>Commentaires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</dc:creator>
  <cp:lastModifiedBy>Michel</cp:lastModifiedBy>
  <dcterms:created xsi:type="dcterms:W3CDTF">2011-11-27T17:40:12Z</dcterms:created>
  <dcterms:modified xsi:type="dcterms:W3CDTF">2011-11-29T01:39:04Z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Google.Documents.Tracking">
    <vt:lpwstr>true</vt:lpwstr>
  </property>
  <property fmtid="{D5CDD505-2E9C-101B-9397-08002B2CF9AE}" pid="3" name="Google.Documents.DocumentId">
    <vt:lpwstr>1UvTlCXCvmnnmNAqcWS2Gaj1X83T0h4ltFwv7v5gwpKI</vt:lpwstr>
  </property>
  <property fmtid="{D5CDD505-2E9C-101B-9397-08002B2CF9AE}" pid="4" name="Google.Documents.RevisionId">
    <vt:lpwstr>00216683941130084325</vt:lpwstr>
  </property>
  <property fmtid="{D5CDD505-2E9C-101B-9397-08002B2CF9AE}" pid="5" name="Google.Documents.PreviousRevisionId">
    <vt:lpwstr>17696910059399269703</vt:lpwstr>
  </property>
  <property fmtid="{D5CDD505-2E9C-101B-9397-08002B2CF9AE}" pid="6" name="Google.Documents.PluginVersion">
    <vt:lpwstr>2.0.2424.7283</vt:lpwstr>
  </property>
  <property fmtid="{D5CDD505-2E9C-101B-9397-08002B2CF9AE}" pid="7" name="Google.Documents.MergeIncapabilityFlags">
    <vt:i4>1</vt:i4>
  </property>
</Properties>
</file>