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harts/chart2.xml" ContentType="application/vnd.openxmlformats-officedocument.drawingml.chart+xml"/>
  <Override PartName="/xl/drawings/drawing5.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24660" windowHeight="5940" activeTab="6"/>
  </bookViews>
  <sheets>
    <sheet name="INTERFACE" sheetId="26" r:id="rId1"/>
    <sheet name="PARAM." sheetId="21" r:id="rId2"/>
    <sheet name="BDDParc" sheetId="27" r:id="rId3"/>
    <sheet name="Egasoil" sheetId="28" r:id="rId4"/>
    <sheet name="Sgasoil" sheetId="29" r:id="rId5"/>
    <sheet name="Stock" sheetId="34" r:id="rId6"/>
    <sheet name="ConsoEngin" sheetId="38" r:id="rId7"/>
    <sheet name="Récap Tiers" sheetId="35" r:id="rId8"/>
    <sheet name="Récap Parc" sheetId="39" r:id="rId9"/>
  </sheets>
  <externalReferences>
    <externalReference r:id="rId10"/>
  </externalReferences>
  <definedNames>
    <definedName name="_xlnm._FilterDatabase" localSheetId="2" hidden="1">BDDParc!$A$1:$K$7</definedName>
    <definedName name="_xlnm._FilterDatabase" localSheetId="1" hidden="1">PARAM.!$A$1:$A$50</definedName>
    <definedName name="_xlnm._FilterDatabase" localSheetId="4" hidden="1">Sgasoil!$A$1:$T$5</definedName>
    <definedName name="BDDNumPARC" localSheetId="6">OFFSET(#REF!,,,COUNTA(#REF!)-1)</definedName>
    <definedName name="BDDNumPARC" localSheetId="8">OFFSET(#REF!,,,COUNTA(#REF!)-1)</definedName>
    <definedName name="BDDNumPARC">OFFSET(#REF!,,,COUNTA(#REF!)-1)</definedName>
    <definedName name="BDDPARC" localSheetId="6">OFFSET(#REF!,,,COUNTA(#REF!)-1)</definedName>
    <definedName name="BDDPARC" localSheetId="8">OFFSET(#REF!,,,COUNTA(#REF!)-1)</definedName>
    <definedName name="BDDPARC">OFFSET(#REF!,,,COUNTA(#REF!)-1)</definedName>
    <definedName name="BDDTypeV" localSheetId="6">OFFSET(#REF!,,,COUNTA(#REF!)-1)</definedName>
    <definedName name="BDDTypeV" localSheetId="8">OFFSET(#REF!,,,COUNTA(#REF!)-1)</definedName>
    <definedName name="BDDTypeV">OFFSET(#REF!,,,COUNTA(#REF!)-1)</definedName>
    <definedName name="CI" localSheetId="6">#REF!</definedName>
    <definedName name="CI" localSheetId="8">#REF!</definedName>
    <definedName name="CI">#REF!</definedName>
    <definedName name="CIAciers1" localSheetId="6">[1]!TBCIAciers[CIAciers]</definedName>
    <definedName name="CIAciers1" localSheetId="8">[1]!TBCIAciers[CIAciers]</definedName>
    <definedName name="CIAciers1">[1]!TBCIAciers[CIAciers]</definedName>
    <definedName name="CICiment1" localSheetId="6">[1]!TBCICiment[CICiment]</definedName>
    <definedName name="CICiment1" localSheetId="8">[1]!TBCICiment[CICiment]</definedName>
    <definedName name="CICiment1">[1]!TBCICiment[CICiment]</definedName>
    <definedName name="CIDivers1" localSheetId="6">[1]!TBCIDivers[CIDivers]</definedName>
    <definedName name="CIDivers1" localSheetId="8">[1]!TBCIDivers[CIDivers]</definedName>
    <definedName name="CIDivers1">[1]!TBCIDivers[CIDivers]</definedName>
    <definedName name="CIMateriaux1" localSheetId="6">[1]!TBCIMateriaux[CIMateriaux]</definedName>
    <definedName name="CIMateriaux1" localSheetId="8">[1]!TBCIMateriaux[CIMateriaux]</definedName>
    <definedName name="CIMateriaux1">[1]!TBCIMateriaux[CIMateriaux]</definedName>
    <definedName name="_xlnm.Criteria" localSheetId="6">ConsoEngin!$V$2</definedName>
    <definedName name="dateExpédition" localSheetId="6">#REF!</definedName>
    <definedName name="dateExpédition" localSheetId="8">#REF!</definedName>
    <definedName name="dateExpédition">#REF!</definedName>
    <definedName name="dateNiveauCuves" localSheetId="6">#REF!</definedName>
    <definedName name="dateNiveauCuves" localSheetId="8">#REF!</definedName>
    <definedName name="dateNiveauCuves">#REF!</definedName>
    <definedName name="dateRavitailleur" localSheetId="6">#REF!</definedName>
    <definedName name="dateRavitailleur" localSheetId="8">#REF!</definedName>
    <definedName name="dateRavitailleur">#REF!</definedName>
    <definedName name="dateReception" localSheetId="6">#REF!</definedName>
    <definedName name="dateReception" localSheetId="8">#REF!</definedName>
    <definedName name="dateReception">#REF!</definedName>
    <definedName name="Entrées_gasoil" localSheetId="8">#REF!</definedName>
    <definedName name="Entrées_gasoil">#REF!</definedName>
    <definedName name="_xlnm.Extract" localSheetId="6">ConsoEngin!$C$9:$G$9</definedName>
    <definedName name="_xlnm.Extract" localSheetId="8">'Récap Parc'!$C$7:$H$7</definedName>
    <definedName name="Lieudesortiegasoil" localSheetId="6">#REF!</definedName>
    <definedName name="Lieudesortiegasoil" localSheetId="8">#REF!</definedName>
    <definedName name="Lieudesortiegasoil">#REF!</definedName>
    <definedName name="MoisComptable1" localSheetId="6">[1]!MoisComptable[MoisComptable]</definedName>
    <definedName name="MoisComptable1" localSheetId="8">[1]!MoisComptable[MoisComptable]</definedName>
    <definedName name="MoisComptable1">[1]!MoisComptable[MoisComptable]</definedName>
    <definedName name="NumParc" localSheetId="6">#REF!</definedName>
    <definedName name="NumParc" localSheetId="8">#REF!</definedName>
    <definedName name="NumParc">#REF!</definedName>
    <definedName name="QtéEntréeRavitailleur" localSheetId="6">#REF!</definedName>
    <definedName name="QtéEntréeRavitailleur" localSheetId="8">#REF!</definedName>
    <definedName name="QtéEntréeRavitailleur">#REF!</definedName>
    <definedName name="QtéReceptionnée" localSheetId="6">#REF!</definedName>
    <definedName name="QtéReceptionnée" localSheetId="8">#REF!</definedName>
    <definedName name="QtéReceptionnée">#REF!</definedName>
    <definedName name="QtéSortie" localSheetId="6">#REF!</definedName>
    <definedName name="QtéSortie" localSheetId="8">#REF!</definedName>
    <definedName name="QtéSortie">#REF!</definedName>
    <definedName name="StockMatin" localSheetId="6">#REF!</definedName>
    <definedName name="StockMatin" localSheetId="8">#REF!</definedName>
    <definedName name="StockMatin">#REF!</definedName>
    <definedName name="StockRavitailleur" localSheetId="6">#REF!</definedName>
    <definedName name="StockRavitailleur" localSheetId="8">#REF!</definedName>
    <definedName name="StockRavitailleur">#REF!</definedName>
    <definedName name="StockSoir" localSheetId="6">#REF!</definedName>
    <definedName name="StockSoir" localSheetId="8">#REF!</definedName>
    <definedName name="StockSoir">#REF!</definedName>
    <definedName name="TypeAciers1" localSheetId="6">[1]!TBTypeAciers[TypeAciers]</definedName>
    <definedName name="TypeAciers1" localSheetId="8">[1]!TBTypeAciers[TypeAciers]</definedName>
    <definedName name="TypeAciers1">[1]!TBTypeAciers[TypeAciers]</definedName>
    <definedName name="TypeDivers1" localSheetId="6">[1]!TBTypeDivers[TypeDivers]</definedName>
    <definedName name="TypeDivers1" localSheetId="8">[1]!TBTypeDivers[TypeDivers]</definedName>
    <definedName name="TypeDivers1">[1]!TBTypeDivers[TypeDivers]</definedName>
    <definedName name="TypeMateriaux1" localSheetId="6">[1]!TBTypeMateriaux[TypeMateriaux]</definedName>
    <definedName name="TypeMateriaux1" localSheetId="8">[1]!TBTypeMateriaux[TypeMateriaux]</definedName>
    <definedName name="TypeMateriaux1">[1]!TBTypeMateriaux[TypeMateriaux]</definedName>
  </definedNames>
  <calcPr calcId="145621"/>
</workbook>
</file>

<file path=xl/calcChain.xml><?xml version="1.0" encoding="utf-8"?>
<calcChain xmlns="http://schemas.openxmlformats.org/spreadsheetml/2006/main">
  <c r="E6" i="39" l="1"/>
  <c r="D6" i="39"/>
  <c r="D7" i="38"/>
  <c r="B39" i="39" l="1"/>
  <c r="E7" i="38" l="1"/>
  <c r="H41" i="38" l="1"/>
  <c r="I41" i="38" s="1"/>
  <c r="H40" i="38"/>
  <c r="I40" i="38" s="1"/>
  <c r="H39" i="38"/>
  <c r="I39" i="38" s="1"/>
  <c r="H38" i="38"/>
  <c r="I38" i="38" s="1"/>
  <c r="H37" i="38"/>
  <c r="I37" i="38" s="1"/>
  <c r="H36" i="38"/>
  <c r="I36" i="38" s="1"/>
  <c r="H35" i="38"/>
  <c r="I35" i="38" s="1"/>
  <c r="H34" i="38"/>
  <c r="I34" i="38" s="1"/>
  <c r="H33" i="38"/>
  <c r="I33" i="38" s="1"/>
  <c r="H32" i="38"/>
  <c r="I32" i="38" s="1"/>
  <c r="H31" i="38"/>
  <c r="I31" i="38" s="1"/>
  <c r="H30" i="38"/>
  <c r="I30" i="38" s="1"/>
  <c r="H29" i="38"/>
  <c r="I29" i="38" s="1"/>
  <c r="H28" i="38"/>
  <c r="I28" i="38" s="1"/>
  <c r="H27" i="38"/>
  <c r="I27" i="38" s="1"/>
  <c r="H26" i="38"/>
  <c r="I26" i="38" s="1"/>
  <c r="H25" i="38"/>
  <c r="I25" i="38" s="1"/>
  <c r="H24" i="38"/>
  <c r="I24" i="38" s="1"/>
  <c r="H23" i="38"/>
  <c r="I23" i="38" s="1"/>
  <c r="H22" i="38"/>
  <c r="I22" i="38" s="1"/>
  <c r="H21" i="38"/>
  <c r="I21" i="38" s="1"/>
  <c r="H20" i="38"/>
  <c r="I20" i="38" s="1"/>
  <c r="H19" i="38"/>
  <c r="I19" i="38" s="1"/>
  <c r="H18" i="38"/>
  <c r="I18" i="38" s="1"/>
  <c r="H17" i="38"/>
  <c r="I17" i="38" s="1"/>
  <c r="H16" i="38"/>
  <c r="I16" i="38" s="1"/>
  <c r="H15" i="38"/>
  <c r="I15" i="38" s="1"/>
  <c r="H14" i="38"/>
  <c r="I14" i="38" s="1"/>
  <c r="H13" i="38"/>
  <c r="I13" i="38" s="1"/>
  <c r="H12" i="38"/>
  <c r="I12" i="38" s="1"/>
  <c r="H11" i="38"/>
  <c r="I11" i="38" s="1"/>
  <c r="G2" i="39" l="1"/>
  <c r="H2" i="38" l="1"/>
  <c r="T5" i="29"/>
  <c r="R5" i="29"/>
  <c r="S5" i="29"/>
  <c r="B6" i="35"/>
  <c r="D34" i="35" s="1"/>
  <c r="E34" i="35" s="1"/>
  <c r="T2" i="29"/>
  <c r="T3" i="29"/>
  <c r="T4" i="29"/>
  <c r="D5" i="35" l="1"/>
  <c r="D7" i="35"/>
  <c r="L8" i="35"/>
  <c r="K8" i="35"/>
  <c r="B33" i="35"/>
  <c r="D33" i="35" s="1"/>
  <c r="B32" i="35"/>
  <c r="D32" i="35" s="1"/>
  <c r="B31" i="35"/>
  <c r="D31" i="35" s="1"/>
  <c r="B30" i="35"/>
  <c r="D30" i="35" s="1"/>
  <c r="B29" i="35"/>
  <c r="D29" i="35" s="1"/>
  <c r="B28" i="35"/>
  <c r="D28" i="35" s="1"/>
  <c r="B27" i="35"/>
  <c r="D27" i="35" s="1"/>
  <c r="B26" i="35"/>
  <c r="D26" i="35" s="1"/>
  <c r="B25" i="35"/>
  <c r="D25" i="35" s="1"/>
  <c r="B24" i="35"/>
  <c r="D24" i="35" s="1"/>
  <c r="B23" i="35"/>
  <c r="D23" i="35" s="1"/>
  <c r="B22" i="35"/>
  <c r="D22" i="35" s="1"/>
  <c r="B21" i="35"/>
  <c r="D21" i="35" s="1"/>
  <c r="B20" i="35"/>
  <c r="D20" i="35" s="1"/>
  <c r="B19" i="35"/>
  <c r="D19" i="35" s="1"/>
  <c r="B18" i="35"/>
  <c r="D18" i="35" s="1"/>
  <c r="B17" i="35"/>
  <c r="D17" i="35" s="1"/>
  <c r="B16" i="35"/>
  <c r="D16" i="35" s="1"/>
  <c r="B15" i="35"/>
  <c r="D15" i="35" s="1"/>
  <c r="B14" i="35"/>
  <c r="D14" i="35" s="1"/>
  <c r="B13" i="35"/>
  <c r="D13" i="35" s="1"/>
  <c r="B12" i="35"/>
  <c r="D12" i="35" s="1"/>
  <c r="B11" i="35"/>
  <c r="D11" i="35" s="1"/>
  <c r="B10" i="35"/>
  <c r="D10" i="35" s="1"/>
  <c r="B9" i="35"/>
  <c r="D9" i="35" s="1"/>
  <c r="R4" i="29"/>
  <c r="S4" i="29"/>
  <c r="S20" i="34"/>
  <c r="D6" i="34" s="1"/>
  <c r="R20" i="34"/>
  <c r="P9" i="34"/>
  <c r="P10" i="34"/>
  <c r="P11" i="34"/>
  <c r="P12" i="34"/>
  <c r="P13" i="34"/>
  <c r="P14" i="34"/>
  <c r="P15" i="34"/>
  <c r="P16" i="34"/>
  <c r="P17" i="34"/>
  <c r="P18" i="34"/>
  <c r="P8" i="34"/>
  <c r="P7" i="34"/>
  <c r="D35" i="35" l="1"/>
  <c r="E10" i="35"/>
  <c r="F10" i="35" s="1"/>
  <c r="E5" i="35"/>
  <c r="E16" i="35" s="1"/>
  <c r="F16" i="35" s="1"/>
  <c r="E28" i="35" l="1"/>
  <c r="F28" i="35" s="1"/>
  <c r="E12" i="35"/>
  <c r="F12" i="35" s="1"/>
  <c r="E30" i="35"/>
  <c r="F30" i="35" s="1"/>
  <c r="E14" i="35"/>
  <c r="F14" i="35" s="1"/>
  <c r="E33" i="35"/>
  <c r="F33" i="35" s="1"/>
  <c r="E25" i="35"/>
  <c r="F25" i="35" s="1"/>
  <c r="E17" i="35"/>
  <c r="F17" i="35" s="1"/>
  <c r="E9" i="35"/>
  <c r="F9" i="35" s="1"/>
  <c r="E31" i="35"/>
  <c r="F31" i="35" s="1"/>
  <c r="E23" i="35"/>
  <c r="F23" i="35" s="1"/>
  <c r="E15" i="35"/>
  <c r="F15" i="35" s="1"/>
  <c r="E26" i="35"/>
  <c r="F26" i="35" s="1"/>
  <c r="E18" i="35"/>
  <c r="F18" i="35" s="1"/>
  <c r="E29" i="35"/>
  <c r="F29" i="35" s="1"/>
  <c r="E21" i="35"/>
  <c r="F21" i="35" s="1"/>
  <c r="E13" i="35"/>
  <c r="F13" i="35" s="1"/>
  <c r="E27" i="35"/>
  <c r="F27" i="35" s="1"/>
  <c r="E19" i="35"/>
  <c r="F19" i="35" s="1"/>
  <c r="E11" i="35"/>
  <c r="F11" i="35" s="1"/>
  <c r="E20" i="35"/>
  <c r="F20" i="35" s="1"/>
  <c r="E22" i="35"/>
  <c r="F22" i="35" s="1"/>
  <c r="E32" i="35"/>
  <c r="F32" i="35" s="1"/>
  <c r="E24" i="35"/>
  <c r="F24" i="35" s="1"/>
  <c r="B8" i="34" l="1"/>
  <c r="H2" i="34"/>
  <c r="J8" i="35"/>
  <c r="H8" i="35"/>
  <c r="G2" i="35"/>
  <c r="L8" i="34" l="1"/>
  <c r="M8" i="34"/>
  <c r="G8" i="34"/>
  <c r="K8" i="34"/>
  <c r="H8" i="34"/>
  <c r="E8" i="34"/>
  <c r="B9" i="34"/>
  <c r="S3" i="29"/>
  <c r="R3" i="29"/>
  <c r="N8" i="34" l="1"/>
  <c r="L9" i="34"/>
  <c r="M9" i="34"/>
  <c r="K9" i="34"/>
  <c r="G9" i="34"/>
  <c r="H9" i="34"/>
  <c r="I8" i="34"/>
  <c r="E9" i="34" s="1"/>
  <c r="B10" i="34"/>
  <c r="N9" i="34" l="1"/>
  <c r="B11" i="34"/>
  <c r="M10" i="34"/>
  <c r="L10" i="34"/>
  <c r="K10" i="34"/>
  <c r="N10" i="34" s="1"/>
  <c r="G10" i="34"/>
  <c r="H10" i="34"/>
  <c r="G11" i="34"/>
  <c r="H11" i="34"/>
  <c r="I9" i="34"/>
  <c r="E10" i="34" s="1"/>
  <c r="B12" i="34"/>
  <c r="L12" i="34" l="1"/>
  <c r="M12" i="34"/>
  <c r="K12" i="34"/>
  <c r="L11" i="34"/>
  <c r="M11" i="34"/>
  <c r="K11" i="34"/>
  <c r="N11" i="34" s="1"/>
  <c r="I10" i="34"/>
  <c r="E11" i="34" s="1"/>
  <c r="G12" i="34"/>
  <c r="H12" i="34"/>
  <c r="I11" i="34"/>
  <c r="I8" i="35"/>
  <c r="B13" i="34"/>
  <c r="L13" i="34" l="1"/>
  <c r="M13" i="34"/>
  <c r="K13" i="34"/>
  <c r="G13" i="34"/>
  <c r="H13" i="34"/>
  <c r="E12" i="34"/>
  <c r="N12" i="34"/>
  <c r="I12" i="34"/>
  <c r="B14" i="34"/>
  <c r="M14" i="34" l="1"/>
  <c r="L14" i="34"/>
  <c r="K14" i="34"/>
  <c r="N14" i="34" s="1"/>
  <c r="G14" i="34"/>
  <c r="H14" i="34"/>
  <c r="E13" i="34"/>
  <c r="N13" i="34"/>
  <c r="I13" i="34"/>
  <c r="B15" i="34"/>
  <c r="L15" i="34" l="1"/>
  <c r="M15" i="34"/>
  <c r="K15" i="34"/>
  <c r="I14" i="34"/>
  <c r="G15" i="34"/>
  <c r="I15" i="34" s="1"/>
  <c r="H15" i="34"/>
  <c r="E14" i="34"/>
  <c r="B16" i="34"/>
  <c r="L16" i="34" l="1"/>
  <c r="M16" i="34"/>
  <c r="K16" i="34"/>
  <c r="E15" i="34"/>
  <c r="G16" i="34"/>
  <c r="H16" i="34"/>
  <c r="N15" i="34"/>
  <c r="B17" i="34"/>
  <c r="E16" i="34" l="1"/>
  <c r="L17" i="34"/>
  <c r="M17" i="34"/>
  <c r="K17" i="34"/>
  <c r="G17" i="34"/>
  <c r="H17" i="34"/>
  <c r="I16" i="34"/>
  <c r="N16" i="34"/>
  <c r="B18" i="34"/>
  <c r="M18" i="34" l="1"/>
  <c r="L18" i="34"/>
  <c r="K18" i="34"/>
  <c r="N18" i="34" s="1"/>
  <c r="E17" i="34"/>
  <c r="I17" i="34"/>
  <c r="G18" i="34"/>
  <c r="H18" i="34"/>
  <c r="N17" i="34"/>
  <c r="B19" i="34"/>
  <c r="L19" i="34" l="1"/>
  <c r="M19" i="34"/>
  <c r="K19" i="34"/>
  <c r="N19" i="34" s="1"/>
  <c r="I18" i="34"/>
  <c r="E18" i="34"/>
  <c r="E19" i="34" s="1"/>
  <c r="G19" i="34"/>
  <c r="H19" i="34"/>
  <c r="B20" i="34"/>
  <c r="L20" i="34" l="1"/>
  <c r="N20" i="34" s="1"/>
  <c r="M20" i="34"/>
  <c r="K20" i="34"/>
  <c r="G20" i="34"/>
  <c r="H20" i="34"/>
  <c r="I19" i="34"/>
  <c r="E20" i="34" s="1"/>
  <c r="B21" i="34"/>
  <c r="L21" i="34" l="1"/>
  <c r="M21" i="34"/>
  <c r="K21" i="34"/>
  <c r="I20" i="34"/>
  <c r="E21" i="34" s="1"/>
  <c r="G21" i="34"/>
  <c r="H21" i="34"/>
  <c r="B22" i="34"/>
  <c r="N21" i="34" l="1"/>
  <c r="M22" i="34"/>
  <c r="L22" i="34"/>
  <c r="K22" i="34"/>
  <c r="I21" i="34"/>
  <c r="E22" i="34" s="1"/>
  <c r="G22" i="34"/>
  <c r="H22" i="34"/>
  <c r="B23" i="34"/>
  <c r="N22" i="34" l="1"/>
  <c r="L23" i="34"/>
  <c r="M23" i="34"/>
  <c r="K23" i="34"/>
  <c r="N23" i="34" s="1"/>
  <c r="I22" i="34"/>
  <c r="E23" i="34" s="1"/>
  <c r="G23" i="34"/>
  <c r="H23" i="34"/>
  <c r="B24" i="34"/>
  <c r="L24" i="34" l="1"/>
  <c r="M24" i="34"/>
  <c r="K24" i="34"/>
  <c r="N24" i="34" s="1"/>
  <c r="I23" i="34"/>
  <c r="E24" i="34" s="1"/>
  <c r="G24" i="34"/>
  <c r="H24" i="34"/>
  <c r="B25" i="34"/>
  <c r="I24" i="34" l="1"/>
  <c r="L25" i="34"/>
  <c r="M25" i="34"/>
  <c r="K25" i="34"/>
  <c r="G25" i="34"/>
  <c r="H25" i="34"/>
  <c r="I25" i="34" s="1"/>
  <c r="E25" i="34"/>
  <c r="B26" i="34"/>
  <c r="N25" i="34" l="1"/>
  <c r="M26" i="34"/>
  <c r="L26" i="34"/>
  <c r="K26" i="34"/>
  <c r="E26" i="34"/>
  <c r="G26" i="34"/>
  <c r="H26" i="34"/>
  <c r="B27" i="34"/>
  <c r="L27" i="34" l="1"/>
  <c r="M27" i="34"/>
  <c r="K27" i="34"/>
  <c r="N27" i="34" s="1"/>
  <c r="I26" i="34"/>
  <c r="G27" i="34"/>
  <c r="H27" i="34"/>
  <c r="N26" i="34"/>
  <c r="B28" i="34"/>
  <c r="L28" i="34" l="1"/>
  <c r="M28" i="34"/>
  <c r="K28" i="34"/>
  <c r="I27" i="34"/>
  <c r="E27" i="34"/>
  <c r="E28" i="34" s="1"/>
  <c r="G28" i="34"/>
  <c r="H28" i="34"/>
  <c r="B29" i="34"/>
  <c r="L29" i="34" l="1"/>
  <c r="M29" i="34"/>
  <c r="K29" i="34"/>
  <c r="I28" i="34"/>
  <c r="G29" i="34"/>
  <c r="H29" i="34"/>
  <c r="N28" i="34"/>
  <c r="E29" i="34" s="1"/>
  <c r="B30" i="34"/>
  <c r="I29" i="34" l="1"/>
  <c r="M30" i="34"/>
  <c r="L30" i="34"/>
  <c r="K30" i="34"/>
  <c r="H30" i="34"/>
  <c r="G30" i="34"/>
  <c r="N29" i="34"/>
  <c r="E30" i="34" s="1"/>
  <c r="B31" i="34"/>
  <c r="L31" i="34" l="1"/>
  <c r="M31" i="34"/>
  <c r="K31" i="34"/>
  <c r="N31" i="34" s="1"/>
  <c r="I30" i="34"/>
  <c r="G31" i="34"/>
  <c r="H31" i="34"/>
  <c r="N30" i="34"/>
  <c r="B32" i="34"/>
  <c r="E31" i="34" l="1"/>
  <c r="L32" i="34"/>
  <c r="M32" i="34"/>
  <c r="K32" i="34"/>
  <c r="G32" i="34"/>
  <c r="H32" i="34"/>
  <c r="I31" i="34"/>
  <c r="B33" i="34"/>
  <c r="E32" i="34" l="1"/>
  <c r="L33" i="34"/>
  <c r="M33" i="34"/>
  <c r="K33" i="34"/>
  <c r="I32" i="34"/>
  <c r="G33" i="34"/>
  <c r="H33" i="34"/>
  <c r="N32" i="34"/>
  <c r="B34" i="34"/>
  <c r="M34" i="34" l="1"/>
  <c r="L34" i="34"/>
  <c r="K34" i="34"/>
  <c r="N34" i="34" s="1"/>
  <c r="E33" i="34"/>
  <c r="G34" i="34"/>
  <c r="H34" i="34"/>
  <c r="I33" i="34"/>
  <c r="N33" i="34"/>
  <c r="B35" i="34"/>
  <c r="E34" i="34" l="1"/>
  <c r="L35" i="34"/>
  <c r="M35" i="34"/>
  <c r="K35" i="34"/>
  <c r="H35" i="34"/>
  <c r="G35" i="34"/>
  <c r="I34" i="34"/>
  <c r="B36" i="34"/>
  <c r="E35" i="34" l="1"/>
  <c r="L36" i="34"/>
  <c r="M36" i="34"/>
  <c r="K36" i="34"/>
  <c r="I35" i="34"/>
  <c r="G36" i="34"/>
  <c r="H36" i="34"/>
  <c r="N35" i="34"/>
  <c r="B37" i="34"/>
  <c r="N36" i="34"/>
  <c r="L37" i="34" l="1"/>
  <c r="M37" i="34"/>
  <c r="K37" i="34"/>
  <c r="N37" i="34" s="1"/>
  <c r="E36" i="34"/>
  <c r="G37" i="34"/>
  <c r="H37" i="34"/>
  <c r="I36" i="34"/>
  <c r="B38" i="34"/>
  <c r="M38" i="34" l="1"/>
  <c r="L38" i="34"/>
  <c r="K38" i="34"/>
  <c r="E37" i="34"/>
  <c r="G38" i="34"/>
  <c r="I38" i="34" s="1"/>
  <c r="H38" i="34"/>
  <c r="I37" i="34"/>
  <c r="B39" i="34"/>
  <c r="H39" i="34" l="1"/>
  <c r="H7" i="34" s="1"/>
  <c r="M39" i="34"/>
  <c r="L39" i="34"/>
  <c r="K39" i="34"/>
  <c r="E38" i="34"/>
  <c r="N38" i="34"/>
  <c r="M7" i="34"/>
  <c r="D5" i="34"/>
  <c r="N39" i="34" l="1"/>
  <c r="N7" i="34" s="1"/>
  <c r="E39" i="34"/>
  <c r="G7" i="34"/>
  <c r="I39" i="34"/>
  <c r="I7" i="34" s="1"/>
  <c r="K7" i="34"/>
  <c r="L7" i="34"/>
  <c r="S2" i="29" l="1"/>
  <c r="R2" i="29"/>
  <c r="E7" i="26" l="1"/>
  <c r="D7" i="26"/>
  <c r="E6" i="26" l="1"/>
  <c r="D6" i="26"/>
  <c r="N4" i="28"/>
  <c r="N5" i="28"/>
  <c r="N6" i="28"/>
  <c r="O6" i="28"/>
  <c r="O5" i="28"/>
  <c r="O4" i="28"/>
  <c r="N3" i="28"/>
  <c r="N2" i="28"/>
  <c r="O2" i="28"/>
  <c r="O3" i="28"/>
</calcChain>
</file>

<file path=xl/sharedStrings.xml><?xml version="1.0" encoding="utf-8"?>
<sst xmlns="http://schemas.openxmlformats.org/spreadsheetml/2006/main" count="340" uniqueCount="207">
  <si>
    <t>N°Parc</t>
  </si>
  <si>
    <t>Motopompe</t>
  </si>
  <si>
    <t>Compresseur</t>
  </si>
  <si>
    <t>Compacteur</t>
  </si>
  <si>
    <t>D21066</t>
  </si>
  <si>
    <t>C01326</t>
  </si>
  <si>
    <t>Tractopelle</t>
  </si>
  <si>
    <t>Pelle</t>
  </si>
  <si>
    <t>D31837</t>
  </si>
  <si>
    <t>Bull</t>
  </si>
  <si>
    <t>Motobasculeur</t>
  </si>
  <si>
    <t>D91140</t>
  </si>
  <si>
    <t>Niveleuse</t>
  </si>
  <si>
    <t>D81117</t>
  </si>
  <si>
    <t>E01140</t>
  </si>
  <si>
    <t>VL</t>
  </si>
  <si>
    <t>E01177</t>
  </si>
  <si>
    <t>E01277</t>
  </si>
  <si>
    <t>E01259</t>
  </si>
  <si>
    <t>E11727</t>
  </si>
  <si>
    <t>E11823</t>
  </si>
  <si>
    <t>E12205</t>
  </si>
  <si>
    <t>E12582</t>
  </si>
  <si>
    <t>E12583</t>
  </si>
  <si>
    <t>E12584</t>
  </si>
  <si>
    <t>E12588</t>
  </si>
  <si>
    <t>E12832</t>
  </si>
  <si>
    <t>E12629</t>
  </si>
  <si>
    <t>E12624</t>
  </si>
  <si>
    <t>PL</t>
  </si>
  <si>
    <t>Chariot élévateur</t>
  </si>
  <si>
    <t>Bétonnière</t>
  </si>
  <si>
    <t>Groupe électrogène</t>
  </si>
  <si>
    <t>Entreprise</t>
  </si>
  <si>
    <t>Heure</t>
  </si>
  <si>
    <t>Immatriculation</t>
  </si>
  <si>
    <t>Date</t>
  </si>
  <si>
    <t>SGE-C</t>
  </si>
  <si>
    <t>N° Bon de Commande</t>
  </si>
  <si>
    <t>DGGT</t>
  </si>
  <si>
    <t>SNPC</t>
  </si>
  <si>
    <t>Chargeur</t>
  </si>
  <si>
    <t>Dernière saisie</t>
  </si>
  <si>
    <t>Réel</t>
  </si>
  <si>
    <t>Théorique</t>
  </si>
  <si>
    <t>CONSOMMATION</t>
  </si>
  <si>
    <t>N° Parc</t>
  </si>
  <si>
    <t>Autre</t>
  </si>
  <si>
    <t>Auto-bétonnière</t>
  </si>
  <si>
    <t>Ravitailleur</t>
  </si>
  <si>
    <t>Provenance</t>
  </si>
  <si>
    <t>Index
 Fin</t>
  </si>
  <si>
    <t>C91378</t>
  </si>
  <si>
    <t>Type de véhicule</t>
  </si>
  <si>
    <t>Marque</t>
  </si>
  <si>
    <t>SOCIÉTÉ</t>
  </si>
  <si>
    <t>D01027</t>
  </si>
  <si>
    <t>Cuve</t>
  </si>
  <si>
    <t>D81054</t>
  </si>
  <si>
    <t>A11197</t>
  </si>
  <si>
    <t>D41121</t>
  </si>
  <si>
    <t>D81029</t>
  </si>
  <si>
    <t>A11181</t>
  </si>
  <si>
    <t>Index
Début</t>
  </si>
  <si>
    <t>Toupie</t>
  </si>
  <si>
    <t>Information</t>
  </si>
  <si>
    <t>AMMI Services</t>
  </si>
  <si>
    <t>JPJ Lisaro</t>
  </si>
  <si>
    <t>CONTENU DES SAISIES</t>
  </si>
  <si>
    <t>Bons de Réception</t>
  </si>
  <si>
    <t>Bons de Sortie</t>
  </si>
  <si>
    <t>GASOIL</t>
  </si>
  <si>
    <t>Etat commande</t>
  </si>
  <si>
    <t>N° DA</t>
  </si>
  <si>
    <t>Date DA</t>
  </si>
  <si>
    <t>Quantité demandée</t>
  </si>
  <si>
    <t>Date réception</t>
  </si>
  <si>
    <t>N° Bon d'expédition</t>
  </si>
  <si>
    <t>N° Bon de réception</t>
  </si>
  <si>
    <t>Quantité reçue (L)</t>
  </si>
  <si>
    <t>Observations</t>
  </si>
  <si>
    <t>Marque véhicule</t>
  </si>
  <si>
    <t>toyota</t>
  </si>
  <si>
    <t>partielle</t>
  </si>
  <si>
    <t>aucune</t>
  </si>
  <si>
    <t>Type Parc</t>
  </si>
  <si>
    <t>Famille/désignation</t>
  </si>
  <si>
    <t>Cuve n°1</t>
  </si>
  <si>
    <t>Cuve n°2</t>
  </si>
  <si>
    <t>nb de saisie</t>
  </si>
  <si>
    <t>dernière saisie</t>
  </si>
  <si>
    <t>456 JH 7</t>
  </si>
  <si>
    <t>DateDERcommande</t>
  </si>
  <si>
    <t>QntéRCcommande</t>
  </si>
  <si>
    <t>peugeot</t>
  </si>
  <si>
    <t>567 JK 9</t>
  </si>
  <si>
    <t>deux</t>
  </si>
  <si>
    <t>678 HG 8</t>
  </si>
  <si>
    <t>78JK9</t>
  </si>
  <si>
    <t>ok</t>
  </si>
  <si>
    <t>DateARchantier</t>
  </si>
  <si>
    <t>DateDPchantier</t>
  </si>
  <si>
    <t>Direction</t>
  </si>
  <si>
    <t>Présence_chantier</t>
  </si>
  <si>
    <t>Plein ravitailleur</t>
  </si>
  <si>
    <t>N°immat</t>
  </si>
  <si>
    <t>Panne compteur</t>
  </si>
  <si>
    <t>Chauffeur</t>
  </si>
  <si>
    <t>Type vehicule</t>
  </si>
  <si>
    <t>Type distributeur</t>
  </si>
  <si>
    <t>22</t>
  </si>
  <si>
    <t>Armel</t>
  </si>
  <si>
    <t>pompe 1</t>
  </si>
  <si>
    <t>NON</t>
  </si>
  <si>
    <t/>
  </si>
  <si>
    <t>OUI</t>
  </si>
  <si>
    <t>Pompiste</t>
  </si>
  <si>
    <t>Conso réelle/th</t>
  </si>
  <si>
    <t>Ecart réel/th</t>
  </si>
  <si>
    <t>E 67836</t>
  </si>
  <si>
    <t>compacteur</t>
  </si>
  <si>
    <t>boomag</t>
  </si>
  <si>
    <t>Giscard</t>
  </si>
  <si>
    <t>E 7684</t>
  </si>
  <si>
    <t>Autobétonnière</t>
  </si>
  <si>
    <t>pompe 2</t>
  </si>
  <si>
    <t>76</t>
  </si>
  <si>
    <t>13:24</t>
  </si>
  <si>
    <t>267</t>
  </si>
  <si>
    <t>14:26</t>
  </si>
  <si>
    <t>Jean-Paul</t>
  </si>
  <si>
    <t>AMMI SERVICE</t>
  </si>
  <si>
    <t>hilux</t>
  </si>
  <si>
    <t>567 HJ 5</t>
  </si>
  <si>
    <t>renault</t>
  </si>
  <si>
    <t>Armand</t>
  </si>
  <si>
    <t>mayamaya</t>
  </si>
  <si>
    <t>kinkala</t>
  </si>
  <si>
    <t>inconnu</t>
  </si>
  <si>
    <t>4x4</t>
  </si>
  <si>
    <t>6738HJ7</t>
  </si>
  <si>
    <t>Depaul</t>
  </si>
  <si>
    <t>E 7663</t>
  </si>
  <si>
    <t>SORTIES</t>
  </si>
  <si>
    <t>ANCIENS STOCKS</t>
  </si>
  <si>
    <t>HISTORIQUE DES CESSIONS</t>
  </si>
  <si>
    <t>MONTANT CESSIONS</t>
  </si>
  <si>
    <t>PRIX CESSION (FCFA)</t>
  </si>
  <si>
    <t>Mécanique</t>
  </si>
  <si>
    <t>MoisComptable</t>
  </si>
  <si>
    <t>DateDebut</t>
  </si>
  <si>
    <t>Achats externes</t>
  </si>
  <si>
    <t>Cessions Internes SGE-C</t>
  </si>
  <si>
    <t>Conso interne chantier</t>
  </si>
  <si>
    <t>Cessions aux tiers</t>
  </si>
  <si>
    <t>Cessions aux autres chantiers</t>
  </si>
  <si>
    <t>ENTREES</t>
  </si>
  <si>
    <t xml:space="preserve">STOCK GASOIL </t>
  </si>
  <si>
    <t>moyenne</t>
  </si>
  <si>
    <t>STOCKS</t>
  </si>
  <si>
    <t>nb de litres</t>
  </si>
  <si>
    <t>E 5678</t>
  </si>
  <si>
    <t>taxi</t>
  </si>
  <si>
    <t>567 HK 8</t>
  </si>
  <si>
    <t>Gamboma</t>
  </si>
  <si>
    <t>78</t>
  </si>
  <si>
    <t>15:26</t>
  </si>
  <si>
    <t>MONTANT CESSIONS (FCFA)</t>
  </si>
  <si>
    <t>Récap Tiers</t>
  </si>
  <si>
    <t>TOTAL</t>
  </si>
  <si>
    <t>Mois Comptable</t>
  </si>
  <si>
    <t>Durand</t>
  </si>
  <si>
    <t>CONSOMMATION ENGIN</t>
  </si>
  <si>
    <t>Quantité</t>
  </si>
  <si>
    <t>Compteur</t>
  </si>
  <si>
    <t>BS</t>
  </si>
  <si>
    <t>Temps d'utilisation</t>
  </si>
  <si>
    <t>Conso moyenne</t>
  </si>
  <si>
    <t>N° Immatriculation/série</t>
  </si>
  <si>
    <t>Informations</t>
  </si>
  <si>
    <t>Arrivée sur le chantier</t>
  </si>
  <si>
    <t>le</t>
  </si>
  <si>
    <t>en provenance de</t>
  </si>
  <si>
    <t>Départ du chantier</t>
  </si>
  <si>
    <t>prévu le</t>
  </si>
  <si>
    <t>en direction de</t>
  </si>
  <si>
    <t>Présence sur le chantier</t>
  </si>
  <si>
    <t>Carte identité véhicule</t>
  </si>
  <si>
    <t>E 5688</t>
  </si>
  <si>
    <t>567 HJ 8</t>
  </si>
  <si>
    <t>Stagiaire</t>
  </si>
  <si>
    <t>Brazzaville</t>
  </si>
  <si>
    <t>Paris</t>
  </si>
  <si>
    <t>J 7893</t>
  </si>
  <si>
    <t>rav4</t>
  </si>
  <si>
    <t>transport personnel</t>
  </si>
  <si>
    <t>H 6738</t>
  </si>
  <si>
    <t>675 HJ 8</t>
  </si>
  <si>
    <t>Terrassement</t>
  </si>
  <si>
    <t>Bretagne</t>
  </si>
  <si>
    <t>RECAP PARC</t>
  </si>
  <si>
    <t>Famille/Désig.</t>
  </si>
  <si>
    <t>N°immat/série</t>
  </si>
  <si>
    <t>Compteur début mois</t>
  </si>
  <si>
    <t>Compteur fin mois</t>
  </si>
  <si>
    <t>Différence</t>
  </si>
  <si>
    <t>http://forum.excel-pratique.com/excel/remplir-une-listbox-a-partir-d-une-combobox-t44195.html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</si>
</sst>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 _€_-;\-* #,##0.00\ _€_-;_-* &quot;-&quot;??\ _€_-;_-@_-"/>
    <numFmt numFmtId="164" formatCode="_-* #,##0.00\ _F_-;\-* #,##0.00\ _F_-;_-* &quot;-&quot;??\ _F_-;_-@_-"/>
    <numFmt numFmtId="165" formatCode="_-* #,##0.00\ [$€-1]_-;\-* #,##0.00\ [$€-1]_-;_-* &quot;-&quot;??\ [$€-1]_-"/>
    <numFmt numFmtId="166" formatCode="dd/mm/yy;@"/>
    <numFmt numFmtId="167" formatCode="0.0"/>
    <numFmt numFmtId="168" formatCode="[$-40C]mmmm\-yy;@"/>
    <numFmt numFmtId="169" formatCode="#,##0.0"/>
    <numFmt numFmtId="170" formatCode="#,##0.0&quot; T&quot;"/>
    <numFmt numFmtId="171" formatCode="0&quot; jours&quot;"/>
    <numFmt numFmtId="172" formatCode="_-* #,##0\ _€_-;\-* #,##0\ _€_-;_-* &quot;-&quot;??\ _€_-;_-@_-"/>
    <numFmt numFmtId="173" formatCode="#,##0_ ;\-#,##0\ "/>
    <numFmt numFmtId="174" formatCode="0&quot; J&quot;"/>
    <numFmt numFmtId="175" formatCode="#,##0.0&quot; L&quot;"/>
    <numFmt numFmtId="176" formatCode="#,##0.0_ ;\-#,##0.0\ "/>
  </numFmts>
  <fonts count="36"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1"/>
      <color theme="1"/>
      <name val="Calibri"/>
      <family val="2"/>
      <scheme val="minor"/>
    </font>
    <font>
      <sz val="9"/>
      <color theme="1"/>
      <name val="Calibri"/>
      <family val="2"/>
      <scheme val="minor"/>
    </font>
    <font>
      <sz val="10"/>
      <name val="Arial"/>
      <family val="2"/>
    </font>
    <font>
      <b/>
      <sz val="9"/>
      <color theme="1"/>
      <name val="Calibri"/>
      <family val="2"/>
      <scheme val="minor"/>
    </font>
    <font>
      <b/>
      <sz val="8"/>
      <color theme="0"/>
      <name val="Calibri"/>
      <family val="2"/>
      <scheme val="minor"/>
    </font>
    <font>
      <sz val="8"/>
      <color theme="1"/>
      <name val="Calibri"/>
      <family val="2"/>
      <scheme val="minor"/>
    </font>
    <font>
      <b/>
      <sz val="11"/>
      <color theme="0"/>
      <name val="Calibri"/>
      <family val="2"/>
      <scheme val="minor"/>
    </font>
    <font>
      <i/>
      <sz val="8"/>
      <color theme="1"/>
      <name val="Calibri"/>
      <family val="2"/>
      <scheme val="minor"/>
    </font>
    <font>
      <sz val="18"/>
      <color theme="1"/>
      <name val="Calibri"/>
      <family val="2"/>
      <scheme val="minor"/>
    </font>
    <font>
      <b/>
      <sz val="18"/>
      <color theme="1"/>
      <name val="Calibri"/>
      <family val="2"/>
      <scheme val="minor"/>
    </font>
    <font>
      <sz val="8"/>
      <color theme="0"/>
      <name val="Calibri"/>
      <family val="2"/>
      <scheme val="minor"/>
    </font>
    <font>
      <i/>
      <sz val="8"/>
      <color theme="0"/>
      <name val="Calibri"/>
      <family val="2"/>
      <scheme val="minor"/>
    </font>
    <font>
      <b/>
      <sz val="8"/>
      <color rgb="FFFF0000"/>
      <name val="Calibri"/>
      <family val="2"/>
      <scheme val="minor"/>
    </font>
    <font>
      <sz val="11"/>
      <color theme="1"/>
      <name val="Calibri"/>
      <family val="2"/>
      <scheme val="minor"/>
    </font>
    <font>
      <sz val="11"/>
      <color rgb="FF000000"/>
      <name val="Calibri"/>
      <family val="2"/>
    </font>
    <font>
      <u/>
      <sz val="11"/>
      <color theme="10"/>
      <name val="Calibri"/>
      <family val="2"/>
      <scheme val="minor"/>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4" tint="0.79998168889431442"/>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right/>
      <top style="thin">
        <color indexed="64"/>
      </top>
      <bottom/>
      <diagonal/>
    </border>
    <border>
      <left/>
      <right/>
      <top style="thin">
        <color indexed="64"/>
      </top>
      <bottom style="thin">
        <color indexed="64"/>
      </bottom>
      <diagonal/>
    </border>
    <border>
      <left style="thin">
        <color theme="4"/>
      </left>
      <right/>
      <top/>
      <bottom/>
      <diagonal/>
    </border>
    <border>
      <left/>
      <right style="thin">
        <color theme="4"/>
      </right>
      <top/>
      <bottom/>
      <diagonal/>
    </border>
    <border>
      <left style="thin">
        <color indexed="64"/>
      </left>
      <right style="thin">
        <color indexed="64"/>
      </right>
      <top style="medium">
        <color indexed="64"/>
      </top>
      <bottom/>
      <diagonal/>
    </border>
    <border>
      <left style="thin">
        <color theme="4" tint="0.39997558519241921"/>
      </left>
      <right style="medium">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right/>
      <top style="thin">
        <color theme="4" tint="0.39997558519241921"/>
      </top>
      <bottom/>
      <diagonal/>
    </border>
    <border>
      <left/>
      <right style="hair">
        <color indexed="64"/>
      </right>
      <top/>
      <bottom/>
      <diagonal/>
    </border>
  </borders>
  <cellStyleXfs count="53">
    <xf numFmtId="0" fontId="0" fillId="0" borderId="0"/>
    <xf numFmtId="0" fontId="2" fillId="0" borderId="0" applyFont="0"/>
    <xf numFmtId="164" fontId="2" fillId="0" borderId="0" applyFon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0" borderId="0" applyNumberFormat="0" applyFill="0" applyBorder="0" applyAlignment="0" applyProtection="0"/>
    <xf numFmtId="0" fontId="6" fillId="20" borderId="4" applyNumberFormat="0" applyAlignment="0" applyProtection="0"/>
    <xf numFmtId="0" fontId="7" fillId="0" borderId="5" applyNumberFormat="0" applyFill="0" applyAlignment="0" applyProtection="0"/>
    <xf numFmtId="0" fontId="2" fillId="21" borderId="6" applyNumberFormat="0" applyFont="0" applyAlignment="0" applyProtection="0"/>
    <xf numFmtId="0" fontId="8" fillId="7" borderId="4" applyNumberFormat="0" applyAlignment="0" applyProtection="0"/>
    <xf numFmtId="165" fontId="2" fillId="0" borderId="0" applyFont="0" applyFill="0" applyBorder="0" applyAlignment="0" applyProtection="0"/>
    <xf numFmtId="0" fontId="9" fillId="3" borderId="0" applyNumberFormat="0" applyBorder="0" applyAlignment="0" applyProtection="0"/>
    <xf numFmtId="164" fontId="2" fillId="0" borderId="0" applyFont="0" applyFill="0" applyBorder="0" applyAlignment="0" applyProtection="0"/>
    <xf numFmtId="0" fontId="10" fillId="22" borderId="0" applyNumberFormat="0" applyBorder="0" applyAlignment="0" applyProtection="0"/>
    <xf numFmtId="0" fontId="2" fillId="0" borderId="0" applyFont="0"/>
    <xf numFmtId="0" fontId="1" fillId="0" borderId="0"/>
    <xf numFmtId="0" fontId="11" fillId="4" borderId="0" applyNumberFormat="0" applyBorder="0" applyAlignment="0" applyProtection="0"/>
    <xf numFmtId="0" fontId="12" fillId="20"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8" applyNumberFormat="0" applyFill="0" applyAlignment="0" applyProtection="0"/>
    <xf numFmtId="0" fontId="16" fillId="0" borderId="9" applyNumberFormat="0" applyFill="0" applyAlignment="0" applyProtection="0"/>
    <xf numFmtId="0" fontId="17" fillId="0" borderId="10" applyNumberFormat="0" applyFill="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23" borderId="12" applyNumberFormat="0" applyAlignment="0" applyProtection="0"/>
    <xf numFmtId="165" fontId="2" fillId="0" borderId="0" applyFont="0" applyFill="0" applyBorder="0" applyAlignment="0" applyProtection="0"/>
    <xf numFmtId="0" fontId="22" fillId="0" borderId="0"/>
    <xf numFmtId="0" fontId="2" fillId="0" borderId="0"/>
    <xf numFmtId="43" fontId="1" fillId="0" borderId="0" applyFont="0" applyFill="0" applyBorder="0" applyAlignment="0" applyProtection="0"/>
    <xf numFmtId="0" fontId="35" fillId="0" borderId="0" applyNumberFormat="0" applyFill="0" applyBorder="0" applyAlignment="0" applyProtection="0"/>
  </cellStyleXfs>
  <cellXfs count="187">
    <xf numFmtId="0" fontId="0" fillId="0" borderId="0" xfId="0"/>
    <xf numFmtId="0" fontId="25" fillId="0" borderId="0" xfId="0" applyFont="1"/>
    <xf numFmtId="0" fontId="25" fillId="0" borderId="16" xfId="0" applyFont="1" applyBorder="1" applyAlignment="1">
      <alignment horizontal="center" vertical="center"/>
    </xf>
    <xf numFmtId="0" fontId="25" fillId="0" borderId="16" xfId="0" applyFont="1" applyBorder="1" applyAlignment="1" applyProtection="1">
      <alignment horizontal="center" vertical="center"/>
      <protection locked="0"/>
    </xf>
    <xf numFmtId="0" fontId="25" fillId="0" borderId="0" xfId="0" applyFont="1" applyAlignment="1"/>
    <xf numFmtId="0" fontId="25" fillId="0" borderId="0" xfId="0" applyFont="1" applyBorder="1" applyAlignment="1"/>
    <xf numFmtId="0" fontId="25" fillId="0" borderId="0" xfId="0" applyFont="1" applyAlignment="1">
      <alignment horizontal="center" vertical="center"/>
    </xf>
    <xf numFmtId="0" fontId="0" fillId="24" borderId="2" xfId="0" applyFill="1" applyBorder="1" applyAlignment="1">
      <alignment horizontal="centerContinuous"/>
    </xf>
    <xf numFmtId="0" fontId="0" fillId="24" borderId="25" xfId="0" applyFill="1" applyBorder="1" applyAlignment="1">
      <alignment horizontal="centerContinuous"/>
    </xf>
    <xf numFmtId="0" fontId="0" fillId="24" borderId="14" xfId="0" applyFill="1" applyBorder="1" applyAlignment="1">
      <alignment horizontal="centerContinuous"/>
    </xf>
    <xf numFmtId="0" fontId="0" fillId="24" borderId="0" xfId="0" applyFill="1"/>
    <xf numFmtId="0" fontId="0" fillId="24" borderId="19" xfId="0" applyFill="1" applyBorder="1"/>
    <xf numFmtId="0" fontId="20" fillId="24" borderId="24" xfId="0" applyFont="1" applyFill="1" applyBorder="1"/>
    <xf numFmtId="0" fontId="0" fillId="24" borderId="21" xfId="0" applyFill="1" applyBorder="1" applyAlignment="1">
      <alignment horizontal="left" indent="3"/>
    </xf>
    <xf numFmtId="0" fontId="0" fillId="24" borderId="0" xfId="0" applyFill="1" applyBorder="1" applyAlignment="1">
      <alignment horizontal="centerContinuous"/>
    </xf>
    <xf numFmtId="0" fontId="0" fillId="24" borderId="0" xfId="0" applyFill="1" applyBorder="1"/>
    <xf numFmtId="0" fontId="20" fillId="24" borderId="0" xfId="0" applyFont="1" applyFill="1" applyBorder="1"/>
    <xf numFmtId="0" fontId="0" fillId="24" borderId="0" xfId="0" applyFill="1" applyBorder="1" applyAlignment="1">
      <alignment horizontal="left" indent="3"/>
    </xf>
    <xf numFmtId="0" fontId="0" fillId="24" borderId="0" xfId="0" applyFill="1" applyBorder="1" applyAlignment="1">
      <alignment horizontal="center"/>
    </xf>
    <xf numFmtId="0" fontId="0" fillId="24" borderId="20" xfId="0" applyFill="1" applyBorder="1" applyAlignment="1">
      <alignment horizontal="left" indent="3"/>
    </xf>
    <xf numFmtId="0" fontId="0" fillId="24" borderId="22" xfId="0" applyFill="1" applyBorder="1" applyAlignment="1">
      <alignment horizontal="centerContinuous"/>
    </xf>
    <xf numFmtId="0" fontId="27" fillId="24" borderId="24" xfId="0" applyFont="1" applyFill="1" applyBorder="1" applyAlignment="1">
      <alignment horizontal="center"/>
    </xf>
    <xf numFmtId="0" fontId="27" fillId="24" borderId="18" xfId="0" applyFont="1" applyFill="1" applyBorder="1" applyAlignment="1">
      <alignment horizontal="center"/>
    </xf>
    <xf numFmtId="14" fontId="0" fillId="0" borderId="0" xfId="0" applyNumberFormat="1"/>
    <xf numFmtId="166" fontId="0" fillId="24" borderId="13" xfId="0" applyNumberFormat="1" applyFill="1" applyBorder="1" applyAlignment="1">
      <alignment horizontal="center"/>
    </xf>
    <xf numFmtId="166" fontId="0" fillId="24" borderId="17" xfId="0" applyNumberFormat="1" applyFill="1" applyBorder="1" applyAlignment="1">
      <alignment horizontal="center"/>
    </xf>
    <xf numFmtId="0" fontId="0" fillId="0" borderId="0" xfId="0" applyAlignment="1">
      <alignment horizontal="center" vertical="center" wrapText="1"/>
    </xf>
    <xf numFmtId="0" fontId="25" fillId="0" borderId="3" xfId="0" applyFont="1" applyBorder="1" applyAlignment="1">
      <alignment horizontal="center" vertical="center"/>
    </xf>
    <xf numFmtId="0" fontId="25" fillId="0" borderId="3" xfId="0" applyFont="1" applyBorder="1" applyAlignment="1" applyProtection="1">
      <alignment horizontal="center" vertical="center"/>
      <protection locked="0"/>
    </xf>
    <xf numFmtId="0" fontId="25" fillId="26" borderId="28" xfId="0" applyFont="1" applyFill="1" applyBorder="1" applyAlignment="1">
      <alignment horizontal="center" vertical="center"/>
    </xf>
    <xf numFmtId="0" fontId="25" fillId="0" borderId="15" xfId="0" applyFont="1" applyBorder="1" applyAlignment="1">
      <alignment horizontal="center" vertical="center"/>
    </xf>
    <xf numFmtId="0" fontId="25" fillId="26" borderId="15" xfId="0" applyFont="1" applyFill="1" applyBorder="1" applyAlignment="1">
      <alignment horizontal="center" vertical="center"/>
    </xf>
    <xf numFmtId="0" fontId="24" fillId="0" borderId="29" xfId="0" applyFont="1" applyFill="1" applyBorder="1" applyAlignment="1">
      <alignment horizontal="center" vertical="center"/>
    </xf>
    <xf numFmtId="0" fontId="0" fillId="0" borderId="0" xfId="0" applyAlignment="1">
      <alignment horizontal="center"/>
    </xf>
    <xf numFmtId="14" fontId="0" fillId="0" borderId="0" xfId="0" applyNumberFormat="1" applyAlignment="1">
      <alignment horizontal="center"/>
    </xf>
    <xf numFmtId="3" fontId="26" fillId="25" borderId="26" xfId="0" applyNumberFormat="1" applyFont="1" applyFill="1" applyBorder="1" applyAlignment="1">
      <alignment horizontal="center"/>
    </xf>
    <xf numFmtId="0" fontId="26" fillId="25" borderId="0" xfId="0" applyFont="1" applyFill="1" applyBorder="1" applyAlignment="1">
      <alignment horizontal="center"/>
    </xf>
    <xf numFmtId="166" fontId="26" fillId="25" borderId="27" xfId="0" applyNumberFormat="1" applyFont="1" applyFill="1" applyBorder="1" applyAlignment="1">
      <alignment horizontal="center"/>
    </xf>
    <xf numFmtId="0" fontId="0" fillId="0" borderId="0" xfId="0" applyNumberFormat="1" applyAlignment="1">
      <alignment horizontal="center"/>
    </xf>
    <xf numFmtId="166" fontId="0" fillId="0" borderId="0" xfId="0" applyNumberFormat="1" applyAlignment="1">
      <alignment horizontal="center"/>
    </xf>
    <xf numFmtId="3" fontId="0" fillId="0" borderId="0" xfId="0" applyNumberFormat="1" applyAlignment="1">
      <alignment horizontal="center"/>
    </xf>
    <xf numFmtId="0" fontId="0" fillId="24" borderId="0" xfId="0" quotePrefix="1" applyFill="1"/>
    <xf numFmtId="14" fontId="25" fillId="0" borderId="0" xfId="0" applyNumberFormat="1" applyFont="1" applyAlignment="1">
      <alignment horizontal="center" vertical="center"/>
    </xf>
    <xf numFmtId="168" fontId="28" fillId="0" borderId="0" xfId="0" applyNumberFormat="1" applyFont="1" applyAlignment="1">
      <alignment horizontal="centerContinuous" vertical="center"/>
    </xf>
    <xf numFmtId="0" fontId="28" fillId="0" borderId="25" xfId="0" applyFont="1" applyBorder="1" applyAlignment="1">
      <alignment horizontal="centerContinuous" vertical="center"/>
    </xf>
    <xf numFmtId="168" fontId="28" fillId="0" borderId="25" xfId="0" applyNumberFormat="1" applyFont="1" applyBorder="1" applyAlignment="1">
      <alignment horizontal="centerContinuous" vertical="center"/>
    </xf>
    <xf numFmtId="0" fontId="25" fillId="0" borderId="18" xfId="0" applyFont="1" applyBorder="1" applyAlignment="1">
      <alignment horizontal="centerContinuous" vertical="center"/>
    </xf>
    <xf numFmtId="0" fontId="25" fillId="0" borderId="14" xfId="0" applyFont="1" applyBorder="1" applyAlignment="1">
      <alignment horizontal="centerContinuous" vertical="center"/>
    </xf>
    <xf numFmtId="0" fontId="25" fillId="0" borderId="17" xfId="0" applyFont="1" applyBorder="1" applyAlignment="1">
      <alignment horizontal="centerContinuous" vertical="center"/>
    </xf>
    <xf numFmtId="0" fontId="25" fillId="0" borderId="20" xfId="0" applyFont="1" applyBorder="1" applyAlignment="1">
      <alignment horizontal="center" vertical="center"/>
    </xf>
    <xf numFmtId="0" fontId="25" fillId="0" borderId="0" xfId="0" applyFont="1" applyAlignment="1">
      <alignment horizontal="centerContinuous" vertical="distributed"/>
    </xf>
    <xf numFmtId="172" fontId="25" fillId="0" borderId="30" xfId="51" applyNumberFormat="1" applyFont="1" applyBorder="1" applyAlignment="1">
      <alignment horizontal="center" vertical="center"/>
    </xf>
    <xf numFmtId="172" fontId="25" fillId="0" borderId="19" xfId="51" applyNumberFormat="1" applyFont="1" applyBorder="1" applyAlignment="1">
      <alignment horizontal="center" vertical="center"/>
    </xf>
    <xf numFmtId="172" fontId="25" fillId="0" borderId="15" xfId="51" applyNumberFormat="1" applyFont="1" applyBorder="1" applyAlignment="1">
      <alignment horizontal="center" vertical="center"/>
    </xf>
    <xf numFmtId="14" fontId="25" fillId="0" borderId="3" xfId="0" applyNumberFormat="1" applyFont="1" applyBorder="1" applyAlignment="1">
      <alignment horizontal="center" vertical="center"/>
    </xf>
    <xf numFmtId="172" fontId="25" fillId="0" borderId="31" xfId="51" applyNumberFormat="1" applyFont="1" applyBorder="1" applyAlignment="1">
      <alignment horizontal="center" vertical="center"/>
    </xf>
    <xf numFmtId="172" fontId="25" fillId="0" borderId="21" xfId="51" applyNumberFormat="1" applyFont="1" applyBorder="1" applyAlignment="1">
      <alignment horizontal="center" vertical="center"/>
    </xf>
    <xf numFmtId="172" fontId="25" fillId="0" borderId="3" xfId="51" applyNumberFormat="1" applyFont="1" applyBorder="1" applyAlignment="1">
      <alignment horizontal="center" vertical="center"/>
    </xf>
    <xf numFmtId="172" fontId="25" fillId="0" borderId="32" xfId="51" applyNumberFormat="1" applyFont="1" applyBorder="1" applyAlignment="1">
      <alignment horizontal="center" vertical="center"/>
    </xf>
    <xf numFmtId="172" fontId="25" fillId="0" borderId="20" xfId="51" applyNumberFormat="1" applyFont="1" applyBorder="1" applyAlignment="1">
      <alignment horizontal="center" vertical="center"/>
    </xf>
    <xf numFmtId="172" fontId="25" fillId="0" borderId="16" xfId="51" applyNumberFormat="1" applyFont="1" applyBorder="1" applyAlignment="1">
      <alignment horizontal="center" vertical="center"/>
    </xf>
    <xf numFmtId="2" fontId="25" fillId="0" borderId="0" xfId="0" applyNumberFormat="1" applyFont="1" applyAlignment="1">
      <alignment horizontal="center" vertical="center"/>
    </xf>
    <xf numFmtId="0" fontId="27" fillId="0" borderId="0" xfId="0" applyFont="1" applyAlignment="1">
      <alignment horizontal="center" vertical="center"/>
    </xf>
    <xf numFmtId="0" fontId="27" fillId="0" borderId="0" xfId="0" applyNumberFormat="1" applyFont="1" applyBorder="1" applyAlignment="1">
      <alignment horizontal="centerContinuous" vertical="center"/>
    </xf>
    <xf numFmtId="3" fontId="27" fillId="0" borderId="0" xfId="0" applyNumberFormat="1" applyFont="1" applyAlignment="1">
      <alignment horizontal="center" vertical="center"/>
    </xf>
    <xf numFmtId="0" fontId="25" fillId="0" borderId="19" xfId="0" applyNumberFormat="1" applyFont="1" applyBorder="1" applyAlignment="1">
      <alignment horizontal="centerContinuous" vertical="center"/>
    </xf>
    <xf numFmtId="0" fontId="25" fillId="0" borderId="21" xfId="0" applyNumberFormat="1" applyFont="1" applyBorder="1" applyAlignment="1">
      <alignment horizontal="centerContinuous" vertical="center"/>
    </xf>
    <xf numFmtId="0" fontId="25" fillId="0" borderId="0" xfId="0" applyFont="1" applyBorder="1" applyAlignment="1">
      <alignment horizontal="centerContinuous" vertical="center"/>
    </xf>
    <xf numFmtId="0" fontId="25" fillId="0" borderId="0" xfId="0" applyFont="1" applyAlignment="1">
      <alignment vertical="center"/>
    </xf>
    <xf numFmtId="0" fontId="25" fillId="0" borderId="20" xfId="0" applyNumberFormat="1" applyFont="1" applyBorder="1" applyAlignment="1">
      <alignment horizontal="centerContinuous" vertical="center"/>
    </xf>
    <xf numFmtId="0" fontId="25" fillId="0" borderId="22" xfId="0" applyFont="1" applyBorder="1" applyAlignment="1">
      <alignment horizontal="centerContinuous" vertical="center"/>
    </xf>
    <xf numFmtId="0" fontId="25" fillId="0" borderId="25" xfId="0" applyFont="1" applyBorder="1" applyAlignment="1">
      <alignment horizontal="centerContinuous"/>
    </xf>
    <xf numFmtId="0" fontId="31" fillId="0" borderId="0" xfId="0" applyFont="1" applyAlignment="1">
      <alignment horizontal="center" vertical="center"/>
    </xf>
    <xf numFmtId="0" fontId="25" fillId="0" borderId="2" xfId="0" applyFont="1" applyBorder="1" applyAlignment="1">
      <alignment horizontal="centerContinuous"/>
    </xf>
    <xf numFmtId="0" fontId="25" fillId="0" borderId="14" xfId="0" applyFont="1" applyBorder="1" applyAlignment="1">
      <alignment horizontal="centerContinuous"/>
    </xf>
    <xf numFmtId="0" fontId="31" fillId="0" borderId="0" xfId="0" applyNumberFormat="1" applyFont="1" applyBorder="1" applyAlignment="1">
      <alignment horizontal="centerContinuous" vertical="center"/>
    </xf>
    <xf numFmtId="0" fontId="25" fillId="0" borderId="0" xfId="0" applyFont="1" applyAlignment="1">
      <alignment horizontal="center"/>
    </xf>
    <xf numFmtId="2" fontId="25" fillId="0" borderId="0" xfId="51" applyNumberFormat="1" applyFont="1" applyAlignment="1">
      <alignment horizontal="center" vertical="center"/>
    </xf>
    <xf numFmtId="0" fontId="25" fillId="0" borderId="13" xfId="0" applyFont="1" applyBorder="1" applyAlignment="1">
      <alignment horizontal="centerContinuous" vertical="center"/>
    </xf>
    <xf numFmtId="169" fontId="25" fillId="0" borderId="0" xfId="0" applyNumberFormat="1" applyFont="1" applyAlignment="1">
      <alignment horizontal="center"/>
    </xf>
    <xf numFmtId="169" fontId="25" fillId="0" borderId="0" xfId="0" applyNumberFormat="1" applyFont="1" applyAlignment="1">
      <alignment horizontal="centerContinuous"/>
    </xf>
    <xf numFmtId="169" fontId="25" fillId="0" borderId="0" xfId="0" applyNumberFormat="1" applyFont="1"/>
    <xf numFmtId="173" fontId="25" fillId="0" borderId="0" xfId="0" applyNumberFormat="1" applyFont="1" applyAlignment="1">
      <alignment horizontal="center" vertical="center"/>
    </xf>
    <xf numFmtId="0" fontId="32" fillId="0" borderId="0" xfId="0" applyFont="1"/>
    <xf numFmtId="0" fontId="32" fillId="0" borderId="0" xfId="0" applyFont="1" applyAlignment="1">
      <alignment horizontal="centerContinuous"/>
    </xf>
    <xf numFmtId="0" fontId="25" fillId="0" borderId="0" xfId="0" applyFont="1" applyAlignment="1">
      <alignment horizontal="centerContinuous"/>
    </xf>
    <xf numFmtId="168" fontId="0" fillId="26" borderId="33" xfId="0" applyNumberFormat="1" applyFont="1" applyFill="1" applyBorder="1" applyAlignment="1">
      <alignment horizontal="center"/>
    </xf>
    <xf numFmtId="168" fontId="0" fillId="0" borderId="33" xfId="0" applyNumberFormat="1" applyFont="1" applyBorder="1" applyAlignment="1">
      <alignment horizontal="center"/>
    </xf>
    <xf numFmtId="14" fontId="0" fillId="26" borderId="33" xfId="0" applyNumberFormat="1" applyFont="1" applyFill="1" applyBorder="1" applyAlignment="1">
      <alignment horizontal="center"/>
    </xf>
    <xf numFmtId="14" fontId="0" fillId="0" borderId="33" xfId="0" applyNumberFormat="1" applyFont="1" applyBorder="1" applyAlignment="1">
      <alignment horizontal="center"/>
    </xf>
    <xf numFmtId="0" fontId="25" fillId="0" borderId="0" xfId="0" applyFont="1" applyBorder="1" applyAlignment="1">
      <alignment horizontal="center" vertical="center"/>
    </xf>
    <xf numFmtId="170" fontId="25" fillId="0" borderId="1" xfId="0" applyNumberFormat="1" applyFont="1" applyBorder="1" applyAlignment="1">
      <alignment horizontal="centerContinuous" vertical="center"/>
    </xf>
    <xf numFmtId="171" fontId="25" fillId="0" borderId="1" xfId="0" applyNumberFormat="1" applyFont="1" applyBorder="1" applyAlignment="1">
      <alignment horizontal="centerContinuous" vertical="center" wrapText="1"/>
    </xf>
    <xf numFmtId="0" fontId="25" fillId="0" borderId="0" xfId="0" applyFont="1" applyAlignment="1">
      <alignment horizontal="center" vertical="center" wrapText="1"/>
    </xf>
    <xf numFmtId="0" fontId="25" fillId="0" borderId="20"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25" xfId="0" applyFont="1" applyBorder="1" applyAlignment="1">
      <alignment horizontal="center" vertical="center"/>
    </xf>
    <xf numFmtId="168" fontId="29" fillId="0" borderId="1" xfId="0" applyNumberFormat="1" applyFont="1" applyBorder="1" applyAlignment="1">
      <alignment horizontal="centerContinuous" vertical="center"/>
    </xf>
    <xf numFmtId="168" fontId="29" fillId="0" borderId="13" xfId="0" applyNumberFormat="1" applyFont="1" applyBorder="1" applyAlignment="1">
      <alignment horizontal="centerContinuous" vertical="center"/>
    </xf>
    <xf numFmtId="168" fontId="29" fillId="0" borderId="21" xfId="0" applyNumberFormat="1" applyFont="1" applyBorder="1" applyAlignment="1">
      <alignment vertical="center"/>
    </xf>
    <xf numFmtId="0" fontId="25" fillId="0" borderId="22" xfId="0" applyFont="1" applyBorder="1" applyAlignment="1">
      <alignment horizontal="center" vertical="center"/>
    </xf>
    <xf numFmtId="167" fontId="25" fillId="0" borderId="15" xfId="0" applyNumberFormat="1" applyFont="1" applyBorder="1" applyAlignment="1">
      <alignment horizontal="center" vertical="center"/>
    </xf>
    <xf numFmtId="167" fontId="25" fillId="0" borderId="3" xfId="0" applyNumberFormat="1" applyFont="1" applyBorder="1" applyAlignment="1">
      <alignment horizontal="center" vertical="center"/>
    </xf>
    <xf numFmtId="167" fontId="25" fillId="0" borderId="16" xfId="0" applyNumberFormat="1" applyFont="1" applyBorder="1" applyAlignment="1">
      <alignment horizontal="center" vertical="center"/>
    </xf>
    <xf numFmtId="167" fontId="25" fillId="0" borderId="0" xfId="0" applyNumberFormat="1" applyFont="1" applyBorder="1" applyAlignment="1">
      <alignment horizontal="center" vertical="center"/>
    </xf>
    <xf numFmtId="0" fontId="27" fillId="24" borderId="0" xfId="0" applyFont="1" applyFill="1" applyBorder="1" applyAlignment="1">
      <alignment horizontal="center"/>
    </xf>
    <xf numFmtId="14" fontId="25" fillId="0" borderId="0" xfId="0" applyNumberFormat="1" applyFont="1" applyBorder="1" applyAlignment="1">
      <alignment horizontal="center" vertical="center"/>
    </xf>
    <xf numFmtId="168" fontId="33" fillId="0" borderId="33" xfId="0" applyNumberFormat="1" applyFont="1" applyBorder="1" applyAlignment="1">
      <alignment horizontal="center"/>
    </xf>
    <xf numFmtId="14" fontId="33" fillId="0" borderId="33" xfId="0" applyNumberFormat="1" applyFont="1" applyBorder="1" applyAlignment="1">
      <alignment horizontal="center"/>
    </xf>
    <xf numFmtId="170" fontId="25" fillId="24" borderId="1" xfId="0" applyNumberFormat="1" applyFont="1" applyFill="1" applyBorder="1" applyAlignment="1">
      <alignment horizontal="centerContinuous" vertical="center"/>
    </xf>
    <xf numFmtId="170" fontId="25" fillId="27" borderId="1" xfId="0" applyNumberFormat="1" applyFont="1" applyFill="1" applyBorder="1" applyAlignment="1">
      <alignment horizontal="centerContinuous" vertical="center"/>
    </xf>
    <xf numFmtId="0" fontId="25" fillId="29" borderId="1" xfId="0" applyFont="1" applyFill="1" applyBorder="1" applyAlignment="1">
      <alignment horizontal="center" vertical="center" wrapText="1"/>
    </xf>
    <xf numFmtId="0" fontId="25" fillId="0" borderId="0" xfId="0" applyFont="1" applyBorder="1" applyAlignment="1">
      <alignment horizontal="center" vertical="center" wrapText="1"/>
    </xf>
    <xf numFmtId="168" fontId="28" fillId="0" borderId="2" xfId="0" applyNumberFormat="1" applyFont="1" applyBorder="1" applyAlignment="1">
      <alignment horizontal="centerContinuous" vertical="center"/>
    </xf>
    <xf numFmtId="168" fontId="29" fillId="0" borderId="0" xfId="0" applyNumberFormat="1" applyFont="1" applyBorder="1" applyAlignment="1">
      <alignment vertical="center"/>
    </xf>
    <xf numFmtId="174" fontId="25" fillId="0" borderId="1" xfId="0" applyNumberFormat="1" applyFont="1" applyBorder="1" applyAlignment="1">
      <alignment horizontal="centerContinuous" vertical="center" wrapText="1"/>
    </xf>
    <xf numFmtId="0" fontId="30" fillId="0" borderId="0" xfId="51" applyNumberFormat="1" applyFont="1" applyBorder="1" applyAlignment="1">
      <alignment horizontal="center" vertical="center"/>
    </xf>
    <xf numFmtId="168" fontId="25" fillId="28" borderId="23" xfId="0" applyNumberFormat="1" applyFont="1" applyFill="1" applyBorder="1" applyAlignment="1">
      <alignment horizontal="centerContinuous" vertical="distributed" wrapText="1"/>
    </xf>
    <xf numFmtId="14" fontId="30" fillId="0" borderId="0" xfId="0" applyNumberFormat="1" applyFont="1" applyFill="1" applyBorder="1" applyAlignment="1">
      <alignment horizontal="center" vertical="center"/>
    </xf>
    <xf numFmtId="166" fontId="30" fillId="0" borderId="0" xfId="0" applyNumberFormat="1" applyFont="1" applyFill="1" applyBorder="1" applyAlignment="1">
      <alignment horizontal="center" vertical="center"/>
    </xf>
    <xf numFmtId="14" fontId="25" fillId="0" borderId="0" xfId="0" applyNumberFormat="1" applyFont="1"/>
    <xf numFmtId="175" fontId="25" fillId="0" borderId="1" xfId="0" applyNumberFormat="1" applyFont="1" applyBorder="1" applyAlignment="1">
      <alignment horizontal="centerContinuous" vertical="center"/>
    </xf>
    <xf numFmtId="172" fontId="25" fillId="0" borderId="0" xfId="0" applyNumberFormat="1" applyFont="1" applyAlignment="1">
      <alignment horizontal="center" vertical="center"/>
    </xf>
    <xf numFmtId="172" fontId="25" fillId="0" borderId="1" xfId="0" applyNumberFormat="1" applyFont="1" applyBorder="1" applyAlignment="1">
      <alignment horizontal="center" vertical="center"/>
    </xf>
    <xf numFmtId="0" fontId="25" fillId="0" borderId="22" xfId="0" applyNumberFormat="1" applyFont="1" applyBorder="1" applyAlignment="1">
      <alignment horizontal="centerContinuous" vertical="center"/>
    </xf>
    <xf numFmtId="14" fontId="27" fillId="0" borderId="22" xfId="0" applyNumberFormat="1" applyFont="1" applyBorder="1" applyAlignment="1">
      <alignment horizontal="center" vertical="center"/>
    </xf>
    <xf numFmtId="176" fontId="25" fillId="0" borderId="24" xfId="51" applyNumberFormat="1" applyFont="1" applyBorder="1" applyAlignment="1">
      <alignment horizontal="center" vertical="center"/>
    </xf>
    <xf numFmtId="0" fontId="25" fillId="29" borderId="15" xfId="0" applyFont="1" applyFill="1" applyBorder="1" applyAlignment="1">
      <alignment horizontal="center" vertical="center"/>
    </xf>
    <xf numFmtId="0" fontId="25" fillId="29" borderId="3" xfId="0" applyFont="1" applyFill="1" applyBorder="1" applyAlignment="1">
      <alignment horizontal="center" vertical="center" wrapText="1"/>
    </xf>
    <xf numFmtId="17" fontId="25" fillId="29" borderId="3" xfId="0" applyNumberFormat="1" applyFont="1" applyFill="1" applyBorder="1" applyAlignment="1">
      <alignment horizontal="center" vertical="center"/>
    </xf>
    <xf numFmtId="0" fontId="25" fillId="27" borderId="19" xfId="0" applyNumberFormat="1" applyFont="1" applyFill="1" applyBorder="1" applyAlignment="1">
      <alignment horizontal="centerContinuous" vertical="center" wrapText="1"/>
    </xf>
    <xf numFmtId="0" fontId="25" fillId="27" borderId="18" xfId="0" applyFont="1" applyFill="1" applyBorder="1" applyAlignment="1">
      <alignment horizontal="centerContinuous" vertical="center"/>
    </xf>
    <xf numFmtId="3" fontId="27" fillId="27" borderId="16" xfId="0" applyNumberFormat="1" applyFont="1" applyFill="1" applyBorder="1" applyAlignment="1">
      <alignment horizontal="center" vertical="center"/>
    </xf>
    <xf numFmtId="0" fontId="25" fillId="27" borderId="15" xfId="0" applyFont="1" applyFill="1" applyBorder="1" applyAlignment="1">
      <alignment horizontal="center" vertical="center" wrapText="1"/>
    </xf>
    <xf numFmtId="0" fontId="25" fillId="0" borderId="0" xfId="0" applyFont="1" applyFill="1" applyAlignment="1">
      <alignment horizontal="center" vertical="center"/>
    </xf>
    <xf numFmtId="0" fontId="25" fillId="0" borderId="0" xfId="0" applyFont="1" applyFill="1" applyBorder="1" applyAlignment="1">
      <alignment horizontal="center" vertical="center" wrapText="1"/>
    </xf>
    <xf numFmtId="0" fontId="25" fillId="0" borderId="21" xfId="0" applyFont="1" applyBorder="1" applyAlignment="1">
      <alignment horizontal="center" vertical="center"/>
    </xf>
    <xf numFmtId="14" fontId="25" fillId="0" borderId="16" xfId="0" applyNumberFormat="1" applyFont="1" applyBorder="1" applyAlignment="1">
      <alignment horizontal="center" vertical="center" wrapText="1"/>
    </xf>
    <xf numFmtId="0" fontId="25" fillId="0" borderId="17" xfId="0" applyFont="1" applyBorder="1" applyAlignment="1">
      <alignment horizontal="center" vertical="center"/>
    </xf>
    <xf numFmtId="167" fontId="25" fillId="0" borderId="21" xfId="0" applyNumberFormat="1" applyFont="1" applyBorder="1" applyAlignment="1">
      <alignment horizontal="center" vertical="center"/>
    </xf>
    <xf numFmtId="0" fontId="21" fillId="0" borderId="0" xfId="0" applyFont="1" applyBorder="1" applyAlignment="1">
      <alignment horizontal="right" vertical="center"/>
    </xf>
    <xf numFmtId="0" fontId="21" fillId="0" borderId="13" xfId="0" applyFont="1" applyBorder="1" applyAlignment="1">
      <alignment horizontal="left" vertical="center"/>
    </xf>
    <xf numFmtId="0" fontId="21" fillId="0" borderId="0" xfId="0" applyFont="1" applyBorder="1" applyAlignment="1">
      <alignment horizontal="center" vertical="center"/>
    </xf>
    <xf numFmtId="0" fontId="23" fillId="0" borderId="0" xfId="0" applyFont="1" applyBorder="1" applyAlignment="1">
      <alignment horizontal="right" vertical="center"/>
    </xf>
    <xf numFmtId="14" fontId="21" fillId="0" borderId="13" xfId="0" applyNumberFormat="1" applyFont="1" applyBorder="1" applyAlignment="1">
      <alignment horizontal="left" vertical="center"/>
    </xf>
    <xf numFmtId="19" fontId="25" fillId="0" borderId="0" xfId="0" applyNumberFormat="1" applyFont="1" applyBorder="1" applyAlignment="1">
      <alignment horizontal="center" vertical="center"/>
    </xf>
    <xf numFmtId="168" fontId="28" fillId="0" borderId="25" xfId="0" applyNumberFormat="1" applyFont="1" applyBorder="1" applyAlignment="1">
      <alignment horizontal="right" vertical="center"/>
    </xf>
    <xf numFmtId="172" fontId="25" fillId="0" borderId="0" xfId="51" applyNumberFormat="1" applyFont="1" applyBorder="1" applyAlignment="1">
      <alignment horizontal="center" vertical="center"/>
    </xf>
    <xf numFmtId="0" fontId="25" fillId="0" borderId="17" xfId="0" applyFont="1" applyBorder="1" applyAlignment="1">
      <alignment horizontal="center" vertical="center" wrapText="1"/>
    </xf>
    <xf numFmtId="167" fontId="21" fillId="0" borderId="19" xfId="0" applyNumberFormat="1" applyFont="1" applyBorder="1" applyAlignment="1">
      <alignment horizontal="center" vertical="center"/>
    </xf>
    <xf numFmtId="167" fontId="21" fillId="0" borderId="24" xfId="0" applyNumberFormat="1" applyFont="1" applyBorder="1" applyAlignment="1">
      <alignment horizontal="center" vertical="center"/>
    </xf>
    <xf numFmtId="167" fontId="21" fillId="0" borderId="18" xfId="0" applyNumberFormat="1" applyFont="1" applyBorder="1" applyAlignment="1">
      <alignment horizontal="center" vertical="center"/>
    </xf>
    <xf numFmtId="0" fontId="25" fillId="0" borderId="13" xfId="0" applyFont="1" applyBorder="1" applyAlignment="1">
      <alignment horizontal="center" vertical="center"/>
    </xf>
    <xf numFmtId="167" fontId="21" fillId="0" borderId="0" xfId="0" applyNumberFormat="1" applyFont="1" applyBorder="1" applyAlignment="1">
      <alignment horizontal="center" vertical="center"/>
    </xf>
    <xf numFmtId="167" fontId="21" fillId="0" borderId="21" xfId="0" applyNumberFormat="1" applyFont="1" applyBorder="1" applyAlignment="1">
      <alignment horizontal="center" vertical="center"/>
    </xf>
    <xf numFmtId="167" fontId="21" fillId="0" borderId="0" xfId="0" applyNumberFormat="1" applyFont="1" applyBorder="1" applyAlignment="1">
      <alignment horizontal="right" vertical="center"/>
    </xf>
    <xf numFmtId="167" fontId="21" fillId="0" borderId="13" xfId="0" applyNumberFormat="1" applyFont="1" applyBorder="1" applyAlignment="1">
      <alignment horizontal="left" vertical="center"/>
    </xf>
    <xf numFmtId="172" fontId="25" fillId="0" borderId="0" xfId="0" applyNumberFormat="1" applyFont="1" applyBorder="1" applyAlignment="1">
      <alignment horizontal="center" vertical="center"/>
    </xf>
    <xf numFmtId="0" fontId="25" fillId="0" borderId="16" xfId="0" applyFont="1" applyBorder="1" applyAlignment="1">
      <alignment horizontal="centerContinuous" vertical="distributed"/>
    </xf>
    <xf numFmtId="14" fontId="25" fillId="0" borderId="21" xfId="0" applyNumberFormat="1" applyFont="1" applyBorder="1" applyAlignment="1">
      <alignment horizontal="center" vertical="center"/>
    </xf>
    <xf numFmtId="172" fontId="25" fillId="0" borderId="34" xfId="51" applyNumberFormat="1" applyFont="1" applyBorder="1" applyAlignment="1">
      <alignment horizontal="center" vertical="center"/>
    </xf>
    <xf numFmtId="14" fontId="30" fillId="0" borderId="0" xfId="0" applyNumberFormat="1" applyFont="1" applyAlignment="1">
      <alignment horizontal="center" vertical="center" wrapText="1"/>
    </xf>
    <xf numFmtId="14" fontId="30" fillId="0" borderId="0" xfId="0" applyNumberFormat="1" applyFont="1" applyBorder="1" applyAlignment="1">
      <alignment horizontal="centerContinuous" vertical="center"/>
    </xf>
    <xf numFmtId="172" fontId="25" fillId="0" borderId="30" xfId="51" applyNumberFormat="1" applyFont="1" applyFill="1" applyBorder="1" applyAlignment="1">
      <alignment horizontal="center" vertical="center"/>
    </xf>
    <xf numFmtId="172" fontId="25" fillId="0" borderId="31" xfId="51" applyNumberFormat="1" applyFont="1" applyFill="1" applyBorder="1" applyAlignment="1">
      <alignment horizontal="center" vertical="center"/>
    </xf>
    <xf numFmtId="172" fontId="25" fillId="0" borderId="3" xfId="51" applyNumberFormat="1" applyFont="1" applyFill="1" applyBorder="1" applyAlignment="1">
      <alignment horizontal="center" vertical="center"/>
    </xf>
    <xf numFmtId="172" fontId="25" fillId="0" borderId="32" xfId="51" applyNumberFormat="1" applyFont="1" applyFill="1" applyBorder="1" applyAlignment="1">
      <alignment horizontal="center" vertical="center"/>
    </xf>
    <xf numFmtId="172" fontId="25" fillId="0" borderId="16" xfId="51" applyNumberFormat="1" applyFont="1" applyFill="1" applyBorder="1" applyAlignment="1">
      <alignment horizontal="center" vertical="center"/>
    </xf>
    <xf numFmtId="14" fontId="25" fillId="0" borderId="20" xfId="0" applyNumberFormat="1" applyFont="1" applyBorder="1" applyAlignment="1">
      <alignment horizontal="center" vertical="center" wrapText="1"/>
    </xf>
    <xf numFmtId="14" fontId="25" fillId="0" borderId="15" xfId="0" applyNumberFormat="1" applyFont="1" applyBorder="1" applyAlignment="1">
      <alignment horizontal="center" vertical="center"/>
    </xf>
    <xf numFmtId="168" fontId="28" fillId="0" borderId="25" xfId="0" applyNumberFormat="1" applyFont="1" applyBorder="1" applyAlignment="1">
      <alignment horizontal="center" vertical="center"/>
    </xf>
    <xf numFmtId="168" fontId="28" fillId="0" borderId="14" xfId="0" applyNumberFormat="1" applyFont="1" applyBorder="1" applyAlignment="1">
      <alignment horizontal="center" vertical="center"/>
    </xf>
    <xf numFmtId="167" fontId="21" fillId="30" borderId="2" xfId="0" applyNumberFormat="1" applyFont="1" applyFill="1" applyBorder="1" applyAlignment="1">
      <alignment horizontal="center" vertical="center"/>
    </xf>
    <xf numFmtId="167" fontId="21" fillId="30" borderId="25" xfId="0" applyNumberFormat="1" applyFont="1" applyFill="1" applyBorder="1" applyAlignment="1">
      <alignment horizontal="center" vertical="center"/>
    </xf>
    <xf numFmtId="167" fontId="21" fillId="30" borderId="14" xfId="0" applyNumberFormat="1" applyFont="1" applyFill="1" applyBorder="1" applyAlignment="1">
      <alignment horizontal="center" vertical="center"/>
    </xf>
    <xf numFmtId="14" fontId="0" fillId="0" borderId="15" xfId="0" applyNumberFormat="1" applyBorder="1" applyAlignment="1">
      <alignment horizontal="center"/>
    </xf>
    <xf numFmtId="0" fontId="0" fillId="0" borderId="15" xfId="0" applyBorder="1" applyAlignment="1">
      <alignment horizontal="center"/>
    </xf>
    <xf numFmtId="14" fontId="0" fillId="0" borderId="16" xfId="0" applyNumberFormat="1" applyBorder="1" applyAlignment="1">
      <alignment horizontal="center"/>
    </xf>
    <xf numFmtId="0" fontId="0" fillId="0" borderId="16" xfId="0" applyBorder="1" applyAlignment="1">
      <alignment horizontal="center"/>
    </xf>
    <xf numFmtId="0" fontId="0" fillId="0" borderId="16" xfId="0" applyNumberFormat="1" applyBorder="1" applyAlignment="1">
      <alignment horizontal="center"/>
    </xf>
    <xf numFmtId="14" fontId="25" fillId="0" borderId="16" xfId="0" applyNumberFormat="1" applyFont="1" applyBorder="1" applyAlignment="1">
      <alignment horizontal="center" vertical="center"/>
    </xf>
    <xf numFmtId="14" fontId="25" fillId="0" borderId="0" xfId="0" applyNumberFormat="1" applyFont="1" applyAlignment="1">
      <alignment horizontal="center" vertical="center" wrapText="1"/>
    </xf>
    <xf numFmtId="0" fontId="0" fillId="0" borderId="15" xfId="0" applyBorder="1"/>
    <xf numFmtId="0" fontId="0" fillId="0" borderId="3" xfId="0" applyBorder="1"/>
    <xf numFmtId="0" fontId="0" fillId="0" borderId="16" xfId="0" applyBorder="1"/>
    <xf numFmtId="0" fontId="25" fillId="31" borderId="1" xfId="0" applyFont="1" applyFill="1" applyBorder="1" applyAlignment="1">
      <alignment horizontal="center" vertical="center" wrapText="1"/>
    </xf>
    <xf numFmtId="168" fontId="35" fillId="0" borderId="0" xfId="52" applyNumberFormat="1" applyAlignment="1"/>
  </cellXfs>
  <cellStyles count="53">
    <cellStyle name="20 % - Accent1 2" xfId="3"/>
    <cellStyle name="20 % - Accent2 2" xfId="4"/>
    <cellStyle name="20 % - Accent3 2" xfId="5"/>
    <cellStyle name="20 % - Accent4 2" xfId="6"/>
    <cellStyle name="20 % - Accent5 2" xfId="7"/>
    <cellStyle name="20 % - Accent6 2" xfId="8"/>
    <cellStyle name="40 % - Accent1 2" xfId="9"/>
    <cellStyle name="40 % - Accent2 2" xfId="10"/>
    <cellStyle name="40 % - Accent3 2" xfId="11"/>
    <cellStyle name="40 % - Accent4 2" xfId="12"/>
    <cellStyle name="40 % - Accent5 2" xfId="13"/>
    <cellStyle name="40 % - Accent6 2" xfId="14"/>
    <cellStyle name="60 % - Accent1 2" xfId="15"/>
    <cellStyle name="60 % - Accent2 2" xfId="16"/>
    <cellStyle name="60 % - Accent3 2" xfId="17"/>
    <cellStyle name="60 % - Accent4 2" xfId="18"/>
    <cellStyle name="60 % - Accent5 2" xfId="19"/>
    <cellStyle name="60 % - Accent6 2" xfId="20"/>
    <cellStyle name="Accent1 2" xfId="21"/>
    <cellStyle name="Accent2 2" xfId="22"/>
    <cellStyle name="Accent3 2" xfId="23"/>
    <cellStyle name="Accent4 2" xfId="24"/>
    <cellStyle name="Accent5 2" xfId="25"/>
    <cellStyle name="Accent6 2" xfId="26"/>
    <cellStyle name="Avertissement 2" xfId="27"/>
    <cellStyle name="Calcul 2" xfId="28"/>
    <cellStyle name="Cellule liée 2" xfId="29"/>
    <cellStyle name="Commentaire 2" xfId="30"/>
    <cellStyle name="Entrée 2" xfId="31"/>
    <cellStyle name="Euro" xfId="32"/>
    <cellStyle name="Euro 2" xfId="48"/>
    <cellStyle name="Insatisfaisant 2" xfId="33"/>
    <cellStyle name="Lien hypertexte" xfId="52" builtinId="8"/>
    <cellStyle name="Milliers" xfId="51" builtinId="3"/>
    <cellStyle name="Milliers 2" xfId="34"/>
    <cellStyle name="Milliers 3" xfId="2"/>
    <cellStyle name="Neutre 2" xfId="35"/>
    <cellStyle name="Normal" xfId="0" builtinId="0"/>
    <cellStyle name="Normal 2" xfId="36"/>
    <cellStyle name="Normal 3" xfId="1"/>
    <cellStyle name="Normal 4" xfId="49"/>
    <cellStyle name="Normal 4 2" xfId="50"/>
    <cellStyle name="Normal 7" xfId="37"/>
    <cellStyle name="Satisfaisant 2" xfId="38"/>
    <cellStyle name="Sortie 2" xfId="39"/>
    <cellStyle name="Texte explicatif 2" xfId="40"/>
    <cellStyle name="Titre 2" xfId="41"/>
    <cellStyle name="Titre 1 2" xfId="42"/>
    <cellStyle name="Titre 2 2" xfId="43"/>
    <cellStyle name="Titre 3 2" xfId="44"/>
    <cellStyle name="Titre 4 2" xfId="45"/>
    <cellStyle name="Total 2" xfId="46"/>
    <cellStyle name="Vérification 2" xfId="47"/>
  </cellStyles>
  <dxfs count="68">
    <dxf>
      <font>
        <color rgb="FFFF0000"/>
      </font>
    </dxf>
    <dxf>
      <font>
        <color rgb="FFFF0000"/>
      </font>
    </dxf>
    <dxf>
      <font>
        <color rgb="FF92D050"/>
      </font>
    </dxf>
    <dxf>
      <font>
        <color rgb="FFFF0000"/>
      </font>
    </dxf>
    <dxf>
      <font>
        <color rgb="FF92D050"/>
      </font>
    </dxf>
    <dxf>
      <font>
        <color rgb="FFFF0000"/>
      </font>
      <fill>
        <patternFill>
          <bgColor theme="4" tint="0.79998168889431442"/>
        </patternFill>
      </fill>
    </dxf>
    <dxf>
      <numFmt numFmtId="0" formatCode="General"/>
      <alignment horizontal="center" textRotation="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vertical="center" textRotation="0" wrapText="1" indent="0" justifyLastLine="0" shrinkToFit="0" readingOrder="0"/>
    </dxf>
    <dxf>
      <numFmt numFmtId="166" formatCode="dd/mm/yy;@"/>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border outline="0">
        <top style="thin">
          <color theme="4"/>
        </top>
      </border>
    </dxf>
    <dxf>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68" formatCode="[$-40C]mmmm\-yy;@"/>
      <alignment horizontal="center" vertical="bottom" textRotation="0" wrapText="0"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alignment horizontal="center" vertical="bottom" textRotation="0" wrapText="0" indent="0" justifyLastLine="0" shrinkToFit="0" readingOrder="0"/>
      <border diagonalUp="0" diagonalDown="0">
        <left/>
        <right/>
        <top style="thin">
          <color theme="4" tint="0.39997558519241921"/>
        </top>
        <bottom/>
        <vertical/>
        <horizontal/>
      </border>
    </dxf>
    <dxf>
      <border outline="0">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border outline="0">
        <top style="medium">
          <color indexed="64"/>
        </top>
        <bottom style="thin">
          <color indexed="64"/>
        </bottom>
      </border>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protection locked="0" hidden="0"/>
    </dxf>
    <dxf>
      <border outline="0">
        <bottom style="medium">
          <color indexed="64"/>
        </bottom>
      </border>
    </dxf>
    <dxf>
      <font>
        <b/>
        <i val="0"/>
        <strike val="0"/>
        <condense val="0"/>
        <extend val="0"/>
        <outline val="0"/>
        <shadow val="0"/>
        <u val="none"/>
        <vertAlign val="baseline"/>
        <sz val="8"/>
        <color theme="0"/>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dxf>
    <dxf>
      <border outline="0">
        <top style="medium">
          <color indexed="64"/>
        </top>
      </border>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8"/>
        <color theme="0"/>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8"/>
        <color theme="1"/>
        <name val="Calibri"/>
        <scheme val="minor"/>
      </font>
      <alignment horizontal="center"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8"/>
        <color theme="0"/>
        <name val="Calibri"/>
        <scheme val="minor"/>
      </font>
      <fill>
        <patternFill patternType="none">
          <fgColor indexed="64"/>
          <bgColor indexed="65"/>
        </patternFill>
      </fill>
      <alignment horizontal="center" vertical="center" textRotation="0" wrapText="0" indent="0" justifyLastLine="0" shrinkToFit="0" readingOrder="0"/>
    </dxf>
  </dxfs>
  <tableStyles count="0" defaultTableStyle="TableStyleMedium2" defaultPivotStyle="PivotStyleLight16"/>
  <colors>
    <mruColors>
      <color rgb="FFFFCC00"/>
      <color rgb="FF7FA3CB"/>
      <color rgb="FF00FF00"/>
      <color rgb="FFFFFF66"/>
      <color rgb="FFFF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Evolution des stocks</a:t>
            </a:r>
          </a:p>
        </c:rich>
      </c:tx>
      <c:layout/>
      <c:overlay val="1"/>
    </c:title>
    <c:autoTitleDeleted val="0"/>
    <c:plotArea>
      <c:layout>
        <c:manualLayout>
          <c:layoutTarget val="inner"/>
          <c:xMode val="edge"/>
          <c:yMode val="edge"/>
          <c:x val="0.10243857097480649"/>
          <c:y val="0.13688216414931406"/>
          <c:w val="0.84409890165003265"/>
          <c:h val="0.6366851055712881"/>
        </c:manualLayout>
      </c:layout>
      <c:lineChart>
        <c:grouping val="standard"/>
        <c:varyColors val="0"/>
        <c:ser>
          <c:idx val="0"/>
          <c:order val="0"/>
          <c:tx>
            <c:v>Stock théorique</c:v>
          </c:tx>
          <c:marker>
            <c:symbol val="none"/>
          </c:marker>
          <c:cat>
            <c:numRef>
              <c:f>Stock!$B$8:$B$38</c:f>
              <c:numCache>
                <c:formatCode>m/d/yyyy</c:formatCode>
                <c:ptCount val="31"/>
                <c:pt idx="0">
                  <c:v>41543</c:v>
                </c:pt>
                <c:pt idx="1">
                  <c:v>41544</c:v>
                </c:pt>
                <c:pt idx="2">
                  <c:v>41545</c:v>
                </c:pt>
                <c:pt idx="3">
                  <c:v>41546</c:v>
                </c:pt>
                <c:pt idx="4">
                  <c:v>41547</c:v>
                </c:pt>
                <c:pt idx="5">
                  <c:v>41548</c:v>
                </c:pt>
                <c:pt idx="6">
                  <c:v>41549</c:v>
                </c:pt>
                <c:pt idx="7">
                  <c:v>41550</c:v>
                </c:pt>
                <c:pt idx="8">
                  <c:v>41551</c:v>
                </c:pt>
                <c:pt idx="9">
                  <c:v>41552</c:v>
                </c:pt>
                <c:pt idx="10">
                  <c:v>41553</c:v>
                </c:pt>
                <c:pt idx="11">
                  <c:v>41554</c:v>
                </c:pt>
                <c:pt idx="12">
                  <c:v>41555</c:v>
                </c:pt>
                <c:pt idx="13">
                  <c:v>41556</c:v>
                </c:pt>
                <c:pt idx="14">
                  <c:v>41557</c:v>
                </c:pt>
                <c:pt idx="15">
                  <c:v>41558</c:v>
                </c:pt>
                <c:pt idx="16">
                  <c:v>41559</c:v>
                </c:pt>
                <c:pt idx="17">
                  <c:v>41560</c:v>
                </c:pt>
                <c:pt idx="18">
                  <c:v>41561</c:v>
                </c:pt>
                <c:pt idx="19">
                  <c:v>41562</c:v>
                </c:pt>
                <c:pt idx="20">
                  <c:v>41563</c:v>
                </c:pt>
                <c:pt idx="21">
                  <c:v>41564</c:v>
                </c:pt>
                <c:pt idx="22">
                  <c:v>41565</c:v>
                </c:pt>
                <c:pt idx="23">
                  <c:v>41566</c:v>
                </c:pt>
                <c:pt idx="24">
                  <c:v>41567</c:v>
                </c:pt>
                <c:pt idx="25">
                  <c:v>41568</c:v>
                </c:pt>
                <c:pt idx="26">
                  <c:v>41569</c:v>
                </c:pt>
                <c:pt idx="27">
                  <c:v>41570</c:v>
                </c:pt>
                <c:pt idx="28">
                  <c:v>41571</c:v>
                </c:pt>
                <c:pt idx="29">
                  <c:v>41572</c:v>
                </c:pt>
                <c:pt idx="30">
                  <c:v>41573</c:v>
                </c:pt>
              </c:numCache>
            </c:numRef>
          </c:cat>
          <c:val>
            <c:numRef>
              <c:f>Stock!$E$8:$E$38</c:f>
              <c:numCache>
                <c:formatCode>_-* #,##0\ _€_-;\-* #,##0\ _€_-;_-* "-"??\ _€_-;_-@_-</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1845</c:v>
                </c:pt>
                <c:pt idx="17">
                  <c:v>1845</c:v>
                </c:pt>
                <c:pt idx="18">
                  <c:v>1845</c:v>
                </c:pt>
                <c:pt idx="19">
                  <c:v>1845</c:v>
                </c:pt>
                <c:pt idx="20">
                  <c:v>1845</c:v>
                </c:pt>
                <c:pt idx="21">
                  <c:v>1095</c:v>
                </c:pt>
                <c:pt idx="22">
                  <c:v>1095</c:v>
                </c:pt>
                <c:pt idx="23">
                  <c:v>1095</c:v>
                </c:pt>
                <c:pt idx="24">
                  <c:v>1095</c:v>
                </c:pt>
                <c:pt idx="25">
                  <c:v>1095</c:v>
                </c:pt>
                <c:pt idx="26">
                  <c:v>1095</c:v>
                </c:pt>
                <c:pt idx="27">
                  <c:v>1095</c:v>
                </c:pt>
                <c:pt idx="28">
                  <c:v>1095</c:v>
                </c:pt>
                <c:pt idx="29">
                  <c:v>1095</c:v>
                </c:pt>
                <c:pt idx="30">
                  <c:v>1095</c:v>
                </c:pt>
              </c:numCache>
            </c:numRef>
          </c:val>
          <c:smooth val="0"/>
        </c:ser>
        <c:ser>
          <c:idx val="1"/>
          <c:order val="1"/>
          <c:tx>
            <c:v>Stock réel</c:v>
          </c:tx>
          <c:marker>
            <c:symbol val="none"/>
          </c:marker>
          <c:val>
            <c:numRef>
              <c:f>Stock!$D$8:$D$38</c:f>
              <c:numCache>
                <c:formatCode>_-* #,##0\ _€_-;\-* #,##0\ _€_-;_-* "-"??\ _€_-;_-@_-</c:formatCode>
                <c:ptCount val="31"/>
              </c:numCache>
            </c:numRef>
          </c:val>
          <c:smooth val="0"/>
        </c:ser>
        <c:dLbls>
          <c:showLegendKey val="0"/>
          <c:showVal val="0"/>
          <c:showCatName val="0"/>
          <c:showSerName val="0"/>
          <c:showPercent val="0"/>
          <c:showBubbleSize val="0"/>
        </c:dLbls>
        <c:marker val="1"/>
        <c:smooth val="0"/>
        <c:axId val="106006400"/>
        <c:axId val="106221568"/>
      </c:lineChart>
      <c:dateAx>
        <c:axId val="106006400"/>
        <c:scaling>
          <c:orientation val="minMax"/>
        </c:scaling>
        <c:delete val="0"/>
        <c:axPos val="b"/>
        <c:title>
          <c:tx>
            <c:rich>
              <a:bodyPr/>
              <a:lstStyle/>
              <a:p>
                <a:pPr>
                  <a:defRPr/>
                </a:pPr>
                <a:r>
                  <a:rPr lang="en-US"/>
                  <a:t>Date</a:t>
                </a:r>
              </a:p>
            </c:rich>
          </c:tx>
          <c:layout/>
          <c:overlay val="0"/>
        </c:title>
        <c:numFmt formatCode="dd" sourceLinked="0"/>
        <c:majorTickMark val="out"/>
        <c:minorTickMark val="none"/>
        <c:tickLblPos val="nextTo"/>
        <c:crossAx val="106221568"/>
        <c:crosses val="autoZero"/>
        <c:auto val="1"/>
        <c:lblOffset val="100"/>
        <c:baseTimeUnit val="days"/>
        <c:majorUnit val="1"/>
        <c:majorTimeUnit val="days"/>
      </c:dateAx>
      <c:valAx>
        <c:axId val="106221568"/>
        <c:scaling>
          <c:orientation val="minMax"/>
          <c:max val="1000"/>
          <c:min val="0"/>
        </c:scaling>
        <c:delete val="0"/>
        <c:axPos val="l"/>
        <c:majorGridlines/>
        <c:title>
          <c:tx>
            <c:rich>
              <a:bodyPr rot="-5400000" vert="horz"/>
              <a:lstStyle/>
              <a:p>
                <a:pPr>
                  <a:defRPr/>
                </a:pPr>
                <a:r>
                  <a:rPr lang="en-US"/>
                  <a:t>Nombre de litres</a:t>
                </a:r>
              </a:p>
            </c:rich>
          </c:tx>
          <c:layout/>
          <c:overlay val="0"/>
        </c:title>
        <c:numFmt formatCode="_-* #,##0\ _€_-;\-* #,##0\ _€_-;_-* &quot;-&quot;??\ _€_-;_-@_-" sourceLinked="1"/>
        <c:majorTickMark val="out"/>
        <c:minorTickMark val="none"/>
        <c:tickLblPos val="nextTo"/>
        <c:crossAx val="106006400"/>
        <c:crosses val="autoZero"/>
        <c:crossBetween val="between"/>
        <c:majorUnit val="200"/>
      </c:valAx>
      <c:spPr>
        <a:noFill/>
        <a:ln w="25400">
          <a:noFill/>
        </a:ln>
      </c:spPr>
    </c:plotArea>
    <c:legend>
      <c:legendPos val="b"/>
      <c:layout/>
      <c:overlay val="0"/>
    </c:legend>
    <c:plotVisOnly val="1"/>
    <c:dispBlanksAs val="gap"/>
    <c:showDLblsOverMax val="0"/>
  </c:chart>
  <c:spPr>
    <a:noFill/>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Récap des sorties Tiers</a:t>
            </a:r>
          </a:p>
        </c:rich>
      </c:tx>
      <c:layout/>
      <c:overlay val="1"/>
    </c:title>
    <c:autoTitleDeleted val="0"/>
    <c:plotArea>
      <c:layout>
        <c:manualLayout>
          <c:layoutTarget val="inner"/>
          <c:xMode val="edge"/>
          <c:yMode val="edge"/>
          <c:x val="7.4818008688345358E-2"/>
          <c:y val="0.14948032252682558"/>
          <c:w val="0.75600972004581013"/>
          <c:h val="0.74630052361635257"/>
        </c:manualLayout>
      </c:layout>
      <c:lineChart>
        <c:grouping val="standard"/>
        <c:varyColors val="0"/>
        <c:ser>
          <c:idx val="0"/>
          <c:order val="0"/>
          <c:tx>
            <c:strRef>
              <c:f>'Récap Tiers'!$B$9</c:f>
              <c:strCache>
                <c:ptCount val="1"/>
                <c:pt idx="0">
                  <c:v>DGGT</c:v>
                </c:pt>
              </c:strCache>
            </c:strRef>
          </c:tx>
          <c:marker>
            <c:symbol val="none"/>
          </c:marker>
          <c:cat>
            <c:numRef>
              <c:f>'Récap Tiers'!$H$7:$I$7</c:f>
              <c:numCache>
                <c:formatCode>mmm\-yy</c:formatCode>
                <c:ptCount val="2"/>
                <c:pt idx="0">
                  <c:v>41518</c:v>
                </c:pt>
                <c:pt idx="1">
                  <c:v>41548</c:v>
                </c:pt>
              </c:numCache>
            </c:numRef>
          </c:cat>
          <c:val>
            <c:numRef>
              <c:f>'Récap Tiers'!$H$9:$I$9</c:f>
              <c:numCache>
                <c:formatCode>_-* #,##0\ _€_-;\-* #,##0\ _€_-;_-* "-"??\ _€_-;_-@_-</c:formatCode>
                <c:ptCount val="2"/>
              </c:numCache>
            </c:numRef>
          </c:val>
          <c:smooth val="0"/>
        </c:ser>
        <c:ser>
          <c:idx val="1"/>
          <c:order val="1"/>
          <c:tx>
            <c:strRef>
              <c:f>'Récap Tiers'!$B$10</c:f>
              <c:strCache>
                <c:ptCount val="1"/>
                <c:pt idx="0">
                  <c:v>SGE-C</c:v>
                </c:pt>
              </c:strCache>
            </c:strRef>
          </c:tx>
          <c:marker>
            <c:symbol val="none"/>
          </c:marker>
          <c:cat>
            <c:numRef>
              <c:f>'Récap Tiers'!$H$7:$I$7</c:f>
              <c:numCache>
                <c:formatCode>mmm\-yy</c:formatCode>
                <c:ptCount val="2"/>
                <c:pt idx="0">
                  <c:v>41518</c:v>
                </c:pt>
                <c:pt idx="1">
                  <c:v>41548</c:v>
                </c:pt>
              </c:numCache>
            </c:numRef>
          </c:cat>
          <c:val>
            <c:numRef>
              <c:f>'Récap Tiers'!$H$10:$I$10</c:f>
              <c:numCache>
                <c:formatCode>_-* #,##0\ _€_-;\-* #,##0\ _€_-;_-* "-"??\ _€_-;_-@_-</c:formatCode>
                <c:ptCount val="2"/>
              </c:numCache>
            </c:numRef>
          </c:val>
          <c:smooth val="0"/>
        </c:ser>
        <c:ser>
          <c:idx val="2"/>
          <c:order val="2"/>
          <c:tx>
            <c:strRef>
              <c:f>'Récap Tiers'!$B$11</c:f>
              <c:strCache>
                <c:ptCount val="1"/>
                <c:pt idx="0">
                  <c:v>AMMI Services</c:v>
                </c:pt>
              </c:strCache>
            </c:strRef>
          </c:tx>
          <c:marker>
            <c:symbol val="none"/>
          </c:marker>
          <c:cat>
            <c:numRef>
              <c:f>'Récap Tiers'!$H$7:$I$7</c:f>
              <c:numCache>
                <c:formatCode>mmm\-yy</c:formatCode>
                <c:ptCount val="2"/>
                <c:pt idx="0">
                  <c:v>41518</c:v>
                </c:pt>
                <c:pt idx="1">
                  <c:v>41548</c:v>
                </c:pt>
              </c:numCache>
            </c:numRef>
          </c:cat>
          <c:val>
            <c:numRef>
              <c:f>'Récap Tiers'!$H$11:$I$11</c:f>
              <c:numCache>
                <c:formatCode>_-* #,##0\ _€_-;\-* #,##0\ _€_-;_-* "-"??\ _€_-;_-@_-</c:formatCode>
                <c:ptCount val="2"/>
              </c:numCache>
            </c:numRef>
          </c:val>
          <c:smooth val="0"/>
        </c:ser>
        <c:ser>
          <c:idx val="3"/>
          <c:order val="3"/>
          <c:tx>
            <c:strRef>
              <c:f>'Récap Tiers'!$B$12</c:f>
              <c:strCache>
                <c:ptCount val="1"/>
                <c:pt idx="0">
                  <c:v>JPJ Lisaro</c:v>
                </c:pt>
              </c:strCache>
            </c:strRef>
          </c:tx>
          <c:marker>
            <c:symbol val="none"/>
          </c:marker>
          <c:cat>
            <c:numRef>
              <c:f>'Récap Tiers'!$H$7:$I$7</c:f>
              <c:numCache>
                <c:formatCode>mmm\-yy</c:formatCode>
                <c:ptCount val="2"/>
                <c:pt idx="0">
                  <c:v>41518</c:v>
                </c:pt>
                <c:pt idx="1">
                  <c:v>41548</c:v>
                </c:pt>
              </c:numCache>
            </c:numRef>
          </c:cat>
          <c:val>
            <c:numRef>
              <c:f>'Récap Tiers'!$H$12:$I$12</c:f>
              <c:numCache>
                <c:formatCode>_-* #,##0\ _€_-;\-* #,##0\ _€_-;_-* "-"??\ _€_-;_-@_-</c:formatCode>
                <c:ptCount val="2"/>
              </c:numCache>
            </c:numRef>
          </c:val>
          <c:smooth val="0"/>
        </c:ser>
        <c:ser>
          <c:idx val="4"/>
          <c:order val="4"/>
          <c:tx>
            <c:strRef>
              <c:f>'Récap Tiers'!$B$13</c:f>
              <c:strCache>
                <c:ptCount val="1"/>
                <c:pt idx="0">
                  <c:v>Mécanique</c:v>
                </c:pt>
              </c:strCache>
            </c:strRef>
          </c:tx>
          <c:marker>
            <c:symbol val="none"/>
          </c:marker>
          <c:cat>
            <c:numRef>
              <c:f>'Récap Tiers'!$H$7:$I$7</c:f>
              <c:numCache>
                <c:formatCode>mmm\-yy</c:formatCode>
                <c:ptCount val="2"/>
                <c:pt idx="0">
                  <c:v>41518</c:v>
                </c:pt>
                <c:pt idx="1">
                  <c:v>41548</c:v>
                </c:pt>
              </c:numCache>
            </c:numRef>
          </c:cat>
          <c:val>
            <c:numRef>
              <c:f>'Récap Tiers'!$H$13:$I$13</c:f>
              <c:numCache>
                <c:formatCode>_-* #,##0\ _€_-;\-* #,##0\ _€_-;_-* "-"??\ _€_-;_-@_-</c:formatCode>
                <c:ptCount val="2"/>
              </c:numCache>
            </c:numRef>
          </c:val>
          <c:smooth val="0"/>
        </c:ser>
        <c:dLbls>
          <c:showLegendKey val="0"/>
          <c:showVal val="0"/>
          <c:showCatName val="0"/>
          <c:showSerName val="0"/>
          <c:showPercent val="0"/>
          <c:showBubbleSize val="0"/>
        </c:dLbls>
        <c:marker val="1"/>
        <c:smooth val="0"/>
        <c:axId val="106177664"/>
        <c:axId val="106179200"/>
      </c:lineChart>
      <c:dateAx>
        <c:axId val="106177664"/>
        <c:scaling>
          <c:orientation val="minMax"/>
        </c:scaling>
        <c:delete val="0"/>
        <c:axPos val="b"/>
        <c:numFmt formatCode="mmm\-yy" sourceLinked="1"/>
        <c:majorTickMark val="out"/>
        <c:minorTickMark val="none"/>
        <c:tickLblPos val="nextTo"/>
        <c:crossAx val="106179200"/>
        <c:crosses val="autoZero"/>
        <c:auto val="1"/>
        <c:lblOffset val="100"/>
        <c:baseTimeUnit val="months"/>
      </c:dateAx>
      <c:valAx>
        <c:axId val="106179200"/>
        <c:scaling>
          <c:orientation val="minMax"/>
        </c:scaling>
        <c:delete val="0"/>
        <c:axPos val="l"/>
        <c:majorGridlines/>
        <c:numFmt formatCode="_-* #,##0\ _€_-;\-* #,##0\ _€_-;_-* &quot;-&quot;??\ _€_-;_-@_-" sourceLinked="1"/>
        <c:majorTickMark val="out"/>
        <c:minorTickMark val="none"/>
        <c:tickLblPos val="nextTo"/>
        <c:crossAx val="106177664"/>
        <c:crosses val="autoZero"/>
        <c:crossBetween val="between"/>
      </c:valAx>
      <c:spPr>
        <a:noFill/>
        <a:ln>
          <a:solidFill>
            <a:schemeClr val="tx1"/>
          </a:solidFill>
        </a:ln>
      </c:spPr>
    </c:plotArea>
    <c:legend>
      <c:legendPos val="r"/>
      <c:layout/>
      <c:overlay val="0"/>
      <c:spPr>
        <a:ln>
          <a:miter lim="800000"/>
        </a:ln>
      </c:spPr>
    </c:legend>
    <c:plotVisOnly val="1"/>
    <c:dispBlanksAs val="gap"/>
    <c:showDLblsOverMax val="0"/>
  </c:chart>
  <c:spPr>
    <a:noFill/>
    <a:ln>
      <a:noFill/>
    </a:ln>
  </c:sp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5</xdr:col>
      <xdr:colOff>619125</xdr:colOff>
      <xdr:row>16</xdr:row>
      <xdr:rowOff>52388</xdr:rowOff>
    </xdr:from>
    <xdr:to>
      <xdr:col>9</xdr:col>
      <xdr:colOff>28575</xdr:colOff>
      <xdr:row>22</xdr:row>
      <xdr:rowOff>42863</xdr:rowOff>
    </xdr:to>
    <xdr:sp macro="[0]!LancerFormulairesaisie" textlink="">
      <xdr:nvSpPr>
        <xdr:cNvPr id="2" name="ZoneTexte 1"/>
        <xdr:cNvSpPr txBox="1"/>
      </xdr:nvSpPr>
      <xdr:spPr>
        <a:xfrm>
          <a:off x="4610100" y="3100388"/>
          <a:ext cx="2457450" cy="1133475"/>
        </a:xfrm>
        <a:prstGeom prst="rect">
          <a:avLst/>
        </a:prstGeom>
        <a:solidFill>
          <a:schemeClr val="lt1"/>
        </a:solidFill>
        <a:ln w="9525" cmpd="sng">
          <a:solidFill>
            <a:schemeClr val="lt1">
              <a:shade val="50000"/>
            </a:schemeClr>
          </a:solidFill>
        </a:ln>
        <a:effectLst>
          <a:innerShdw blurRad="63500" dist="25400" dir="2880000">
            <a:prstClr val="black">
              <a:alpha val="50000"/>
            </a:prstClr>
          </a:innerShdw>
        </a:effectLst>
        <a:scene3d>
          <a:camera prst="obliqueBottomRight"/>
          <a:lightRig rig="threePt" dir="t"/>
        </a:scene3d>
        <a:sp3d contourW="6350" prstMaterial="powder"/>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t>DEMARRER SAISIE</a:t>
          </a:r>
        </a:p>
      </xdr:txBody>
    </xdr:sp>
    <xdr:clientData/>
  </xdr:twoCellAnchor>
  <xdr:twoCellAnchor>
    <xdr:from>
      <xdr:col>10</xdr:col>
      <xdr:colOff>409578</xdr:colOff>
      <xdr:row>16</xdr:row>
      <xdr:rowOff>47626</xdr:rowOff>
    </xdr:from>
    <xdr:to>
      <xdr:col>13</xdr:col>
      <xdr:colOff>571500</xdr:colOff>
      <xdr:row>22</xdr:row>
      <xdr:rowOff>47625</xdr:rowOff>
    </xdr:to>
    <xdr:sp macro="[0]!Boutonenregistrer_Cliquer" textlink="">
      <xdr:nvSpPr>
        <xdr:cNvPr id="3" name="ZoneTexte 2"/>
        <xdr:cNvSpPr txBox="1"/>
      </xdr:nvSpPr>
      <xdr:spPr>
        <a:xfrm>
          <a:off x="8201028" y="3095626"/>
          <a:ext cx="2447922" cy="1142999"/>
        </a:xfrm>
        <a:prstGeom prst="rect">
          <a:avLst/>
        </a:prstGeom>
        <a:solidFill>
          <a:schemeClr val="lt1"/>
        </a:solidFill>
        <a:ln w="9525" cmpd="sng">
          <a:solidFill>
            <a:schemeClr val="lt1">
              <a:shade val="50000"/>
            </a:schemeClr>
          </a:solidFill>
        </a:ln>
        <a:effectLst>
          <a:innerShdw blurRad="63500" dist="25400" dir="2880000">
            <a:prstClr val="black">
              <a:alpha val="50000"/>
            </a:prstClr>
          </a:innerShdw>
        </a:effectLst>
        <a:scene3d>
          <a:camera prst="obliqueBottomRight"/>
          <a:lightRig rig="threePt" dir="t"/>
        </a:scene3d>
        <a:sp3d contourW="6350" prstMaterial="powder"/>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t>ENREGISTRER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438150</xdr:colOff>
      <xdr:row>19</xdr:row>
      <xdr:rowOff>1</xdr:rowOff>
    </xdr:from>
    <xdr:to>
      <xdr:col>27</xdr:col>
      <xdr:colOff>590550</xdr:colOff>
      <xdr:row>41</xdr:row>
      <xdr:rowOff>133351</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11</xdr:col>
          <xdr:colOff>0</xdr:colOff>
          <xdr:row>1</xdr:row>
          <xdr:rowOff>0</xdr:rowOff>
        </xdr:from>
        <xdr:to>
          <xdr:col>12</xdr:col>
          <xdr:colOff>9525</xdr:colOff>
          <xdr:row>1</xdr:row>
          <xdr:rowOff>295275</xdr:rowOff>
        </xdr:to>
        <xdr:sp macro="" textlink="">
          <xdr:nvSpPr>
            <xdr:cNvPr id="11272" name="Button 8" hidden="1">
              <a:extLst>
                <a:ext uri="{63B3BB69-23CF-44E3-9099-C40C66FF867C}">
                  <a14:compatExt spid="_x0000_s112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657225</xdr:colOff>
          <xdr:row>1</xdr:row>
          <xdr:rowOff>0</xdr:rowOff>
        </xdr:from>
        <xdr:to>
          <xdr:col>13</xdr:col>
          <xdr:colOff>95250</xdr:colOff>
          <xdr:row>1</xdr:row>
          <xdr:rowOff>295275</xdr:rowOff>
        </xdr:to>
        <xdr:sp macro="" textlink="">
          <xdr:nvSpPr>
            <xdr:cNvPr id="15361" name="Button 1" hidden="1">
              <a:extLst>
                <a:ext uri="{63B3BB69-23CF-44E3-9099-C40C66FF867C}">
                  <a14:compatExt spid="_x0000_s1536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400050</xdr:colOff>
          <xdr:row>3</xdr:row>
          <xdr:rowOff>190500</xdr:rowOff>
        </xdr:from>
        <xdr:to>
          <xdr:col>6</xdr:col>
          <xdr:colOff>438150</xdr:colOff>
          <xdr:row>5</xdr:row>
          <xdr:rowOff>28575</xdr:rowOff>
        </xdr:to>
        <xdr:sp macro="" textlink="">
          <xdr:nvSpPr>
            <xdr:cNvPr id="15370" name="Button 10" hidden="1">
              <a:extLst>
                <a:ext uri="{63B3BB69-23CF-44E3-9099-C40C66FF867C}">
                  <a14:compatExt spid="_x0000_s153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LISTE</a:t>
              </a:r>
            </a:p>
          </xdr:txBody>
        </xdr:sp>
        <xdr:clientData fPrintsWithSheet="0"/>
      </xdr:twoCellAnchor>
    </mc:Choice>
    <mc:Fallback/>
  </mc:AlternateContent>
  <xdr:twoCellAnchor>
    <xdr:from>
      <xdr:col>7</xdr:col>
      <xdr:colOff>63500</xdr:colOff>
      <xdr:row>22</xdr:row>
      <xdr:rowOff>42334</xdr:rowOff>
    </xdr:from>
    <xdr:to>
      <xdr:col>19</xdr:col>
      <xdr:colOff>571500</xdr:colOff>
      <xdr:row>40</xdr:row>
      <xdr:rowOff>76200</xdr:rowOff>
    </xdr:to>
    <xdr:sp macro="" textlink="">
      <xdr:nvSpPr>
        <xdr:cNvPr id="2" name="ZoneTexte 1"/>
        <xdr:cNvSpPr txBox="1"/>
      </xdr:nvSpPr>
      <xdr:spPr>
        <a:xfrm>
          <a:off x="5264150" y="3833284"/>
          <a:ext cx="8975725" cy="26913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pu voir en effet pour le codage de la feuille et le module 11!</a:t>
          </a:r>
          <a:br>
            <a:rPr lang="fr-FR"/>
          </a:br>
          <a:r>
            <a:rPr lang="fr-FR"/>
            <a:t/>
          </a:r>
          <a:br>
            <a:rPr lang="fr-FR"/>
          </a:br>
          <a:r>
            <a:rPr lang="fr-FR"/>
            <a:t>J'ai par ailleurs un autre problème qui se pose à propos de ton algorythme dans ce module 11: j'ai rajouté deux onglets d'analyse (en orange) qui me permettent de suivre mes stocks et mes sorties sous-traitants et qui sont totalement indépendants de l'onglet "conso engin". Le hic c'est que lorsque je lance maintenant le bonton liste, il m'affiche une erreur de type 1004, champs introuvable. Je n'ai absolument rien modifié dans mes souvenirs et je ne comprends pas d'où provient ce problème... </a:t>
          </a:r>
          <a:br>
            <a:rPr lang="fr-FR"/>
          </a:br>
          <a:r>
            <a:rPr lang="fr-FR"/>
            <a:t/>
          </a:r>
          <a:br>
            <a:rPr lang="fr-FR"/>
          </a:br>
          <a:r>
            <a:rPr lang="fr-FR"/>
            <a:t>Pourrais-tu m'éclairer encore une fois ? </a:t>
          </a:r>
          <a:br>
            <a:rPr lang="fr-FR"/>
          </a:br>
          <a:r>
            <a:rPr lang="fr-FR"/>
            <a:t/>
          </a:r>
          <a:br>
            <a:rPr lang="fr-FR"/>
          </a:br>
          <a:r>
            <a:rPr lang="fr-FR"/>
            <a:t>Dans un deuxième temps je souhaiterais aussi avoir un onglet "récap parc" qui m'affiche tous les engins de l'onglet "BDDParc" dont les dates de début et fin de mois sont comprises (entièrement ou pas) dans leurs dates d'arrivée et départ du chantier. Penses-tu que ca serait faisable? </a:t>
          </a:r>
          <a:br>
            <a:rPr lang="fr-FR"/>
          </a:br>
          <a:r>
            <a:rPr lang="fr-FR"/>
            <a:t/>
          </a:r>
          <a:br>
            <a:rPr lang="fr-FR"/>
          </a:br>
          <a:r>
            <a:rPr lang="fr-FR"/>
            <a:t>Merci mille fois</a:t>
          </a:r>
          <a:endParaRPr lang="fr-FR" sz="1100"/>
        </a:p>
      </xdr:txBody>
    </xdr:sp>
    <xdr:clientData/>
  </xdr:twoCellAnchor>
  <xdr:twoCellAnchor>
    <xdr:from>
      <xdr:col>2</xdr:col>
      <xdr:colOff>177800</xdr:colOff>
      <xdr:row>1</xdr:row>
      <xdr:rowOff>228600</xdr:rowOff>
    </xdr:from>
    <xdr:to>
      <xdr:col>8</xdr:col>
      <xdr:colOff>486833</xdr:colOff>
      <xdr:row>6</xdr:row>
      <xdr:rowOff>85725</xdr:rowOff>
    </xdr:to>
    <xdr:sp macro="" textlink="">
      <xdr:nvSpPr>
        <xdr:cNvPr id="3" name="ZoneTexte 2"/>
        <xdr:cNvSpPr txBox="1"/>
      </xdr:nvSpPr>
      <xdr:spPr>
        <a:xfrm>
          <a:off x="1139825" y="371475"/>
          <a:ext cx="5395383" cy="885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Impératif</a:t>
          </a:r>
        </a:p>
        <a:p>
          <a:r>
            <a:rPr lang="fr-FR" sz="1100"/>
            <a:t>Les entêtes</a:t>
          </a:r>
          <a:r>
            <a:rPr lang="fr-FR" sz="1100" baseline="0"/>
            <a:t> des colonnes doivent être identiques au entêtes des colonnes filtrées</a:t>
          </a:r>
        </a:p>
        <a:p>
          <a:endParaRPr lang="fr-FR" sz="1100" baseline="0"/>
        </a:p>
        <a:p>
          <a:r>
            <a:rPr lang="fr-FR" sz="1100" baseline="0"/>
            <a:t>Attention pour que cela fonctionne : il faut que tu sois en calcul automatique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76200</xdr:colOff>
      <xdr:row>9</xdr:row>
      <xdr:rowOff>76200</xdr:rowOff>
    </xdr:from>
    <xdr:to>
      <xdr:col>26</xdr:col>
      <xdr:colOff>771525</xdr:colOff>
      <xdr:row>32</xdr:row>
      <xdr:rowOff>128588</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10</xdr:col>
          <xdr:colOff>371475</xdr:colOff>
          <xdr:row>1</xdr:row>
          <xdr:rowOff>47625</xdr:rowOff>
        </xdr:from>
        <xdr:to>
          <xdr:col>12</xdr:col>
          <xdr:colOff>200025</xdr:colOff>
          <xdr:row>1</xdr:row>
          <xdr:rowOff>342900</xdr:rowOff>
        </xdr:to>
        <xdr:sp macro="" textlink="">
          <xdr:nvSpPr>
            <xdr:cNvPr id="12296" name="Button 8" hidden="1">
              <a:extLst>
                <a:ext uri="{63B3BB69-23CF-44E3-9099-C40C66FF867C}">
                  <a14:compatExt spid="_x0000_s122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0</xdr:colOff>
          <xdr:row>1</xdr:row>
          <xdr:rowOff>9525</xdr:rowOff>
        </xdr:from>
        <xdr:to>
          <xdr:col>10</xdr:col>
          <xdr:colOff>9525</xdr:colOff>
          <xdr:row>2</xdr:row>
          <xdr:rowOff>0</xdr:rowOff>
        </xdr:to>
        <xdr:sp macro="" textlink="">
          <xdr:nvSpPr>
            <xdr:cNvPr id="22529" name="Button 1" hidden="1">
              <a:extLst>
                <a:ext uri="{63B3BB69-23CF-44E3-9099-C40C66FF867C}">
                  <a14:compatExt spid="_x0000_s225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a:t>
              </a:r>
            </a:p>
          </xdr:txBody>
        </xdr:sp>
        <xdr:clientData fPrintsWithSheet="0"/>
      </xdr:twoCellAnchor>
    </mc:Choice>
    <mc:Fallback/>
  </mc:AlternateContent>
  <xdr:twoCellAnchor>
    <xdr:from>
      <xdr:col>4</xdr:col>
      <xdr:colOff>314325</xdr:colOff>
      <xdr:row>19</xdr:row>
      <xdr:rowOff>57150</xdr:rowOff>
    </xdr:from>
    <xdr:to>
      <xdr:col>16</xdr:col>
      <xdr:colOff>165100</xdr:colOff>
      <xdr:row>38</xdr:row>
      <xdr:rowOff>76200</xdr:rowOff>
    </xdr:to>
    <xdr:sp macro="" textlink="">
      <xdr:nvSpPr>
        <xdr:cNvPr id="3" name="ZoneTexte 2"/>
        <xdr:cNvSpPr txBox="1"/>
      </xdr:nvSpPr>
      <xdr:spPr>
        <a:xfrm>
          <a:off x="2752725" y="3448050"/>
          <a:ext cx="8985250" cy="2733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pu voir en effet pour le codage de la feuille et le module 11!</a:t>
          </a:r>
          <a:br>
            <a:rPr lang="fr-FR"/>
          </a:br>
          <a:r>
            <a:rPr lang="fr-FR"/>
            <a:t/>
          </a:r>
          <a:br>
            <a:rPr lang="fr-FR"/>
          </a:br>
          <a:r>
            <a:rPr lang="fr-FR"/>
            <a:t>J'ai par ailleurs un autre problème qui se pose à propos de ton algorythme dans ce module 11: j'ai rajouté deux onglets d'analyse (en orange) qui me permettent de suivre mes stocks et mes sorties sous-traitants et qui sont totalement indépendants de l'onglet "conso engin". Le hic c'est que lorsque je lance maintenant le bonton liste, il m'affiche une erreur de type 1004, champs introuvable. Je n'ai absolument rien modifié dans mes souvenirs et je ne comprends pas d'où provient ce problème... </a:t>
          </a:r>
          <a:br>
            <a:rPr lang="fr-FR"/>
          </a:br>
          <a:r>
            <a:rPr lang="fr-FR"/>
            <a:t/>
          </a:r>
          <a:br>
            <a:rPr lang="fr-FR"/>
          </a:br>
          <a:r>
            <a:rPr lang="fr-FR"/>
            <a:t>Pourrais-tu m'éclairer encore une fois ? </a:t>
          </a:r>
          <a:br>
            <a:rPr lang="fr-FR"/>
          </a:br>
          <a:r>
            <a:rPr lang="fr-FR"/>
            <a:t/>
          </a:r>
          <a:br>
            <a:rPr lang="fr-FR"/>
          </a:br>
          <a:r>
            <a:rPr lang="fr-FR"/>
            <a:t>Dans un deuxième temps je souhaiterais aussi avoir un onglet "récap parc" qui m'affiche tous les engins de l'onglet "BDDParc" dont les dates de début et fin de mois sont comprises (entièrement ou pas) dans leurs dates d'arrivée et départ du chantier. Penses-tu que ca serait faisable? </a:t>
          </a:r>
          <a:br>
            <a:rPr lang="fr-FR"/>
          </a:br>
          <a:r>
            <a:rPr lang="fr-FR"/>
            <a:t/>
          </a:r>
          <a:br>
            <a:rPr lang="fr-FR"/>
          </a:br>
          <a:r>
            <a:rPr lang="fr-FR"/>
            <a:t>Merci mille fois</a:t>
          </a:r>
          <a:endParaRPr lang="fr-FR" sz="1100"/>
        </a:p>
      </xdr:txBody>
    </xdr:sp>
    <xdr:clientData/>
  </xdr:twoCellAnchor>
  <xdr:twoCellAnchor>
    <xdr:from>
      <xdr:col>13</xdr:col>
      <xdr:colOff>0</xdr:colOff>
      <xdr:row>4</xdr:row>
      <xdr:rowOff>0</xdr:rowOff>
    </xdr:from>
    <xdr:to>
      <xdr:col>21</xdr:col>
      <xdr:colOff>454025</xdr:colOff>
      <xdr:row>13</xdr:row>
      <xdr:rowOff>85725</xdr:rowOff>
    </xdr:to>
    <xdr:sp macro="" textlink="">
      <xdr:nvSpPr>
        <xdr:cNvPr id="5" name="ZoneTexte 4"/>
        <xdr:cNvSpPr txBox="1"/>
      </xdr:nvSpPr>
      <xdr:spPr>
        <a:xfrm>
          <a:off x="10067925" y="752475"/>
          <a:ext cx="539750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Impératif</a:t>
          </a:r>
        </a:p>
        <a:p>
          <a:r>
            <a:rPr lang="fr-FR" sz="1100"/>
            <a:t>Les entêtes</a:t>
          </a:r>
          <a:r>
            <a:rPr lang="fr-FR" sz="1100" baseline="0"/>
            <a:t> des colonnes doivent être identiques au entêtes des colonnes filtrées</a:t>
          </a:r>
        </a:p>
        <a:p>
          <a:endParaRPr lang="fr-FR" sz="1100" baseline="0"/>
        </a:p>
        <a:p>
          <a:r>
            <a:rPr lang="fr-FR" sz="1100" baseline="0"/>
            <a:t>Attention pour que cela fonctionne : il faut que tu sois en calcul automatique</a:t>
          </a:r>
        </a:p>
        <a:p>
          <a:endParaRPr lang="fr-FR" sz="1100" baseline="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stager/Documents/4.%20Suivi/4.2%20Consommation%20fournitures/4.21%20Suivi%20des%20stocks/Suivi%20des%20stock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FACE"/>
      <sheetName val="PARAM."/>
      <sheetName val="ECim"/>
      <sheetName val="SCim"/>
      <sheetName val="EAcier"/>
      <sheetName val="SAcier"/>
      <sheetName val="EMat"/>
      <sheetName val="SMat"/>
      <sheetName val="EDiv"/>
      <sheetName val="SDiv"/>
      <sheetName val="CIMENT"/>
      <sheetName val="ACIER"/>
      <sheetName val="MATERIAUX"/>
      <sheetName val="DIVERS"/>
      <sheetName val="RÉCAP ST"/>
      <sheetName val="Suivi des stoc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tables/table1.xml><?xml version="1.0" encoding="utf-8"?>
<table xmlns="http://schemas.openxmlformats.org/spreadsheetml/2006/main" id="3" name="N°Parc" displayName="N°Parc" ref="A1:A27" totalsRowShown="0" headerRowDxfId="67" dataDxfId="65" headerRowBorderDxfId="66" tableBorderDxfId="64">
  <autoFilter ref="A1:A27"/>
  <tableColumns count="1">
    <tableColumn id="1" name="N° Parc" dataDxfId="63"/>
  </tableColumns>
  <tableStyleInfo name="TableStyleMedium2" showFirstColumn="0" showLastColumn="0" showRowStripes="1" showColumnStripes="0"/>
</table>
</file>

<file path=xl/tables/table2.xml><?xml version="1.0" encoding="utf-8"?>
<table xmlns="http://schemas.openxmlformats.org/spreadsheetml/2006/main" id="7" name="Typevehicule" displayName="Typevehicule" ref="B1:B19" totalsRowShown="0" headerRowDxfId="62" dataDxfId="61" tableBorderDxfId="60">
  <autoFilter ref="B1:B19"/>
  <tableColumns count="1">
    <tableColumn id="1" name="Type de véhicule" dataDxfId="59"/>
  </tableColumns>
  <tableStyleInfo name="TableStyleMedium2" showFirstColumn="0" showLastColumn="0" showRowStripes="1" showColumnStripes="0"/>
</table>
</file>

<file path=xl/tables/table3.xml><?xml version="1.0" encoding="utf-8"?>
<table xmlns="http://schemas.openxmlformats.org/spreadsheetml/2006/main" id="8" name="Société" displayName="Société" ref="C1:C6" totalsRowShown="0" headerRowDxfId="58" dataDxfId="56" headerRowBorderDxfId="57" tableBorderDxfId="55">
  <autoFilter ref="C1:C6"/>
  <tableColumns count="1">
    <tableColumn id="1" name="SOCIÉTÉ" dataDxfId="54"/>
  </tableColumns>
  <tableStyleInfo name="TableStyleMedium2" showFirstColumn="0" showLastColumn="0" showRowStripes="1" showColumnStripes="0"/>
</table>
</file>

<file path=xl/tables/table4.xml><?xml version="1.0" encoding="utf-8"?>
<table xmlns="http://schemas.openxmlformats.org/spreadsheetml/2006/main" id="10" name="DateDebutMois" displayName="DateDebutMois" ref="F1:F20" totalsRowShown="0" headerRowDxfId="53" dataDxfId="52" tableBorderDxfId="51">
  <autoFilter ref="F1:F20"/>
  <tableColumns count="1">
    <tableColumn id="1" name="DateDebut" dataDxfId="50"/>
  </tableColumns>
  <tableStyleInfo name="TableStyleMedium2" showFirstColumn="0" showLastColumn="0" showRowStripes="1" showColumnStripes="0"/>
</table>
</file>

<file path=xl/tables/table5.xml><?xml version="1.0" encoding="utf-8"?>
<table xmlns="http://schemas.openxmlformats.org/spreadsheetml/2006/main" id="9" name="MoisComptable" displayName="MoisComptable" ref="E1:E20" totalsRowShown="0" headerRowDxfId="49" dataDxfId="48" tableBorderDxfId="47">
  <autoFilter ref="E1:E20"/>
  <tableColumns count="1">
    <tableColumn id="1" name="MoisComptable" dataDxfId="46"/>
  </tableColumns>
  <tableStyleInfo name="TableStyleMedium2" showFirstColumn="0" showLastColumn="0" showRowStripes="1" showColumnStripes="0"/>
</table>
</file>

<file path=xl/tables/table6.xml><?xml version="1.0" encoding="utf-8"?>
<table xmlns="http://schemas.openxmlformats.org/spreadsheetml/2006/main" id="2" name="TBBDDParc" displayName="TBBDDParc" ref="A1:K7" totalsRowShown="0">
  <tableColumns count="11">
    <tableColumn id="1" name="Type Parc"/>
    <tableColumn id="2" name="N°Parc"/>
    <tableColumn id="3" name="Famille/Désig."/>
    <tableColumn id="4" name="N°immat/série"/>
    <tableColumn id="5" name="Marque"/>
    <tableColumn id="6" name="Information"/>
    <tableColumn id="11" name="Présence_chantier"/>
    <tableColumn id="7" name="DateARchantier"/>
    <tableColumn id="8" name="Provenance"/>
    <tableColumn id="9" name="DateDPchantier"/>
    <tableColumn id="10" name="Direction"/>
  </tableColumns>
  <tableStyleInfo name="TableStyleLight12" showFirstColumn="0" showLastColumn="0" showRowStripes="1" showColumnStripes="0"/>
</table>
</file>

<file path=xl/tables/table7.xml><?xml version="1.0" encoding="utf-8"?>
<table xmlns="http://schemas.openxmlformats.org/spreadsheetml/2006/main" id="6" name="TBEgasoil" displayName="TBEgasoil" ref="A1:O6" totalsRowShown="0" headerRowDxfId="45" dataDxfId="44" tableBorderDxfId="43">
  <autoFilter ref="A1:O6"/>
  <tableColumns count="15">
    <tableColumn id="1" name="N° Bon de Commande" dataDxfId="42"/>
    <tableColumn id="2" name="N° DA" dataDxfId="41"/>
    <tableColumn id="3" name="Date DA" dataDxfId="40"/>
    <tableColumn id="4" name="Quantité demandée" dataDxfId="39"/>
    <tableColumn id="5" name="Entreprise" dataDxfId="38"/>
    <tableColumn id="6" name="N° Bon d'expédition" dataDxfId="37"/>
    <tableColumn id="7" name="N° Bon de réception" dataDxfId="36"/>
    <tableColumn id="8" name="Date réception" dataDxfId="35"/>
    <tableColumn id="9" name="Quantité reçue (L)" dataDxfId="34"/>
    <tableColumn id="10" name="Etat commande" dataDxfId="33"/>
    <tableColumn id="11" name="Marque véhicule" dataDxfId="32"/>
    <tableColumn id="12" name="Immatriculation" dataDxfId="31"/>
    <tableColumn id="13" name="Observations" dataDxfId="30"/>
    <tableColumn id="14" name="QntéRCcommande" dataDxfId="29">
      <calculatedColumnFormula>SUMPRODUCT((TBEgasoil[N° DA]=TBEgasoil[[#This Row],[N° DA]])*1,TBEgasoil[Quantité reçue (L)])</calculatedColumnFormula>
    </tableColumn>
    <tableColumn id="15" name="DateDERcommande" dataDxfId="28">
      <calculatedColumnFormula>IF(TBEgasoil[N° DA]=TBEgasoil[[#This Row],[N° DA]],MAX(TBEgasoil[Date réception]),"")</calculatedColumnFormula>
    </tableColumn>
  </tableColumns>
  <tableStyleInfo name="TableStyleLight9" showFirstColumn="0" showLastColumn="0" showRowStripes="1" showColumnStripes="0"/>
</table>
</file>

<file path=xl/tables/table8.xml><?xml version="1.0" encoding="utf-8"?>
<table xmlns="http://schemas.openxmlformats.org/spreadsheetml/2006/main" id="5" name="TBSgasoil" displayName="TBSgasoil" ref="A1:T5" totalsRowShown="0" headerRowDxfId="27" dataDxfId="26">
  <tableColumns count="20">
    <tableColumn id="1" name="BS" dataDxfId="25"/>
    <tableColumn id="2" name="Date" dataDxfId="24"/>
    <tableColumn id="3" name="Heure" dataDxfId="23"/>
    <tableColumn id="4" name="Quantité" dataDxfId="22"/>
    <tableColumn id="5" name="Plein ravitailleur" dataDxfId="21"/>
    <tableColumn id="10" name="Entreprise" dataDxfId="20"/>
    <tableColumn id="18" name="Chauffeur" dataDxfId="19"/>
    <tableColumn id="6" name="N°Parc" dataDxfId="18"/>
    <tableColumn id="7" name="Type vehicule" dataDxfId="17"/>
    <tableColumn id="8" name="Marque" dataDxfId="16"/>
    <tableColumn id="9" name="N°immat" dataDxfId="15"/>
    <tableColumn id="11" name="Compteur" dataDxfId="14"/>
    <tableColumn id="12" name="Panne compteur" dataDxfId="13"/>
    <tableColumn id="13" name="Type distributeur" dataDxfId="12"/>
    <tableColumn id="14" name="Index_x000a_Début" dataDxfId="11"/>
    <tableColumn id="15" name="Index_x000a_ Fin" dataDxfId="10"/>
    <tableColumn id="16" name="Pompiste" dataDxfId="9"/>
    <tableColumn id="17" name="Conso réelle/th" dataDxfId="8">
      <calculatedColumnFormula>IF(TBSgasoil[Index
 Fin]-TBSgasoil[Index
Début]&lt;&gt;TBSgasoil[Quantité],"erreur","OK")</calculatedColumnFormula>
    </tableColumn>
    <tableColumn id="19" name="Ecart réel/th" dataDxfId="7">
      <calculatedColumnFormula>(TBSgasoil[Index
 Fin]-TBSgasoil[Index
Début])-TBSgasoil[Quantité]</calculatedColumnFormula>
    </tableColumn>
    <tableColumn id="20" name="Mois Comptable" dataDxfId="6">
      <calculatedColumnFormula>IF((DAY(B2)*1)&gt;25,1*CONCATENATE(25,(1*CONCATENATE(MONTH(B2),YEAR(B2)))+10000),1*CONCATENATE(25,1*CONCATENATE(MONTH(B2),YEAR(B2))))</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_rels/sheet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1" Type="http://schemas.openxmlformats.org/officeDocument/2006/relationships/table" Target="../tables/table8.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forum.excel-pratique.com/excel/remplir-une-listbox-a-partir-d-une-combobox-t44195.html" TargetMode="External"/><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92D050"/>
  </sheetPr>
  <dimension ref="B4:M25"/>
  <sheetViews>
    <sheetView workbookViewId="0"/>
  </sheetViews>
  <sheetFormatPr baseColWidth="10" defaultRowHeight="15" x14ac:dyDescent="0.25"/>
  <cols>
    <col min="1" max="1" width="11.42578125" style="10" customWidth="1"/>
    <col min="2" max="4" width="11.42578125" style="10"/>
    <col min="5" max="5" width="14.140625" style="10" bestFit="1" customWidth="1"/>
    <col min="6" max="9" width="11.42578125" style="10"/>
    <col min="10" max="10" width="11.28515625" style="10" customWidth="1"/>
    <col min="11" max="16384" width="11.42578125" style="10"/>
  </cols>
  <sheetData>
    <row r="4" spans="2:5" x14ac:dyDescent="0.25">
      <c r="B4" s="7" t="s">
        <v>68</v>
      </c>
      <c r="C4" s="8"/>
      <c r="D4" s="8"/>
      <c r="E4" s="9"/>
    </row>
    <row r="5" spans="2:5" x14ac:dyDescent="0.25">
      <c r="B5" s="11"/>
      <c r="C5" s="12" t="s">
        <v>71</v>
      </c>
      <c r="D5" s="21" t="s">
        <v>89</v>
      </c>
      <c r="E5" s="22" t="s">
        <v>90</v>
      </c>
    </row>
    <row r="6" spans="2:5" x14ac:dyDescent="0.25">
      <c r="B6" s="13" t="s">
        <v>69</v>
      </c>
      <c r="C6" s="14"/>
      <c r="D6" s="14">
        <f>COUNTA(TBEgasoil[N° Bon de réception])</f>
        <v>5</v>
      </c>
      <c r="E6" s="24">
        <f>MAX(TBEgasoil[Date réception])</f>
        <v>41558</v>
      </c>
    </row>
    <row r="7" spans="2:5" x14ac:dyDescent="0.25">
      <c r="B7" s="13" t="s">
        <v>70</v>
      </c>
      <c r="C7" s="14"/>
      <c r="D7" s="14">
        <f>COUNTA(TBSgasoil[BS])</f>
        <v>4</v>
      </c>
      <c r="E7" s="24">
        <f>MAX(TBSgasoil[Date])</f>
        <v>41563</v>
      </c>
    </row>
    <row r="8" spans="2:5" x14ac:dyDescent="0.25">
      <c r="B8" s="13"/>
      <c r="C8" s="14"/>
      <c r="D8" s="14"/>
      <c r="E8" s="24"/>
    </row>
    <row r="9" spans="2:5" x14ac:dyDescent="0.25">
      <c r="B9" s="13"/>
      <c r="C9" s="16" t="s">
        <v>159</v>
      </c>
      <c r="D9" s="105" t="s">
        <v>160</v>
      </c>
      <c r="E9" s="24"/>
    </row>
    <row r="10" spans="2:5" x14ac:dyDescent="0.25">
      <c r="B10" s="13" t="s">
        <v>87</v>
      </c>
      <c r="C10" s="18"/>
      <c r="D10" s="14"/>
      <c r="E10" s="24"/>
    </row>
    <row r="11" spans="2:5" x14ac:dyDescent="0.25">
      <c r="B11" s="13" t="s">
        <v>88</v>
      </c>
      <c r="C11" s="18"/>
      <c r="D11" s="14"/>
      <c r="E11" s="24"/>
    </row>
    <row r="12" spans="2:5" x14ac:dyDescent="0.25">
      <c r="B12" s="13" t="s">
        <v>49</v>
      </c>
      <c r="C12" s="18"/>
      <c r="D12" s="14"/>
      <c r="E12" s="24"/>
    </row>
    <row r="13" spans="2:5" x14ac:dyDescent="0.25">
      <c r="B13" s="19"/>
      <c r="C13" s="20"/>
      <c r="D13" s="20"/>
      <c r="E13" s="25"/>
    </row>
    <row r="14" spans="2:5" x14ac:dyDescent="0.25">
      <c r="B14" s="17"/>
      <c r="C14" s="16"/>
      <c r="D14" s="15"/>
    </row>
    <row r="15" spans="2:5" x14ac:dyDescent="0.25">
      <c r="B15" s="17"/>
      <c r="C15" s="14"/>
      <c r="D15" s="18"/>
    </row>
    <row r="16" spans="2:5" x14ac:dyDescent="0.25">
      <c r="B16" s="17"/>
      <c r="C16" s="14"/>
      <c r="D16" s="18"/>
    </row>
    <row r="17" spans="2:13" x14ac:dyDescent="0.25">
      <c r="B17" s="15"/>
      <c r="C17" s="15"/>
      <c r="D17" s="15"/>
    </row>
    <row r="18" spans="2:13" x14ac:dyDescent="0.25">
      <c r="B18" s="17"/>
      <c r="C18" s="16"/>
      <c r="D18" s="15"/>
    </row>
    <row r="19" spans="2:13" x14ac:dyDescent="0.25">
      <c r="B19" s="17"/>
      <c r="C19" s="14"/>
      <c r="D19" s="18"/>
    </row>
    <row r="20" spans="2:13" x14ac:dyDescent="0.25">
      <c r="B20" s="17"/>
      <c r="C20" s="14"/>
      <c r="D20" s="18"/>
    </row>
    <row r="21" spans="2:13" x14ac:dyDescent="0.25">
      <c r="B21" s="15"/>
      <c r="C21" s="15"/>
      <c r="D21" s="15"/>
    </row>
    <row r="22" spans="2:13" x14ac:dyDescent="0.25">
      <c r="B22" s="17"/>
      <c r="C22" s="16"/>
      <c r="D22" s="15"/>
    </row>
    <row r="23" spans="2:13" x14ac:dyDescent="0.25">
      <c r="B23" s="17"/>
      <c r="C23" s="14"/>
      <c r="D23" s="18"/>
    </row>
    <row r="24" spans="2:13" x14ac:dyDescent="0.25">
      <c r="B24" s="17"/>
      <c r="C24" s="14"/>
      <c r="D24" s="18"/>
      <c r="M24" s="41"/>
    </row>
    <row r="25" spans="2:13" x14ac:dyDescent="0.25">
      <c r="B25" s="15"/>
      <c r="C25" s="15"/>
      <c r="D25" s="15"/>
    </row>
  </sheetData>
  <conditionalFormatting sqref="E6:E12">
    <cfRule type="timePeriod" dxfId="5" priority="1" timePeriod="last7Days">
      <formula>AND(TODAY()-FLOOR(E6,1)&lt;=6,FLOOR(E6,1)&lt;=TODAY())</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59"/>
  <sheetViews>
    <sheetView workbookViewId="0"/>
  </sheetViews>
  <sheetFormatPr baseColWidth="10" defaultRowHeight="11.25" x14ac:dyDescent="0.2"/>
  <cols>
    <col min="1" max="1" width="16.85546875" style="6" customWidth="1"/>
    <col min="2" max="2" width="28" style="4" customWidth="1"/>
    <col min="3" max="3" width="20.140625" style="4" customWidth="1"/>
    <col min="4" max="4" width="11.42578125" style="1"/>
    <col min="5" max="5" width="17.42578125" style="76" bestFit="1" customWidth="1"/>
    <col min="6" max="6" width="12.85546875" style="76" bestFit="1" customWidth="1"/>
    <col min="7" max="16384" width="11.42578125" style="1"/>
  </cols>
  <sheetData>
    <row r="1" spans="1:6" ht="15.75" customHeight="1" thickBot="1" x14ac:dyDescent="0.3">
      <c r="A1" s="32" t="s">
        <v>46</v>
      </c>
      <c r="B1" s="32" t="s">
        <v>53</v>
      </c>
      <c r="C1" s="32" t="s">
        <v>55</v>
      </c>
      <c r="E1" s="36" t="s">
        <v>149</v>
      </c>
      <c r="F1" s="36" t="s">
        <v>150</v>
      </c>
    </row>
    <row r="2" spans="1:6" ht="12.6" customHeight="1" x14ac:dyDescent="0.25">
      <c r="A2" s="2" t="s">
        <v>62</v>
      </c>
      <c r="B2" s="29" t="s">
        <v>9</v>
      </c>
      <c r="C2" s="3" t="s">
        <v>39</v>
      </c>
      <c r="E2" s="86">
        <v>41456</v>
      </c>
      <c r="F2" s="88">
        <v>41451</v>
      </c>
    </row>
    <row r="3" spans="1:6" ht="12.6" customHeight="1" x14ac:dyDescent="0.25">
      <c r="A3" s="2" t="s">
        <v>59</v>
      </c>
      <c r="B3" s="30" t="s">
        <v>41</v>
      </c>
      <c r="C3" s="3" t="s">
        <v>37</v>
      </c>
      <c r="E3" s="87">
        <v>41487</v>
      </c>
      <c r="F3" s="89">
        <v>41481</v>
      </c>
    </row>
    <row r="4" spans="1:6" ht="12.6" customHeight="1" x14ac:dyDescent="0.25">
      <c r="A4" s="2" t="s">
        <v>5</v>
      </c>
      <c r="B4" s="31" t="s">
        <v>3</v>
      </c>
      <c r="C4" s="3" t="s">
        <v>66</v>
      </c>
      <c r="E4" s="86">
        <v>41518</v>
      </c>
      <c r="F4" s="88">
        <v>41512</v>
      </c>
    </row>
    <row r="5" spans="1:6" ht="12.6" customHeight="1" x14ac:dyDescent="0.25">
      <c r="A5" s="2" t="s">
        <v>52</v>
      </c>
      <c r="B5" s="30" t="s">
        <v>7</v>
      </c>
      <c r="C5" s="28" t="s">
        <v>67</v>
      </c>
      <c r="E5" s="87">
        <v>41548</v>
      </c>
      <c r="F5" s="89">
        <v>41543</v>
      </c>
    </row>
    <row r="6" spans="1:6" ht="12.6" customHeight="1" x14ac:dyDescent="0.25">
      <c r="A6" s="2" t="s">
        <v>56</v>
      </c>
      <c r="B6" s="31" t="s">
        <v>12</v>
      </c>
      <c r="C6" s="3" t="s">
        <v>148</v>
      </c>
      <c r="E6" s="86">
        <v>41579</v>
      </c>
      <c r="F6" s="88">
        <v>41573</v>
      </c>
    </row>
    <row r="7" spans="1:6" ht="12.6" customHeight="1" x14ac:dyDescent="0.25">
      <c r="A7" s="2" t="s">
        <v>4</v>
      </c>
      <c r="B7" s="30" t="s">
        <v>6</v>
      </c>
      <c r="E7" s="87">
        <v>41609</v>
      </c>
      <c r="F7" s="89">
        <v>41604</v>
      </c>
    </row>
    <row r="8" spans="1:6" ht="12.6" customHeight="1" x14ac:dyDescent="0.25">
      <c r="A8" s="2" t="s">
        <v>8</v>
      </c>
      <c r="B8" s="31" t="s">
        <v>15</v>
      </c>
      <c r="E8" s="86">
        <v>41640</v>
      </c>
      <c r="F8" s="88">
        <v>41634</v>
      </c>
    </row>
    <row r="9" spans="1:6" ht="12.6" customHeight="1" x14ac:dyDescent="0.25">
      <c r="A9" s="2" t="s">
        <v>60</v>
      </c>
      <c r="B9" s="30" t="s">
        <v>29</v>
      </c>
      <c r="E9" s="87">
        <v>41671</v>
      </c>
      <c r="F9" s="89">
        <v>41665</v>
      </c>
    </row>
    <row r="10" spans="1:6" ht="12.6" customHeight="1" x14ac:dyDescent="0.25">
      <c r="A10" s="2" t="s">
        <v>13</v>
      </c>
      <c r="B10" s="31" t="s">
        <v>31</v>
      </c>
      <c r="E10" s="86">
        <v>41699</v>
      </c>
      <c r="F10" s="88">
        <v>41696</v>
      </c>
    </row>
    <row r="11" spans="1:6" ht="12.6" customHeight="1" x14ac:dyDescent="0.25">
      <c r="A11" s="2" t="s">
        <v>58</v>
      </c>
      <c r="B11" s="30" t="s">
        <v>1</v>
      </c>
      <c r="E11" s="87">
        <v>41730</v>
      </c>
      <c r="F11" s="89">
        <v>41724</v>
      </c>
    </row>
    <row r="12" spans="1:6" ht="12.6" customHeight="1" x14ac:dyDescent="0.25">
      <c r="A12" s="2" t="s">
        <v>61</v>
      </c>
      <c r="B12" s="31" t="s">
        <v>2</v>
      </c>
      <c r="E12" s="86">
        <v>41760</v>
      </c>
      <c r="F12" s="88">
        <v>41755</v>
      </c>
    </row>
    <row r="13" spans="1:6" ht="12.6" customHeight="1" x14ac:dyDescent="0.25">
      <c r="A13" s="2" t="s">
        <v>11</v>
      </c>
      <c r="B13" s="30" t="s">
        <v>10</v>
      </c>
      <c r="E13" s="87">
        <v>41791</v>
      </c>
      <c r="F13" s="89">
        <v>41785</v>
      </c>
    </row>
    <row r="14" spans="1:6" ht="12.6" customHeight="1" x14ac:dyDescent="0.25">
      <c r="A14" s="2" t="s">
        <v>14</v>
      </c>
      <c r="B14" s="31" t="s">
        <v>30</v>
      </c>
      <c r="E14" s="86">
        <v>41821</v>
      </c>
      <c r="F14" s="88">
        <v>41816</v>
      </c>
    </row>
    <row r="15" spans="1:6" ht="12.6" customHeight="1" x14ac:dyDescent="0.25">
      <c r="A15" s="2" t="s">
        <v>16</v>
      </c>
      <c r="B15" s="30" t="s">
        <v>48</v>
      </c>
      <c r="E15" s="87">
        <v>41852</v>
      </c>
      <c r="F15" s="89">
        <v>41846</v>
      </c>
    </row>
    <row r="16" spans="1:6" ht="12.6" customHeight="1" x14ac:dyDescent="0.25">
      <c r="A16" s="2" t="s">
        <v>18</v>
      </c>
      <c r="B16" s="31" t="s">
        <v>32</v>
      </c>
      <c r="E16" s="86">
        <v>41883</v>
      </c>
      <c r="F16" s="88">
        <v>41877</v>
      </c>
    </row>
    <row r="17" spans="1:6" ht="12.6" customHeight="1" x14ac:dyDescent="0.25">
      <c r="A17" s="2" t="s">
        <v>17</v>
      </c>
      <c r="B17" s="30" t="s">
        <v>57</v>
      </c>
      <c r="E17" s="87">
        <v>41913</v>
      </c>
      <c r="F17" s="89">
        <v>41908</v>
      </c>
    </row>
    <row r="18" spans="1:6" ht="12.6" customHeight="1" x14ac:dyDescent="0.25">
      <c r="A18" s="2" t="s">
        <v>19</v>
      </c>
      <c r="B18" s="31" t="s">
        <v>64</v>
      </c>
      <c r="E18" s="86">
        <v>41944</v>
      </c>
      <c r="F18" s="88">
        <v>41938</v>
      </c>
    </row>
    <row r="19" spans="1:6" ht="12.6" customHeight="1" x14ac:dyDescent="0.25">
      <c r="A19" s="2" t="s">
        <v>20</v>
      </c>
      <c r="B19" s="30" t="s">
        <v>47</v>
      </c>
      <c r="E19" s="87">
        <v>41974</v>
      </c>
      <c r="F19" s="89">
        <v>41969</v>
      </c>
    </row>
    <row r="20" spans="1:6" ht="12.6" customHeight="1" x14ac:dyDescent="0.25">
      <c r="A20" s="2" t="s">
        <v>21</v>
      </c>
      <c r="B20" s="5"/>
      <c r="E20" s="107">
        <v>41640</v>
      </c>
      <c r="F20" s="108">
        <v>41999</v>
      </c>
    </row>
    <row r="21" spans="1:6" ht="12.6" customHeight="1" x14ac:dyDescent="0.2">
      <c r="A21" s="2" t="s">
        <v>22</v>
      </c>
      <c r="B21" s="5"/>
    </row>
    <row r="22" spans="1:6" ht="12.6" customHeight="1" x14ac:dyDescent="0.2">
      <c r="A22" s="2" t="s">
        <v>23</v>
      </c>
      <c r="B22" s="5"/>
    </row>
    <row r="23" spans="1:6" ht="12.6" customHeight="1" x14ac:dyDescent="0.2">
      <c r="A23" s="2" t="s">
        <v>24</v>
      </c>
      <c r="B23" s="5"/>
    </row>
    <row r="24" spans="1:6" ht="12.6" customHeight="1" x14ac:dyDescent="0.2">
      <c r="A24" s="2" t="s">
        <v>25</v>
      </c>
      <c r="B24" s="5"/>
    </row>
    <row r="25" spans="1:6" ht="12.6" customHeight="1" x14ac:dyDescent="0.2">
      <c r="A25" s="2" t="s">
        <v>28</v>
      </c>
      <c r="B25" s="5"/>
    </row>
    <row r="26" spans="1:6" ht="12.6" customHeight="1" x14ac:dyDescent="0.2">
      <c r="A26" s="2" t="s">
        <v>27</v>
      </c>
      <c r="B26" s="5"/>
    </row>
    <row r="27" spans="1:6" ht="12.6" customHeight="1" x14ac:dyDescent="0.2">
      <c r="A27" s="2" t="s">
        <v>26</v>
      </c>
      <c r="B27" s="5"/>
    </row>
    <row r="28" spans="1:6" ht="12.6" customHeight="1" x14ac:dyDescent="0.2">
      <c r="A28" s="4"/>
      <c r="B28" s="5"/>
    </row>
    <row r="29" spans="1:6" ht="12.6" customHeight="1" x14ac:dyDescent="0.2">
      <c r="A29" s="4"/>
      <c r="B29" s="5"/>
    </row>
    <row r="30" spans="1:6" ht="12.6" customHeight="1" x14ac:dyDescent="0.2">
      <c r="A30" s="4"/>
      <c r="B30" s="5"/>
    </row>
    <row r="31" spans="1:6" ht="12.6" customHeight="1" x14ac:dyDescent="0.2">
      <c r="A31" s="4"/>
      <c r="B31" s="5"/>
    </row>
    <row r="32" spans="1:6" ht="12.6" customHeight="1" x14ac:dyDescent="0.2">
      <c r="A32" s="4"/>
      <c r="B32" s="5"/>
    </row>
    <row r="33" spans="1:2" ht="12.6" customHeight="1" x14ac:dyDescent="0.2">
      <c r="A33" s="4"/>
      <c r="B33" s="5"/>
    </row>
    <row r="34" spans="1:2" ht="12.6" customHeight="1" x14ac:dyDescent="0.2">
      <c r="A34" s="4"/>
      <c r="B34" s="5"/>
    </row>
    <row r="35" spans="1:2" ht="12.6" customHeight="1" x14ac:dyDescent="0.2">
      <c r="A35" s="4"/>
      <c r="B35" s="5"/>
    </row>
    <row r="36" spans="1:2" ht="12.6" customHeight="1" x14ac:dyDescent="0.2">
      <c r="A36" s="4"/>
      <c r="B36" s="5"/>
    </row>
    <row r="37" spans="1:2" ht="12.6" customHeight="1" x14ac:dyDescent="0.2">
      <c r="A37" s="4"/>
      <c r="B37" s="5"/>
    </row>
    <row r="38" spans="1:2" ht="12.6" customHeight="1" x14ac:dyDescent="0.2">
      <c r="A38" s="4"/>
      <c r="B38" s="5"/>
    </row>
    <row r="39" spans="1:2" ht="12.6" customHeight="1" x14ac:dyDescent="0.2">
      <c r="A39" s="4"/>
    </row>
    <row r="40" spans="1:2" ht="12.6" customHeight="1" x14ac:dyDescent="0.2">
      <c r="A40" s="4"/>
    </row>
    <row r="41" spans="1:2" ht="12.6" customHeight="1" x14ac:dyDescent="0.2">
      <c r="A41" s="4"/>
    </row>
    <row r="42" spans="1:2" ht="12.6" customHeight="1" x14ac:dyDescent="0.2">
      <c r="A42" s="4"/>
    </row>
    <row r="43" spans="1:2" x14ac:dyDescent="0.2">
      <c r="A43" s="4"/>
    </row>
    <row r="44" spans="1:2" x14ac:dyDescent="0.2">
      <c r="A44" s="4"/>
    </row>
    <row r="45" spans="1:2" x14ac:dyDescent="0.2">
      <c r="A45" s="4"/>
    </row>
    <row r="46" spans="1:2" x14ac:dyDescent="0.2">
      <c r="A46" s="4"/>
    </row>
    <row r="47" spans="1:2" x14ac:dyDescent="0.2">
      <c r="A47" s="4"/>
    </row>
    <row r="48" spans="1:2" x14ac:dyDescent="0.2">
      <c r="A48" s="4"/>
    </row>
    <row r="49" spans="1:1" x14ac:dyDescent="0.2">
      <c r="A49" s="4"/>
    </row>
    <row r="50" spans="1:1" x14ac:dyDescent="0.2">
      <c r="A50" s="4"/>
    </row>
    <row r="51" spans="1:1" x14ac:dyDescent="0.2">
      <c r="A51" s="4"/>
    </row>
    <row r="52" spans="1:1" x14ac:dyDescent="0.2">
      <c r="A52" s="4"/>
    </row>
    <row r="53" spans="1:1" x14ac:dyDescent="0.2">
      <c r="A53" s="4"/>
    </row>
    <row r="54" spans="1:1" x14ac:dyDescent="0.2">
      <c r="A54" s="4"/>
    </row>
    <row r="55" spans="1:1" x14ac:dyDescent="0.2">
      <c r="A55" s="4"/>
    </row>
    <row r="56" spans="1:1" x14ac:dyDescent="0.2">
      <c r="A56" s="4"/>
    </row>
    <row r="57" spans="1:1" x14ac:dyDescent="0.2">
      <c r="A57" s="4"/>
    </row>
    <row r="58" spans="1:1" x14ac:dyDescent="0.2">
      <c r="A58" s="4"/>
    </row>
    <row r="59" spans="1:1" x14ac:dyDescent="0.2">
      <c r="A59" s="4"/>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2" tint="-0.249977111117893"/>
  </sheetPr>
  <dimension ref="A1:K7"/>
  <sheetViews>
    <sheetView topLeftCell="F1" workbookViewId="0">
      <selection activeCell="S9" sqref="S9"/>
    </sheetView>
  </sheetViews>
  <sheetFormatPr baseColWidth="10" defaultRowHeight="15" x14ac:dyDescent="0.25"/>
  <cols>
    <col min="1" max="1" width="13.85546875" bestFit="1" customWidth="1"/>
    <col min="3" max="3" width="21" customWidth="1"/>
    <col min="4" max="4" width="25.140625" customWidth="1"/>
    <col min="6" max="7" width="13.7109375" customWidth="1"/>
    <col min="8" max="8" width="18" bestFit="1" customWidth="1"/>
    <col min="9" max="9" width="14.28515625" bestFit="1" customWidth="1"/>
    <col min="10" max="10" width="18" bestFit="1" customWidth="1"/>
  </cols>
  <sheetData>
    <row r="1" spans="1:11" x14ac:dyDescent="0.25">
      <c r="A1" s="148" t="s">
        <v>85</v>
      </c>
      <c r="B1" s="112" t="s">
        <v>0</v>
      </c>
      <c r="C1" s="95" t="s">
        <v>201</v>
      </c>
      <c r="D1" s="95" t="s">
        <v>202</v>
      </c>
      <c r="E1" s="95" t="s">
        <v>54</v>
      </c>
      <c r="F1" s="95" t="s">
        <v>65</v>
      </c>
      <c r="G1" t="s">
        <v>103</v>
      </c>
      <c r="H1" t="s">
        <v>100</v>
      </c>
      <c r="I1" t="s">
        <v>50</v>
      </c>
      <c r="J1" t="s">
        <v>101</v>
      </c>
      <c r="K1" t="s">
        <v>102</v>
      </c>
    </row>
    <row r="2" spans="1:11" x14ac:dyDescent="0.25">
      <c r="A2" t="s">
        <v>67</v>
      </c>
      <c r="B2" t="s">
        <v>142</v>
      </c>
      <c r="C2" t="s">
        <v>139</v>
      </c>
      <c r="D2" t="s">
        <v>133</v>
      </c>
      <c r="E2" t="s">
        <v>134</v>
      </c>
      <c r="F2" t="s">
        <v>135</v>
      </c>
      <c r="G2" t="s">
        <v>113</v>
      </c>
      <c r="H2" s="23">
        <v>41518</v>
      </c>
      <c r="I2" t="s">
        <v>136</v>
      </c>
      <c r="J2" s="23">
        <v>41593</v>
      </c>
      <c r="K2" t="s">
        <v>137</v>
      </c>
    </row>
    <row r="3" spans="1:11" x14ac:dyDescent="0.25">
      <c r="A3" t="s">
        <v>131</v>
      </c>
      <c r="B3" t="s">
        <v>138</v>
      </c>
      <c r="C3" t="s">
        <v>132</v>
      </c>
      <c r="D3" t="s">
        <v>140</v>
      </c>
      <c r="E3" t="s">
        <v>134</v>
      </c>
      <c r="F3" t="s">
        <v>141</v>
      </c>
      <c r="G3" t="s">
        <v>113</v>
      </c>
      <c r="H3" s="23">
        <v>41518</v>
      </c>
      <c r="I3" t="s">
        <v>138</v>
      </c>
      <c r="J3" s="23">
        <v>41594</v>
      </c>
      <c r="K3" t="s">
        <v>138</v>
      </c>
    </row>
    <row r="4" spans="1:11" x14ac:dyDescent="0.25">
      <c r="A4" t="s">
        <v>67</v>
      </c>
      <c r="B4" t="s">
        <v>161</v>
      </c>
      <c r="C4" t="s">
        <v>162</v>
      </c>
      <c r="D4" t="s">
        <v>163</v>
      </c>
      <c r="E4" t="s">
        <v>94</v>
      </c>
      <c r="F4" t="s">
        <v>111</v>
      </c>
      <c r="G4" t="s">
        <v>115</v>
      </c>
      <c r="H4" s="23">
        <v>41518</v>
      </c>
      <c r="I4" t="s">
        <v>164</v>
      </c>
      <c r="J4" s="23">
        <v>41639</v>
      </c>
      <c r="K4" t="s">
        <v>138</v>
      </c>
    </row>
    <row r="5" spans="1:11" x14ac:dyDescent="0.25">
      <c r="A5" t="s">
        <v>37</v>
      </c>
      <c r="B5" t="s">
        <v>188</v>
      </c>
      <c r="C5" t="s">
        <v>139</v>
      </c>
      <c r="D5" t="s">
        <v>189</v>
      </c>
      <c r="E5" t="s">
        <v>134</v>
      </c>
      <c r="F5" t="s">
        <v>190</v>
      </c>
      <c r="G5" t="s">
        <v>115</v>
      </c>
      <c r="H5" s="23">
        <v>41518</v>
      </c>
      <c r="I5" t="s">
        <v>191</v>
      </c>
      <c r="J5" s="23">
        <v>41594</v>
      </c>
      <c r="K5" t="s">
        <v>192</v>
      </c>
    </row>
    <row r="6" spans="1:11" x14ac:dyDescent="0.25">
      <c r="A6" t="s">
        <v>37</v>
      </c>
      <c r="B6" t="s">
        <v>193</v>
      </c>
      <c r="C6" t="s">
        <v>194</v>
      </c>
      <c r="D6" t="s">
        <v>189</v>
      </c>
      <c r="E6" t="s">
        <v>82</v>
      </c>
      <c r="F6" t="s">
        <v>195</v>
      </c>
      <c r="G6" t="s">
        <v>113</v>
      </c>
      <c r="H6" s="23">
        <v>41518</v>
      </c>
      <c r="I6" t="s">
        <v>138</v>
      </c>
      <c r="J6" s="23">
        <v>41518</v>
      </c>
      <c r="K6" t="s">
        <v>138</v>
      </c>
    </row>
    <row r="7" spans="1:11" x14ac:dyDescent="0.25">
      <c r="A7" t="s">
        <v>131</v>
      </c>
      <c r="B7" t="s">
        <v>196</v>
      </c>
      <c r="C7" t="s">
        <v>132</v>
      </c>
      <c r="D7" t="s">
        <v>197</v>
      </c>
      <c r="E7" t="s">
        <v>134</v>
      </c>
      <c r="F7" t="s">
        <v>198</v>
      </c>
      <c r="G7" t="s">
        <v>113</v>
      </c>
      <c r="H7" s="23">
        <v>41518</v>
      </c>
      <c r="I7" t="s">
        <v>138</v>
      </c>
      <c r="J7" s="23">
        <v>41518</v>
      </c>
      <c r="K7" t="s">
        <v>199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tint="0.39997558519241921"/>
  </sheetPr>
  <dimension ref="A1:O6"/>
  <sheetViews>
    <sheetView workbookViewId="0"/>
  </sheetViews>
  <sheetFormatPr baseColWidth="10" defaultRowHeight="15" x14ac:dyDescent="0.25"/>
  <cols>
    <col min="1" max="1" width="22.42578125" style="40" customWidth="1"/>
    <col min="2" max="3" width="11.42578125" style="33"/>
    <col min="4" max="4" width="21" style="33" customWidth="1"/>
    <col min="5" max="5" width="12.28515625" style="33" customWidth="1"/>
    <col min="6" max="6" width="21" style="33" customWidth="1"/>
    <col min="7" max="7" width="20.85546875" style="33" customWidth="1"/>
    <col min="8" max="8" width="16.28515625" style="33" customWidth="1"/>
    <col min="9" max="9" width="19.140625" style="33" customWidth="1"/>
    <col min="10" max="10" width="16.85546875" style="33" customWidth="1"/>
    <col min="11" max="11" width="18.140625" style="33" customWidth="1"/>
    <col min="12" max="12" width="17.28515625" style="33" customWidth="1"/>
    <col min="13" max="13" width="15.7109375" style="33" bestFit="1" customWidth="1"/>
    <col min="14" max="14" width="20.7109375" style="33" bestFit="1" customWidth="1"/>
    <col min="15" max="15" width="20.5703125" style="39" customWidth="1"/>
  </cols>
  <sheetData>
    <row r="1" spans="1:15" x14ac:dyDescent="0.25">
      <c r="A1" s="35" t="s">
        <v>38</v>
      </c>
      <c r="B1" s="36" t="s">
        <v>73</v>
      </c>
      <c r="C1" s="36" t="s">
        <v>74</v>
      </c>
      <c r="D1" s="36" t="s">
        <v>75</v>
      </c>
      <c r="E1" s="36" t="s">
        <v>33</v>
      </c>
      <c r="F1" s="36" t="s">
        <v>77</v>
      </c>
      <c r="G1" s="36" t="s">
        <v>78</v>
      </c>
      <c r="H1" s="36" t="s">
        <v>76</v>
      </c>
      <c r="I1" s="36" t="s">
        <v>79</v>
      </c>
      <c r="J1" s="36" t="s">
        <v>72</v>
      </c>
      <c r="K1" s="36" t="s">
        <v>81</v>
      </c>
      <c r="L1" s="36" t="s">
        <v>35</v>
      </c>
      <c r="M1" s="36" t="s">
        <v>80</v>
      </c>
      <c r="N1" s="36" t="s">
        <v>93</v>
      </c>
      <c r="O1" s="37" t="s">
        <v>92</v>
      </c>
    </row>
    <row r="2" spans="1:15" x14ac:dyDescent="0.25">
      <c r="A2" s="38">
        <v>2</v>
      </c>
      <c r="B2" s="38">
        <v>1</v>
      </c>
      <c r="C2" s="34">
        <v>41557</v>
      </c>
      <c r="D2" s="38">
        <v>250</v>
      </c>
      <c r="E2" s="33" t="s">
        <v>40</v>
      </c>
      <c r="F2" s="38">
        <v>4</v>
      </c>
      <c r="G2" s="38">
        <v>3</v>
      </c>
      <c r="H2" s="34">
        <v>41558</v>
      </c>
      <c r="I2" s="38">
        <v>200</v>
      </c>
      <c r="J2" s="33" t="s">
        <v>83</v>
      </c>
      <c r="K2" s="33" t="s">
        <v>82</v>
      </c>
      <c r="L2" s="33" t="s">
        <v>91</v>
      </c>
      <c r="M2" s="33" t="s">
        <v>84</v>
      </c>
      <c r="N2" s="33">
        <f>SUMPRODUCT((TBEgasoil[N° DA]=TBEgasoil[[#This Row],[N° DA]])*1,TBEgasoil[Quantité reçue (L)])</f>
        <v>400</v>
      </c>
      <c r="O2" s="39">
        <f>IF(TBEgasoil[N° DA]=TBEgasoil[[#This Row],[N° DA]],MAX(TBEgasoil[Date réception]),"")</f>
        <v>41558</v>
      </c>
    </row>
    <row r="3" spans="1:15" x14ac:dyDescent="0.25">
      <c r="A3" s="38">
        <v>2</v>
      </c>
      <c r="B3" s="38">
        <v>1</v>
      </c>
      <c r="C3" s="34">
        <v>41557</v>
      </c>
      <c r="D3" s="38">
        <v>250</v>
      </c>
      <c r="E3" s="33" t="s">
        <v>40</v>
      </c>
      <c r="F3" s="38">
        <v>6</v>
      </c>
      <c r="G3" s="38">
        <v>5</v>
      </c>
      <c r="H3" s="34">
        <v>41558</v>
      </c>
      <c r="I3" s="38">
        <v>200</v>
      </c>
      <c r="J3" s="33" t="s">
        <v>83</v>
      </c>
      <c r="K3" s="33" t="s">
        <v>94</v>
      </c>
      <c r="L3" s="33" t="s">
        <v>95</v>
      </c>
      <c r="M3" s="33" t="s">
        <v>96</v>
      </c>
      <c r="N3" s="33">
        <f>SUMPRODUCT((TBEgasoil[N° DA]=TBEgasoil[[#This Row],[N° DA]])*1,TBEgasoil[Quantité reçue (L)])</f>
        <v>400</v>
      </c>
      <c r="O3" s="39">
        <f>IF(TBEgasoil[N° DA]=TBEgasoil[[#This Row],[N° DA]],MAX(TBEgasoil[Date réception]),"")</f>
        <v>41558</v>
      </c>
    </row>
    <row r="4" spans="1:15" x14ac:dyDescent="0.25">
      <c r="A4" s="40">
        <v>8</v>
      </c>
      <c r="B4" s="33">
        <v>9</v>
      </c>
      <c r="C4" s="34">
        <v>41548</v>
      </c>
      <c r="D4" s="33">
        <v>500</v>
      </c>
      <c r="E4" s="33" t="s">
        <v>40</v>
      </c>
      <c r="F4" s="33">
        <v>6</v>
      </c>
      <c r="G4" s="33">
        <v>7</v>
      </c>
      <c r="H4" s="34">
        <v>41558</v>
      </c>
      <c r="I4" s="33">
        <v>455</v>
      </c>
      <c r="J4" s="33" t="s">
        <v>83</v>
      </c>
      <c r="N4" s="38">
        <f>SUMPRODUCT((TBEgasoil[N° DA]=TBEgasoil[[#This Row],[N° DA]])*1,TBEgasoil[Quantité reçue (L)])</f>
        <v>1445</v>
      </c>
      <c r="O4" s="39">
        <f>IF(TBEgasoil[N° DA]=TBEgasoil[[#This Row],[N° DA]],MAX(TBEgasoil[Date réception]),"")</f>
        <v>41558</v>
      </c>
    </row>
    <row r="5" spans="1:15" x14ac:dyDescent="0.25">
      <c r="A5" s="40">
        <v>8</v>
      </c>
      <c r="B5" s="33">
        <v>9</v>
      </c>
      <c r="C5" s="34">
        <v>41548</v>
      </c>
      <c r="D5" s="33">
        <v>500</v>
      </c>
      <c r="E5" s="33" t="s">
        <v>40</v>
      </c>
      <c r="F5" s="33">
        <v>76</v>
      </c>
      <c r="G5" s="33">
        <v>65</v>
      </c>
      <c r="H5" s="34">
        <v>41558</v>
      </c>
      <c r="I5" s="33">
        <v>495</v>
      </c>
      <c r="J5" s="33" t="s">
        <v>83</v>
      </c>
      <c r="K5" s="33" t="s">
        <v>82</v>
      </c>
      <c r="L5" s="33" t="s">
        <v>97</v>
      </c>
      <c r="N5" s="38">
        <f>SUMPRODUCT((TBEgasoil[N° DA]=TBEgasoil[[#This Row],[N° DA]])*1,TBEgasoil[Quantité reçue (L)])</f>
        <v>1445</v>
      </c>
      <c r="O5" s="39">
        <f>IF(TBEgasoil[N° DA]=TBEgasoil[[#This Row],[N° DA]],MAX(TBEgasoil[Date réception]),"")</f>
        <v>41558</v>
      </c>
    </row>
    <row r="6" spans="1:15" x14ac:dyDescent="0.25">
      <c r="A6" s="40">
        <v>8</v>
      </c>
      <c r="B6" s="33">
        <v>9</v>
      </c>
      <c r="C6" s="34">
        <v>41548</v>
      </c>
      <c r="D6" s="33">
        <v>500</v>
      </c>
      <c r="E6" s="33" t="s">
        <v>40</v>
      </c>
      <c r="F6" s="33">
        <v>7</v>
      </c>
      <c r="G6" s="33">
        <v>6</v>
      </c>
      <c r="H6" s="34">
        <v>41558</v>
      </c>
      <c r="I6" s="33">
        <v>495</v>
      </c>
      <c r="J6" s="33" t="s">
        <v>83</v>
      </c>
      <c r="K6" s="33" t="s">
        <v>82</v>
      </c>
      <c r="L6" s="33" t="s">
        <v>98</v>
      </c>
      <c r="M6" s="33" t="s">
        <v>99</v>
      </c>
      <c r="N6" s="38">
        <f>SUMPRODUCT((TBEgasoil[N° DA]=TBEgasoil[[#This Row],[N° DA]])*1,TBEgasoil[Quantité reçue (L)])</f>
        <v>1445</v>
      </c>
      <c r="O6" s="39">
        <f>IF(TBEgasoil[N° DA]=TBEgasoil[[#This Row],[N° DA]],MAX(TBEgasoil[Date réception]),"")</f>
        <v>41558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tint="0.39997558519241921"/>
  </sheetPr>
  <dimension ref="A1:T5"/>
  <sheetViews>
    <sheetView topLeftCell="G1" workbookViewId="0">
      <selection activeCell="W9" sqref="W9:W10"/>
    </sheetView>
  </sheetViews>
  <sheetFormatPr baseColWidth="10" defaultRowHeight="15" x14ac:dyDescent="0.25"/>
  <cols>
    <col min="1" max="1" width="11.42578125" style="33"/>
    <col min="2" max="2" width="15.5703125" style="33" customWidth="1"/>
    <col min="3" max="8" width="11.42578125" style="33"/>
    <col min="9" max="9" width="15.28515625" style="33" bestFit="1" customWidth="1"/>
    <col min="10" max="10" width="12.28515625" style="33" customWidth="1"/>
    <col min="11" max="13" width="11.42578125" style="33"/>
    <col min="14" max="14" width="13.5703125" style="33" customWidth="1"/>
    <col min="15" max="19" width="11.42578125" style="33"/>
  </cols>
  <sheetData>
    <row r="1" spans="1:20" s="26" customFormat="1" ht="30" x14ac:dyDescent="0.25">
      <c r="A1" s="95" t="s">
        <v>175</v>
      </c>
      <c r="B1" s="158" t="s">
        <v>36</v>
      </c>
      <c r="C1" s="26" t="s">
        <v>34</v>
      </c>
      <c r="D1" s="94" t="s">
        <v>173</v>
      </c>
      <c r="E1" s="26" t="s">
        <v>104</v>
      </c>
      <c r="F1" s="26" t="s">
        <v>33</v>
      </c>
      <c r="G1" s="26" t="s">
        <v>107</v>
      </c>
      <c r="H1" s="26" t="s">
        <v>0</v>
      </c>
      <c r="I1" s="26" t="s">
        <v>108</v>
      </c>
      <c r="J1" s="26" t="s">
        <v>54</v>
      </c>
      <c r="K1" s="26" t="s">
        <v>105</v>
      </c>
      <c r="L1" s="95" t="s">
        <v>174</v>
      </c>
      <c r="M1" s="26" t="s">
        <v>106</v>
      </c>
      <c r="N1" s="26" t="s">
        <v>109</v>
      </c>
      <c r="O1" s="26" t="s">
        <v>63</v>
      </c>
      <c r="P1" s="26" t="s">
        <v>51</v>
      </c>
      <c r="Q1" s="26" t="s">
        <v>116</v>
      </c>
      <c r="R1" s="26" t="s">
        <v>117</v>
      </c>
      <c r="S1" s="26" t="s">
        <v>118</v>
      </c>
      <c r="T1" s="26" t="s">
        <v>170</v>
      </c>
    </row>
    <row r="2" spans="1:20" x14ac:dyDescent="0.25">
      <c r="A2" s="33" t="s">
        <v>126</v>
      </c>
      <c r="B2" s="34">
        <v>41518</v>
      </c>
      <c r="C2" s="33" t="s">
        <v>127</v>
      </c>
      <c r="D2" s="33">
        <v>63</v>
      </c>
      <c r="F2" s="33" t="s">
        <v>37</v>
      </c>
      <c r="G2" s="33" t="s">
        <v>122</v>
      </c>
      <c r="H2" s="33" t="s">
        <v>123</v>
      </c>
      <c r="I2" s="33" t="s">
        <v>124</v>
      </c>
      <c r="J2" s="33" t="s">
        <v>82</v>
      </c>
      <c r="L2" s="38">
        <v>67889</v>
      </c>
      <c r="M2" s="33" t="s">
        <v>113</v>
      </c>
      <c r="N2" s="33" t="s">
        <v>125</v>
      </c>
      <c r="O2" s="33">
        <v>789</v>
      </c>
      <c r="P2" s="33">
        <v>899</v>
      </c>
      <c r="Q2" s="33" t="s">
        <v>111</v>
      </c>
      <c r="R2" s="33" t="str">
        <f>IF(TBSgasoil[Index
 Fin]-TBSgasoil[Index
Début]&lt;&gt;TBSgasoil[Quantité],"erreur","OK")</f>
        <v>erreur</v>
      </c>
      <c r="S2" s="33">
        <f>(TBSgasoil[Index
 Fin]-TBSgasoil[Index
Début])-TBSgasoil[Quantité]</f>
        <v>47</v>
      </c>
      <c r="T2" s="33">
        <f>IF((DAY(B2)*1)&gt;25,1*CONCATENATE(25,(1*CONCATENATE(MONTH(B2),YEAR(B2)))+10000),1*CONCATENATE(25,1*CONCATENATE(MONTH(B2),YEAR(B2))))</f>
        <v>2592013</v>
      </c>
    </row>
    <row r="3" spans="1:20" x14ac:dyDescent="0.25">
      <c r="A3" s="33" t="s">
        <v>128</v>
      </c>
      <c r="B3" s="34">
        <v>41518</v>
      </c>
      <c r="C3" s="33" t="s">
        <v>129</v>
      </c>
      <c r="D3" s="33">
        <v>876</v>
      </c>
      <c r="F3" s="33" t="s">
        <v>37</v>
      </c>
      <c r="G3" s="33" t="s">
        <v>130</v>
      </c>
      <c r="H3" s="33" t="s">
        <v>119</v>
      </c>
      <c r="I3" s="33" t="s">
        <v>120</v>
      </c>
      <c r="J3" s="33" t="s">
        <v>121</v>
      </c>
      <c r="L3" s="33" t="s">
        <v>114</v>
      </c>
      <c r="M3" s="33" t="s">
        <v>115</v>
      </c>
      <c r="N3" s="33" t="s">
        <v>125</v>
      </c>
      <c r="O3" s="33">
        <v>7663</v>
      </c>
      <c r="P3" s="33">
        <v>8999</v>
      </c>
      <c r="Q3" s="33" t="s">
        <v>111</v>
      </c>
      <c r="R3" s="33" t="str">
        <f>IF(TBSgasoil[Index
 Fin]-TBSgasoil[Index
Début]&lt;&gt;TBSgasoil[Quantité],"erreur","OK")</f>
        <v>erreur</v>
      </c>
      <c r="S3" s="33">
        <f>(TBSgasoil[Index
 Fin]-TBSgasoil[Index
Début])-TBSgasoil[Quantité]</f>
        <v>460</v>
      </c>
      <c r="T3" s="33">
        <f t="shared" ref="T3:T4" si="0">IF((DAY(B3)*1)&gt;25,1*CONCATENATE(25,(1*CONCATENATE(MONTH(B3),YEAR(B3)))+10000),1*CONCATENATE(25,1*CONCATENATE(MONTH(B3),YEAR(B3))))</f>
        <v>2592013</v>
      </c>
    </row>
    <row r="4" spans="1:20" x14ac:dyDescent="0.25">
      <c r="A4" s="33" t="s">
        <v>165</v>
      </c>
      <c r="B4" s="34">
        <v>41563</v>
      </c>
      <c r="C4" s="33" t="s">
        <v>166</v>
      </c>
      <c r="D4" s="33">
        <v>50</v>
      </c>
      <c r="F4" s="33" t="s">
        <v>67</v>
      </c>
      <c r="G4" s="33" t="s">
        <v>135</v>
      </c>
      <c r="H4" s="33" t="s">
        <v>161</v>
      </c>
      <c r="I4" s="33" t="s">
        <v>162</v>
      </c>
      <c r="J4" s="33" t="s">
        <v>94</v>
      </c>
      <c r="L4" s="33" t="s">
        <v>114</v>
      </c>
      <c r="M4" s="33" t="s">
        <v>115</v>
      </c>
      <c r="N4" s="33" t="s">
        <v>112</v>
      </c>
      <c r="O4" s="33">
        <v>678</v>
      </c>
      <c r="P4" s="33">
        <v>789</v>
      </c>
      <c r="Q4" s="33" t="s">
        <v>111</v>
      </c>
      <c r="R4" s="33" t="str">
        <f>IF(TBSgasoil[Index
 Fin]-TBSgasoil[Index
Début]&lt;&gt;TBSgasoil[Quantité],"erreur","OK")</f>
        <v>erreur</v>
      </c>
      <c r="S4" s="33">
        <f>(TBSgasoil[Index
 Fin]-TBSgasoil[Index
Début])-TBSgasoil[Quantité]</f>
        <v>61</v>
      </c>
      <c r="T4" s="33">
        <f t="shared" si="0"/>
        <v>25102013</v>
      </c>
    </row>
    <row r="5" spans="1:20" x14ac:dyDescent="0.25">
      <c r="A5" s="33" t="s">
        <v>110</v>
      </c>
      <c r="B5" s="34">
        <v>41563</v>
      </c>
      <c r="C5" s="33" t="s">
        <v>114</v>
      </c>
      <c r="D5" s="33">
        <v>700</v>
      </c>
      <c r="F5" s="33" t="s">
        <v>37</v>
      </c>
      <c r="G5" s="33" t="s">
        <v>171</v>
      </c>
      <c r="H5" s="33" t="s">
        <v>161</v>
      </c>
      <c r="I5" s="33" t="s">
        <v>162</v>
      </c>
      <c r="J5" s="33" t="s">
        <v>94</v>
      </c>
      <c r="K5" s="33" t="s">
        <v>163</v>
      </c>
      <c r="L5" s="38">
        <v>78393</v>
      </c>
      <c r="M5" s="33" t="s">
        <v>113</v>
      </c>
      <c r="N5" s="33" t="s">
        <v>112</v>
      </c>
      <c r="O5" s="33">
        <v>567</v>
      </c>
      <c r="P5" s="33">
        <v>789</v>
      </c>
      <c r="Q5" s="33" t="s">
        <v>111</v>
      </c>
      <c r="R5" s="33" t="str">
        <f>IF(TBSgasoil[Index
 Fin]-TBSgasoil[Index
Début]&lt;&gt;TBSgasoil[Quantité],"erreur","OK")</f>
        <v>erreur</v>
      </c>
      <c r="S5" s="33">
        <f>(TBSgasoil[Index
 Fin]-TBSgasoil[Index
Début])-TBSgasoil[Quantité]</f>
        <v>-478</v>
      </c>
      <c r="T5" s="38">
        <f>IF((DAY(B5)*1)&gt;25,1*CONCATENATE(25,(1*CONCATENATE(MONTH(B5),YEAR(B5)))+10000),1*CONCATENATE(25,1*CONCATENATE(MONTH(B5),YEAR(B5))))</f>
        <v>25102013</v>
      </c>
    </row>
  </sheetData>
  <conditionalFormatting sqref="S3:S1048576 R1:R5">
    <cfRule type="cellIs" dxfId="4" priority="1" operator="equal">
      <formula>"""OK"""</formula>
    </cfRule>
    <cfRule type="cellIs" dxfId="3" priority="3" operator="equal">
      <formula>"""erreur"""</formula>
    </cfRule>
  </conditionalFormatting>
  <conditionalFormatting sqref="R1:R5">
    <cfRule type="cellIs" dxfId="2" priority="2" operator="equal">
      <formula>"""OK"""</formula>
    </cfRule>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theme="9" tint="0.39997558519241921"/>
    <pageSetUpPr fitToPage="1"/>
  </sheetPr>
  <dimension ref="B2:AJ109"/>
  <sheetViews>
    <sheetView workbookViewId="0"/>
  </sheetViews>
  <sheetFormatPr baseColWidth="10" defaultRowHeight="11.25" x14ac:dyDescent="0.25"/>
  <cols>
    <col min="1" max="1" width="2.42578125" style="6" customWidth="1"/>
    <col min="2" max="2" width="10.7109375" style="42" bestFit="1" customWidth="1"/>
    <col min="3" max="3" width="1.140625" style="6" customWidth="1"/>
    <col min="4" max="5" width="12.7109375" style="6" customWidth="1"/>
    <col min="6" max="6" width="5.5703125" style="6" customWidth="1"/>
    <col min="7" max="9" width="12.7109375" style="6" customWidth="1"/>
    <col min="10" max="10" width="5.5703125" style="6" customWidth="1"/>
    <col min="11" max="14" width="12.7109375" style="6" customWidth="1"/>
    <col min="15" max="16" width="8.7109375" style="6" customWidth="1"/>
    <col min="17" max="17" width="1.140625" style="6" customWidth="1"/>
    <col min="18" max="19" width="12.7109375" style="6" customWidth="1"/>
    <col min="20" max="26" width="8.7109375" style="6" customWidth="1"/>
    <col min="27" max="27" width="4.85546875" style="6" customWidth="1"/>
    <col min="28" max="36" width="9.7109375" style="6" customWidth="1"/>
    <col min="37" max="16384" width="11.42578125" style="6"/>
  </cols>
  <sheetData>
    <row r="2" spans="2:19" ht="24" customHeight="1" x14ac:dyDescent="0.25">
      <c r="C2" s="43"/>
      <c r="D2" s="98"/>
      <c r="E2" s="45"/>
      <c r="F2" s="44" t="s">
        <v>157</v>
      </c>
      <c r="G2" s="96"/>
      <c r="H2" s="170">
        <f>B6</f>
        <v>41548</v>
      </c>
      <c r="I2" s="170"/>
      <c r="J2" s="171"/>
      <c r="K2" s="99"/>
      <c r="L2" s="114"/>
      <c r="M2" s="43"/>
      <c r="O2" s="43"/>
      <c r="P2" s="43"/>
      <c r="R2" s="43"/>
    </row>
    <row r="3" spans="2:19" ht="7.5" customHeight="1" x14ac:dyDescent="0.25"/>
    <row r="4" spans="2:19" s="90" customFormat="1" ht="16.5" customHeight="1" x14ac:dyDescent="0.25">
      <c r="C4" s="6"/>
      <c r="D4" s="67"/>
      <c r="E4" s="67"/>
      <c r="G4" s="67"/>
      <c r="H4" s="67"/>
      <c r="I4" s="67"/>
      <c r="K4" s="67"/>
      <c r="L4" s="67"/>
      <c r="M4" s="67"/>
      <c r="N4" s="67"/>
      <c r="O4" s="6"/>
      <c r="P4" s="6"/>
      <c r="Q4" s="6"/>
    </row>
    <row r="5" spans="2:19" ht="16.5" customHeight="1" x14ac:dyDescent="0.25">
      <c r="B5" s="42" t="s">
        <v>36</v>
      </c>
      <c r="D5" s="121">
        <f>VLOOKUP(MAX(B8:B39),B8:E39,3,0)</f>
        <v>0</v>
      </c>
      <c r="E5" s="91"/>
      <c r="G5" s="109" t="s">
        <v>156</v>
      </c>
      <c r="H5" s="109"/>
      <c r="I5" s="109"/>
      <c r="K5" s="110" t="s">
        <v>143</v>
      </c>
      <c r="L5" s="110"/>
      <c r="M5" s="110"/>
      <c r="N5" s="110"/>
      <c r="O5" s="90"/>
    </row>
    <row r="6" spans="2:19" s="93" customFormat="1" ht="22.5" x14ac:dyDescent="0.25">
      <c r="B6" s="117">
        <v>41548</v>
      </c>
      <c r="C6" s="6"/>
      <c r="D6" s="115" t="str">
        <f>IF(S20="","moyenne des consommations manquante !",D5/S20)</f>
        <v>moyenne des consommations manquante !</v>
      </c>
      <c r="E6" s="92"/>
      <c r="G6" s="92" t="s">
        <v>151</v>
      </c>
      <c r="H6" s="92" t="s">
        <v>152</v>
      </c>
      <c r="I6" s="92" t="s">
        <v>169</v>
      </c>
      <c r="K6" s="92" t="s">
        <v>153</v>
      </c>
      <c r="L6" s="92" t="s">
        <v>155</v>
      </c>
      <c r="M6" s="92" t="s">
        <v>154</v>
      </c>
      <c r="N6" s="92" t="s">
        <v>169</v>
      </c>
      <c r="P6" s="6"/>
      <c r="Q6" s="6"/>
      <c r="R6" s="111" t="s">
        <v>144</v>
      </c>
      <c r="S6" s="111" t="s">
        <v>45</v>
      </c>
    </row>
    <row r="7" spans="2:19" x14ac:dyDescent="0.25">
      <c r="B7" s="50"/>
      <c r="C7" s="42"/>
      <c r="D7" s="2" t="s">
        <v>43</v>
      </c>
      <c r="E7" s="2" t="s">
        <v>44</v>
      </c>
      <c r="G7" s="2">
        <f t="shared" ref="G7:I7" si="0">SUM(G8:G39)</f>
        <v>1845</v>
      </c>
      <c r="H7" s="2">
        <f t="shared" ref="H7" si="1">SUM(H8:H39)</f>
        <v>0</v>
      </c>
      <c r="I7" s="2">
        <f t="shared" si="0"/>
        <v>1845</v>
      </c>
      <c r="K7" s="2">
        <f t="shared" ref="K7:L7" si="2">SUM(K8:K39)</f>
        <v>0</v>
      </c>
      <c r="L7" s="2">
        <f t="shared" si="2"/>
        <v>0</v>
      </c>
      <c r="M7" s="2">
        <f t="shared" ref="M7" si="3">SUM(M8:M39)</f>
        <v>750</v>
      </c>
      <c r="N7" s="2">
        <f>SUM(N8:N39)</f>
        <v>750</v>
      </c>
      <c r="P7" s="42">
        <f>PARAM.!F2</f>
        <v>41451</v>
      </c>
      <c r="Q7" s="42"/>
      <c r="R7" s="101"/>
      <c r="S7" s="101"/>
    </row>
    <row r="8" spans="2:19" x14ac:dyDescent="0.25">
      <c r="B8" s="106">
        <f>VLOOKUP(B6,PARAM.!E1:F19,2,0)</f>
        <v>41543</v>
      </c>
      <c r="C8" s="42"/>
      <c r="D8" s="51"/>
      <c r="E8" s="53">
        <f ca="1">VLOOKUP(B8,$P$7:$S$18,2,0)</f>
        <v>0</v>
      </c>
      <c r="G8" s="51">
        <f>SUMIFS(TBEgasoil[Quantité reçue (L)],TBEgasoil[Entreprise],"&lt;&gt;SGE-C",TBEgasoil[Date réception],Stock!$B8)</f>
        <v>0</v>
      </c>
      <c r="H8" s="53">
        <f>SUMIFS(TBEgasoil[Quantité reçue (L)],TBEgasoil[Entreprise],"SGE-C",TBEgasoil[Date réception],Stock!B8)</f>
        <v>0</v>
      </c>
      <c r="I8" s="53">
        <f>SUM(G8:H8)</f>
        <v>0</v>
      </c>
      <c r="K8" s="51">
        <f>SUMIFS(TBSgasoil[Quantité],TBSgasoil[Entreprise],"683",TBSgasoil[Date],Stock!$B8)</f>
        <v>0</v>
      </c>
      <c r="L8" s="163">
        <f>SUMPRODUCT((TBSgasoil[Date]=Stock!$B8)*(TBSgasoil[Entreprise]&lt;&gt;"683")*(T(TBSgasoil[Entreprise])="")*1,TBSgasoil[Quantité])</f>
        <v>0</v>
      </c>
      <c r="M8" s="163">
        <f>SUMPRODUCT((TBSgasoil[Date]=Stock!$B8)*(TBSgasoil[Entreprise]&lt;&gt;"")*1,TBSgasoil[Quantité])</f>
        <v>0</v>
      </c>
      <c r="N8" s="53">
        <f>SUM(K8:M8)</f>
        <v>0</v>
      </c>
      <c r="P8" s="42">
        <f ca="1">OFFSET(PARAM.!F2,1,0)</f>
        <v>41481</v>
      </c>
      <c r="Q8" s="42"/>
      <c r="R8" s="102"/>
      <c r="S8" s="102"/>
    </row>
    <row r="9" spans="2:19" x14ac:dyDescent="0.25">
      <c r="B9" s="106">
        <f>B8+1</f>
        <v>41544</v>
      </c>
      <c r="C9" s="42"/>
      <c r="D9" s="55"/>
      <c r="E9" s="57">
        <f ca="1">E8+I8-N8</f>
        <v>0</v>
      </c>
      <c r="G9" s="55">
        <f>SUMIFS(TBEgasoil[Quantité reçue (L)],TBEgasoil[Entreprise],"&lt;&gt;SGE-C",TBEgasoil[Date réception],Stock!$B9)</f>
        <v>0</v>
      </c>
      <c r="H9" s="57">
        <f>SUMIFS(TBEgasoil[Quantité reçue (L)],TBEgasoil[Entreprise],"SGE-C",TBEgasoil[Date réception],Stock!B9)</f>
        <v>0</v>
      </c>
      <c r="I9" s="57">
        <f t="shared" ref="I9:I39" si="4">SUM(G9:H9)</f>
        <v>0</v>
      </c>
      <c r="K9" s="55">
        <f>SUMIFS(TBSgasoil[Quantité],TBSgasoil[Entreprise],"683",TBSgasoil[Date],Stock!$B9)</f>
        <v>0</v>
      </c>
      <c r="L9" s="164">
        <f>SUMPRODUCT((TBSgasoil[Date]=Stock!$B9)*(TBSgasoil[Entreprise]&lt;&gt;"683")*(T(TBSgasoil[Entreprise])="")*1,TBSgasoil[Quantité])</f>
        <v>0</v>
      </c>
      <c r="M9" s="165">
        <f>SUMPRODUCT((TBSgasoil[Date]=Stock!$B9)*(TBSgasoil[Entreprise]&lt;&gt;"")*1,TBSgasoil[Quantité])</f>
        <v>0</v>
      </c>
      <c r="N9" s="57">
        <f t="shared" ref="N9:N39" si="5">SUM(K9:M9)</f>
        <v>0</v>
      </c>
      <c r="P9" s="42">
        <f ca="1">OFFSET(PARAM.!F3,1,0)</f>
        <v>41512</v>
      </c>
      <c r="Q9" s="42"/>
      <c r="R9" s="102"/>
      <c r="S9" s="102"/>
    </row>
    <row r="10" spans="2:19" x14ac:dyDescent="0.25">
      <c r="B10" s="106">
        <f t="shared" ref="B10:B34" si="6">B9+1</f>
        <v>41545</v>
      </c>
      <c r="C10" s="42"/>
      <c r="D10" s="55"/>
      <c r="E10" s="57">
        <f t="shared" ref="E10:E39" ca="1" si="7">E9+I9-N9</f>
        <v>0</v>
      </c>
      <c r="G10" s="55">
        <f>SUMIFS(TBEgasoil[Quantité reçue (L)],TBEgasoil[Entreprise],"&lt;&gt;SGE-C",TBEgasoil[Date réception],Stock!$B10)</f>
        <v>0</v>
      </c>
      <c r="H10" s="57">
        <f>SUMIFS(TBEgasoil[Quantité reçue (L)],TBEgasoil[Entreprise],"SGE-C",TBEgasoil[Date réception],Stock!B10)</f>
        <v>0</v>
      </c>
      <c r="I10" s="57">
        <f t="shared" si="4"/>
        <v>0</v>
      </c>
      <c r="K10" s="55">
        <f>SUMIFS(TBSgasoil[Quantité],TBSgasoil[Entreprise],"683",TBSgasoil[Date],Stock!$B10)</f>
        <v>0</v>
      </c>
      <c r="L10" s="164">
        <f>SUMPRODUCT((TBSgasoil[Date]=Stock!$B10)*(TBSgasoil[Entreprise]&lt;&gt;"683")*(T(TBSgasoil[Entreprise])="")*1,TBSgasoil[Quantité])</f>
        <v>0</v>
      </c>
      <c r="M10" s="165">
        <f>SUMPRODUCT((TBSgasoil[Date]=Stock!$B10)*(TBSgasoil[Entreprise]&lt;&gt;"")*1,TBSgasoil[Quantité])</f>
        <v>0</v>
      </c>
      <c r="N10" s="57">
        <f t="shared" si="5"/>
        <v>0</v>
      </c>
      <c r="P10" s="42">
        <f ca="1">OFFSET(PARAM.!F4,1,0)</f>
        <v>41543</v>
      </c>
      <c r="Q10" s="42"/>
      <c r="R10" s="102"/>
      <c r="S10" s="102"/>
    </row>
    <row r="11" spans="2:19" x14ac:dyDescent="0.25">
      <c r="B11" s="106">
        <f t="shared" si="6"/>
        <v>41546</v>
      </c>
      <c r="C11" s="42"/>
      <c r="D11" s="55"/>
      <c r="E11" s="57">
        <f t="shared" ca="1" si="7"/>
        <v>0</v>
      </c>
      <c r="G11" s="55">
        <f>SUMIFS(TBEgasoil[Quantité reçue (L)],TBEgasoil[Entreprise],"&lt;&gt;SGE-C",TBEgasoil[Date réception],Stock!$B11)</f>
        <v>0</v>
      </c>
      <c r="H11" s="57">
        <f>SUMIFS(TBEgasoil[Quantité reçue (L)],TBEgasoil[Entreprise],"SGE-C",TBEgasoil[Date réception],Stock!B11)</f>
        <v>0</v>
      </c>
      <c r="I11" s="57">
        <f t="shared" si="4"/>
        <v>0</v>
      </c>
      <c r="K11" s="55">
        <f>SUMIFS(TBSgasoil[Quantité],TBSgasoil[Entreprise],"683",TBSgasoil[Date],Stock!$B11)</f>
        <v>0</v>
      </c>
      <c r="L11" s="164">
        <f>SUMPRODUCT((TBSgasoil[Date]=Stock!$B11)*(TBSgasoil[Entreprise]&lt;&gt;"683")*(T(TBSgasoil[Entreprise])="")*1,TBSgasoil[Quantité])</f>
        <v>0</v>
      </c>
      <c r="M11" s="165">
        <f>SUMPRODUCT((TBSgasoil[Date]=Stock!$B11)*(TBSgasoil[Entreprise]&lt;&gt;"")*1,TBSgasoil[Quantité])</f>
        <v>0</v>
      </c>
      <c r="N11" s="57">
        <f t="shared" si="5"/>
        <v>0</v>
      </c>
      <c r="P11" s="42">
        <f ca="1">OFFSET(PARAM.!F5,1,0)</f>
        <v>41573</v>
      </c>
      <c r="Q11" s="42"/>
      <c r="R11" s="102"/>
      <c r="S11" s="102"/>
    </row>
    <row r="12" spans="2:19" x14ac:dyDescent="0.25">
      <c r="B12" s="106">
        <f t="shared" si="6"/>
        <v>41547</v>
      </c>
      <c r="C12" s="42"/>
      <c r="D12" s="55"/>
      <c r="E12" s="57">
        <f t="shared" ca="1" si="7"/>
        <v>0</v>
      </c>
      <c r="G12" s="55">
        <f>SUMIFS(TBEgasoil[Quantité reçue (L)],TBEgasoil[Entreprise],"&lt;&gt;SGE-C",TBEgasoil[Date réception],Stock!$B12)</f>
        <v>0</v>
      </c>
      <c r="H12" s="57">
        <f>SUMIFS(TBEgasoil[Quantité reçue (L)],TBEgasoil[Entreprise],"SGE-C",TBEgasoil[Date réception],Stock!B12)</f>
        <v>0</v>
      </c>
      <c r="I12" s="57">
        <f t="shared" si="4"/>
        <v>0</v>
      </c>
      <c r="K12" s="55">
        <f>SUMIFS(TBSgasoil[Quantité],TBSgasoil[Entreprise],"683",TBSgasoil[Date],Stock!$B12)</f>
        <v>0</v>
      </c>
      <c r="L12" s="164">
        <f>SUMPRODUCT((TBSgasoil[Date]=Stock!$B12)*(TBSgasoil[Entreprise]&lt;&gt;"683")*(T(TBSgasoil[Entreprise])="")*1,TBSgasoil[Quantité])</f>
        <v>0</v>
      </c>
      <c r="M12" s="165">
        <f>SUMPRODUCT((TBSgasoil[Date]=Stock!$B12)*(TBSgasoil[Entreprise]&lt;&gt;"")*1,TBSgasoil[Quantité])</f>
        <v>0</v>
      </c>
      <c r="N12" s="57">
        <f t="shared" si="5"/>
        <v>0</v>
      </c>
      <c r="P12" s="42">
        <f ca="1">OFFSET(PARAM.!F6,1,0)</f>
        <v>41604</v>
      </c>
      <c r="Q12" s="42"/>
      <c r="R12" s="102"/>
      <c r="S12" s="102"/>
    </row>
    <row r="13" spans="2:19" x14ac:dyDescent="0.25">
      <c r="B13" s="106">
        <f t="shared" si="6"/>
        <v>41548</v>
      </c>
      <c r="C13" s="42"/>
      <c r="D13" s="55"/>
      <c r="E13" s="57">
        <f t="shared" ca="1" si="7"/>
        <v>0</v>
      </c>
      <c r="G13" s="55">
        <f>SUMIFS(TBEgasoil[Quantité reçue (L)],TBEgasoil[Entreprise],"&lt;&gt;SGE-C",TBEgasoil[Date réception],Stock!$B13)</f>
        <v>0</v>
      </c>
      <c r="H13" s="57">
        <f>SUMIFS(TBEgasoil[Quantité reçue (L)],TBEgasoil[Entreprise],"SGE-C",TBEgasoil[Date réception],Stock!B13)</f>
        <v>0</v>
      </c>
      <c r="I13" s="57">
        <f t="shared" si="4"/>
        <v>0</v>
      </c>
      <c r="K13" s="55">
        <f>SUMIFS(TBSgasoil[Quantité],TBSgasoil[Entreprise],"683",TBSgasoil[Date],Stock!$B13)</f>
        <v>0</v>
      </c>
      <c r="L13" s="164">
        <f>SUMPRODUCT((TBSgasoil[Date]=Stock!$B13)*(TBSgasoil[Entreprise]&lt;&gt;"683")*(T(TBSgasoil[Entreprise])="")*1,TBSgasoil[Quantité])</f>
        <v>0</v>
      </c>
      <c r="M13" s="165">
        <f>SUMPRODUCT((TBSgasoil[Date]=Stock!$B13)*(TBSgasoil[Entreprise]&lt;&gt;"")*1,TBSgasoil[Quantité])</f>
        <v>0</v>
      </c>
      <c r="N13" s="57">
        <f t="shared" si="5"/>
        <v>0</v>
      </c>
      <c r="P13" s="42">
        <f ca="1">OFFSET(PARAM.!F7,1,0)</f>
        <v>41634</v>
      </c>
      <c r="Q13" s="42"/>
      <c r="R13" s="102"/>
      <c r="S13" s="102"/>
    </row>
    <row r="14" spans="2:19" x14ac:dyDescent="0.25">
      <c r="B14" s="106">
        <f t="shared" si="6"/>
        <v>41549</v>
      </c>
      <c r="C14" s="42"/>
      <c r="D14" s="55"/>
      <c r="E14" s="57">
        <f t="shared" ca="1" si="7"/>
        <v>0</v>
      </c>
      <c r="G14" s="55">
        <f>SUMIFS(TBEgasoil[Quantité reçue (L)],TBEgasoil[Entreprise],"&lt;&gt;SGE-C",TBEgasoil[Date réception],Stock!$B14)</f>
        <v>0</v>
      </c>
      <c r="H14" s="57">
        <f>SUMIFS(TBEgasoil[Quantité reçue (L)],TBEgasoil[Entreprise],"SGE-C",TBEgasoil[Date réception],Stock!B14)</f>
        <v>0</v>
      </c>
      <c r="I14" s="57">
        <f t="shared" si="4"/>
        <v>0</v>
      </c>
      <c r="K14" s="55">
        <f>SUMIFS(TBSgasoil[Quantité],TBSgasoil[Entreprise],"683",TBSgasoil[Date],Stock!$B14)</f>
        <v>0</v>
      </c>
      <c r="L14" s="164">
        <f>SUMPRODUCT((TBSgasoil[Date]=Stock!$B14)*(TBSgasoil[Entreprise]&lt;&gt;"683")*(T(TBSgasoil[Entreprise])="")*1,TBSgasoil[Quantité])</f>
        <v>0</v>
      </c>
      <c r="M14" s="165">
        <f>SUMPRODUCT((TBSgasoil[Date]=Stock!$B14)*(TBSgasoil[Entreprise]&lt;&gt;"")*1,TBSgasoil[Quantité])</f>
        <v>0</v>
      </c>
      <c r="N14" s="57">
        <f t="shared" si="5"/>
        <v>0</v>
      </c>
      <c r="P14" s="42">
        <f ca="1">OFFSET(PARAM.!F8,1,0)</f>
        <v>41665</v>
      </c>
      <c r="Q14" s="42"/>
      <c r="R14" s="102"/>
      <c r="S14" s="102"/>
    </row>
    <row r="15" spans="2:19" x14ac:dyDescent="0.25">
      <c r="B15" s="106">
        <f t="shared" si="6"/>
        <v>41550</v>
      </c>
      <c r="C15" s="42"/>
      <c r="D15" s="55"/>
      <c r="E15" s="57">
        <f t="shared" ca="1" si="7"/>
        <v>0</v>
      </c>
      <c r="G15" s="55">
        <f>SUMIFS(TBEgasoil[Quantité reçue (L)],TBEgasoil[Entreprise],"&lt;&gt;SGE-C",TBEgasoil[Date réception],Stock!$B15)</f>
        <v>0</v>
      </c>
      <c r="H15" s="57">
        <f>SUMIFS(TBEgasoil[Quantité reçue (L)],TBEgasoil[Entreprise],"SGE-C",TBEgasoil[Date réception],Stock!B15)</f>
        <v>0</v>
      </c>
      <c r="I15" s="57">
        <f>SUM(G15:H15)</f>
        <v>0</v>
      </c>
      <c r="K15" s="55">
        <f>SUMIFS(TBSgasoil[Quantité],TBSgasoil[Entreprise],"683",TBSgasoil[Date],Stock!$B15)</f>
        <v>0</v>
      </c>
      <c r="L15" s="164">
        <f>SUMPRODUCT((TBSgasoil[Date]=Stock!$B15)*(TBSgasoil[Entreprise]&lt;&gt;"683")*(T(TBSgasoil[Entreprise])="")*1,TBSgasoil[Quantité])</f>
        <v>0</v>
      </c>
      <c r="M15" s="165">
        <f>SUMPRODUCT((TBSgasoil[Date]=Stock!$B15)*(TBSgasoil[Entreprise]&lt;&gt;"")*1,TBSgasoil[Quantité])</f>
        <v>0</v>
      </c>
      <c r="N15" s="57">
        <f t="shared" si="5"/>
        <v>0</v>
      </c>
      <c r="P15" s="42">
        <f ca="1">OFFSET(PARAM.!F9,1,0)</f>
        <v>41696</v>
      </c>
      <c r="Q15" s="42"/>
      <c r="R15" s="102"/>
      <c r="S15" s="102"/>
    </row>
    <row r="16" spans="2:19" x14ac:dyDescent="0.25">
      <c r="B16" s="106">
        <f t="shared" si="6"/>
        <v>41551</v>
      </c>
      <c r="C16" s="42"/>
      <c r="D16" s="55"/>
      <c r="E16" s="57">
        <f t="shared" ca="1" si="7"/>
        <v>0</v>
      </c>
      <c r="G16" s="55">
        <f>SUMIFS(TBEgasoil[Quantité reçue (L)],TBEgasoil[Entreprise],"&lt;&gt;SGE-C",TBEgasoil[Date réception],Stock!$B16)</f>
        <v>0</v>
      </c>
      <c r="H16" s="57">
        <f>SUMIFS(TBEgasoil[Quantité reçue (L)],TBEgasoil[Entreprise],"SGE-C",TBEgasoil[Date réception],Stock!B16)</f>
        <v>0</v>
      </c>
      <c r="I16" s="57">
        <f t="shared" si="4"/>
        <v>0</v>
      </c>
      <c r="K16" s="55">
        <f>SUMIFS(TBSgasoil[Quantité],TBSgasoil[Entreprise],"683",TBSgasoil[Date],Stock!$B16)</f>
        <v>0</v>
      </c>
      <c r="L16" s="164">
        <f>SUMPRODUCT((TBSgasoil[Date]=Stock!$B16)*(TBSgasoil[Entreprise]&lt;&gt;"683")*(T(TBSgasoil[Entreprise])="")*1,TBSgasoil[Quantité])</f>
        <v>0</v>
      </c>
      <c r="M16" s="165">
        <f>SUMPRODUCT((TBSgasoil[Date]=Stock!$B16)*(TBSgasoil[Entreprise]&lt;&gt;"")*1,TBSgasoil[Quantité])</f>
        <v>0</v>
      </c>
      <c r="N16" s="57">
        <f t="shared" si="5"/>
        <v>0</v>
      </c>
      <c r="P16" s="42">
        <f ca="1">OFFSET(PARAM.!F10,1,0)</f>
        <v>41724</v>
      </c>
      <c r="Q16" s="42"/>
      <c r="R16" s="102"/>
      <c r="S16" s="102"/>
    </row>
    <row r="17" spans="2:19" x14ac:dyDescent="0.25">
      <c r="B17" s="106">
        <f t="shared" si="6"/>
        <v>41552</v>
      </c>
      <c r="C17" s="42"/>
      <c r="D17" s="55"/>
      <c r="E17" s="57">
        <f t="shared" ca="1" si="7"/>
        <v>0</v>
      </c>
      <c r="G17" s="55">
        <f>SUMIFS(TBEgasoil[Quantité reçue (L)],TBEgasoil[Entreprise],"&lt;&gt;SGE-C",TBEgasoil[Date réception],Stock!$B17)</f>
        <v>0</v>
      </c>
      <c r="H17" s="57">
        <f>SUMIFS(TBEgasoil[Quantité reçue (L)],TBEgasoil[Entreprise],"SGE-C",TBEgasoil[Date réception],Stock!B17)</f>
        <v>0</v>
      </c>
      <c r="I17" s="57">
        <f t="shared" si="4"/>
        <v>0</v>
      </c>
      <c r="K17" s="55">
        <f>SUMIFS(TBSgasoil[Quantité],TBSgasoil[Entreprise],"683",TBSgasoil[Date],Stock!$B17)</f>
        <v>0</v>
      </c>
      <c r="L17" s="164">
        <f>SUMPRODUCT((TBSgasoil[Date]=Stock!$B17)*(TBSgasoil[Entreprise]&lt;&gt;"683")*(T(TBSgasoil[Entreprise])="")*1,TBSgasoil[Quantité])</f>
        <v>0</v>
      </c>
      <c r="M17" s="165">
        <f>SUMPRODUCT((TBSgasoil[Date]=Stock!$B17)*(TBSgasoil[Entreprise]&lt;&gt;"")*1,TBSgasoil[Quantité])</f>
        <v>0</v>
      </c>
      <c r="N17" s="57">
        <f t="shared" si="5"/>
        <v>0</v>
      </c>
      <c r="P17" s="42">
        <f ca="1">OFFSET(PARAM.!F11,1,0)</f>
        <v>41755</v>
      </c>
      <c r="Q17" s="42"/>
      <c r="R17" s="102"/>
      <c r="S17" s="102"/>
    </row>
    <row r="18" spans="2:19" x14ac:dyDescent="0.25">
      <c r="B18" s="106">
        <f t="shared" si="6"/>
        <v>41553</v>
      </c>
      <c r="C18" s="42"/>
      <c r="D18" s="55"/>
      <c r="E18" s="57">
        <f t="shared" ca="1" si="7"/>
        <v>0</v>
      </c>
      <c r="G18" s="55">
        <f>SUMIFS(TBEgasoil[Quantité reçue (L)],TBEgasoil[Entreprise],"&lt;&gt;SGE-C",TBEgasoil[Date réception],Stock!$B18)</f>
        <v>0</v>
      </c>
      <c r="H18" s="57">
        <f>SUMIFS(TBEgasoil[Quantité reçue (L)],TBEgasoil[Entreprise],"SGE-C",TBEgasoil[Date réception],Stock!B18)</f>
        <v>0</v>
      </c>
      <c r="I18" s="57">
        <f t="shared" si="4"/>
        <v>0</v>
      </c>
      <c r="K18" s="55">
        <f>SUMIFS(TBSgasoil[Quantité],TBSgasoil[Entreprise],"683",TBSgasoil[Date],Stock!$B18)</f>
        <v>0</v>
      </c>
      <c r="L18" s="164">
        <f>SUMPRODUCT((TBSgasoil[Date]=Stock!$B18)*(TBSgasoil[Entreprise]&lt;&gt;"683")*(T(TBSgasoil[Entreprise])="")*1,TBSgasoil[Quantité])</f>
        <v>0</v>
      </c>
      <c r="M18" s="165">
        <f>SUMPRODUCT((TBSgasoil[Date]=Stock!$B18)*(TBSgasoil[Entreprise]&lt;&gt;"")*1,TBSgasoil[Quantité])</f>
        <v>0</v>
      </c>
      <c r="N18" s="57">
        <f t="shared" si="5"/>
        <v>0</v>
      </c>
      <c r="P18" s="42">
        <f ca="1">OFFSET(PARAM.!F12,1,0)</f>
        <v>41785</v>
      </c>
      <c r="Q18" s="42"/>
      <c r="R18" s="103"/>
      <c r="S18" s="103"/>
    </row>
    <row r="19" spans="2:19" x14ac:dyDescent="0.25">
      <c r="B19" s="106">
        <f t="shared" si="6"/>
        <v>41554</v>
      </c>
      <c r="C19" s="42"/>
      <c r="D19" s="55"/>
      <c r="E19" s="57">
        <f t="shared" ca="1" si="7"/>
        <v>0</v>
      </c>
      <c r="G19" s="55">
        <f>SUMIFS(TBEgasoil[Quantité reçue (L)],TBEgasoil[Entreprise],"&lt;&gt;SGE-C",TBEgasoil[Date réception],Stock!$B19)</f>
        <v>0</v>
      </c>
      <c r="H19" s="57">
        <f>SUMIFS(TBEgasoil[Quantité reçue (L)],TBEgasoil[Entreprise],"SGE-C",TBEgasoil[Date réception],Stock!B19)</f>
        <v>0</v>
      </c>
      <c r="I19" s="57">
        <f t="shared" si="4"/>
        <v>0</v>
      </c>
      <c r="K19" s="55">
        <f>SUMIFS(TBSgasoil[Quantité],TBSgasoil[Entreprise],"683",TBSgasoil[Date],Stock!$B19)</f>
        <v>0</v>
      </c>
      <c r="L19" s="164">
        <f>SUMPRODUCT((TBSgasoil[Date]=Stock!$B19)*(TBSgasoil[Entreprise]&lt;&gt;"683")*(T(TBSgasoil[Entreprise])="")*1,TBSgasoil[Quantité])</f>
        <v>0</v>
      </c>
      <c r="M19" s="165">
        <f>SUMPRODUCT((TBSgasoil[Date]=Stock!$B19)*(TBSgasoil[Entreprise]&lt;&gt;"")*1,TBSgasoil[Quantité])</f>
        <v>0</v>
      </c>
      <c r="N19" s="57">
        <f>SUM(K19:M19)</f>
        <v>0</v>
      </c>
      <c r="P19" s="42"/>
      <c r="Q19" s="42"/>
    </row>
    <row r="20" spans="2:19" x14ac:dyDescent="0.25">
      <c r="B20" s="106">
        <f t="shared" si="6"/>
        <v>41555</v>
      </c>
      <c r="C20" s="42"/>
      <c r="D20" s="55"/>
      <c r="E20" s="57">
        <f t="shared" ca="1" si="7"/>
        <v>0</v>
      </c>
      <c r="G20" s="55">
        <f>SUMIFS(TBEgasoil[Quantité reçue (L)],TBEgasoil[Entreprise],"&lt;&gt;SGE-C",TBEgasoil[Date réception],Stock!$B20)</f>
        <v>0</v>
      </c>
      <c r="H20" s="57">
        <f>SUMIFS(TBEgasoil[Quantité reçue (L)],TBEgasoil[Entreprise],"SGE-C",TBEgasoil[Date réception],Stock!B20)</f>
        <v>0</v>
      </c>
      <c r="I20" s="57">
        <f t="shared" si="4"/>
        <v>0</v>
      </c>
      <c r="K20" s="55">
        <f>SUMIFS(TBSgasoil[Quantité],TBSgasoil[Entreprise],"683",TBSgasoil[Date],Stock!$B20)</f>
        <v>0</v>
      </c>
      <c r="L20" s="164">
        <f>SUMPRODUCT((TBSgasoil[Date]=Stock!$B20)*(TBSgasoil[Entreprise]&lt;&gt;"683")*(T(TBSgasoil[Entreprise])="")*1,TBSgasoil[Quantité])</f>
        <v>0</v>
      </c>
      <c r="M20" s="165">
        <f>SUMPRODUCT((TBSgasoil[Date]=Stock!$B20)*(TBSgasoil[Entreprise]&lt;&gt;"")*1,TBSgasoil[Quantité])</f>
        <v>0</v>
      </c>
      <c r="N20" s="57">
        <f t="shared" si="5"/>
        <v>0</v>
      </c>
      <c r="P20" s="42" t="s">
        <v>158</v>
      </c>
      <c r="Q20" s="42"/>
      <c r="R20" s="104" t="str">
        <f>IF(SUM(R7:R18)=0,"",SUM(R7:R18)/COUNT(R7:R18))</f>
        <v/>
      </c>
      <c r="S20" s="104" t="str">
        <f>IF(SUM(S7:S18)=0,"",SUM(S7:S18)/COUNT(S7:S18))</f>
        <v/>
      </c>
    </row>
    <row r="21" spans="2:19" x14ac:dyDescent="0.25">
      <c r="B21" s="106">
        <f t="shared" si="6"/>
        <v>41556</v>
      </c>
      <c r="D21" s="55"/>
      <c r="E21" s="57">
        <f t="shared" ca="1" si="7"/>
        <v>0</v>
      </c>
      <c r="G21" s="55">
        <f>SUMIFS(TBEgasoil[Quantité reçue (L)],TBEgasoil[Entreprise],"&lt;&gt;SGE-C",TBEgasoil[Date réception],Stock!$B21)</f>
        <v>0</v>
      </c>
      <c r="H21" s="57">
        <f>SUMIFS(TBEgasoil[Quantité reçue (L)],TBEgasoil[Entreprise],"SGE-C",TBEgasoil[Date réception],Stock!B21)</f>
        <v>0</v>
      </c>
      <c r="I21" s="57">
        <f t="shared" si="4"/>
        <v>0</v>
      </c>
      <c r="K21" s="55">
        <f>SUMIFS(TBSgasoil[Quantité],TBSgasoil[Entreprise],"683",TBSgasoil[Date],Stock!$B21)</f>
        <v>0</v>
      </c>
      <c r="L21" s="164">
        <f>SUMPRODUCT((TBSgasoil[Date]=Stock!$B21)*(TBSgasoil[Entreprise]&lt;&gt;"683")*(T(TBSgasoil[Entreprise])="")*1,TBSgasoil[Quantité])</f>
        <v>0</v>
      </c>
      <c r="M21" s="165">
        <f>SUMPRODUCT((TBSgasoil[Date]=Stock!$B21)*(TBSgasoil[Entreprise]&lt;&gt;"")*1,TBSgasoil[Quantité])</f>
        <v>0</v>
      </c>
      <c r="N21" s="57">
        <f t="shared" si="5"/>
        <v>0</v>
      </c>
    </row>
    <row r="22" spans="2:19" x14ac:dyDescent="0.25">
      <c r="B22" s="106">
        <f t="shared" si="6"/>
        <v>41557</v>
      </c>
      <c r="D22" s="55"/>
      <c r="E22" s="57">
        <f t="shared" ca="1" si="7"/>
        <v>0</v>
      </c>
      <c r="G22" s="55">
        <f>SUMIFS(TBEgasoil[Quantité reçue (L)],TBEgasoil[Entreprise],"&lt;&gt;SGE-C",TBEgasoil[Date réception],Stock!$B22)</f>
        <v>0</v>
      </c>
      <c r="H22" s="57">
        <f>SUMIFS(TBEgasoil[Quantité reçue (L)],TBEgasoil[Entreprise],"SGE-C",TBEgasoil[Date réception],Stock!B22)</f>
        <v>0</v>
      </c>
      <c r="I22" s="57">
        <f t="shared" si="4"/>
        <v>0</v>
      </c>
      <c r="K22" s="55">
        <f>SUMIFS(TBSgasoil[Quantité],TBSgasoil[Entreprise],"683",TBSgasoil[Date],Stock!$B22)</f>
        <v>0</v>
      </c>
      <c r="L22" s="164">
        <f>SUMPRODUCT((TBSgasoil[Date]=Stock!$B22)*(TBSgasoil[Entreprise]&lt;&gt;"683")*(T(TBSgasoil[Entreprise])="")*1,TBSgasoil[Quantité])</f>
        <v>0</v>
      </c>
      <c r="M22" s="165">
        <f>SUMPRODUCT((TBSgasoil[Date]=Stock!$B22)*(TBSgasoil[Entreprise]&lt;&gt;"")*1,TBSgasoil[Quantité])</f>
        <v>0</v>
      </c>
      <c r="N22" s="57">
        <f t="shared" si="5"/>
        <v>0</v>
      </c>
    </row>
    <row r="23" spans="2:19" x14ac:dyDescent="0.25">
      <c r="B23" s="106">
        <f t="shared" si="6"/>
        <v>41558</v>
      </c>
      <c r="D23" s="55"/>
      <c r="E23" s="57">
        <f t="shared" ca="1" si="7"/>
        <v>0</v>
      </c>
      <c r="G23" s="55">
        <f>SUMIFS(TBEgasoil[Quantité reçue (L)],TBEgasoil[Entreprise],"&lt;&gt;SGE-C",TBEgasoil[Date réception],Stock!$B23)</f>
        <v>1845</v>
      </c>
      <c r="H23" s="57">
        <f>SUMIFS(TBEgasoil[Quantité reçue (L)],TBEgasoil[Entreprise],"SGE-C",TBEgasoil[Date réception],Stock!B23)</f>
        <v>0</v>
      </c>
      <c r="I23" s="57">
        <f>SUM(G23:H23)</f>
        <v>1845</v>
      </c>
      <c r="K23" s="55">
        <f>SUMIFS(TBSgasoil[Quantité],TBSgasoil[Entreprise],"683",TBSgasoil[Date],Stock!$B23)</f>
        <v>0</v>
      </c>
      <c r="L23" s="164">
        <f>SUMPRODUCT((TBSgasoil[Date]=Stock!$B23)*(TBSgasoil[Entreprise]&lt;&gt;"683")*(T(TBSgasoil[Entreprise])="")*1,TBSgasoil[Quantité])</f>
        <v>0</v>
      </c>
      <c r="M23" s="165">
        <f>SUMPRODUCT((TBSgasoil[Date]=Stock!$B23)*(TBSgasoil[Entreprise]&lt;&gt;"")*1,TBSgasoil[Quantité])</f>
        <v>0</v>
      </c>
      <c r="N23" s="57">
        <f t="shared" si="5"/>
        <v>0</v>
      </c>
    </row>
    <row r="24" spans="2:19" x14ac:dyDescent="0.25">
      <c r="B24" s="106">
        <f t="shared" si="6"/>
        <v>41559</v>
      </c>
      <c r="D24" s="55"/>
      <c r="E24" s="57">
        <f t="shared" ca="1" si="7"/>
        <v>1845</v>
      </c>
      <c r="G24" s="55">
        <f>SUMIFS(TBEgasoil[Quantité reçue (L)],TBEgasoil[Entreprise],"&lt;&gt;SGE-C",TBEgasoil[Date réception],Stock!$B24)</f>
        <v>0</v>
      </c>
      <c r="H24" s="57">
        <f>SUMIFS(TBEgasoil[Quantité reçue (L)],TBEgasoil[Entreprise],"SGE-C",TBEgasoil[Date réception],Stock!B24)</f>
        <v>0</v>
      </c>
      <c r="I24" s="57">
        <f t="shared" si="4"/>
        <v>0</v>
      </c>
      <c r="K24" s="55">
        <f>SUMIFS(TBSgasoil[Quantité],TBSgasoil[Entreprise],"683",TBSgasoil[Date],Stock!$B24)</f>
        <v>0</v>
      </c>
      <c r="L24" s="164">
        <f>SUMPRODUCT((TBSgasoil[Date]=Stock!$B24)*(TBSgasoil[Entreprise]&lt;&gt;"683")*(T(TBSgasoil[Entreprise])="")*1,TBSgasoil[Quantité])</f>
        <v>0</v>
      </c>
      <c r="M24" s="165">
        <f>SUMPRODUCT((TBSgasoil[Date]=Stock!$B24)*(TBSgasoil[Entreprise]&lt;&gt;"")*1,TBSgasoil[Quantité])</f>
        <v>0</v>
      </c>
      <c r="N24" s="57">
        <f t="shared" si="5"/>
        <v>0</v>
      </c>
    </row>
    <row r="25" spans="2:19" x14ac:dyDescent="0.25">
      <c r="B25" s="106">
        <f t="shared" si="6"/>
        <v>41560</v>
      </c>
      <c r="D25" s="55"/>
      <c r="E25" s="57">
        <f t="shared" ca="1" si="7"/>
        <v>1845</v>
      </c>
      <c r="G25" s="55">
        <f>SUMIFS(TBEgasoil[Quantité reçue (L)],TBEgasoil[Entreprise],"&lt;&gt;SGE-C",TBEgasoil[Date réception],Stock!$B25)</f>
        <v>0</v>
      </c>
      <c r="H25" s="57">
        <f>SUMIFS(TBEgasoil[Quantité reçue (L)],TBEgasoil[Entreprise],"SGE-C",TBEgasoil[Date réception],Stock!B25)</f>
        <v>0</v>
      </c>
      <c r="I25" s="57">
        <f t="shared" si="4"/>
        <v>0</v>
      </c>
      <c r="K25" s="55">
        <f>SUMIFS(TBSgasoil[Quantité],TBSgasoil[Entreprise],"683",TBSgasoil[Date],Stock!$B25)</f>
        <v>0</v>
      </c>
      <c r="L25" s="164">
        <f>SUMPRODUCT((TBSgasoil[Date]=Stock!$B25)*(TBSgasoil[Entreprise]&lt;&gt;"683")*(T(TBSgasoil[Entreprise])="")*1,TBSgasoil[Quantité])</f>
        <v>0</v>
      </c>
      <c r="M25" s="165">
        <f>SUMPRODUCT((TBSgasoil[Date]=Stock!$B25)*(TBSgasoil[Entreprise]&lt;&gt;"")*1,TBSgasoil[Quantité])</f>
        <v>0</v>
      </c>
      <c r="N25" s="57">
        <f t="shared" si="5"/>
        <v>0</v>
      </c>
    </row>
    <row r="26" spans="2:19" x14ac:dyDescent="0.25">
      <c r="B26" s="106">
        <f t="shared" si="6"/>
        <v>41561</v>
      </c>
      <c r="D26" s="55"/>
      <c r="E26" s="57">
        <f t="shared" ca="1" si="7"/>
        <v>1845</v>
      </c>
      <c r="G26" s="55">
        <f>SUMIFS(TBEgasoil[Quantité reçue (L)],TBEgasoil[Entreprise],"&lt;&gt;SGE-C",TBEgasoil[Date réception],Stock!$B26)</f>
        <v>0</v>
      </c>
      <c r="H26" s="57">
        <f>SUMIFS(TBEgasoil[Quantité reçue (L)],TBEgasoil[Entreprise],"SGE-C",TBEgasoil[Date réception],Stock!B26)</f>
        <v>0</v>
      </c>
      <c r="I26" s="57">
        <f t="shared" si="4"/>
        <v>0</v>
      </c>
      <c r="K26" s="55">
        <f>SUMIFS(TBSgasoil[Quantité],TBSgasoil[Entreprise],"683",TBSgasoil[Date],Stock!$B26)</f>
        <v>0</v>
      </c>
      <c r="L26" s="164">
        <f>SUMPRODUCT((TBSgasoil[Date]=Stock!$B26)*(TBSgasoil[Entreprise]&lt;&gt;"683")*(T(TBSgasoil[Entreprise])="")*1,TBSgasoil[Quantité])</f>
        <v>0</v>
      </c>
      <c r="M26" s="165">
        <f>SUMPRODUCT((TBSgasoil[Date]=Stock!$B26)*(TBSgasoil[Entreprise]&lt;&gt;"")*1,TBSgasoil[Quantité])</f>
        <v>0</v>
      </c>
      <c r="N26" s="57">
        <f t="shared" si="5"/>
        <v>0</v>
      </c>
    </row>
    <row r="27" spans="2:19" x14ac:dyDescent="0.25">
      <c r="B27" s="106">
        <f t="shared" si="6"/>
        <v>41562</v>
      </c>
      <c r="D27" s="55"/>
      <c r="E27" s="57">
        <f t="shared" ca="1" si="7"/>
        <v>1845</v>
      </c>
      <c r="G27" s="55">
        <f>SUMIFS(TBEgasoil[Quantité reçue (L)],TBEgasoil[Entreprise],"&lt;&gt;SGE-C",TBEgasoil[Date réception],Stock!$B27)</f>
        <v>0</v>
      </c>
      <c r="H27" s="57">
        <f>SUMIFS(TBEgasoil[Quantité reçue (L)],TBEgasoil[Entreprise],"SGE-C",TBEgasoil[Date réception],Stock!B27)</f>
        <v>0</v>
      </c>
      <c r="I27" s="57">
        <f t="shared" si="4"/>
        <v>0</v>
      </c>
      <c r="K27" s="55">
        <f>SUMIFS(TBSgasoil[Quantité],TBSgasoil[Entreprise],"683",TBSgasoil[Date],Stock!$B27)</f>
        <v>0</v>
      </c>
      <c r="L27" s="164">
        <f>SUMPRODUCT((TBSgasoil[Date]=Stock!$B27)*(TBSgasoil[Entreprise]&lt;&gt;"683")*(T(TBSgasoil[Entreprise])="")*1,TBSgasoil[Quantité])</f>
        <v>0</v>
      </c>
      <c r="M27" s="165">
        <f>SUMPRODUCT((TBSgasoil[Date]=Stock!$B27)*(TBSgasoil[Entreprise]&lt;&gt;"")*1,TBSgasoil[Quantité])</f>
        <v>0</v>
      </c>
      <c r="N27" s="57">
        <f t="shared" si="5"/>
        <v>0</v>
      </c>
    </row>
    <row r="28" spans="2:19" x14ac:dyDescent="0.25">
      <c r="B28" s="106">
        <f t="shared" si="6"/>
        <v>41563</v>
      </c>
      <c r="D28" s="55"/>
      <c r="E28" s="57">
        <f t="shared" ca="1" si="7"/>
        <v>1845</v>
      </c>
      <c r="G28" s="55">
        <f>SUMIFS(TBEgasoil[Quantité reçue (L)],TBEgasoil[Entreprise],"&lt;&gt;SGE-C",TBEgasoil[Date réception],Stock!$B28)</f>
        <v>0</v>
      </c>
      <c r="H28" s="57">
        <f>SUMIFS(TBEgasoil[Quantité reçue (L)],TBEgasoil[Entreprise],"SGE-C",TBEgasoil[Date réception],Stock!B28)</f>
        <v>0</v>
      </c>
      <c r="I28" s="57">
        <f t="shared" si="4"/>
        <v>0</v>
      </c>
      <c r="K28" s="55">
        <f>SUMIFS(TBSgasoil[Quantité],TBSgasoil[Entreprise],"683",TBSgasoil[Date],Stock!$B28)</f>
        <v>0</v>
      </c>
      <c r="L28" s="164">
        <f>SUMPRODUCT((TBSgasoil[Date]=Stock!$B28)*(TBSgasoil[Entreprise]&lt;&gt;"683")*(T(TBSgasoil[Entreprise])="")*1,TBSgasoil[Quantité])</f>
        <v>0</v>
      </c>
      <c r="M28" s="165">
        <f>SUMPRODUCT((TBSgasoil[Date]=Stock!$B28)*(TBSgasoil[Entreprise]&lt;&gt;"")*1,TBSgasoil[Quantité])</f>
        <v>750</v>
      </c>
      <c r="N28" s="57">
        <f t="shared" si="5"/>
        <v>750</v>
      </c>
    </row>
    <row r="29" spans="2:19" x14ac:dyDescent="0.25">
      <c r="B29" s="106">
        <f t="shared" si="6"/>
        <v>41564</v>
      </c>
      <c r="D29" s="55"/>
      <c r="E29" s="57">
        <f t="shared" ca="1" si="7"/>
        <v>1095</v>
      </c>
      <c r="G29" s="55">
        <f>SUMIFS(TBEgasoil[Quantité reçue (L)],TBEgasoil[Entreprise],"&lt;&gt;SGE-C",TBEgasoil[Date réception],Stock!$B29)</f>
        <v>0</v>
      </c>
      <c r="H29" s="57">
        <f>SUMIFS(TBEgasoil[Quantité reçue (L)],TBEgasoil[Entreprise],"SGE-C",TBEgasoil[Date réception],Stock!B29)</f>
        <v>0</v>
      </c>
      <c r="I29" s="57">
        <f t="shared" si="4"/>
        <v>0</v>
      </c>
      <c r="K29" s="55">
        <f>SUMIFS(TBSgasoil[Quantité],TBSgasoil[Entreprise],"683",TBSgasoil[Date],Stock!$B29)</f>
        <v>0</v>
      </c>
      <c r="L29" s="164">
        <f>SUMPRODUCT((TBSgasoil[Date]=Stock!$B29)*(TBSgasoil[Entreprise]&lt;&gt;"683")*(T(TBSgasoil[Entreprise])="")*1,TBSgasoil[Quantité])</f>
        <v>0</v>
      </c>
      <c r="M29" s="165">
        <f>SUMPRODUCT((TBSgasoil[Date]=Stock!$B29)*(TBSgasoil[Entreprise]&lt;&gt;"")*1,TBSgasoil[Quantité])</f>
        <v>0</v>
      </c>
      <c r="N29" s="57">
        <f t="shared" si="5"/>
        <v>0</v>
      </c>
    </row>
    <row r="30" spans="2:19" x14ac:dyDescent="0.25">
      <c r="B30" s="106">
        <f t="shared" si="6"/>
        <v>41565</v>
      </c>
      <c r="D30" s="55"/>
      <c r="E30" s="57">
        <f t="shared" ca="1" si="7"/>
        <v>1095</v>
      </c>
      <c r="G30" s="55">
        <f>SUMIFS(TBEgasoil[Quantité reçue (L)],TBEgasoil[Entreprise],"&lt;&gt;SGE-C",TBEgasoil[Date réception],Stock!$B30)</f>
        <v>0</v>
      </c>
      <c r="H30" s="57">
        <f>SUMIFS(TBEgasoil[Quantité reçue (L)],TBEgasoil[Entreprise],"SGE-C",TBEgasoil[Date réception],Stock!B30)</f>
        <v>0</v>
      </c>
      <c r="I30" s="57">
        <f t="shared" si="4"/>
        <v>0</v>
      </c>
      <c r="K30" s="55">
        <f>SUMIFS(TBSgasoil[Quantité],TBSgasoil[Entreprise],"683",TBSgasoil[Date],Stock!$B30)</f>
        <v>0</v>
      </c>
      <c r="L30" s="164">
        <f>SUMPRODUCT((TBSgasoil[Date]=Stock!$B30)*(TBSgasoil[Entreprise]&lt;&gt;"683")*(T(TBSgasoil[Entreprise])="")*1,TBSgasoil[Quantité])</f>
        <v>0</v>
      </c>
      <c r="M30" s="165">
        <f>SUMPRODUCT((TBSgasoil[Date]=Stock!$B30)*(TBSgasoil[Entreprise]&lt;&gt;"")*1,TBSgasoil[Quantité])</f>
        <v>0</v>
      </c>
      <c r="N30" s="57">
        <f t="shared" si="5"/>
        <v>0</v>
      </c>
    </row>
    <row r="31" spans="2:19" x14ac:dyDescent="0.25">
      <c r="B31" s="106">
        <f t="shared" si="6"/>
        <v>41566</v>
      </c>
      <c r="D31" s="55"/>
      <c r="E31" s="57">
        <f t="shared" ca="1" si="7"/>
        <v>1095</v>
      </c>
      <c r="G31" s="55">
        <f>SUMIFS(TBEgasoil[Quantité reçue (L)],TBEgasoil[Entreprise],"&lt;&gt;SGE-C",TBEgasoil[Date réception],Stock!$B31)</f>
        <v>0</v>
      </c>
      <c r="H31" s="57">
        <f>SUMIFS(TBEgasoil[Quantité reçue (L)],TBEgasoil[Entreprise],"SGE-C",TBEgasoil[Date réception],Stock!B31)</f>
        <v>0</v>
      </c>
      <c r="I31" s="57">
        <f t="shared" si="4"/>
        <v>0</v>
      </c>
      <c r="K31" s="55">
        <f>SUMIFS(TBSgasoil[Quantité],TBSgasoil[Entreprise],"683",TBSgasoil[Date],Stock!$B31)</f>
        <v>0</v>
      </c>
      <c r="L31" s="164">
        <f>SUMPRODUCT((TBSgasoil[Date]=Stock!$B31)*(TBSgasoil[Entreprise]&lt;&gt;"683")*(T(TBSgasoil[Entreprise])="")*1,TBSgasoil[Quantité])</f>
        <v>0</v>
      </c>
      <c r="M31" s="165">
        <f>SUMPRODUCT((TBSgasoil[Date]=Stock!$B31)*(TBSgasoil[Entreprise]&lt;&gt;"")*1,TBSgasoil[Quantité])</f>
        <v>0</v>
      </c>
      <c r="N31" s="57">
        <f t="shared" si="5"/>
        <v>0</v>
      </c>
    </row>
    <row r="32" spans="2:19" x14ac:dyDescent="0.25">
      <c r="B32" s="106">
        <f t="shared" si="6"/>
        <v>41567</v>
      </c>
      <c r="D32" s="55"/>
      <c r="E32" s="57">
        <f t="shared" ca="1" si="7"/>
        <v>1095</v>
      </c>
      <c r="G32" s="55">
        <f>SUMIFS(TBEgasoil[Quantité reçue (L)],TBEgasoil[Entreprise],"&lt;&gt;SGE-C",TBEgasoil[Date réception],Stock!$B32)</f>
        <v>0</v>
      </c>
      <c r="H32" s="57">
        <f>SUMIFS(TBEgasoil[Quantité reçue (L)],TBEgasoil[Entreprise],"SGE-C",TBEgasoil[Date réception],Stock!B32)</f>
        <v>0</v>
      </c>
      <c r="I32" s="57">
        <f t="shared" si="4"/>
        <v>0</v>
      </c>
      <c r="K32" s="55">
        <f>SUMIFS(TBSgasoil[Quantité],TBSgasoil[Entreprise],"683",TBSgasoil[Date],Stock!$B32)</f>
        <v>0</v>
      </c>
      <c r="L32" s="164">
        <f>SUMPRODUCT((TBSgasoil[Date]=Stock!$B32)*(TBSgasoil[Entreprise]&lt;&gt;"683")*(T(TBSgasoil[Entreprise])="")*1,TBSgasoil[Quantité])</f>
        <v>0</v>
      </c>
      <c r="M32" s="165">
        <f>SUMPRODUCT((TBSgasoil[Date]=Stock!$B32)*(TBSgasoil[Entreprise]&lt;&gt;"")*1,TBSgasoil[Quantité])</f>
        <v>0</v>
      </c>
      <c r="N32" s="57">
        <f t="shared" si="5"/>
        <v>0</v>
      </c>
    </row>
    <row r="33" spans="2:18" x14ac:dyDescent="0.25">
      <c r="B33" s="106">
        <f t="shared" si="6"/>
        <v>41568</v>
      </c>
      <c r="D33" s="55"/>
      <c r="E33" s="57">
        <f t="shared" ca="1" si="7"/>
        <v>1095</v>
      </c>
      <c r="G33" s="55">
        <f>SUMIFS(TBEgasoil[Quantité reçue (L)],TBEgasoil[Entreprise],"&lt;&gt;SGE-C",TBEgasoil[Date réception],Stock!$B33)</f>
        <v>0</v>
      </c>
      <c r="H33" s="57">
        <f>SUMIFS(TBEgasoil[Quantité reçue (L)],TBEgasoil[Entreprise],"SGE-C",TBEgasoil[Date réception],Stock!B33)</f>
        <v>0</v>
      </c>
      <c r="I33" s="57">
        <f t="shared" si="4"/>
        <v>0</v>
      </c>
      <c r="K33" s="55">
        <f>SUMIFS(TBSgasoil[Quantité],TBSgasoil[Entreprise],"683",TBSgasoil[Date],Stock!$B33)</f>
        <v>0</v>
      </c>
      <c r="L33" s="164">
        <f>SUMPRODUCT((TBSgasoil[Date]=Stock!$B33)*(TBSgasoil[Entreprise]&lt;&gt;"683")*(T(TBSgasoil[Entreprise])="")*1,TBSgasoil[Quantité])</f>
        <v>0</v>
      </c>
      <c r="M33" s="165">
        <f>SUMPRODUCT((TBSgasoil[Date]=Stock!$B33)*(TBSgasoil[Entreprise]&lt;&gt;"")*1,TBSgasoil[Quantité])</f>
        <v>0</v>
      </c>
      <c r="N33" s="57">
        <f t="shared" si="5"/>
        <v>0</v>
      </c>
    </row>
    <row r="34" spans="2:18" x14ac:dyDescent="0.25">
      <c r="B34" s="106">
        <f t="shared" si="6"/>
        <v>41569</v>
      </c>
      <c r="D34" s="55"/>
      <c r="E34" s="57">
        <f t="shared" ca="1" si="7"/>
        <v>1095</v>
      </c>
      <c r="G34" s="55">
        <f>SUMIFS(TBEgasoil[Quantité reçue (L)],TBEgasoil[Entreprise],"&lt;&gt;SGE-C",TBEgasoil[Date réception],Stock!$B34)</f>
        <v>0</v>
      </c>
      <c r="H34" s="57">
        <f>SUMIFS(TBEgasoil[Quantité reçue (L)],TBEgasoil[Entreprise],"SGE-C",TBEgasoil[Date réception],Stock!B34)</f>
        <v>0</v>
      </c>
      <c r="I34" s="57">
        <f t="shared" si="4"/>
        <v>0</v>
      </c>
      <c r="K34" s="55">
        <f>SUMIFS(TBSgasoil[Quantité],TBSgasoil[Entreprise],"683",TBSgasoil[Date],Stock!$B34)</f>
        <v>0</v>
      </c>
      <c r="L34" s="164">
        <f>SUMPRODUCT((TBSgasoil[Date]=Stock!$B34)*(TBSgasoil[Entreprise]&lt;&gt;"683")*(T(TBSgasoil[Entreprise])="")*1,TBSgasoil[Quantité])</f>
        <v>0</v>
      </c>
      <c r="M34" s="165">
        <f>SUMPRODUCT((TBSgasoil[Date]=Stock!$B34)*(TBSgasoil[Entreprise]&lt;&gt;"")*1,TBSgasoil[Quantité])</f>
        <v>0</v>
      </c>
      <c r="N34" s="57">
        <f t="shared" si="5"/>
        <v>0</v>
      </c>
    </row>
    <row r="35" spans="2:18" x14ac:dyDescent="0.25">
      <c r="B35" s="106">
        <f>IF(B34=" "," ",IF((1*DAY(B34)=26)," ",B34+1))</f>
        <v>41570</v>
      </c>
      <c r="D35" s="55"/>
      <c r="E35" s="57">
        <f t="shared" ca="1" si="7"/>
        <v>1095</v>
      </c>
      <c r="G35" s="55">
        <f>SUMIFS(TBEgasoil[Quantité reçue (L)],TBEgasoil[Entreprise],"&lt;&gt;SGE-C",TBEgasoil[Date réception],Stock!$B35)</f>
        <v>0</v>
      </c>
      <c r="H35" s="57">
        <f>SUMIFS(TBEgasoil[Quantité reçue (L)],TBEgasoil[Entreprise],"SGE-C",TBEgasoil[Date réception],Stock!B35)</f>
        <v>0</v>
      </c>
      <c r="I35" s="57">
        <f t="shared" si="4"/>
        <v>0</v>
      </c>
      <c r="K35" s="55">
        <f>SUMIFS(TBSgasoil[Quantité],TBSgasoil[Entreprise],"683",TBSgasoil[Date],Stock!$B35)</f>
        <v>0</v>
      </c>
      <c r="L35" s="164">
        <f>SUMPRODUCT((TBSgasoil[Date]=Stock!$B35)*(TBSgasoil[Entreprise]&lt;&gt;"683")*(T(TBSgasoil[Entreprise])="")*1,TBSgasoil[Quantité])</f>
        <v>0</v>
      </c>
      <c r="M35" s="165">
        <f>SUMPRODUCT((TBSgasoil[Date]=Stock!$B35)*(TBSgasoil[Entreprise]&lt;&gt;"")*1,TBSgasoil[Quantité])</f>
        <v>0</v>
      </c>
      <c r="N35" s="57">
        <f t="shared" si="5"/>
        <v>0</v>
      </c>
    </row>
    <row r="36" spans="2:18" x14ac:dyDescent="0.25">
      <c r="B36" s="106">
        <f t="shared" ref="B36:B39" si="8">IF(B35=" "," ",IF((1*DAY(B35)=26)," ",B35+1))</f>
        <v>41571</v>
      </c>
      <c r="D36" s="55"/>
      <c r="E36" s="57">
        <f t="shared" ca="1" si="7"/>
        <v>1095</v>
      </c>
      <c r="G36" s="55">
        <f>SUMIFS(TBEgasoil[Quantité reçue (L)],TBEgasoil[Entreprise],"&lt;&gt;SGE-C",TBEgasoil[Date réception],Stock!$B36)</f>
        <v>0</v>
      </c>
      <c r="H36" s="57">
        <f>SUMIFS(TBEgasoil[Quantité reçue (L)],TBEgasoil[Entreprise],"SGE-C",TBEgasoil[Date réception],Stock!B36)</f>
        <v>0</v>
      </c>
      <c r="I36" s="57">
        <f t="shared" si="4"/>
        <v>0</v>
      </c>
      <c r="K36" s="55">
        <f>SUMIFS(TBSgasoil[Quantité],TBSgasoil[Entreprise],"683",TBSgasoil[Date],Stock!$B36)</f>
        <v>0</v>
      </c>
      <c r="L36" s="164">
        <f>SUMPRODUCT((TBSgasoil[Date]=Stock!$B36)*(TBSgasoil[Entreprise]&lt;&gt;"683")*(T(TBSgasoil[Entreprise])="")*1,TBSgasoil[Quantité])</f>
        <v>0</v>
      </c>
      <c r="M36" s="165">
        <f>SUMPRODUCT((TBSgasoil[Date]=Stock!$B36)*(TBSgasoil[Entreprise]&lt;&gt;"")*1,TBSgasoil[Quantité])</f>
        <v>0</v>
      </c>
      <c r="N36" s="57">
        <f t="shared" si="5"/>
        <v>0</v>
      </c>
    </row>
    <row r="37" spans="2:18" x14ac:dyDescent="0.25">
      <c r="B37" s="106">
        <f t="shared" si="8"/>
        <v>41572</v>
      </c>
      <c r="D37" s="55"/>
      <c r="E37" s="57">
        <f t="shared" ca="1" si="7"/>
        <v>1095</v>
      </c>
      <c r="G37" s="55">
        <f>SUMIFS(TBEgasoil[Quantité reçue (L)],TBEgasoil[Entreprise],"&lt;&gt;SGE-C",TBEgasoil[Date réception],Stock!$B37)</f>
        <v>0</v>
      </c>
      <c r="H37" s="57">
        <f>SUMIFS(TBEgasoil[Quantité reçue (L)],TBEgasoil[Entreprise],"SGE-C",TBEgasoil[Date réception],Stock!B37)</f>
        <v>0</v>
      </c>
      <c r="I37" s="57">
        <f t="shared" si="4"/>
        <v>0</v>
      </c>
      <c r="K37" s="55">
        <f>SUMIFS(TBSgasoil[Quantité],TBSgasoil[Entreprise],"683",TBSgasoil[Date],Stock!$B37)</f>
        <v>0</v>
      </c>
      <c r="L37" s="164">
        <f>SUMPRODUCT((TBSgasoil[Date]=Stock!$B37)*(TBSgasoil[Entreprise]&lt;&gt;"683")*(T(TBSgasoil[Entreprise])="")*1,TBSgasoil[Quantité])</f>
        <v>0</v>
      </c>
      <c r="M37" s="165">
        <f>SUMPRODUCT((TBSgasoil[Date]=Stock!$B37)*(TBSgasoil[Entreprise]&lt;&gt;"")*1,TBSgasoil[Quantité])</f>
        <v>0</v>
      </c>
      <c r="N37" s="57">
        <f t="shared" si="5"/>
        <v>0</v>
      </c>
    </row>
    <row r="38" spans="2:18" x14ac:dyDescent="0.25">
      <c r="B38" s="106">
        <f t="shared" si="8"/>
        <v>41573</v>
      </c>
      <c r="D38" s="55"/>
      <c r="E38" s="57">
        <f t="shared" ca="1" si="7"/>
        <v>1095</v>
      </c>
      <c r="G38" s="55">
        <f>SUMIFS(TBEgasoil[Quantité reçue (L)],TBEgasoil[Entreprise],"&lt;&gt;SGE-C",TBEgasoil[Date réception],Stock!$B38)</f>
        <v>0</v>
      </c>
      <c r="H38" s="57">
        <f>SUMIFS(TBEgasoil[Quantité reçue (L)],TBEgasoil[Entreprise],"SGE-C",TBEgasoil[Date réception],Stock!B38)</f>
        <v>0</v>
      </c>
      <c r="I38" s="57">
        <f t="shared" si="4"/>
        <v>0</v>
      </c>
      <c r="K38" s="55">
        <f>SUMIFS(TBSgasoil[Quantité],TBSgasoil[Entreprise],"683",TBSgasoil[Date],Stock!$B38)</f>
        <v>0</v>
      </c>
      <c r="L38" s="164">
        <f>SUMPRODUCT((TBSgasoil[Date]=Stock!$B38)*(TBSgasoil[Entreprise]&lt;&gt;"683")*(T(TBSgasoil[Entreprise])="")*1,TBSgasoil[Quantité])</f>
        <v>0</v>
      </c>
      <c r="M38" s="165">
        <f>SUMPRODUCT((TBSgasoil[Date]=Stock!$B38)*(TBSgasoil[Entreprise]&lt;&gt;"")*1,TBSgasoil[Quantité])</f>
        <v>0</v>
      </c>
      <c r="N38" s="57">
        <f t="shared" si="5"/>
        <v>0</v>
      </c>
    </row>
    <row r="39" spans="2:18" x14ac:dyDescent="0.25">
      <c r="B39" s="106" t="str">
        <f t="shared" si="8"/>
        <v xml:space="preserve"> </v>
      </c>
      <c r="D39" s="58"/>
      <c r="E39" s="60">
        <f t="shared" ca="1" si="7"/>
        <v>1095</v>
      </c>
      <c r="G39" s="58"/>
      <c r="H39" s="60">
        <f>SUMIFS(TBEgasoil[Quantité reçue (L)],TBEgasoil[Entreprise],"SGE-C",TBEgasoil[Date réception],Stock!B39)</f>
        <v>0</v>
      </c>
      <c r="I39" s="60">
        <f t="shared" si="4"/>
        <v>0</v>
      </c>
      <c r="K39" s="58">
        <f>SUMIFS(TBSgasoil[Quantité],TBSgasoil[Entreprise],"683",TBSgasoil[Date],Stock!$B39)</f>
        <v>0</v>
      </c>
      <c r="L39" s="166">
        <f>SUMPRODUCT((TBSgasoil[Date]=Stock!$B39)*(TBSgasoil[Entreprise]&lt;&gt;"683")*(T(TBSgasoil[Entreprise])="")*1,TBSgasoil[Quantité])</f>
        <v>0</v>
      </c>
      <c r="M39" s="167">
        <f>SUMPRODUCT((TBSgasoil[Date]=Stock!$B39)*(TBSgasoil[Entreprise]&lt;&gt;"")*1,TBSgasoil[Quantité])</f>
        <v>0</v>
      </c>
      <c r="N39" s="60">
        <f t="shared" si="5"/>
        <v>0</v>
      </c>
    </row>
    <row r="40" spans="2:18" x14ac:dyDescent="0.25">
      <c r="I40" s="122"/>
    </row>
    <row r="42" spans="2:18" x14ac:dyDescent="0.25">
      <c r="B42" s="6"/>
    </row>
    <row r="43" spans="2:18" x14ac:dyDescent="0.25">
      <c r="B43" s="6"/>
      <c r="K43" s="61"/>
      <c r="L43" s="61"/>
      <c r="M43" s="61"/>
      <c r="N43" s="61"/>
      <c r="O43" s="61"/>
      <c r="P43" s="61"/>
    </row>
    <row r="44" spans="2:18" x14ac:dyDescent="0.25">
      <c r="B44" s="6"/>
    </row>
    <row r="45" spans="2:18" ht="11.25" customHeight="1" x14ac:dyDescent="0.25">
      <c r="C45" s="62"/>
      <c r="F45" s="62"/>
      <c r="J45" s="62"/>
      <c r="O45" s="62"/>
      <c r="P45" s="62"/>
      <c r="Q45" s="62"/>
      <c r="R45" s="62"/>
    </row>
    <row r="46" spans="2:18" ht="11.25" customHeight="1" x14ac:dyDescent="0.25">
      <c r="B46" s="6"/>
    </row>
    <row r="47" spans="2:18" ht="11.25" customHeight="1" x14ac:dyDescent="0.25"/>
    <row r="48" spans="2:18" ht="11.1" customHeight="1" x14ac:dyDescent="0.25"/>
    <row r="49" spans="3:36" ht="11.1" customHeight="1" x14ac:dyDescent="0.25"/>
    <row r="50" spans="3:36" ht="11.1" customHeight="1" x14ac:dyDescent="0.25"/>
    <row r="51" spans="3:36" s="42" customFormat="1" ht="11.1" customHeight="1" x14ac:dyDescent="0.25">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row>
    <row r="52" spans="3:36" s="42" customFormat="1" ht="11.1" customHeight="1" x14ac:dyDescent="0.25">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row>
    <row r="53" spans="3:36" s="42" customFormat="1" ht="11.1" customHeight="1" x14ac:dyDescent="0.25">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row>
    <row r="54" spans="3:36" s="42" customFormat="1" ht="11.1" customHeight="1" x14ac:dyDescent="0.25">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row>
    <row r="55" spans="3:36" s="42" customFormat="1" ht="11.1" customHeight="1" x14ac:dyDescent="0.25">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row>
    <row r="56" spans="3:36" s="42" customFormat="1" ht="11.1" customHeight="1" x14ac:dyDescent="0.25">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row>
    <row r="57" spans="3:36" s="42" customFormat="1" ht="11.1" customHeight="1" x14ac:dyDescent="0.25">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row>
    <row r="58" spans="3:36" s="42" customFormat="1" ht="11.1" customHeight="1" x14ac:dyDescent="0.25">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row>
    <row r="59" spans="3:36" s="42" customFormat="1" ht="11.1" customHeight="1" x14ac:dyDescent="0.25">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row>
    <row r="60" spans="3:36" s="42" customFormat="1" ht="11.1" customHeight="1" x14ac:dyDescent="0.25">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row>
    <row r="61" spans="3:36" s="42" customFormat="1" ht="11.1" customHeight="1" x14ac:dyDescent="0.25">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row>
    <row r="62" spans="3:36" s="42" customFormat="1" ht="11.1" customHeight="1" x14ac:dyDescent="0.2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row>
    <row r="63" spans="3:36" s="42" customFormat="1" ht="11.1" customHeight="1" x14ac:dyDescent="0.25">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row>
    <row r="64" spans="3:36" s="42" customFormat="1" ht="11.1" customHeight="1" x14ac:dyDescent="0.25">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row>
    <row r="65" spans="3:36" s="42" customFormat="1" ht="11.1" customHeight="1" x14ac:dyDescent="0.2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row>
    <row r="66" spans="3:36" s="42" customFormat="1" ht="11.1" customHeight="1" x14ac:dyDescent="0.25">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row>
    <row r="67" spans="3:36" s="42" customFormat="1" ht="11.1" customHeight="1" x14ac:dyDescent="0.25">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row>
    <row r="68" spans="3:36" s="42" customFormat="1" ht="11.1" customHeight="1" x14ac:dyDescent="0.2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row>
    <row r="69" spans="3:36" s="42" customFormat="1" ht="11.1" customHeight="1" x14ac:dyDescent="0.25">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row>
    <row r="70" spans="3:36" s="42" customFormat="1" ht="11.1" customHeight="1" x14ac:dyDescent="0.25">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row>
    <row r="71" spans="3:36" s="42" customFormat="1" ht="11.1" customHeight="1" x14ac:dyDescent="0.2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row>
    <row r="72" spans="3:36" s="42" customFormat="1" ht="11.1" customHeight="1" x14ac:dyDescent="0.25">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row>
    <row r="73" spans="3:36" s="42" customFormat="1" ht="11.1" customHeight="1" x14ac:dyDescent="0.2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row>
    <row r="74" spans="3:36" s="42" customFormat="1" ht="11.1" customHeight="1" x14ac:dyDescent="0.25">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row>
    <row r="75" spans="3:36" s="42" customFormat="1" ht="11.1" customHeight="1" x14ac:dyDescent="0.25">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row>
    <row r="76" spans="3:36" s="42" customFormat="1" ht="11.1" customHeight="1" x14ac:dyDescent="0.25">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row>
    <row r="77" spans="3:36" s="42" customFormat="1" ht="11.1" customHeight="1" x14ac:dyDescent="0.25">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row>
    <row r="78" spans="3:36" s="42" customFormat="1" ht="11.1" customHeight="1" x14ac:dyDescent="0.25">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row>
    <row r="79" spans="3:36" s="42" customFormat="1" ht="11.1" customHeight="1" x14ac:dyDescent="0.25">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row>
    <row r="80" spans="3:36" s="42" customFormat="1" ht="11.1" customHeight="1" x14ac:dyDescent="0.25">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row>
    <row r="81" spans="3:36" s="42" customFormat="1" ht="11.1" customHeight="1" x14ac:dyDescent="0.25">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row>
    <row r="82" spans="3:36" s="42" customFormat="1" ht="11.1" customHeight="1" x14ac:dyDescent="0.25">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row>
    <row r="83" spans="3:36" ht="11.1" customHeight="1" x14ac:dyDescent="0.25"/>
    <row r="84" spans="3:36" ht="11.1" customHeight="1" x14ac:dyDescent="0.25"/>
    <row r="85" spans="3:36" ht="11.1" customHeight="1" x14ac:dyDescent="0.25"/>
    <row r="86" spans="3:36" ht="11.1" customHeight="1" x14ac:dyDescent="0.25"/>
    <row r="87" spans="3:36" ht="11.1" customHeight="1" x14ac:dyDescent="0.25"/>
    <row r="88" spans="3:36" ht="11.1" customHeight="1" x14ac:dyDescent="0.25"/>
    <row r="89" spans="3:36" ht="11.1" customHeight="1" x14ac:dyDescent="0.25"/>
    <row r="90" spans="3:36" ht="11.1" customHeight="1" x14ac:dyDescent="0.25"/>
    <row r="91" spans="3:36" ht="11.1" customHeight="1" x14ac:dyDescent="0.25"/>
    <row r="92" spans="3:36" ht="11.1" customHeight="1" x14ac:dyDescent="0.25"/>
    <row r="93" spans="3:36" ht="11.1" customHeight="1" x14ac:dyDescent="0.25"/>
    <row r="94" spans="3:36" ht="11.1" customHeight="1" x14ac:dyDescent="0.25"/>
    <row r="95" spans="3:36" ht="11.1" customHeight="1" x14ac:dyDescent="0.25"/>
    <row r="96" spans="3:36" ht="11.1" customHeight="1" x14ac:dyDescent="0.25"/>
    <row r="97" ht="11.1" customHeight="1" x14ac:dyDescent="0.25"/>
    <row r="98" ht="11.1" customHeight="1" x14ac:dyDescent="0.25"/>
    <row r="99" ht="11.1" customHeight="1" x14ac:dyDescent="0.25"/>
    <row r="100" ht="11.1" customHeight="1" x14ac:dyDescent="0.25"/>
    <row r="101" ht="11.1" customHeight="1" x14ac:dyDescent="0.25"/>
    <row r="102" ht="11.1" customHeight="1" x14ac:dyDescent="0.25"/>
    <row r="103" ht="11.1" customHeight="1" x14ac:dyDescent="0.25"/>
    <row r="104" ht="11.1" customHeight="1" x14ac:dyDescent="0.25"/>
    <row r="105" ht="11.1" customHeight="1" x14ac:dyDescent="0.25"/>
    <row r="106" ht="11.1" customHeight="1" x14ac:dyDescent="0.25"/>
    <row r="107" ht="11.1" customHeight="1" x14ac:dyDescent="0.25"/>
    <row r="108" ht="11.1" customHeight="1" x14ac:dyDescent="0.25"/>
    <row r="109" ht="11.1" customHeight="1" x14ac:dyDescent="0.25"/>
  </sheetData>
  <mergeCells count="1">
    <mergeCell ref="H2:J2"/>
  </mergeCells>
  <conditionalFormatting sqref="D6">
    <cfRule type="containsText" dxfId="1" priority="1" operator="containsText" text="moyenne des consommations manquante !">
      <formula>NOT(ISERROR(SEARCH("moyenne des consommations manquante !",D6)))</formula>
    </cfRule>
    <cfRule type="cellIs" dxfId="0" priority="2" operator="equal">
      <formula>"moyenne des consommations manquante!"</formula>
    </cfRule>
  </conditionalFormatting>
  <pageMargins left="0.7" right="0.7" top="0.75" bottom="0.75" header="0.3" footer="0.3"/>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1272" r:id="rId4" name="Button 8">
              <controlPr defaultSize="0" print="0" autoFill="0" autoPict="0" macro="[0]!Actualiser">
                <anchor moveWithCells="1" sizeWithCells="1">
                  <from>
                    <xdr:col>11</xdr:col>
                    <xdr:colOff>0</xdr:colOff>
                    <xdr:row>1</xdr:row>
                    <xdr:rowOff>0</xdr:rowOff>
                  </from>
                  <to>
                    <xdr:col>12</xdr:col>
                    <xdr:colOff>9525</xdr:colOff>
                    <xdr:row>1</xdr:row>
                    <xdr:rowOff>295275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PARAM.!$E$2:$E$20</xm:f>
          </x14:formula1>
          <xm:sqref>B6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tabColor theme="9" tint="0.39997558519241921"/>
    <pageSetUpPr fitToPage="1"/>
  </sheetPr>
  <dimension ref="B2:AH110"/>
  <sheetViews>
    <sheetView tabSelected="1" workbookViewId="0">
      <selection activeCell="Q11" sqref="Q11"/>
    </sheetView>
  </sheetViews>
  <sheetFormatPr baseColWidth="10" defaultRowHeight="11.25" x14ac:dyDescent="0.25"/>
  <cols>
    <col min="1" max="1" width="0.85546875" style="6" customWidth="1"/>
    <col min="2" max="2" width="13.5703125" style="42" customWidth="1"/>
    <col min="3" max="9" width="12.7109375" style="6" customWidth="1"/>
    <col min="10" max="10" width="4.5703125" style="6" customWidth="1"/>
    <col min="11" max="11" width="14.7109375" style="6" customWidth="1"/>
    <col min="12" max="12" width="9.28515625" style="6" customWidth="1"/>
    <col min="13" max="13" width="1.5703125" style="6" customWidth="1"/>
    <col min="14" max="14" width="21.7109375" style="6" customWidth="1"/>
    <col min="15" max="15" width="6.85546875" style="6" customWidth="1"/>
    <col min="16" max="17" width="12.7109375" style="6" customWidth="1"/>
    <col min="18" max="24" width="8.7109375" style="6" customWidth="1"/>
    <col min="25" max="25" width="4.85546875" style="6" customWidth="1"/>
    <col min="26" max="34" width="9.7109375" style="6" customWidth="1"/>
    <col min="35" max="16384" width="11.42578125" style="6"/>
  </cols>
  <sheetData>
    <row r="2" spans="2:16" ht="24" customHeight="1" x14ac:dyDescent="0.25">
      <c r="C2" s="43"/>
      <c r="D2" s="97"/>
      <c r="E2" s="44" t="s">
        <v>172</v>
      </c>
      <c r="F2" s="44"/>
      <c r="G2" s="96"/>
      <c r="H2" s="170">
        <f>B7</f>
        <v>41548</v>
      </c>
      <c r="I2" s="170"/>
      <c r="J2" s="171"/>
      <c r="K2" s="99"/>
      <c r="L2" s="114"/>
      <c r="M2" s="43"/>
      <c r="O2" s="43"/>
      <c r="P2" s="186" t="s">
        <v>206</v>
      </c>
    </row>
    <row r="3" spans="2:16" ht="7.5" customHeight="1" x14ac:dyDescent="0.25"/>
    <row r="4" spans="2:16" s="90" customFormat="1" ht="16.5" customHeight="1" x14ac:dyDescent="0.25">
      <c r="C4" s="67"/>
      <c r="D4" s="67"/>
      <c r="E4" s="67"/>
      <c r="F4" s="67"/>
      <c r="K4" s="67"/>
      <c r="L4" s="67"/>
      <c r="M4" s="67"/>
      <c r="N4" s="67"/>
    </row>
    <row r="5" spans="2:16" s="90" customFormat="1" ht="16.5" customHeight="1" x14ac:dyDescent="0.25">
      <c r="D5" s="67"/>
      <c r="J5" s="67"/>
      <c r="K5" s="67"/>
      <c r="L5" s="67"/>
      <c r="O5" s="67"/>
    </row>
    <row r="6" spans="2:16" ht="16.5" customHeight="1" x14ac:dyDescent="0.25">
      <c r="E6" s="90"/>
      <c r="F6" s="90"/>
    </row>
    <row r="7" spans="2:16" s="93" customFormat="1" x14ac:dyDescent="0.25">
      <c r="B7" s="117">
        <v>41548</v>
      </c>
      <c r="D7" s="161">
        <f>VLOOKUP(B7,PARAM.!E2:F20,2,0)</f>
        <v>41543</v>
      </c>
      <c r="E7" s="162">
        <f>DATE(YEAR(D7),MONTH(D7)+1,25)</f>
        <v>41572</v>
      </c>
      <c r="F7" s="90"/>
      <c r="G7" s="134"/>
      <c r="H7" s="135"/>
      <c r="I7" s="135"/>
      <c r="J7" s="135"/>
      <c r="K7" s="112"/>
      <c r="O7" s="135"/>
    </row>
    <row r="8" spans="2:16" x14ac:dyDescent="0.25">
      <c r="D8" s="93"/>
      <c r="E8" s="93"/>
      <c r="F8" s="93"/>
      <c r="H8" s="106"/>
      <c r="I8" s="106"/>
      <c r="J8" s="104"/>
      <c r="K8" s="104"/>
      <c r="O8" s="104"/>
    </row>
    <row r="9" spans="2:16" ht="22.5" x14ac:dyDescent="0.25">
      <c r="C9" s="158" t="s">
        <v>36</v>
      </c>
      <c r="D9" s="148" t="s">
        <v>34</v>
      </c>
      <c r="E9" s="95" t="s">
        <v>175</v>
      </c>
      <c r="F9" s="94" t="s">
        <v>173</v>
      </c>
      <c r="G9" s="95" t="s">
        <v>174</v>
      </c>
      <c r="H9" s="168" t="s">
        <v>176</v>
      </c>
      <c r="I9" s="137" t="s">
        <v>177</v>
      </c>
      <c r="J9" s="104"/>
      <c r="K9" s="172" t="s">
        <v>187</v>
      </c>
      <c r="L9" s="173"/>
      <c r="M9" s="173"/>
      <c r="N9" s="174"/>
      <c r="O9" s="104"/>
    </row>
    <row r="10" spans="2:16" ht="15" x14ac:dyDescent="0.25">
      <c r="B10" s="145"/>
      <c r="C10" s="175">
        <v>41563</v>
      </c>
      <c r="D10" s="176" t="s">
        <v>166</v>
      </c>
      <c r="E10" s="176" t="s">
        <v>165</v>
      </c>
      <c r="F10" s="176">
        <v>50</v>
      </c>
      <c r="G10" s="176" t="s">
        <v>114</v>
      </c>
      <c r="H10" s="30"/>
      <c r="I10" s="169"/>
      <c r="J10" s="104"/>
      <c r="K10" s="149"/>
      <c r="L10" s="150"/>
      <c r="M10" s="150"/>
      <c r="N10" s="151"/>
      <c r="O10" s="104"/>
    </row>
    <row r="11" spans="2:16" ht="15" x14ac:dyDescent="0.25">
      <c r="B11" s="106"/>
      <c r="C11" s="177">
        <v>41563</v>
      </c>
      <c r="D11" s="178" t="s">
        <v>114</v>
      </c>
      <c r="E11" s="178" t="s">
        <v>110</v>
      </c>
      <c r="F11" s="178">
        <v>700</v>
      </c>
      <c r="G11" s="179">
        <v>78393</v>
      </c>
      <c r="H11" s="180" t="str">
        <f>IF((G10&lt;&gt;"")*(G11&lt;&gt;""),G11-G10," ")</f>
        <v xml:space="preserve"> </v>
      </c>
      <c r="I11" s="180" t="e">
        <f>IF((F11&lt;&gt;"")*(H11&lt;&gt;0),H11/F11,"")</f>
        <v>#VALUE!</v>
      </c>
      <c r="J11" s="104"/>
      <c r="K11" s="154"/>
      <c r="L11" s="155" t="s">
        <v>0</v>
      </c>
      <c r="M11" s="153"/>
      <c r="N11" s="156" t="s">
        <v>161</v>
      </c>
      <c r="O11" s="104"/>
    </row>
    <row r="12" spans="2:16" x14ac:dyDescent="0.25">
      <c r="B12" s="106"/>
      <c r="C12" s="27"/>
      <c r="D12" s="160"/>
      <c r="E12" s="57"/>
      <c r="F12" s="56"/>
      <c r="G12" s="27"/>
      <c r="H12" s="159" t="str">
        <f t="shared" ref="H12:H41" si="0">IF((G11&lt;&gt;"")*(G12&lt;&gt;""),G12-G11," ")</f>
        <v xml:space="preserve"> </v>
      </c>
      <c r="I12" s="54" t="str">
        <f t="shared" ref="I12:I41" si="1">IF((F12&lt;&gt;"")*(H12&lt;&gt;0),H12/F12,"")</f>
        <v/>
      </c>
      <c r="J12" s="104"/>
      <c r="K12" s="139"/>
      <c r="L12" s="90"/>
      <c r="M12" s="90"/>
      <c r="N12" s="152"/>
      <c r="O12" s="104"/>
    </row>
    <row r="13" spans="2:16" ht="12" x14ac:dyDescent="0.25">
      <c r="B13" s="106"/>
      <c r="C13" s="27"/>
      <c r="D13" s="160"/>
      <c r="E13" s="57"/>
      <c r="F13" s="56"/>
      <c r="G13" s="27"/>
      <c r="H13" s="159" t="str">
        <f t="shared" si="0"/>
        <v xml:space="preserve"> </v>
      </c>
      <c r="I13" s="54" t="str">
        <f t="shared" si="1"/>
        <v/>
      </c>
      <c r="J13" s="104"/>
      <c r="K13" s="139"/>
      <c r="L13" s="140" t="s">
        <v>85</v>
      </c>
      <c r="M13" s="90"/>
      <c r="N13" s="141" t="s">
        <v>67</v>
      </c>
      <c r="O13" s="104"/>
    </row>
    <row r="14" spans="2:16" ht="12" x14ac:dyDescent="0.25">
      <c r="B14" s="106"/>
      <c r="C14" s="27"/>
      <c r="D14" s="160"/>
      <c r="E14" s="57"/>
      <c r="F14" s="56"/>
      <c r="G14" s="27"/>
      <c r="H14" s="159" t="str">
        <f t="shared" si="0"/>
        <v xml:space="preserve"> </v>
      </c>
      <c r="I14" s="54" t="str">
        <f t="shared" si="1"/>
        <v/>
      </c>
      <c r="J14" s="104"/>
      <c r="K14" s="139"/>
      <c r="L14" s="140"/>
      <c r="M14" s="90"/>
      <c r="N14" s="141"/>
      <c r="O14" s="104"/>
    </row>
    <row r="15" spans="2:16" ht="12" x14ac:dyDescent="0.25">
      <c r="B15" s="106"/>
      <c r="C15" s="27"/>
      <c r="D15" s="160"/>
      <c r="E15" s="57"/>
      <c r="F15" s="56"/>
      <c r="G15" s="27"/>
      <c r="H15" s="159" t="str">
        <f t="shared" si="0"/>
        <v xml:space="preserve"> </v>
      </c>
      <c r="I15" s="54" t="str">
        <f t="shared" si="1"/>
        <v/>
      </c>
      <c r="J15" s="104"/>
      <c r="K15" s="139"/>
      <c r="L15" s="140" t="s">
        <v>86</v>
      </c>
      <c r="M15" s="90"/>
      <c r="N15" s="141" t="s">
        <v>162</v>
      </c>
      <c r="O15" s="104"/>
    </row>
    <row r="16" spans="2:16" ht="12" x14ac:dyDescent="0.25">
      <c r="B16" s="106"/>
      <c r="C16" s="27"/>
      <c r="D16" s="160"/>
      <c r="E16" s="57"/>
      <c r="F16" s="56"/>
      <c r="G16" s="27"/>
      <c r="H16" s="159" t="str">
        <f t="shared" si="0"/>
        <v xml:space="preserve"> </v>
      </c>
      <c r="I16" s="54" t="str">
        <f t="shared" si="1"/>
        <v/>
      </c>
      <c r="J16" s="104"/>
      <c r="K16" s="139"/>
      <c r="L16" s="140"/>
      <c r="M16" s="90"/>
      <c r="N16" s="141"/>
      <c r="O16" s="104"/>
    </row>
    <row r="17" spans="2:15" ht="12" x14ac:dyDescent="0.25">
      <c r="B17" s="106"/>
      <c r="C17" s="27"/>
      <c r="D17" s="160"/>
      <c r="E17" s="57"/>
      <c r="F17" s="56"/>
      <c r="G17" s="27"/>
      <c r="H17" s="159" t="str">
        <f t="shared" si="0"/>
        <v xml:space="preserve"> </v>
      </c>
      <c r="I17" s="54" t="str">
        <f t="shared" si="1"/>
        <v/>
      </c>
      <c r="J17" s="104"/>
      <c r="K17" s="139"/>
      <c r="L17" s="140" t="s">
        <v>178</v>
      </c>
      <c r="M17" s="90"/>
      <c r="N17" s="141" t="s">
        <v>163</v>
      </c>
      <c r="O17" s="104"/>
    </row>
    <row r="18" spans="2:15" ht="12" x14ac:dyDescent="0.25">
      <c r="B18" s="106"/>
      <c r="C18" s="27"/>
      <c r="D18" s="160"/>
      <c r="E18" s="57"/>
      <c r="F18" s="56"/>
      <c r="G18" s="27"/>
      <c r="H18" s="159" t="str">
        <f t="shared" si="0"/>
        <v xml:space="preserve"> </v>
      </c>
      <c r="I18" s="54" t="str">
        <f t="shared" si="1"/>
        <v/>
      </c>
      <c r="J18" s="104"/>
      <c r="K18" s="139"/>
      <c r="L18" s="140"/>
      <c r="M18" s="90"/>
      <c r="N18" s="141"/>
      <c r="O18" s="104"/>
    </row>
    <row r="19" spans="2:15" ht="12" x14ac:dyDescent="0.25">
      <c r="B19" s="106"/>
      <c r="C19" s="27"/>
      <c r="D19" s="160"/>
      <c r="E19" s="57"/>
      <c r="F19" s="56"/>
      <c r="G19" s="27"/>
      <c r="H19" s="159" t="str">
        <f t="shared" si="0"/>
        <v xml:space="preserve"> </v>
      </c>
      <c r="I19" s="54" t="str">
        <f t="shared" si="1"/>
        <v/>
      </c>
      <c r="J19" s="104"/>
      <c r="K19" s="139"/>
      <c r="L19" s="140" t="s">
        <v>54</v>
      </c>
      <c r="M19" s="90"/>
      <c r="N19" s="141" t="s">
        <v>94</v>
      </c>
      <c r="O19" s="104"/>
    </row>
    <row r="20" spans="2:15" ht="12" x14ac:dyDescent="0.25">
      <c r="B20" s="106"/>
      <c r="C20" s="27"/>
      <c r="D20" s="160"/>
      <c r="E20" s="57"/>
      <c r="F20" s="56"/>
      <c r="G20" s="27"/>
      <c r="H20" s="159" t="str">
        <f t="shared" si="0"/>
        <v xml:space="preserve"> </v>
      </c>
      <c r="I20" s="54" t="str">
        <f t="shared" si="1"/>
        <v/>
      </c>
      <c r="K20" s="139"/>
      <c r="L20" s="140"/>
      <c r="M20" s="90"/>
      <c r="N20" s="141"/>
    </row>
    <row r="21" spans="2:15" ht="12" x14ac:dyDescent="0.25">
      <c r="B21" s="106"/>
      <c r="C21" s="27"/>
      <c r="D21" s="160"/>
      <c r="E21" s="57"/>
      <c r="F21" s="56"/>
      <c r="G21" s="27"/>
      <c r="H21" s="159" t="str">
        <f t="shared" si="0"/>
        <v xml:space="preserve"> </v>
      </c>
      <c r="I21" s="54" t="str">
        <f t="shared" si="1"/>
        <v/>
      </c>
      <c r="K21" s="139"/>
      <c r="L21" s="140" t="s">
        <v>179</v>
      </c>
      <c r="M21" s="90"/>
      <c r="N21" s="141" t="s">
        <v>111</v>
      </c>
    </row>
    <row r="22" spans="2:15" ht="12" x14ac:dyDescent="0.25">
      <c r="B22" s="106"/>
      <c r="C22" s="27"/>
      <c r="D22" s="160"/>
      <c r="E22" s="57"/>
      <c r="F22" s="56"/>
      <c r="G22" s="27"/>
      <c r="H22" s="136" t="str">
        <f t="shared" si="0"/>
        <v xml:space="preserve"> </v>
      </c>
      <c r="I22" s="27" t="str">
        <f t="shared" si="1"/>
        <v/>
      </c>
      <c r="K22" s="136"/>
      <c r="L22" s="142"/>
      <c r="M22" s="90"/>
      <c r="N22" s="141"/>
    </row>
    <row r="23" spans="2:15" ht="12" x14ac:dyDescent="0.25">
      <c r="B23" s="106"/>
      <c r="C23" s="27"/>
      <c r="D23" s="160"/>
      <c r="E23" s="57"/>
      <c r="F23" s="56"/>
      <c r="G23" s="27"/>
      <c r="H23" s="136" t="str">
        <f t="shared" si="0"/>
        <v xml:space="preserve"> </v>
      </c>
      <c r="I23" s="27" t="str">
        <f t="shared" si="1"/>
        <v/>
      </c>
      <c r="K23" s="136"/>
      <c r="L23" s="140" t="s">
        <v>186</v>
      </c>
      <c r="M23" s="90"/>
      <c r="N23" s="141" t="s">
        <v>115</v>
      </c>
    </row>
    <row r="24" spans="2:15" ht="12" x14ac:dyDescent="0.25">
      <c r="B24" s="106"/>
      <c r="C24" s="27"/>
      <c r="D24" s="160"/>
      <c r="E24" s="57"/>
      <c r="F24" s="56"/>
      <c r="G24" s="27"/>
      <c r="H24" s="136" t="str">
        <f t="shared" si="0"/>
        <v xml:space="preserve"> </v>
      </c>
      <c r="I24" s="27" t="str">
        <f t="shared" si="1"/>
        <v/>
      </c>
      <c r="K24" s="136"/>
      <c r="L24" s="90"/>
      <c r="M24" s="90"/>
      <c r="N24" s="141"/>
    </row>
    <row r="25" spans="2:15" ht="12" x14ac:dyDescent="0.25">
      <c r="B25" s="106"/>
      <c r="C25" s="27"/>
      <c r="D25" s="160"/>
      <c r="E25" s="57"/>
      <c r="F25" s="56"/>
      <c r="G25" s="27"/>
      <c r="H25" s="136" t="str">
        <f t="shared" si="0"/>
        <v xml:space="preserve"> </v>
      </c>
      <c r="I25" s="27" t="str">
        <f t="shared" si="1"/>
        <v/>
      </c>
      <c r="K25" s="136"/>
      <c r="L25" s="143" t="s">
        <v>180</v>
      </c>
      <c r="M25" s="90"/>
      <c r="N25" s="141"/>
    </row>
    <row r="26" spans="2:15" ht="12" x14ac:dyDescent="0.25">
      <c r="B26" s="106"/>
      <c r="C26" s="27"/>
      <c r="D26" s="160"/>
      <c r="E26" s="57"/>
      <c r="F26" s="56"/>
      <c r="G26" s="27"/>
      <c r="H26" s="136" t="str">
        <f t="shared" si="0"/>
        <v xml:space="preserve"> </v>
      </c>
      <c r="I26" s="27" t="str">
        <f t="shared" si="1"/>
        <v/>
      </c>
      <c r="K26" s="136"/>
      <c r="L26" s="140" t="s">
        <v>181</v>
      </c>
      <c r="M26" s="90"/>
      <c r="N26" s="144">
        <v>41518</v>
      </c>
    </row>
    <row r="27" spans="2:15" ht="12" x14ac:dyDescent="0.25">
      <c r="B27" s="106"/>
      <c r="C27" s="27"/>
      <c r="D27" s="160"/>
      <c r="E27" s="57"/>
      <c r="F27" s="56"/>
      <c r="G27" s="27"/>
      <c r="H27" s="136" t="str">
        <f t="shared" si="0"/>
        <v xml:space="preserve"> </v>
      </c>
      <c r="I27" s="27" t="str">
        <f t="shared" si="1"/>
        <v/>
      </c>
      <c r="K27" s="136"/>
      <c r="L27" s="140" t="s">
        <v>182</v>
      </c>
      <c r="M27" s="90"/>
      <c r="N27" s="141" t="s">
        <v>164</v>
      </c>
    </row>
    <row r="28" spans="2:15" ht="12" x14ac:dyDescent="0.25">
      <c r="B28" s="106"/>
      <c r="C28" s="27"/>
      <c r="D28" s="160"/>
      <c r="E28" s="57"/>
      <c r="F28" s="56"/>
      <c r="G28" s="27"/>
      <c r="H28" s="136" t="str">
        <f t="shared" si="0"/>
        <v xml:space="preserve"> </v>
      </c>
      <c r="I28" s="27" t="str">
        <f t="shared" si="1"/>
        <v/>
      </c>
      <c r="K28" s="136"/>
      <c r="L28" s="140"/>
      <c r="M28" s="90"/>
      <c r="N28" s="141"/>
    </row>
    <row r="29" spans="2:15" ht="12" x14ac:dyDescent="0.25">
      <c r="B29" s="106"/>
      <c r="C29" s="27"/>
      <c r="D29" s="160"/>
      <c r="E29" s="57"/>
      <c r="F29" s="56"/>
      <c r="G29" s="27"/>
      <c r="H29" s="136" t="str">
        <f t="shared" si="0"/>
        <v xml:space="preserve"> </v>
      </c>
      <c r="I29" s="27" t="str">
        <f t="shared" si="1"/>
        <v/>
      </c>
      <c r="K29" s="136"/>
      <c r="L29" s="143" t="s">
        <v>183</v>
      </c>
      <c r="M29" s="90"/>
      <c r="N29" s="141"/>
    </row>
    <row r="30" spans="2:15" ht="12" x14ac:dyDescent="0.25">
      <c r="B30" s="106"/>
      <c r="C30" s="27"/>
      <c r="D30" s="160"/>
      <c r="E30" s="57"/>
      <c r="F30" s="56"/>
      <c r="G30" s="27"/>
      <c r="H30" s="136" t="str">
        <f t="shared" si="0"/>
        <v xml:space="preserve"> </v>
      </c>
      <c r="I30" s="27" t="str">
        <f t="shared" si="1"/>
        <v/>
      </c>
      <c r="K30" s="136"/>
      <c r="L30" s="140" t="s">
        <v>184</v>
      </c>
      <c r="M30" s="90"/>
      <c r="N30" s="144">
        <v>41639</v>
      </c>
    </row>
    <row r="31" spans="2:15" ht="12" x14ac:dyDescent="0.25">
      <c r="B31" s="106"/>
      <c r="C31" s="27"/>
      <c r="D31" s="160"/>
      <c r="E31" s="57"/>
      <c r="F31" s="56"/>
      <c r="G31" s="27"/>
      <c r="H31" s="136" t="str">
        <f t="shared" si="0"/>
        <v xml:space="preserve"> </v>
      </c>
      <c r="I31" s="27" t="str">
        <f t="shared" si="1"/>
        <v/>
      </c>
      <c r="K31" s="136"/>
      <c r="L31" s="140" t="s">
        <v>185</v>
      </c>
      <c r="M31" s="90"/>
      <c r="N31" s="141" t="s">
        <v>138</v>
      </c>
    </row>
    <row r="32" spans="2:15" x14ac:dyDescent="0.25">
      <c r="B32" s="106"/>
      <c r="C32" s="27"/>
      <c r="D32" s="160"/>
      <c r="E32" s="57"/>
      <c r="F32" s="56"/>
      <c r="G32" s="27"/>
      <c r="H32" s="136" t="str">
        <f t="shared" si="0"/>
        <v xml:space="preserve"> </v>
      </c>
      <c r="I32" s="27" t="str">
        <f t="shared" si="1"/>
        <v/>
      </c>
      <c r="K32" s="49"/>
      <c r="L32" s="100"/>
      <c r="M32" s="100"/>
      <c r="N32" s="138"/>
    </row>
    <row r="33" spans="2:16" x14ac:dyDescent="0.25">
      <c r="B33" s="106"/>
      <c r="C33" s="27"/>
      <c r="D33" s="160"/>
      <c r="E33" s="57"/>
      <c r="F33" s="56"/>
      <c r="G33" s="27"/>
      <c r="H33" s="136" t="str">
        <f t="shared" si="0"/>
        <v xml:space="preserve"> </v>
      </c>
      <c r="I33" s="27" t="str">
        <f t="shared" si="1"/>
        <v/>
      </c>
    </row>
    <row r="34" spans="2:16" x14ac:dyDescent="0.25">
      <c r="B34" s="106"/>
      <c r="C34" s="27"/>
      <c r="D34" s="160"/>
      <c r="E34" s="57"/>
      <c r="F34" s="56"/>
      <c r="G34" s="27"/>
      <c r="H34" s="136" t="str">
        <f t="shared" si="0"/>
        <v xml:space="preserve"> </v>
      </c>
      <c r="I34" s="27" t="str">
        <f t="shared" si="1"/>
        <v/>
      </c>
    </row>
    <row r="35" spans="2:16" x14ac:dyDescent="0.25">
      <c r="B35" s="106"/>
      <c r="C35" s="27"/>
      <c r="D35" s="160"/>
      <c r="E35" s="57"/>
      <c r="F35" s="56"/>
      <c r="G35" s="27"/>
      <c r="H35" s="136" t="str">
        <f t="shared" si="0"/>
        <v xml:space="preserve"> </v>
      </c>
      <c r="I35" s="27" t="str">
        <f t="shared" si="1"/>
        <v/>
      </c>
    </row>
    <row r="36" spans="2:16" x14ac:dyDescent="0.25">
      <c r="B36" s="106"/>
      <c r="C36" s="27"/>
      <c r="D36" s="160"/>
      <c r="E36" s="57"/>
      <c r="F36" s="56"/>
      <c r="G36" s="27"/>
      <c r="H36" s="136" t="str">
        <f t="shared" si="0"/>
        <v xml:space="preserve"> </v>
      </c>
      <c r="I36" s="27" t="str">
        <f t="shared" si="1"/>
        <v/>
      </c>
    </row>
    <row r="37" spans="2:16" x14ac:dyDescent="0.25">
      <c r="B37" s="106"/>
      <c r="C37" s="27"/>
      <c r="D37" s="160"/>
      <c r="E37" s="57"/>
      <c r="F37" s="56"/>
      <c r="G37" s="27"/>
      <c r="H37" s="136" t="str">
        <f t="shared" si="0"/>
        <v xml:space="preserve"> </v>
      </c>
      <c r="I37" s="27" t="str">
        <f t="shared" si="1"/>
        <v/>
      </c>
    </row>
    <row r="38" spans="2:16" x14ac:dyDescent="0.25">
      <c r="B38" s="106"/>
      <c r="C38" s="27"/>
      <c r="D38" s="160"/>
      <c r="E38" s="57"/>
      <c r="F38" s="56"/>
      <c r="G38" s="27"/>
      <c r="H38" s="136" t="str">
        <f t="shared" si="0"/>
        <v xml:space="preserve"> </v>
      </c>
      <c r="I38" s="27" t="str">
        <f t="shared" si="1"/>
        <v/>
      </c>
    </row>
    <row r="39" spans="2:16" x14ac:dyDescent="0.25">
      <c r="B39" s="106"/>
      <c r="C39" s="27"/>
      <c r="D39" s="160"/>
      <c r="E39" s="57"/>
      <c r="F39" s="56"/>
      <c r="G39" s="27"/>
      <c r="H39" s="136" t="str">
        <f t="shared" si="0"/>
        <v xml:space="preserve"> </v>
      </c>
      <c r="I39" s="27" t="str">
        <f t="shared" si="1"/>
        <v/>
      </c>
    </row>
    <row r="40" spans="2:16" x14ac:dyDescent="0.25">
      <c r="B40" s="106"/>
      <c r="C40" s="27"/>
      <c r="D40" s="160"/>
      <c r="E40" s="57"/>
      <c r="F40" s="56"/>
      <c r="G40" s="27"/>
      <c r="H40" s="136" t="str">
        <f t="shared" si="0"/>
        <v xml:space="preserve"> </v>
      </c>
      <c r="I40" s="27" t="str">
        <f t="shared" si="1"/>
        <v/>
      </c>
    </row>
    <row r="41" spans="2:16" x14ac:dyDescent="0.25">
      <c r="B41" s="106"/>
      <c r="D41" s="147"/>
      <c r="E41" s="147"/>
      <c r="F41" s="147"/>
      <c r="G41" s="90"/>
      <c r="H41" s="90" t="str">
        <f t="shared" si="0"/>
        <v xml:space="preserve"> </v>
      </c>
      <c r="I41" s="157" t="str">
        <f t="shared" si="1"/>
        <v/>
      </c>
    </row>
    <row r="44" spans="2:16" x14ac:dyDescent="0.25">
      <c r="B44" s="6"/>
    </row>
    <row r="45" spans="2:16" x14ac:dyDescent="0.25">
      <c r="B45" s="6"/>
    </row>
    <row r="46" spans="2:16" ht="11.25" customHeight="1" x14ac:dyDescent="0.25">
      <c r="B46" s="6"/>
      <c r="C46" s="61"/>
      <c r="J46" s="62"/>
      <c r="K46" s="61"/>
      <c r="L46" s="61"/>
      <c r="M46" s="61"/>
      <c r="N46" s="61"/>
      <c r="O46" s="62"/>
      <c r="P46" s="62"/>
    </row>
    <row r="47" spans="2:16" ht="11.25" customHeight="1" x14ac:dyDescent="0.25"/>
    <row r="48" spans="2:16" ht="11.25" customHeight="1" x14ac:dyDescent="0.25">
      <c r="B48" s="6"/>
    </row>
    <row r="49" spans="3:34" ht="11.1" customHeight="1" x14ac:dyDescent="0.25"/>
    <row r="50" spans="3:34" ht="11.1" customHeight="1" x14ac:dyDescent="0.25"/>
    <row r="51" spans="3:34" ht="11.1" customHeight="1" x14ac:dyDescent="0.25"/>
    <row r="52" spans="3:34" s="42" customFormat="1" ht="11.1" customHeight="1" x14ac:dyDescent="0.25">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row>
    <row r="53" spans="3:34" s="42" customFormat="1" ht="11.1" customHeight="1" x14ac:dyDescent="0.25">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row>
    <row r="54" spans="3:34" s="42" customFormat="1" ht="11.1" customHeight="1" x14ac:dyDescent="0.25">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row>
    <row r="55" spans="3:34" s="42" customFormat="1" ht="11.1" customHeight="1" x14ac:dyDescent="0.25">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row>
    <row r="56" spans="3:34" s="42" customFormat="1" ht="11.1" customHeight="1" x14ac:dyDescent="0.25">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row>
    <row r="57" spans="3:34" s="42" customFormat="1" ht="11.1" customHeight="1" x14ac:dyDescent="0.25">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row>
    <row r="58" spans="3:34" s="42" customFormat="1" ht="11.1" customHeight="1" x14ac:dyDescent="0.25">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row>
    <row r="59" spans="3:34" s="42" customFormat="1" ht="11.1" customHeight="1" x14ac:dyDescent="0.25">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row>
    <row r="60" spans="3:34" s="42" customFormat="1" ht="11.1" customHeight="1" x14ac:dyDescent="0.25">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row>
    <row r="61" spans="3:34" s="42" customFormat="1" ht="11.1" customHeight="1" x14ac:dyDescent="0.25">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row>
    <row r="62" spans="3:34" s="42" customFormat="1" ht="11.1" customHeight="1" x14ac:dyDescent="0.2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row>
    <row r="63" spans="3:34" s="42" customFormat="1" ht="11.1" customHeight="1" x14ac:dyDescent="0.25">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row>
    <row r="64" spans="3:34" s="42" customFormat="1" ht="11.1" customHeight="1" x14ac:dyDescent="0.25">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row>
    <row r="65" spans="3:34" s="42" customFormat="1" ht="11.1" customHeight="1" x14ac:dyDescent="0.2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row>
    <row r="66" spans="3:34" s="42" customFormat="1" ht="11.1" customHeight="1" x14ac:dyDescent="0.25">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row>
    <row r="67" spans="3:34" s="42" customFormat="1" ht="11.1" customHeight="1" x14ac:dyDescent="0.25">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row>
    <row r="68" spans="3:34" s="42" customFormat="1" ht="11.1" customHeight="1" x14ac:dyDescent="0.2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row>
    <row r="69" spans="3:34" s="42" customFormat="1" ht="11.1" customHeight="1" x14ac:dyDescent="0.25">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row>
    <row r="70" spans="3:34" s="42" customFormat="1" ht="11.1" customHeight="1" x14ac:dyDescent="0.25">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row>
    <row r="71" spans="3:34" s="42" customFormat="1" ht="11.1" customHeight="1" x14ac:dyDescent="0.2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row>
    <row r="72" spans="3:34" s="42" customFormat="1" ht="11.1" customHeight="1" x14ac:dyDescent="0.25">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row>
    <row r="73" spans="3:34" s="42" customFormat="1" ht="11.1" customHeight="1" x14ac:dyDescent="0.2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row>
    <row r="74" spans="3:34" s="42" customFormat="1" ht="11.1" customHeight="1" x14ac:dyDescent="0.25">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row>
    <row r="75" spans="3:34" s="42" customFormat="1" ht="11.1" customHeight="1" x14ac:dyDescent="0.25">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row>
    <row r="76" spans="3:34" s="42" customFormat="1" ht="11.1" customHeight="1" x14ac:dyDescent="0.25">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row>
    <row r="77" spans="3:34" s="42" customFormat="1" ht="11.1" customHeight="1" x14ac:dyDescent="0.25">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row>
    <row r="78" spans="3:34" s="42" customFormat="1" ht="11.1" customHeight="1" x14ac:dyDescent="0.25">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row>
    <row r="79" spans="3:34" s="42" customFormat="1" ht="11.1" customHeight="1" x14ac:dyDescent="0.25">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row>
    <row r="80" spans="3:34" s="42" customFormat="1" ht="11.1" customHeight="1" x14ac:dyDescent="0.25">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row>
    <row r="81" spans="3:34" s="42" customFormat="1" ht="11.1" customHeight="1" x14ac:dyDescent="0.25">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row>
    <row r="82" spans="3:34" s="42" customFormat="1" ht="11.1" customHeight="1" x14ac:dyDescent="0.25">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row>
    <row r="83" spans="3:34" s="42" customFormat="1" ht="11.1" customHeight="1" x14ac:dyDescent="0.25">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row>
    <row r="84" spans="3:34" ht="11.1" customHeight="1" x14ac:dyDescent="0.25"/>
    <row r="85" spans="3:34" ht="11.1" customHeight="1" x14ac:dyDescent="0.25"/>
    <row r="86" spans="3:34" ht="11.1" customHeight="1" x14ac:dyDescent="0.25"/>
    <row r="87" spans="3:34" ht="11.1" customHeight="1" x14ac:dyDescent="0.25"/>
    <row r="88" spans="3:34" ht="11.1" customHeight="1" x14ac:dyDescent="0.25"/>
    <row r="89" spans="3:34" ht="11.1" customHeight="1" x14ac:dyDescent="0.25"/>
    <row r="90" spans="3:34" ht="11.1" customHeight="1" x14ac:dyDescent="0.25"/>
    <row r="91" spans="3:34" ht="11.1" customHeight="1" x14ac:dyDescent="0.25"/>
    <row r="92" spans="3:34" ht="11.1" customHeight="1" x14ac:dyDescent="0.25"/>
    <row r="93" spans="3:34" ht="11.1" customHeight="1" x14ac:dyDescent="0.25"/>
    <row r="94" spans="3:34" ht="11.1" customHeight="1" x14ac:dyDescent="0.25"/>
    <row r="95" spans="3:34" ht="11.1" customHeight="1" x14ac:dyDescent="0.25"/>
    <row r="96" spans="3:34" ht="11.1" customHeight="1" x14ac:dyDescent="0.25"/>
    <row r="97" spans="3:34" ht="11.1" customHeight="1" x14ac:dyDescent="0.25"/>
    <row r="98" spans="3:34" s="42" customFormat="1" ht="11.1" customHeight="1" x14ac:dyDescent="0.25">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row>
    <row r="99" spans="3:34" s="42" customFormat="1" ht="11.1" customHeight="1" x14ac:dyDescent="0.25">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row>
    <row r="100" spans="3:34" s="42" customFormat="1" ht="11.1" customHeight="1" x14ac:dyDescent="0.25">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row>
    <row r="101" spans="3:34" s="42" customFormat="1" ht="11.1" customHeight="1" x14ac:dyDescent="0.25">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row>
    <row r="102" spans="3:34" s="42" customFormat="1" ht="11.1" customHeight="1" x14ac:dyDescent="0.25">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row>
    <row r="103" spans="3:34" s="42" customFormat="1" ht="11.1" customHeight="1" x14ac:dyDescent="0.25">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row>
    <row r="104" spans="3:34" s="42" customFormat="1" ht="11.1" customHeight="1" x14ac:dyDescent="0.25">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row>
    <row r="105" spans="3:34" s="42" customFormat="1" ht="11.1" customHeight="1" x14ac:dyDescent="0.25">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row>
    <row r="106" spans="3:34" s="42" customFormat="1" ht="11.1" customHeight="1" x14ac:dyDescent="0.25">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row>
    <row r="107" spans="3:34" s="42" customFormat="1" ht="11.1" customHeight="1" x14ac:dyDescent="0.25">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row>
    <row r="108" spans="3:34" s="42" customFormat="1" ht="11.1" customHeight="1" x14ac:dyDescent="0.25">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row>
    <row r="109" spans="3:34" s="42" customFormat="1" ht="11.1" customHeight="1" x14ac:dyDescent="0.25">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row>
    <row r="110" spans="3:34" s="42" customFormat="1" ht="11.1" customHeight="1" x14ac:dyDescent="0.25">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row>
  </sheetData>
  <sortState ref="C10:I11">
    <sortCondition ref="C10"/>
  </sortState>
  <mergeCells count="2">
    <mergeCell ref="H2:J2"/>
    <mergeCell ref="K9:N9"/>
  </mergeCells>
  <hyperlinks>
    <hyperlink ref="P2" r:id="rId1"/>
  </hyperlinks>
  <pageMargins left="0.7" right="0.7" top="0.75" bottom="0.75" header="0.3" footer="0.3"/>
  <pageSetup paperSize="9" scale="74"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5361" r:id="rId5" name="Button 1">
              <controlPr defaultSize="0" print="0" autoFill="0" autoPict="0" macro="[0]!Actualiser">
                <anchor moveWithCells="1" sizeWithCells="1">
                  <from>
                    <xdr:col>10</xdr:col>
                    <xdr:colOff>657225</xdr:colOff>
                    <xdr:row>1</xdr:row>
                    <xdr:rowOff>0</xdr:rowOff>
                  </from>
                  <to>
                    <xdr:col>13</xdr:col>
                    <xdr:colOff>95250</xdr:colOff>
                    <xdr:row>1</xdr:row>
                    <xdr:rowOff>295275</xdr:rowOff>
                  </to>
                </anchor>
              </controlPr>
            </control>
          </mc:Choice>
        </mc:AlternateContent>
        <mc:AlternateContent xmlns:mc="http://schemas.openxmlformats.org/markup-compatibility/2006">
          <mc:Choice Requires="x14">
            <control shapeId="15370" r:id="rId6" name="Button 10">
              <controlPr defaultSize="0" print="0" autoFill="0" autoPict="0" macro="[0]!Filtre">
                <anchor moveWithCells="1" sizeWithCells="1">
                  <from>
                    <xdr:col>5</xdr:col>
                    <xdr:colOff>400050</xdr:colOff>
                    <xdr:row>3</xdr:row>
                    <xdr:rowOff>190500</xdr:rowOff>
                  </from>
                  <to>
                    <xdr:col>6</xdr:col>
                    <xdr:colOff>438150</xdr:colOff>
                    <xdr:row>5</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PARAM.!$E$2:$E$20</xm:f>
          </x14:formula1>
          <xm:sqref>B7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theme="9" tint="0.39997558519241921"/>
  </sheetPr>
  <dimension ref="A2:AF35"/>
  <sheetViews>
    <sheetView workbookViewId="0"/>
  </sheetViews>
  <sheetFormatPr baseColWidth="10" defaultRowHeight="11.25" x14ac:dyDescent="0.2"/>
  <cols>
    <col min="1" max="1" width="8" style="1" customWidth="1"/>
    <col min="2" max="3" width="6.7109375" style="1" customWidth="1"/>
    <col min="4" max="4" width="9.5703125" style="1" bestFit="1" customWidth="1"/>
    <col min="5" max="5" width="13.85546875" style="1" customWidth="1"/>
    <col min="6" max="25" width="7.7109375" style="1" customWidth="1"/>
    <col min="26" max="26" width="12.5703125" style="1" bestFit="1" customWidth="1"/>
    <col min="27" max="27" width="24.42578125" style="1" customWidth="1"/>
    <col min="28" max="16384" width="11.42578125" style="1"/>
  </cols>
  <sheetData>
    <row r="2" spans="1:32" ht="33" customHeight="1" x14ac:dyDescent="0.2">
      <c r="B2" s="50"/>
      <c r="D2" s="113" t="s">
        <v>168</v>
      </c>
      <c r="E2" s="45"/>
      <c r="F2" s="45"/>
      <c r="G2" s="45">
        <f>B5</f>
        <v>41518</v>
      </c>
      <c r="H2" s="44"/>
      <c r="I2" s="47"/>
      <c r="N2" s="120"/>
    </row>
    <row r="4" spans="1:32" ht="15" customHeight="1" x14ac:dyDescent="0.2">
      <c r="B4" s="76"/>
      <c r="F4" s="72"/>
      <c r="H4" s="72"/>
      <c r="I4" s="72"/>
      <c r="J4" s="72"/>
      <c r="K4" s="72"/>
      <c r="L4" s="72"/>
      <c r="M4" s="72">
        <v>18.936</v>
      </c>
      <c r="AB4" s="73" t="s">
        <v>145</v>
      </c>
      <c r="AC4" s="71"/>
      <c r="AD4" s="71"/>
      <c r="AE4" s="71"/>
      <c r="AF4" s="74"/>
    </row>
    <row r="5" spans="1:32" x14ac:dyDescent="0.2">
      <c r="B5" s="117">
        <v>41518</v>
      </c>
      <c r="C5" s="117"/>
      <c r="D5" s="118">
        <f>VLOOKUP(B5,PARAM.!$E$2:$F$20,2,0)</f>
        <v>41512</v>
      </c>
      <c r="E5" s="119">
        <f>EDATE(D5,1)-1</f>
        <v>41542</v>
      </c>
      <c r="H5" s="127"/>
      <c r="I5" s="127"/>
      <c r="J5" s="127"/>
      <c r="K5" s="127"/>
      <c r="L5" s="127"/>
    </row>
    <row r="6" spans="1:32" ht="19.5" customHeight="1" x14ac:dyDescent="0.2">
      <c r="B6" s="75">
        <f>CONCATENATE(25,MONTH(B5)+1,YEAR(B5))*1</f>
        <v>25102013</v>
      </c>
      <c r="C6" s="63"/>
      <c r="D6" s="64"/>
      <c r="H6" s="128" t="s">
        <v>146</v>
      </c>
      <c r="I6" s="128" t="s">
        <v>146</v>
      </c>
      <c r="J6" s="128" t="s">
        <v>146</v>
      </c>
      <c r="K6" s="128" t="s">
        <v>146</v>
      </c>
      <c r="L6" s="128" t="s">
        <v>146</v>
      </c>
    </row>
    <row r="7" spans="1:32" s="68" customFormat="1" ht="14.25" customHeight="1" x14ac:dyDescent="0.2">
      <c r="A7" s="76"/>
      <c r="B7" s="124" t="s">
        <v>42</v>
      </c>
      <c r="C7" s="70"/>
      <c r="D7" s="125">
        <f>MAX(TBSgasoil[Date])</f>
        <v>41563</v>
      </c>
      <c r="F7" s="112"/>
      <c r="H7" s="129">
        <v>41518</v>
      </c>
      <c r="I7" s="129">
        <v>41548</v>
      </c>
      <c r="J7" s="129">
        <v>41579</v>
      </c>
      <c r="K7" s="129">
        <v>41609</v>
      </c>
      <c r="L7" s="129">
        <v>41640</v>
      </c>
    </row>
    <row r="8" spans="1:32" ht="25.5" customHeight="1" x14ac:dyDescent="0.2">
      <c r="A8" s="6"/>
      <c r="B8" s="130" t="s">
        <v>147</v>
      </c>
      <c r="C8" s="131"/>
      <c r="D8" s="132">
        <v>460</v>
      </c>
      <c r="E8" s="133" t="s">
        <v>167</v>
      </c>
      <c r="F8" s="112"/>
      <c r="H8" s="123">
        <f t="shared" ref="H8:J8" si="0">SUM(H9:H33)</f>
        <v>0</v>
      </c>
      <c r="I8" s="123">
        <f t="shared" si="0"/>
        <v>0</v>
      </c>
      <c r="J8" s="123">
        <f t="shared" si="0"/>
        <v>0</v>
      </c>
      <c r="K8" s="123">
        <f t="shared" ref="K8:L8" si="1">SUM(K9:K33)</f>
        <v>0</v>
      </c>
      <c r="L8" s="123">
        <f t="shared" si="1"/>
        <v>0</v>
      </c>
    </row>
    <row r="9" spans="1:32" x14ac:dyDescent="0.2">
      <c r="A9" s="77"/>
      <c r="B9" s="65" t="str">
        <f>PARAM.!C2</f>
        <v>DGGT</v>
      </c>
      <c r="C9" s="46"/>
      <c r="D9" s="52">
        <f>SUMIFS(TBSgasoil[Quantité],TBSgasoil[Entreprise],$B9,TBSgasoil[Mois Comptable],$B$6)</f>
        <v>0</v>
      </c>
      <c r="E9" s="53">
        <f>$D$8*D9</f>
        <v>0</v>
      </c>
      <c r="F9" s="116">
        <f>E9</f>
        <v>0</v>
      </c>
      <c r="H9" s="53"/>
      <c r="I9" s="53"/>
      <c r="J9" s="53"/>
      <c r="K9" s="53"/>
      <c r="L9" s="53"/>
    </row>
    <row r="10" spans="1:32" x14ac:dyDescent="0.2">
      <c r="A10" s="77"/>
      <c r="B10" s="66" t="str">
        <f ca="1">IF(OFFSET(PARAM.!C2,1,0)="","",OFFSET(PARAM.!C2,1,0))</f>
        <v>SGE-C</v>
      </c>
      <c r="C10" s="78"/>
      <c r="D10" s="56">
        <f ca="1">SUMIFS(TBSgasoil[Quantité],TBSgasoil[Entreprise],$B10,TBSgasoil[Mois Comptable],$B$6)</f>
        <v>700</v>
      </c>
      <c r="E10" s="57">
        <f t="shared" ref="E10:E33" ca="1" si="2">$D$8*D10</f>
        <v>322000</v>
      </c>
      <c r="F10" s="116">
        <f t="shared" ref="F10:F33" ca="1" si="3">E10</f>
        <v>322000</v>
      </c>
      <c r="H10" s="57"/>
      <c r="I10" s="57"/>
      <c r="J10" s="57"/>
      <c r="K10" s="57"/>
      <c r="L10" s="57"/>
    </row>
    <row r="11" spans="1:32" x14ac:dyDescent="0.2">
      <c r="A11" s="77"/>
      <c r="B11" s="66" t="str">
        <f ca="1">IF(OFFSET(PARAM.!C3,1,0)="","",OFFSET(PARAM.!C3,1,0))</f>
        <v>AMMI Services</v>
      </c>
      <c r="C11" s="78"/>
      <c r="D11" s="56">
        <f ca="1">SUMIFS(TBSgasoil[Quantité],TBSgasoil[Entreprise],$B11,TBSgasoil[Mois Comptable],$B$6)</f>
        <v>0</v>
      </c>
      <c r="E11" s="57">
        <f t="shared" ca="1" si="2"/>
        <v>0</v>
      </c>
      <c r="F11" s="116">
        <f t="shared" ca="1" si="3"/>
        <v>0</v>
      </c>
      <c r="H11" s="57"/>
      <c r="I11" s="57"/>
      <c r="J11" s="57"/>
      <c r="K11" s="57"/>
      <c r="L11" s="57"/>
    </row>
    <row r="12" spans="1:32" x14ac:dyDescent="0.2">
      <c r="A12" s="77"/>
      <c r="B12" s="66" t="str">
        <f ca="1">IF(OFFSET(PARAM.!C4,1,0)="","",OFFSET(PARAM.!C4,1,0))</f>
        <v>JPJ Lisaro</v>
      </c>
      <c r="C12" s="78"/>
      <c r="D12" s="56">
        <f ca="1">SUMIFS(TBSgasoil[Quantité],TBSgasoil[Entreprise],$B12,TBSgasoil[Mois Comptable],$B$6)</f>
        <v>50</v>
      </c>
      <c r="E12" s="57">
        <f t="shared" ca="1" si="2"/>
        <v>23000</v>
      </c>
      <c r="F12" s="116">
        <f t="shared" ca="1" si="3"/>
        <v>23000</v>
      </c>
      <c r="H12" s="57"/>
      <c r="I12" s="57"/>
      <c r="J12" s="57"/>
      <c r="K12" s="57"/>
      <c r="L12" s="57"/>
    </row>
    <row r="13" spans="1:32" x14ac:dyDescent="0.2">
      <c r="A13" s="77"/>
      <c r="B13" s="66" t="str">
        <f ca="1">IF(OFFSET(PARAM.!C5,1,0)="","",OFFSET(PARAM.!C5,1,0))</f>
        <v>Mécanique</v>
      </c>
      <c r="C13" s="78"/>
      <c r="D13" s="56">
        <f ca="1">SUMIFS(TBSgasoil[Quantité],TBSgasoil[Entreprise],$B13,TBSgasoil[Mois Comptable],$B$6)</f>
        <v>0</v>
      </c>
      <c r="E13" s="57">
        <f t="shared" ca="1" si="2"/>
        <v>0</v>
      </c>
      <c r="F13" s="116">
        <f t="shared" ca="1" si="3"/>
        <v>0</v>
      </c>
      <c r="H13" s="57"/>
      <c r="I13" s="57"/>
      <c r="J13" s="57"/>
      <c r="K13" s="57"/>
      <c r="L13" s="57"/>
    </row>
    <row r="14" spans="1:32" x14ac:dyDescent="0.2">
      <c r="A14" s="77"/>
      <c r="B14" s="66" t="str">
        <f ca="1">IF(OFFSET(PARAM.!C6,1,0)="","",OFFSET(PARAM.!C6,1,0))</f>
        <v/>
      </c>
      <c r="C14" s="78"/>
      <c r="D14" s="56">
        <f ca="1">SUMIFS(TBSgasoil[Quantité],TBSgasoil[Entreprise],$B14,TBSgasoil[Mois Comptable],$B$6)</f>
        <v>0</v>
      </c>
      <c r="E14" s="57">
        <f t="shared" ca="1" si="2"/>
        <v>0</v>
      </c>
      <c r="F14" s="116">
        <f t="shared" ca="1" si="3"/>
        <v>0</v>
      </c>
      <c r="H14" s="57"/>
      <c r="I14" s="57"/>
      <c r="J14" s="57"/>
      <c r="K14" s="57"/>
      <c r="L14" s="57"/>
    </row>
    <row r="15" spans="1:32" x14ac:dyDescent="0.2">
      <c r="A15" s="77"/>
      <c r="B15" s="66" t="str">
        <f ca="1">IF(OFFSET(PARAM.!C7,1,0)="","",OFFSET(PARAM.!C7,1,0))</f>
        <v/>
      </c>
      <c r="C15" s="78"/>
      <c r="D15" s="56">
        <f ca="1">SUMIFS(TBSgasoil[Quantité],TBSgasoil[Entreprise],$B15,TBSgasoil[Mois Comptable],$B$6)</f>
        <v>0</v>
      </c>
      <c r="E15" s="57">
        <f t="shared" ca="1" si="2"/>
        <v>0</v>
      </c>
      <c r="F15" s="116">
        <f t="shared" ca="1" si="3"/>
        <v>0</v>
      </c>
      <c r="H15" s="57"/>
      <c r="I15" s="57"/>
      <c r="J15" s="57"/>
      <c r="K15" s="57"/>
      <c r="L15" s="57"/>
    </row>
    <row r="16" spans="1:32" x14ac:dyDescent="0.2">
      <c r="A16" s="77"/>
      <c r="B16" s="66" t="str">
        <f ca="1">IF(OFFSET(PARAM.!C8,1,0)="","",OFFSET(PARAM.!C8,1,0))</f>
        <v/>
      </c>
      <c r="C16" s="78"/>
      <c r="D16" s="56">
        <f ca="1">SUMIFS(TBSgasoil[Quantité],TBSgasoil[Entreprise],$B16,TBSgasoil[Mois Comptable],$B$6)</f>
        <v>0</v>
      </c>
      <c r="E16" s="57">
        <f t="shared" ca="1" si="2"/>
        <v>0</v>
      </c>
      <c r="F16" s="116">
        <f t="shared" ca="1" si="3"/>
        <v>0</v>
      </c>
      <c r="H16" s="57"/>
      <c r="I16" s="57"/>
      <c r="J16" s="57"/>
      <c r="K16" s="57"/>
      <c r="L16" s="57"/>
    </row>
    <row r="17" spans="1:12" x14ac:dyDescent="0.2">
      <c r="A17" s="77"/>
      <c r="B17" s="66" t="str">
        <f ca="1">IF(OFFSET(PARAM.!C9,1,0)="","",OFFSET(PARAM.!C9,1,0))</f>
        <v/>
      </c>
      <c r="C17" s="78"/>
      <c r="D17" s="56">
        <f ca="1">SUMIFS(TBSgasoil[Quantité],TBSgasoil[Entreprise],$B17,TBSgasoil[Mois Comptable],$B$6)</f>
        <v>0</v>
      </c>
      <c r="E17" s="57">
        <f t="shared" ca="1" si="2"/>
        <v>0</v>
      </c>
      <c r="F17" s="116">
        <f t="shared" ca="1" si="3"/>
        <v>0</v>
      </c>
      <c r="H17" s="57"/>
      <c r="I17" s="57"/>
      <c r="J17" s="57"/>
      <c r="K17" s="57"/>
      <c r="L17" s="57"/>
    </row>
    <row r="18" spans="1:12" x14ac:dyDescent="0.2">
      <c r="A18" s="77"/>
      <c r="B18" s="66" t="str">
        <f ca="1">IF(OFFSET(PARAM.!C10,1,0)="","",OFFSET(PARAM.!C10,1,0))</f>
        <v/>
      </c>
      <c r="C18" s="78"/>
      <c r="D18" s="56">
        <f ca="1">SUMIFS(TBSgasoil[Quantité],TBSgasoil[Entreprise],$B18,TBSgasoil[Mois Comptable],$B$6)</f>
        <v>0</v>
      </c>
      <c r="E18" s="57">
        <f t="shared" ca="1" si="2"/>
        <v>0</v>
      </c>
      <c r="F18" s="116">
        <f t="shared" ca="1" si="3"/>
        <v>0</v>
      </c>
      <c r="H18" s="57"/>
      <c r="I18" s="57"/>
      <c r="J18" s="57"/>
      <c r="K18" s="57"/>
      <c r="L18" s="57"/>
    </row>
    <row r="19" spans="1:12" x14ac:dyDescent="0.2">
      <c r="A19" s="77"/>
      <c r="B19" s="66" t="str">
        <f ca="1">IF(OFFSET(PARAM.!C11,1,0)="","",OFFSET(PARAM.!C11,1,0))</f>
        <v/>
      </c>
      <c r="C19" s="78"/>
      <c r="D19" s="56">
        <f ca="1">SUMIFS(TBSgasoil[Quantité],TBSgasoil[Entreprise],$B19,TBSgasoil[Mois Comptable],$B$6)</f>
        <v>0</v>
      </c>
      <c r="E19" s="57">
        <f t="shared" ca="1" si="2"/>
        <v>0</v>
      </c>
      <c r="F19" s="116">
        <f t="shared" ca="1" si="3"/>
        <v>0</v>
      </c>
      <c r="H19" s="57"/>
      <c r="I19" s="57"/>
      <c r="J19" s="57"/>
      <c r="K19" s="57"/>
      <c r="L19" s="57"/>
    </row>
    <row r="20" spans="1:12" x14ac:dyDescent="0.2">
      <c r="A20" s="77"/>
      <c r="B20" s="66" t="str">
        <f ca="1">IF(OFFSET(PARAM.!C12,1,0)="","",OFFSET(PARAM.!C12,1,0))</f>
        <v/>
      </c>
      <c r="C20" s="78"/>
      <c r="D20" s="56">
        <f ca="1">SUMIFS(TBSgasoil[Quantité],TBSgasoil[Entreprise],$B20,TBSgasoil[Mois Comptable],$B$6)</f>
        <v>0</v>
      </c>
      <c r="E20" s="57">
        <f t="shared" ca="1" si="2"/>
        <v>0</v>
      </c>
      <c r="F20" s="116">
        <f t="shared" ca="1" si="3"/>
        <v>0</v>
      </c>
      <c r="H20" s="57"/>
      <c r="I20" s="57"/>
      <c r="J20" s="57"/>
      <c r="K20" s="57"/>
      <c r="L20" s="57"/>
    </row>
    <row r="21" spans="1:12" x14ac:dyDescent="0.2">
      <c r="A21" s="77"/>
      <c r="B21" s="66" t="str">
        <f ca="1">IF(OFFSET(PARAM.!C13,1,0)="","",OFFSET(PARAM.!C13,1,0))</f>
        <v/>
      </c>
      <c r="C21" s="78"/>
      <c r="D21" s="56">
        <f ca="1">SUMIFS(TBSgasoil[Quantité],TBSgasoil[Entreprise],$B21,TBSgasoil[Mois Comptable],$B$6)</f>
        <v>0</v>
      </c>
      <c r="E21" s="57">
        <f t="shared" ca="1" si="2"/>
        <v>0</v>
      </c>
      <c r="F21" s="116">
        <f t="shared" ca="1" si="3"/>
        <v>0</v>
      </c>
      <c r="H21" s="57"/>
      <c r="I21" s="57"/>
      <c r="J21" s="57"/>
      <c r="K21" s="57"/>
      <c r="L21" s="57"/>
    </row>
    <row r="22" spans="1:12" x14ac:dyDescent="0.2">
      <c r="A22" s="77"/>
      <c r="B22" s="66" t="str">
        <f ca="1">IF(OFFSET(PARAM.!C14,1,0)="","",OFFSET(PARAM.!C14,1,0))</f>
        <v/>
      </c>
      <c r="C22" s="78"/>
      <c r="D22" s="56">
        <f ca="1">SUMIFS(TBSgasoil[Quantité],TBSgasoil[Entreprise],$B22,TBSgasoil[Mois Comptable],$B$6)</f>
        <v>0</v>
      </c>
      <c r="E22" s="57">
        <f t="shared" ca="1" si="2"/>
        <v>0</v>
      </c>
      <c r="F22" s="116">
        <f t="shared" ca="1" si="3"/>
        <v>0</v>
      </c>
      <c r="H22" s="57"/>
      <c r="I22" s="57"/>
      <c r="J22" s="57"/>
      <c r="K22" s="57"/>
      <c r="L22" s="57"/>
    </row>
    <row r="23" spans="1:12" x14ac:dyDescent="0.2">
      <c r="A23" s="77"/>
      <c r="B23" s="66" t="str">
        <f ca="1">IF(OFFSET(PARAM.!C15,1,0)="","",OFFSET(PARAM.!C15,1,0))</f>
        <v/>
      </c>
      <c r="C23" s="78"/>
      <c r="D23" s="56">
        <f ca="1">SUMIFS(TBSgasoil[Quantité],TBSgasoil[Entreprise],$B23,TBSgasoil[Mois Comptable],$B$6)</f>
        <v>0</v>
      </c>
      <c r="E23" s="57">
        <f t="shared" ca="1" si="2"/>
        <v>0</v>
      </c>
      <c r="F23" s="116">
        <f t="shared" ca="1" si="3"/>
        <v>0</v>
      </c>
      <c r="H23" s="57"/>
      <c r="I23" s="57"/>
      <c r="J23" s="57"/>
      <c r="K23" s="57"/>
      <c r="L23" s="57"/>
    </row>
    <row r="24" spans="1:12" x14ac:dyDescent="0.2">
      <c r="B24" s="66" t="str">
        <f ca="1">IF(OFFSET(PARAM.!C16,1,0)="","",OFFSET(PARAM.!C16,1,0))</f>
        <v/>
      </c>
      <c r="C24" s="78"/>
      <c r="D24" s="56">
        <f ca="1">SUMIFS(TBSgasoil[Quantité],TBSgasoil[Entreprise],$B24,TBSgasoil[Mois Comptable],$B$6)</f>
        <v>0</v>
      </c>
      <c r="E24" s="57">
        <f t="shared" ca="1" si="2"/>
        <v>0</v>
      </c>
      <c r="F24" s="116">
        <f t="shared" ca="1" si="3"/>
        <v>0</v>
      </c>
      <c r="H24" s="57"/>
      <c r="I24" s="57"/>
      <c r="J24" s="57"/>
      <c r="K24" s="57"/>
      <c r="L24" s="57"/>
    </row>
    <row r="25" spans="1:12" x14ac:dyDescent="0.2">
      <c r="B25" s="66" t="str">
        <f ca="1">IF(OFFSET(PARAM.!C17,1,0)="","",OFFSET(PARAM.!C17,1,0))</f>
        <v/>
      </c>
      <c r="C25" s="78"/>
      <c r="D25" s="56">
        <f ca="1">SUMIFS(TBSgasoil[Quantité],TBSgasoil[Entreprise],$B25,TBSgasoil[Mois Comptable],$B$6)</f>
        <v>0</v>
      </c>
      <c r="E25" s="57">
        <f t="shared" ca="1" si="2"/>
        <v>0</v>
      </c>
      <c r="F25" s="116">
        <f t="shared" ca="1" si="3"/>
        <v>0</v>
      </c>
      <c r="H25" s="57"/>
      <c r="I25" s="57"/>
      <c r="J25" s="57"/>
      <c r="K25" s="57"/>
      <c r="L25" s="57"/>
    </row>
    <row r="26" spans="1:12" x14ac:dyDescent="0.2">
      <c r="B26" s="66" t="str">
        <f ca="1">IF(OFFSET(PARAM.!C18,1,0)="","",OFFSET(PARAM.!C18,1,0))</f>
        <v/>
      </c>
      <c r="C26" s="78"/>
      <c r="D26" s="56">
        <f ca="1">SUMIFS(TBSgasoil[Quantité],TBSgasoil[Entreprise],$B26,TBSgasoil[Mois Comptable],$B$6)</f>
        <v>0</v>
      </c>
      <c r="E26" s="57">
        <f t="shared" ca="1" si="2"/>
        <v>0</v>
      </c>
      <c r="F26" s="116">
        <f t="shared" ca="1" si="3"/>
        <v>0</v>
      </c>
      <c r="H26" s="57"/>
      <c r="I26" s="57"/>
      <c r="J26" s="57"/>
      <c r="K26" s="57"/>
      <c r="L26" s="57"/>
    </row>
    <row r="27" spans="1:12" x14ac:dyDescent="0.2">
      <c r="B27" s="66" t="str">
        <f ca="1">IF(OFFSET(PARAM.!C19,1,0)="","",OFFSET(PARAM.!C19,1,0))</f>
        <v/>
      </c>
      <c r="C27" s="78"/>
      <c r="D27" s="56">
        <f ca="1">SUMIFS(TBSgasoil[Quantité],TBSgasoil[Entreprise],$B27,TBSgasoil[Mois Comptable],$B$6)</f>
        <v>0</v>
      </c>
      <c r="E27" s="57">
        <f t="shared" ca="1" si="2"/>
        <v>0</v>
      </c>
      <c r="F27" s="116">
        <f t="shared" ca="1" si="3"/>
        <v>0</v>
      </c>
      <c r="H27" s="57"/>
      <c r="I27" s="57"/>
      <c r="J27" s="57"/>
      <c r="K27" s="57"/>
      <c r="L27" s="57"/>
    </row>
    <row r="28" spans="1:12" x14ac:dyDescent="0.2">
      <c r="B28" s="66" t="str">
        <f ca="1">IF(OFFSET(PARAM.!C20,1,0)="","",OFFSET(PARAM.!C20,1,0))</f>
        <v/>
      </c>
      <c r="C28" s="78"/>
      <c r="D28" s="56">
        <f ca="1">SUMIFS(TBSgasoil[Quantité],TBSgasoil[Entreprise],$B28,TBSgasoil[Mois Comptable],$B$6)</f>
        <v>0</v>
      </c>
      <c r="E28" s="57">
        <f t="shared" ca="1" si="2"/>
        <v>0</v>
      </c>
      <c r="F28" s="116">
        <f t="shared" ca="1" si="3"/>
        <v>0</v>
      </c>
      <c r="H28" s="57"/>
      <c r="I28" s="57"/>
      <c r="J28" s="57"/>
      <c r="K28" s="57"/>
      <c r="L28" s="57"/>
    </row>
    <row r="29" spans="1:12" x14ac:dyDescent="0.2">
      <c r="B29" s="66" t="str">
        <f ca="1">IF(OFFSET(PARAM.!C21,1,0)="","",OFFSET(PARAM.!C21,1,0))</f>
        <v/>
      </c>
      <c r="C29" s="78"/>
      <c r="D29" s="56">
        <f ca="1">SUMIFS(TBSgasoil[Quantité],TBSgasoil[Entreprise],$B29,TBSgasoil[Mois Comptable],$B$6)</f>
        <v>0</v>
      </c>
      <c r="E29" s="57">
        <f t="shared" ca="1" si="2"/>
        <v>0</v>
      </c>
      <c r="F29" s="116">
        <f t="shared" ca="1" si="3"/>
        <v>0</v>
      </c>
      <c r="H29" s="57"/>
      <c r="I29" s="57"/>
      <c r="J29" s="57"/>
      <c r="K29" s="57"/>
      <c r="L29" s="57"/>
    </row>
    <row r="30" spans="1:12" x14ac:dyDescent="0.2">
      <c r="B30" s="66" t="str">
        <f ca="1">IF(OFFSET(PARAM.!C22,1,0)="","",OFFSET(PARAM.!C22,1,0))</f>
        <v/>
      </c>
      <c r="C30" s="78"/>
      <c r="D30" s="56">
        <f ca="1">SUMIFS(TBSgasoil[Quantité],TBSgasoil[Entreprise],$B30,TBSgasoil[Mois Comptable],$B$6)</f>
        <v>0</v>
      </c>
      <c r="E30" s="57">
        <f t="shared" ca="1" si="2"/>
        <v>0</v>
      </c>
      <c r="F30" s="116">
        <f t="shared" ca="1" si="3"/>
        <v>0</v>
      </c>
      <c r="H30" s="57"/>
      <c r="I30" s="57"/>
      <c r="J30" s="57"/>
      <c r="K30" s="57"/>
      <c r="L30" s="57"/>
    </row>
    <row r="31" spans="1:12" x14ac:dyDescent="0.2">
      <c r="B31" s="66" t="str">
        <f ca="1">IF(OFFSET(PARAM.!C23,1,0)="","",OFFSET(PARAM.!C23,1,0))</f>
        <v/>
      </c>
      <c r="C31" s="78"/>
      <c r="D31" s="56">
        <f ca="1">SUMIFS(TBSgasoil[Quantité],TBSgasoil[Entreprise],$B31,TBSgasoil[Mois Comptable],$B$6)</f>
        <v>0</v>
      </c>
      <c r="E31" s="57">
        <f t="shared" ca="1" si="2"/>
        <v>0</v>
      </c>
      <c r="F31" s="116">
        <f t="shared" ca="1" si="3"/>
        <v>0</v>
      </c>
      <c r="H31" s="57"/>
      <c r="I31" s="57"/>
      <c r="J31" s="57"/>
      <c r="K31" s="57"/>
      <c r="L31" s="57"/>
    </row>
    <row r="32" spans="1:12" x14ac:dyDescent="0.2">
      <c r="B32" s="66" t="str">
        <f ca="1">IF(OFFSET(PARAM.!C24,1,0)="","",OFFSET(PARAM.!C24,1,0))</f>
        <v/>
      </c>
      <c r="C32" s="78"/>
      <c r="D32" s="56">
        <f ca="1">SUMIFS(TBSgasoil[Quantité],TBSgasoil[Entreprise],$B32,TBSgasoil[Mois Comptable],$B$6)</f>
        <v>0</v>
      </c>
      <c r="E32" s="57">
        <f t="shared" ca="1" si="2"/>
        <v>0</v>
      </c>
      <c r="F32" s="116">
        <f t="shared" ca="1" si="3"/>
        <v>0</v>
      </c>
      <c r="H32" s="57"/>
      <c r="I32" s="57"/>
      <c r="J32" s="57"/>
      <c r="K32" s="57"/>
      <c r="L32" s="57"/>
    </row>
    <row r="33" spans="2:26" x14ac:dyDescent="0.2">
      <c r="B33" s="69" t="str">
        <f ca="1">IF(OFFSET(PARAM.!C25,1,0)="","",OFFSET(PARAM.!C25,1,0))</f>
        <v/>
      </c>
      <c r="C33" s="48"/>
      <c r="D33" s="59">
        <f ca="1">SUMIFS(TBSgasoil[Quantité],TBSgasoil[Entreprise],$B33,TBSgasoil[Mois Comptable],$B$6)</f>
        <v>0</v>
      </c>
      <c r="E33" s="57">
        <f t="shared" ca="1" si="2"/>
        <v>0</v>
      </c>
      <c r="F33" s="116">
        <f t="shared" ca="1" si="3"/>
        <v>0</v>
      </c>
      <c r="H33" s="60"/>
      <c r="I33" s="60"/>
      <c r="J33" s="60"/>
      <c r="K33" s="60"/>
      <c r="L33" s="60"/>
    </row>
    <row r="34" spans="2:26" x14ac:dyDescent="0.2">
      <c r="D34" s="79">
        <f>SUMIF(TBSgasoil[Mois Comptable],'Récap Tiers'!$B$6,TBSgasoil[Quantité])</f>
        <v>750</v>
      </c>
      <c r="E34" s="126">
        <f>$D$8*D34</f>
        <v>345000</v>
      </c>
      <c r="F34" s="80"/>
      <c r="G34" s="81"/>
      <c r="H34" s="80"/>
      <c r="I34" s="80"/>
      <c r="J34" s="80"/>
      <c r="K34" s="80"/>
      <c r="L34" s="80"/>
      <c r="M34" s="80"/>
      <c r="N34" s="81"/>
      <c r="O34" s="81"/>
      <c r="P34" s="81"/>
      <c r="Q34" s="81"/>
      <c r="R34" s="81"/>
      <c r="S34" s="81"/>
      <c r="T34" s="81"/>
      <c r="U34" s="81"/>
      <c r="V34" s="81"/>
      <c r="W34" s="81"/>
      <c r="X34" s="81"/>
      <c r="Y34" s="81"/>
      <c r="Z34" s="82"/>
    </row>
    <row r="35" spans="2:26" x14ac:dyDescent="0.2">
      <c r="D35" s="83" t="str">
        <f ca="1">IF(D34=SUM(D9:D33),"","ERR.")</f>
        <v/>
      </c>
      <c r="H35" s="84"/>
      <c r="I35" s="85"/>
    </row>
  </sheetData>
  <conditionalFormatting sqref="A9:A23">
    <cfRule type="iconSet" priority="3">
      <iconSet>
        <cfvo type="percent" val="0"/>
        <cfvo type="num" val="4.5"/>
        <cfvo type="num" val="5"/>
      </iconSet>
    </cfRule>
  </conditionalFormatting>
  <conditionalFormatting sqref="F9:F33">
    <cfRule type="dataBar" priority="1">
      <dataBar>
        <cfvo type="min"/>
        <cfvo type="max"/>
        <color rgb="FF638EC6"/>
      </dataBar>
      <extLst>
        <ext xmlns:x14="http://schemas.microsoft.com/office/spreadsheetml/2009/9/main" uri="{B025F937-C7B1-47D3-B67F-A62EFF666E3E}">
          <x14:id>{E8B4DE23-CB8B-4A16-972B-26F776979CFF}</x14:id>
        </ext>
      </extLst>
    </cfRule>
  </conditionalFormatting>
  <dataValidations count="1">
    <dataValidation type="list" allowBlank="1" showInputMessage="1" showErrorMessage="1" sqref="B5">
      <formula1>MoisComptable1</formula1>
    </dataValidation>
  </dataValidations>
  <pageMargins left="0.7" right="0.7" top="0.75" bottom="0.75" header="0.3" footer="0.3"/>
  <pageSetup paperSize="9" scale="55" orientation="landscape" r:id="rId1"/>
  <colBreaks count="1" manualBreakCount="1">
    <brk id="2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2296" r:id="rId4" name="Button 8">
              <controlPr defaultSize="0" print="0" autoFill="0" autoPict="0" macro="[0]!Actualiser">
                <anchor moveWithCells="1" sizeWithCells="1">
                  <from>
                    <xdr:col>10</xdr:col>
                    <xdr:colOff>371475</xdr:colOff>
                    <xdr:row>1</xdr:row>
                    <xdr:rowOff>47625</xdr:rowOff>
                  </from>
                  <to>
                    <xdr:col>12</xdr:col>
                    <xdr:colOff>200025</xdr:colOff>
                    <xdr:row>1</xdr:row>
                    <xdr:rowOff>342900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8B4DE23-CB8B-4A16-972B-26F776979CFF}">
            <x14:dataBar minLength="0" maxLength="100" border="1" negativeBarBorderColorSameAsPositive="0">
              <x14:cfvo type="autoMin"/>
              <x14:cfvo type="autoMax"/>
              <x14:borderColor rgb="FF638EC6"/>
              <x14:negativeFillColor rgb="FFFF0000"/>
              <x14:negativeBorderColor rgb="FFFF0000"/>
              <x14:axisColor rgb="FF000000"/>
            </x14:dataBar>
          </x14:cfRule>
          <xm:sqref>F9:F33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theme="9" tint="0.39997558519241921"/>
    <pageSetUpPr fitToPage="1"/>
  </sheetPr>
  <dimension ref="B2:AI109"/>
  <sheetViews>
    <sheetView workbookViewId="0">
      <selection activeCell="K13" sqref="K13"/>
    </sheetView>
  </sheetViews>
  <sheetFormatPr baseColWidth="10" defaultRowHeight="11.25" x14ac:dyDescent="0.25"/>
  <cols>
    <col min="1" max="1" width="2.42578125" style="6" customWidth="1"/>
    <col min="2" max="2" width="10.7109375" style="42" bestFit="1" customWidth="1"/>
    <col min="3" max="3" width="10.7109375" style="6" customWidth="1"/>
    <col min="4" max="14" width="12.7109375" style="6" customWidth="1"/>
    <col min="15" max="15" width="8.7109375" style="6" customWidth="1"/>
    <col min="16" max="16" width="1.140625" style="6" customWidth="1"/>
    <col min="17" max="18" width="12.7109375" style="6" customWidth="1"/>
    <col min="19" max="25" width="8.7109375" style="6" customWidth="1"/>
    <col min="26" max="26" width="4.85546875" style="6" customWidth="1"/>
    <col min="27" max="35" width="9.7109375" style="6" customWidth="1"/>
    <col min="36" max="16384" width="11.42578125" style="6"/>
  </cols>
  <sheetData>
    <row r="2" spans="2:16" ht="24" customHeight="1" x14ac:dyDescent="0.25">
      <c r="C2" s="43"/>
      <c r="D2" s="152"/>
      <c r="E2" s="96"/>
      <c r="F2" s="146" t="s">
        <v>200</v>
      </c>
      <c r="G2" s="170">
        <f>B6</f>
        <v>41518</v>
      </c>
      <c r="H2" s="171"/>
      <c r="I2" s="43"/>
      <c r="K2" s="43"/>
      <c r="L2" s="43"/>
      <c r="N2" s="43"/>
    </row>
    <row r="3" spans="2:16" ht="7.5" customHeight="1" x14ac:dyDescent="0.25"/>
    <row r="4" spans="2:16" s="90" customFormat="1" ht="16.5" customHeight="1" x14ac:dyDescent="0.25">
      <c r="C4" s="6"/>
      <c r="D4" s="67"/>
      <c r="E4" s="67"/>
      <c r="F4" s="67"/>
      <c r="G4" s="67"/>
      <c r="H4" s="67"/>
      <c r="I4" s="67"/>
      <c r="J4" s="67"/>
      <c r="K4" s="67"/>
      <c r="L4" s="67"/>
      <c r="M4" s="67"/>
      <c r="N4" s="67"/>
      <c r="O4" s="6"/>
      <c r="P4" s="6"/>
    </row>
    <row r="5" spans="2:16" ht="16.5" customHeight="1" x14ac:dyDescent="0.25">
      <c r="B5" s="42" t="s">
        <v>36</v>
      </c>
      <c r="F5" s="90"/>
      <c r="G5" s="90"/>
      <c r="H5" s="90"/>
      <c r="I5" s="90"/>
      <c r="J5" s="90"/>
      <c r="K5" s="90"/>
      <c r="L5" s="90"/>
      <c r="M5" s="90"/>
    </row>
    <row r="6" spans="2:16" s="93" customFormat="1" x14ac:dyDescent="0.25">
      <c r="B6" s="117">
        <v>41518</v>
      </c>
      <c r="C6" s="6"/>
      <c r="D6" s="181">
        <f>VLOOKUP(B6,PARAM.!E2:F20,2,0)</f>
        <v>41512</v>
      </c>
      <c r="E6" s="181">
        <f>DATE(YEAR(B6),MONTH(B6)+1,25)</f>
        <v>41572</v>
      </c>
      <c r="F6" s="181"/>
    </row>
    <row r="7" spans="2:16" s="93" customFormat="1" ht="22.5" x14ac:dyDescent="0.25">
      <c r="C7" s="185" t="s">
        <v>0</v>
      </c>
      <c r="D7" s="185" t="s">
        <v>85</v>
      </c>
      <c r="E7" s="185" t="s">
        <v>201</v>
      </c>
      <c r="F7" s="185" t="s">
        <v>202</v>
      </c>
      <c r="G7" s="185" t="s">
        <v>54</v>
      </c>
      <c r="H7" s="185" t="s">
        <v>65</v>
      </c>
      <c r="I7" s="95" t="s">
        <v>203</v>
      </c>
      <c r="J7" s="95" t="s">
        <v>204</v>
      </c>
      <c r="K7" s="95" t="s">
        <v>205</v>
      </c>
      <c r="L7" s="95" t="s">
        <v>177</v>
      </c>
    </row>
    <row r="8" spans="2:16" ht="15" x14ac:dyDescent="0.25">
      <c r="B8" s="147"/>
      <c r="C8" s="182" t="s">
        <v>161</v>
      </c>
      <c r="D8" s="182" t="s">
        <v>67</v>
      </c>
      <c r="E8" s="182" t="s">
        <v>162</v>
      </c>
      <c r="F8" s="182" t="s">
        <v>163</v>
      </c>
      <c r="G8" s="182" t="s">
        <v>94</v>
      </c>
      <c r="H8" s="182" t="s">
        <v>111</v>
      </c>
      <c r="I8" s="147"/>
      <c r="J8" s="147"/>
      <c r="K8" s="147"/>
      <c r="L8" s="147"/>
    </row>
    <row r="9" spans="2:16" ht="15" x14ac:dyDescent="0.25">
      <c r="B9" s="147"/>
      <c r="C9" s="183" t="s">
        <v>188</v>
      </c>
      <c r="D9" s="183" t="s">
        <v>37</v>
      </c>
      <c r="E9" s="183" t="s">
        <v>139</v>
      </c>
      <c r="F9" s="183" t="s">
        <v>189</v>
      </c>
      <c r="G9" s="183" t="s">
        <v>134</v>
      </c>
      <c r="H9" s="183" t="s">
        <v>190</v>
      </c>
      <c r="I9" s="147"/>
      <c r="J9" s="147"/>
      <c r="K9" s="147"/>
      <c r="L9" s="147"/>
    </row>
    <row r="10" spans="2:16" ht="15" x14ac:dyDescent="0.25">
      <c r="B10" s="147"/>
      <c r="C10" s="183" t="s">
        <v>142</v>
      </c>
      <c r="D10" s="183" t="s">
        <v>67</v>
      </c>
      <c r="E10" s="183" t="s">
        <v>139</v>
      </c>
      <c r="F10" s="183" t="s">
        <v>133</v>
      </c>
      <c r="G10" s="183" t="s">
        <v>134</v>
      </c>
      <c r="H10" s="183" t="s">
        <v>135</v>
      </c>
      <c r="I10" s="147"/>
      <c r="J10" s="147"/>
      <c r="K10" s="147"/>
      <c r="L10" s="147"/>
    </row>
    <row r="11" spans="2:16" ht="15" x14ac:dyDescent="0.25">
      <c r="B11" s="147"/>
      <c r="C11" s="183" t="s">
        <v>196</v>
      </c>
      <c r="D11" s="183" t="s">
        <v>131</v>
      </c>
      <c r="E11" s="183" t="s">
        <v>132</v>
      </c>
      <c r="F11" s="183" t="s">
        <v>197</v>
      </c>
      <c r="G11" s="183" t="s">
        <v>134</v>
      </c>
      <c r="H11" s="183" t="s">
        <v>198</v>
      </c>
      <c r="I11" s="147"/>
      <c r="J11" s="147"/>
      <c r="K11" s="147"/>
      <c r="L11" s="147"/>
    </row>
    <row r="12" spans="2:16" ht="15" x14ac:dyDescent="0.25">
      <c r="B12" s="147"/>
      <c r="C12" s="183" t="s">
        <v>138</v>
      </c>
      <c r="D12" s="183" t="s">
        <v>131</v>
      </c>
      <c r="E12" s="183" t="s">
        <v>132</v>
      </c>
      <c r="F12" s="183" t="s">
        <v>140</v>
      </c>
      <c r="G12" s="183" t="s">
        <v>134</v>
      </c>
      <c r="H12" s="183" t="s">
        <v>141</v>
      </c>
      <c r="I12" s="147"/>
      <c r="J12" s="147"/>
      <c r="K12" s="147"/>
      <c r="L12" s="147"/>
    </row>
    <row r="13" spans="2:16" ht="15" x14ac:dyDescent="0.25">
      <c r="B13" s="147"/>
      <c r="C13" s="184" t="s">
        <v>193</v>
      </c>
      <c r="D13" s="184" t="s">
        <v>37</v>
      </c>
      <c r="E13" s="184" t="s">
        <v>194</v>
      </c>
      <c r="F13" s="184" t="s">
        <v>189</v>
      </c>
      <c r="G13" s="184" t="s">
        <v>82</v>
      </c>
      <c r="H13" s="184" t="s">
        <v>195</v>
      </c>
      <c r="I13" s="147"/>
      <c r="J13" s="147"/>
      <c r="K13" s="147"/>
      <c r="L13" s="147"/>
    </row>
    <row r="14" spans="2:16" x14ac:dyDescent="0.25">
      <c r="B14" s="147"/>
      <c r="C14" s="147"/>
      <c r="D14" s="147"/>
      <c r="E14" s="147"/>
      <c r="F14" s="147"/>
      <c r="G14" s="147"/>
      <c r="H14" s="147"/>
      <c r="I14" s="147"/>
      <c r="J14" s="147"/>
      <c r="K14" s="147"/>
      <c r="L14" s="147"/>
    </row>
    <row r="15" spans="2:16" x14ac:dyDescent="0.25">
      <c r="B15" s="147"/>
      <c r="C15" s="147"/>
      <c r="D15" s="147"/>
      <c r="E15" s="147"/>
      <c r="F15" s="147"/>
      <c r="G15" s="147"/>
      <c r="H15" s="147"/>
      <c r="I15" s="147"/>
      <c r="J15" s="147"/>
      <c r="K15" s="147"/>
      <c r="L15" s="147"/>
    </row>
    <row r="16" spans="2:16" x14ac:dyDescent="0.25">
      <c r="B16" s="147"/>
      <c r="C16" s="147"/>
      <c r="D16" s="147"/>
      <c r="E16" s="147"/>
      <c r="F16" s="147"/>
      <c r="G16" s="147"/>
      <c r="H16" s="147"/>
      <c r="I16" s="147"/>
      <c r="J16" s="147"/>
      <c r="K16" s="147"/>
      <c r="L16" s="147"/>
    </row>
    <row r="17" spans="2:12" x14ac:dyDescent="0.25">
      <c r="B17" s="147"/>
      <c r="C17" s="147"/>
      <c r="D17" s="147"/>
      <c r="E17" s="147"/>
      <c r="F17" s="147"/>
      <c r="G17" s="147"/>
      <c r="H17" s="147"/>
      <c r="I17" s="147"/>
      <c r="J17" s="147"/>
      <c r="K17" s="147"/>
      <c r="L17" s="147"/>
    </row>
    <row r="18" spans="2:12" x14ac:dyDescent="0.25">
      <c r="B18" s="147"/>
      <c r="C18" s="147"/>
      <c r="D18" s="147"/>
      <c r="E18" s="147"/>
      <c r="F18" s="147"/>
      <c r="G18" s="147"/>
      <c r="H18" s="147"/>
      <c r="I18" s="147"/>
      <c r="J18" s="147"/>
      <c r="K18" s="147"/>
      <c r="L18" s="147"/>
    </row>
    <row r="19" spans="2:12" x14ac:dyDescent="0.25">
      <c r="B19" s="147"/>
      <c r="C19" s="147"/>
      <c r="D19" s="147"/>
      <c r="E19" s="147"/>
      <c r="F19" s="147"/>
      <c r="G19" s="147"/>
      <c r="H19" s="147"/>
      <c r="I19" s="147"/>
      <c r="J19" s="147"/>
      <c r="K19" s="147"/>
      <c r="L19" s="147"/>
    </row>
    <row r="20" spans="2:12" x14ac:dyDescent="0.25">
      <c r="B20" s="147"/>
      <c r="C20" s="147"/>
      <c r="D20" s="147"/>
      <c r="E20" s="147"/>
      <c r="F20" s="147"/>
      <c r="G20" s="147"/>
      <c r="H20" s="147"/>
      <c r="I20" s="147"/>
      <c r="J20" s="147"/>
      <c r="K20" s="147"/>
      <c r="L20" s="147"/>
    </row>
    <row r="21" spans="2:12" x14ac:dyDescent="0.25">
      <c r="B21" s="147"/>
      <c r="C21" s="147"/>
      <c r="D21" s="147"/>
      <c r="E21" s="147"/>
      <c r="F21" s="147"/>
      <c r="G21" s="147"/>
      <c r="H21" s="147"/>
      <c r="I21" s="147"/>
      <c r="J21" s="147"/>
      <c r="K21" s="147"/>
      <c r="L21" s="147"/>
    </row>
    <row r="22" spans="2:12" x14ac:dyDescent="0.25">
      <c r="B22" s="147"/>
      <c r="C22" s="147"/>
      <c r="D22" s="147"/>
      <c r="E22" s="147"/>
      <c r="F22" s="147"/>
      <c r="G22" s="147"/>
      <c r="H22" s="147"/>
      <c r="I22" s="147"/>
      <c r="J22" s="147"/>
      <c r="K22" s="147"/>
      <c r="L22" s="147"/>
    </row>
    <row r="23" spans="2:12" x14ac:dyDescent="0.25">
      <c r="B23" s="147"/>
      <c r="C23" s="147"/>
      <c r="D23" s="147"/>
      <c r="E23" s="147"/>
      <c r="F23" s="147"/>
      <c r="G23" s="147"/>
      <c r="H23" s="147"/>
      <c r="I23" s="147"/>
      <c r="J23" s="147"/>
      <c r="K23" s="147"/>
      <c r="L23" s="147"/>
    </row>
    <row r="24" spans="2:12" x14ac:dyDescent="0.25">
      <c r="B24" s="147"/>
      <c r="C24" s="147"/>
      <c r="D24" s="147"/>
      <c r="E24" s="147"/>
      <c r="F24" s="147"/>
      <c r="G24" s="147"/>
      <c r="H24" s="147"/>
      <c r="I24" s="147"/>
      <c r="J24" s="147"/>
      <c r="K24" s="147"/>
      <c r="L24" s="147"/>
    </row>
    <row r="25" spans="2:12" x14ac:dyDescent="0.25">
      <c r="B25" s="147"/>
      <c r="C25" s="147"/>
      <c r="D25" s="147"/>
      <c r="E25" s="147"/>
      <c r="F25" s="147"/>
      <c r="G25" s="147"/>
      <c r="H25" s="147"/>
      <c r="I25" s="147"/>
      <c r="J25" s="147"/>
      <c r="K25" s="147"/>
      <c r="L25" s="147"/>
    </row>
    <row r="26" spans="2:12" x14ac:dyDescent="0.25">
      <c r="B26" s="147"/>
      <c r="C26" s="147"/>
      <c r="D26" s="147"/>
      <c r="E26" s="147"/>
      <c r="F26" s="147"/>
      <c r="G26" s="147"/>
      <c r="H26" s="147"/>
      <c r="I26" s="147"/>
      <c r="J26" s="147"/>
      <c r="K26" s="147"/>
      <c r="L26" s="147"/>
    </row>
    <row r="27" spans="2:12" x14ac:dyDescent="0.25">
      <c r="B27" s="147"/>
      <c r="C27" s="147"/>
      <c r="D27" s="147"/>
      <c r="E27" s="147"/>
      <c r="F27" s="147"/>
      <c r="G27" s="147"/>
      <c r="H27" s="147"/>
      <c r="I27" s="147"/>
      <c r="J27" s="147"/>
      <c r="K27" s="147"/>
      <c r="L27" s="147"/>
    </row>
    <row r="28" spans="2:12" x14ac:dyDescent="0.25">
      <c r="B28" s="147"/>
      <c r="C28" s="147"/>
      <c r="D28" s="147"/>
      <c r="E28" s="147"/>
      <c r="F28" s="147"/>
      <c r="G28" s="147"/>
      <c r="H28" s="147"/>
      <c r="I28" s="147"/>
      <c r="J28" s="147"/>
      <c r="K28" s="147"/>
      <c r="L28" s="147"/>
    </row>
    <row r="29" spans="2:12" x14ac:dyDescent="0.25">
      <c r="B29" s="147"/>
      <c r="C29" s="147"/>
      <c r="D29" s="147"/>
      <c r="E29" s="147"/>
      <c r="F29" s="147"/>
      <c r="G29" s="147"/>
      <c r="H29" s="147"/>
      <c r="I29" s="147"/>
      <c r="J29" s="147"/>
      <c r="K29" s="147"/>
      <c r="L29" s="147"/>
    </row>
    <row r="30" spans="2:12" x14ac:dyDescent="0.25">
      <c r="B30" s="147"/>
      <c r="C30" s="147"/>
      <c r="D30" s="147"/>
      <c r="E30" s="147"/>
      <c r="F30" s="147"/>
      <c r="G30" s="147"/>
      <c r="H30" s="147"/>
      <c r="I30" s="147"/>
      <c r="J30" s="147"/>
      <c r="K30" s="147"/>
      <c r="L30" s="147"/>
    </row>
    <row r="31" spans="2:12" x14ac:dyDescent="0.25">
      <c r="B31" s="147"/>
      <c r="C31" s="147"/>
      <c r="D31" s="147"/>
      <c r="E31" s="147"/>
      <c r="F31" s="147"/>
      <c r="G31" s="147"/>
      <c r="H31" s="147"/>
      <c r="I31" s="147"/>
      <c r="J31" s="147"/>
      <c r="K31" s="147"/>
      <c r="L31" s="147"/>
    </row>
    <row r="32" spans="2:12" x14ac:dyDescent="0.25">
      <c r="B32" s="147"/>
      <c r="C32" s="147"/>
      <c r="D32" s="147"/>
      <c r="E32" s="147"/>
      <c r="F32" s="147"/>
      <c r="G32" s="147"/>
      <c r="H32" s="147"/>
      <c r="I32" s="147"/>
      <c r="J32" s="147"/>
      <c r="K32" s="147"/>
      <c r="L32" s="147"/>
    </row>
    <row r="33" spans="2:17" x14ac:dyDescent="0.25">
      <c r="B33" s="147"/>
      <c r="C33" s="147"/>
      <c r="D33" s="147"/>
      <c r="E33" s="147"/>
      <c r="F33" s="147"/>
      <c r="G33" s="147"/>
      <c r="H33" s="147"/>
      <c r="I33" s="147"/>
      <c r="J33" s="147"/>
      <c r="K33" s="147"/>
      <c r="L33" s="147"/>
    </row>
    <row r="34" spans="2:17" x14ac:dyDescent="0.25">
      <c r="B34" s="147"/>
      <c r="C34" s="147"/>
      <c r="D34" s="147"/>
      <c r="E34" s="147"/>
      <c r="F34" s="147"/>
      <c r="G34" s="147"/>
      <c r="H34" s="147"/>
      <c r="I34" s="147"/>
      <c r="J34" s="147"/>
      <c r="K34" s="147"/>
      <c r="L34" s="147"/>
    </row>
    <row r="35" spans="2:17" x14ac:dyDescent="0.25">
      <c r="B35" s="147"/>
      <c r="C35" s="147"/>
      <c r="D35" s="147"/>
      <c r="E35" s="147"/>
      <c r="F35" s="147"/>
      <c r="G35" s="147"/>
      <c r="H35" s="147"/>
      <c r="I35" s="147"/>
      <c r="J35" s="147"/>
      <c r="K35" s="147"/>
      <c r="L35" s="147"/>
    </row>
    <row r="36" spans="2:17" x14ac:dyDescent="0.25">
      <c r="B36" s="147"/>
      <c r="C36" s="147"/>
      <c r="D36" s="147"/>
      <c r="E36" s="147"/>
      <c r="F36" s="147"/>
      <c r="G36" s="147"/>
      <c r="H36" s="147"/>
      <c r="I36" s="147"/>
      <c r="J36" s="147"/>
      <c r="K36" s="147"/>
      <c r="L36" s="147"/>
    </row>
    <row r="37" spans="2:17" x14ac:dyDescent="0.25">
      <c r="B37" s="147"/>
      <c r="C37" s="147"/>
      <c r="D37" s="147"/>
      <c r="E37" s="147"/>
      <c r="F37" s="147"/>
      <c r="G37" s="147"/>
      <c r="H37" s="147"/>
      <c r="I37" s="147"/>
      <c r="J37" s="147"/>
      <c r="K37" s="147"/>
      <c r="L37" s="147"/>
    </row>
    <row r="38" spans="2:17" x14ac:dyDescent="0.25">
      <c r="B38" s="147"/>
      <c r="C38" s="147"/>
      <c r="D38" s="147"/>
      <c r="E38" s="147"/>
      <c r="F38" s="147"/>
      <c r="G38" s="147"/>
      <c r="H38" s="147"/>
      <c r="I38" s="147"/>
      <c r="J38" s="147"/>
      <c r="K38" s="147"/>
      <c r="L38" s="147"/>
    </row>
    <row r="39" spans="2:17" x14ac:dyDescent="0.25">
      <c r="B39" s="106" t="e">
        <f>IF(#REF!=" "," ",IF((1*DAY(#REF!)=26)," ",#REF!+1))</f>
        <v>#REF!</v>
      </c>
      <c r="D39" s="147"/>
      <c r="E39" s="147"/>
      <c r="F39" s="147"/>
      <c r="G39" s="147"/>
      <c r="H39" s="147"/>
      <c r="I39" s="147"/>
      <c r="J39" s="147"/>
      <c r="K39" s="147"/>
      <c r="L39" s="147"/>
      <c r="M39" s="147"/>
      <c r="N39" s="147"/>
    </row>
    <row r="42" spans="2:17" x14ac:dyDescent="0.25">
      <c r="B42" s="6"/>
    </row>
    <row r="43" spans="2:17" x14ac:dyDescent="0.25">
      <c r="B43" s="6"/>
      <c r="N43" s="61"/>
      <c r="O43" s="61"/>
    </row>
    <row r="44" spans="2:17" x14ac:dyDescent="0.25">
      <c r="B44" s="6"/>
    </row>
    <row r="45" spans="2:17" ht="11.25" customHeight="1" x14ac:dyDescent="0.25">
      <c r="C45" s="62"/>
      <c r="O45" s="62"/>
      <c r="P45" s="62"/>
      <c r="Q45" s="62"/>
    </row>
    <row r="46" spans="2:17" ht="11.25" customHeight="1" x14ac:dyDescent="0.25">
      <c r="B46" s="6"/>
    </row>
    <row r="47" spans="2:17" ht="11.25" customHeight="1" x14ac:dyDescent="0.25"/>
    <row r="48" spans="2:17" ht="11.1" customHeight="1" x14ac:dyDescent="0.25"/>
    <row r="49" spans="3:35" ht="11.1" customHeight="1" x14ac:dyDescent="0.25"/>
    <row r="50" spans="3:35" ht="11.1" customHeight="1" x14ac:dyDescent="0.25"/>
    <row r="51" spans="3:35" s="42" customFormat="1" ht="11.1" customHeight="1" x14ac:dyDescent="0.25">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row>
    <row r="52" spans="3:35" s="42" customFormat="1" ht="11.1" customHeight="1" x14ac:dyDescent="0.25">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row>
    <row r="53" spans="3:35" s="42" customFormat="1" ht="11.1" customHeight="1" x14ac:dyDescent="0.25">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row>
    <row r="54" spans="3:35" s="42" customFormat="1" ht="11.1" customHeight="1" x14ac:dyDescent="0.25">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row>
    <row r="55" spans="3:35" s="42" customFormat="1" ht="11.1" customHeight="1" x14ac:dyDescent="0.25">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row>
    <row r="56" spans="3:35" s="42" customFormat="1" ht="11.1" customHeight="1" x14ac:dyDescent="0.25">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row>
    <row r="57" spans="3:35" s="42" customFormat="1" ht="11.1" customHeight="1" x14ac:dyDescent="0.25">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row>
    <row r="58" spans="3:35" s="42" customFormat="1" ht="11.1" customHeight="1" x14ac:dyDescent="0.25">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row>
    <row r="59" spans="3:35" s="42" customFormat="1" ht="11.1" customHeight="1" x14ac:dyDescent="0.25">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row>
    <row r="60" spans="3:35" s="42" customFormat="1" ht="11.1" customHeight="1" x14ac:dyDescent="0.25">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row>
    <row r="61" spans="3:35" s="42" customFormat="1" ht="11.1" customHeight="1" x14ac:dyDescent="0.25">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row>
    <row r="62" spans="3:35" s="42" customFormat="1" ht="11.1" customHeight="1" x14ac:dyDescent="0.2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row>
    <row r="63" spans="3:35" s="42" customFormat="1" ht="11.1" customHeight="1" x14ac:dyDescent="0.25">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row>
    <row r="64" spans="3:35" s="42" customFormat="1" ht="11.1" customHeight="1" x14ac:dyDescent="0.25">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row>
    <row r="65" spans="3:35" s="42" customFormat="1" ht="11.1" customHeight="1" x14ac:dyDescent="0.2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row>
    <row r="66" spans="3:35" s="42" customFormat="1" ht="11.1" customHeight="1" x14ac:dyDescent="0.25">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row>
    <row r="67" spans="3:35" s="42" customFormat="1" ht="11.1" customHeight="1" x14ac:dyDescent="0.25">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row>
    <row r="68" spans="3:35" s="42" customFormat="1" ht="11.1" customHeight="1" x14ac:dyDescent="0.2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row>
    <row r="69" spans="3:35" s="42" customFormat="1" ht="11.1" customHeight="1" x14ac:dyDescent="0.25">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row>
    <row r="70" spans="3:35" s="42" customFormat="1" ht="11.1" customHeight="1" x14ac:dyDescent="0.25">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row>
    <row r="71" spans="3:35" s="42" customFormat="1" ht="11.1" customHeight="1" x14ac:dyDescent="0.2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row>
    <row r="72" spans="3:35" s="42" customFormat="1" ht="11.1" customHeight="1" x14ac:dyDescent="0.25">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row>
    <row r="73" spans="3:35" s="42" customFormat="1" ht="11.1" customHeight="1" x14ac:dyDescent="0.2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row>
    <row r="74" spans="3:35" s="42" customFormat="1" ht="11.1" customHeight="1" x14ac:dyDescent="0.25">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row>
    <row r="75" spans="3:35" s="42" customFormat="1" ht="11.1" customHeight="1" x14ac:dyDescent="0.25">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row>
    <row r="76" spans="3:35" s="42" customFormat="1" ht="11.1" customHeight="1" x14ac:dyDescent="0.25">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row>
    <row r="77" spans="3:35" s="42" customFormat="1" ht="11.1" customHeight="1" x14ac:dyDescent="0.25">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row>
    <row r="78" spans="3:35" s="42" customFormat="1" ht="11.1" customHeight="1" x14ac:dyDescent="0.25">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row>
    <row r="79" spans="3:35" s="42" customFormat="1" ht="11.1" customHeight="1" x14ac:dyDescent="0.25">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row>
    <row r="80" spans="3:35" s="42" customFormat="1" ht="11.1" customHeight="1" x14ac:dyDescent="0.25">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row>
    <row r="81" spans="3:35" s="42" customFormat="1" ht="11.1" customHeight="1" x14ac:dyDescent="0.25">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row>
    <row r="82" spans="3:35" s="42" customFormat="1" ht="11.1" customHeight="1" x14ac:dyDescent="0.25">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row>
    <row r="83" spans="3:35" ht="11.1" customHeight="1" x14ac:dyDescent="0.25"/>
    <row r="84" spans="3:35" ht="11.1" customHeight="1" x14ac:dyDescent="0.25"/>
    <row r="85" spans="3:35" ht="11.1" customHeight="1" x14ac:dyDescent="0.25"/>
    <row r="86" spans="3:35" ht="11.1" customHeight="1" x14ac:dyDescent="0.25"/>
    <row r="87" spans="3:35" ht="11.1" customHeight="1" x14ac:dyDescent="0.25"/>
    <row r="88" spans="3:35" ht="11.1" customHeight="1" x14ac:dyDescent="0.25"/>
    <row r="89" spans="3:35" ht="11.1" customHeight="1" x14ac:dyDescent="0.25"/>
    <row r="90" spans="3:35" ht="11.1" customHeight="1" x14ac:dyDescent="0.25"/>
    <row r="91" spans="3:35" ht="11.1" customHeight="1" x14ac:dyDescent="0.25"/>
    <row r="92" spans="3:35" ht="11.1" customHeight="1" x14ac:dyDescent="0.25"/>
    <row r="93" spans="3:35" ht="11.1" customHeight="1" x14ac:dyDescent="0.25"/>
    <row r="94" spans="3:35" ht="11.1" customHeight="1" x14ac:dyDescent="0.25"/>
    <row r="95" spans="3:35" ht="11.1" customHeight="1" x14ac:dyDescent="0.25"/>
    <row r="96" spans="3:35" ht="11.1" customHeight="1" x14ac:dyDescent="0.25"/>
    <row r="97" ht="11.1" customHeight="1" x14ac:dyDescent="0.25"/>
    <row r="98" ht="11.1" customHeight="1" x14ac:dyDescent="0.25"/>
    <row r="99" ht="11.1" customHeight="1" x14ac:dyDescent="0.25"/>
    <row r="100" ht="11.1" customHeight="1" x14ac:dyDescent="0.25"/>
    <row r="101" ht="11.1" customHeight="1" x14ac:dyDescent="0.25"/>
    <row r="102" ht="11.1" customHeight="1" x14ac:dyDescent="0.25"/>
    <row r="103" ht="11.1" customHeight="1" x14ac:dyDescent="0.25"/>
    <row r="104" ht="11.1" customHeight="1" x14ac:dyDescent="0.25"/>
    <row r="105" ht="11.1" customHeight="1" x14ac:dyDescent="0.25"/>
    <row r="106" ht="11.1" customHeight="1" x14ac:dyDescent="0.25"/>
    <row r="107" ht="11.1" customHeight="1" x14ac:dyDescent="0.25"/>
    <row r="108" ht="11.1" customHeight="1" x14ac:dyDescent="0.25"/>
    <row r="109" ht="11.1" customHeight="1" x14ac:dyDescent="0.25"/>
  </sheetData>
  <sortState ref="C8:H13">
    <sortCondition ref="C8"/>
  </sortState>
  <mergeCells count="1">
    <mergeCell ref="G2:H2"/>
  </mergeCells>
  <pageMargins left="0.7" right="0.7" top="0.75" bottom="0.75" header="0.3" footer="0.3"/>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Actualiser">
                <anchor moveWithCells="1" sizeWithCells="1">
                  <from>
                    <xdr:col>9</xdr:col>
                    <xdr:colOff>0</xdr:colOff>
                    <xdr:row>1</xdr:row>
                    <xdr:rowOff>9525</xdr:rowOff>
                  </from>
                  <to>
                    <xdr:col>10</xdr:col>
                    <xdr:colOff>9525</xdr:colOff>
                    <xdr:row>2</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PARAM.!$E$2:$E$20</xm:f>
          </x14:formula1>
          <xm:sqref>B6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3</vt:i4>
      </vt:variant>
    </vt:vector>
  </HeadingPairs>
  <TitlesOfParts>
    <vt:vector size="12" baseType="lpstr">
      <vt:lpstr>INTERFACE</vt:lpstr>
      <vt:lpstr>PARAM.</vt:lpstr>
      <vt:lpstr>BDDParc</vt:lpstr>
      <vt:lpstr>Egasoil</vt:lpstr>
      <vt:lpstr>Sgasoil</vt:lpstr>
      <vt:lpstr>Stock</vt:lpstr>
      <vt:lpstr>ConsoEngin</vt:lpstr>
      <vt:lpstr>Récap Tiers</vt:lpstr>
      <vt:lpstr>Récap Parc</vt:lpstr>
      <vt:lpstr>ConsoEngin!Criteres</vt:lpstr>
      <vt:lpstr>ConsoEngin!Extraire</vt:lpstr>
      <vt:lpstr>'Récap Parc'!Extraire</vt:lpstr>
    </vt:vector>
  </TitlesOfParts>
  <Company>VINCI Construction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 ESTAGER/VINCI-CONSTRUCTION</dc:creator>
  <cp:lastModifiedBy>Michel</cp:lastModifiedBy>
  <cp:lastPrinted>2013-10-17T12:40:07Z</cp:lastPrinted>
  <dcterms:created xsi:type="dcterms:W3CDTF">2013-06-28T10:13:48Z</dcterms:created>
  <dcterms:modified xsi:type="dcterms:W3CDTF">2013-10-18T11:42:06Z</dcterms:modified>
</cp:coreProperties>
</file>